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charts/chart29.xml" ContentType="application/vnd.openxmlformats-officedocument.drawingml.char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25.xml" ContentType="application/vnd.openxmlformats-officedocument.drawingml.chart+xml"/>
  <Override PartName="/xl/comments14.xml" ContentType="application/vnd.openxmlformats-officedocument.spreadsheetml.comments+xml"/>
  <Override PartName="/xl/charts/chart34.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omments12.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harts/chart26.xml" ContentType="application/vnd.openxmlformats-officedocument.drawingml.chart+xml"/>
  <Override PartName="/xl/comments15.xml" ContentType="application/vnd.openxmlformats-officedocument.spreadsheetml.comments+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omments13.xml" ContentType="application/vnd.openxmlformats-officedocument.spreadsheetml.comments+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charts/chart2.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PivotChartFilter="1"/>
  <bookViews>
    <workbookView xWindow="120" yWindow="1215" windowWidth="9600" windowHeight="4635" tabRatio="852"/>
  </bookViews>
  <sheets>
    <sheet name="Info" sheetId="15" r:id="rId1"/>
    <sheet name="Parameters" sheetId="118" r:id="rId2"/>
    <sheet name="Analysis&gt;&gt;" sheetId="19" r:id="rId3"/>
    <sheet name="Int Analysis" sheetId="113" r:id="rId4"/>
    <sheet name="UK Analysis" sheetId="35" r:id="rId5"/>
    <sheet name="Data&gt;&gt;" sheetId="22" r:id="rId6"/>
    <sheet name="Data Conversion" sheetId="57" r:id="rId7"/>
    <sheet name="Monthly Data" sheetId="56" r:id="rId8"/>
    <sheet name="Passengers" sheetId="7" r:id="rId9"/>
    <sheet name="Freight" sheetId="21" r:id="rId10"/>
    <sheet name="ATMs" sheetId="23" r:id="rId11"/>
    <sheet name="Aircraft Movements" sheetId="24" r:id="rId12"/>
    <sheet name="UK&gt;&gt;" sheetId="18" r:id="rId13"/>
    <sheet name="ABD" sheetId="37" r:id="rId14"/>
    <sheet name="BIR" sheetId="42" r:id="rId15"/>
    <sheet name="EDIN" sheetId="38" r:id="rId16"/>
    <sheet name="GAT" sheetId="34" r:id="rId17"/>
    <sheet name="GLAS" sheetId="39" r:id="rId18"/>
    <sheet name="HTROW" sheetId="40" r:id="rId19"/>
    <sheet name="LTN" sheetId="32" r:id="rId20"/>
    <sheet name="MAN" sheetId="33" r:id="rId21"/>
    <sheet name="STHAM" sheetId="43" r:id="rId22"/>
    <sheet name="STAN" sheetId="41" r:id="rId23"/>
    <sheet name="Non-UK&gt;&gt;" sheetId="71" r:id="rId24"/>
    <sheet name="Amsterdam" sheetId="122" r:id="rId25"/>
    <sheet name="Dublin" sheetId="79" r:id="rId26"/>
    <sheet name="Hong Kong" sheetId="81" r:id="rId27"/>
    <sheet name="Copenhagen" sheetId="82" r:id="rId28"/>
    <sheet name="Zurich" sheetId="83" r:id="rId29"/>
    <sheet name="Munich" sheetId="84" r:id="rId30"/>
    <sheet name="Economic Data&gt;&gt;" sheetId="20" r:id="rId31"/>
    <sheet name="RPI" sheetId="3" r:id="rId32"/>
    <sheet name="FX" sheetId="80" r:id="rId33"/>
    <sheet name="PPP" sheetId="112" r:id="rId34"/>
    <sheet name="GDP per cap" sheetId="111" r:id="rId35"/>
    <sheet name="GDP per emp" sheetId="109" r:id="rId36"/>
    <sheet name="Appendix&gt;&gt;" sheetId="31" r:id="rId37"/>
    <sheet name="Service Quality" sheetId="97" r:id="rId38"/>
    <sheet name="SDG" sheetId="103" r:id="rId39"/>
  </sheets>
  <externalReferences>
    <externalReference r:id="rId40"/>
    <externalReference r:id="rId41"/>
  </externalReferences>
  <definedNames>
    <definedName name="__index_cell_dcover">#REF!</definedName>
    <definedName name="__index_cell_dflysheet">#REF!</definedName>
    <definedName name="__index_cell_dinfo">Info!$B$3</definedName>
    <definedName name="__index_cell_dsheets">#REF!</definedName>
    <definedName name="_xlnm.Print_Area" localSheetId="32">FX!$A$1:$AE$30</definedName>
    <definedName name="_xlnm.Print_Area" localSheetId="1">Parameters!$B$8:$S$22</definedName>
    <definedName name="_xlnm.Print_Area" localSheetId="8">Passengers!$A$1:$W$82</definedName>
    <definedName name="_xlnm.Print_Area" localSheetId="31">RPI!$A$1:$X$51</definedName>
  </definedNames>
  <calcPr calcId="125725"/>
</workbook>
</file>

<file path=xl/calcChain.xml><?xml version="1.0" encoding="utf-8"?>
<calcChain xmlns="http://schemas.openxmlformats.org/spreadsheetml/2006/main">
  <c r="E20" i="80"/>
  <c r="C15" i="35"/>
  <c r="D15"/>
  <c r="E15"/>
  <c r="F15"/>
  <c r="G15"/>
  <c r="H15"/>
  <c r="I15"/>
  <c r="J15"/>
  <c r="K15"/>
  <c r="L15"/>
  <c r="M15"/>
  <c r="N15"/>
  <c r="O15" s="1"/>
  <c r="C16"/>
  <c r="D16"/>
  <c r="E16"/>
  <c r="F16"/>
  <c r="G16"/>
  <c r="H16"/>
  <c r="I16"/>
  <c r="J16"/>
  <c r="K16"/>
  <c r="L16"/>
  <c r="M16"/>
  <c r="O16"/>
  <c r="C17"/>
  <c r="D17"/>
  <c r="E17"/>
  <c r="F17"/>
  <c r="G17"/>
  <c r="H17"/>
  <c r="I17"/>
  <c r="J17"/>
  <c r="K17"/>
  <c r="L17"/>
  <c r="M17"/>
  <c r="N17"/>
  <c r="O17" s="1"/>
  <c r="C18"/>
  <c r="D18"/>
  <c r="E18"/>
  <c r="F18"/>
  <c r="G18"/>
  <c r="H18"/>
  <c r="I18"/>
  <c r="J18"/>
  <c r="K18"/>
  <c r="L18"/>
  <c r="M18"/>
  <c r="N18"/>
  <c r="O18" s="1"/>
  <c r="C19"/>
  <c r="D19"/>
  <c r="E19"/>
  <c r="F19"/>
  <c r="G19"/>
  <c r="H19"/>
  <c r="I19"/>
  <c r="J19"/>
  <c r="K19"/>
  <c r="L19"/>
  <c r="M19"/>
  <c r="N19"/>
  <c r="C20"/>
  <c r="D20"/>
  <c r="E20"/>
  <c r="F20"/>
  <c r="G20"/>
  <c r="H20"/>
  <c r="I20"/>
  <c r="J20"/>
  <c r="K20"/>
  <c r="L20"/>
  <c r="M20"/>
  <c r="O20"/>
  <c r="C21"/>
  <c r="D21"/>
  <c r="E21"/>
  <c r="F21"/>
  <c r="G21"/>
  <c r="H21"/>
  <c r="I21"/>
  <c r="J21"/>
  <c r="K21"/>
  <c r="L21"/>
  <c r="M21"/>
  <c r="O21"/>
  <c r="C22"/>
  <c r="D22"/>
  <c r="E22"/>
  <c r="F22"/>
  <c r="G22"/>
  <c r="H22"/>
  <c r="I22"/>
  <c r="J22"/>
  <c r="K22"/>
  <c r="L22"/>
  <c r="M22"/>
  <c r="N22"/>
  <c r="O22" s="1"/>
  <c r="C23"/>
  <c r="D23"/>
  <c r="E23"/>
  <c r="F23"/>
  <c r="G23"/>
  <c r="H23"/>
  <c r="I23"/>
  <c r="J23"/>
  <c r="K23"/>
  <c r="L23"/>
  <c r="M23"/>
  <c r="O23"/>
  <c r="C24"/>
  <c r="D24"/>
  <c r="E24"/>
  <c r="F24"/>
  <c r="G24"/>
  <c r="H24"/>
  <c r="I24"/>
  <c r="J24"/>
  <c r="K24"/>
  <c r="L24"/>
  <c r="M24"/>
  <c r="N24"/>
  <c r="O24"/>
  <c r="N50"/>
  <c r="O50"/>
  <c r="AG50"/>
  <c r="AH50"/>
  <c r="C97"/>
  <c r="D97"/>
  <c r="E97"/>
  <c r="F97"/>
  <c r="G97"/>
  <c r="H97"/>
  <c r="I97"/>
  <c r="J97"/>
  <c r="K97"/>
  <c r="L97"/>
  <c r="M97"/>
  <c r="N97"/>
  <c r="O97" s="1"/>
  <c r="C98"/>
  <c r="D98"/>
  <c r="E98"/>
  <c r="F98"/>
  <c r="G98"/>
  <c r="H98"/>
  <c r="I98"/>
  <c r="J98"/>
  <c r="K98"/>
  <c r="L98"/>
  <c r="M98"/>
  <c r="N98"/>
  <c r="O98" s="1"/>
  <c r="C99"/>
  <c r="D99"/>
  <c r="E99"/>
  <c r="F99"/>
  <c r="G99"/>
  <c r="H99"/>
  <c r="I99"/>
  <c r="J99"/>
  <c r="K99"/>
  <c r="L99"/>
  <c r="M99"/>
  <c r="N99"/>
  <c r="O99"/>
  <c r="Q99" s="1"/>
  <c r="C100"/>
  <c r="D100"/>
  <c r="E100"/>
  <c r="F100"/>
  <c r="G100"/>
  <c r="H100"/>
  <c r="I100"/>
  <c r="J100"/>
  <c r="K100"/>
  <c r="L100"/>
  <c r="M100"/>
  <c r="N100"/>
  <c r="O100"/>
  <c r="Q100" s="1"/>
  <c r="C101"/>
  <c r="D101"/>
  <c r="E101"/>
  <c r="F101"/>
  <c r="G101"/>
  <c r="H101"/>
  <c r="I101"/>
  <c r="J101"/>
  <c r="K101"/>
  <c r="L101"/>
  <c r="M101"/>
  <c r="N101"/>
  <c r="O101" s="1"/>
  <c r="C102"/>
  <c r="D102"/>
  <c r="E102"/>
  <c r="F102"/>
  <c r="G102"/>
  <c r="H102"/>
  <c r="I102"/>
  <c r="J102"/>
  <c r="K102"/>
  <c r="L102"/>
  <c r="M102"/>
  <c r="N102"/>
  <c r="O102"/>
  <c r="Q102" s="1"/>
  <c r="C103"/>
  <c r="D103"/>
  <c r="E103"/>
  <c r="F103"/>
  <c r="G103"/>
  <c r="H103"/>
  <c r="I103"/>
  <c r="J103"/>
  <c r="K103"/>
  <c r="L103"/>
  <c r="M103"/>
  <c r="N103"/>
  <c r="O103"/>
  <c r="Q103" s="1"/>
  <c r="C104"/>
  <c r="D104"/>
  <c r="E104"/>
  <c r="F104"/>
  <c r="G104"/>
  <c r="H104"/>
  <c r="I104"/>
  <c r="J104"/>
  <c r="K104"/>
  <c r="L104"/>
  <c r="M104"/>
  <c r="N104"/>
  <c r="O104" s="1"/>
  <c r="C105"/>
  <c r="D105"/>
  <c r="E105"/>
  <c r="F105"/>
  <c r="G105"/>
  <c r="H105"/>
  <c r="I105"/>
  <c r="J105"/>
  <c r="K105"/>
  <c r="L105"/>
  <c r="M105"/>
  <c r="C106"/>
  <c r="D106"/>
  <c r="E106"/>
  <c r="F106"/>
  <c r="G106"/>
  <c r="H106"/>
  <c r="I106"/>
  <c r="J106"/>
  <c r="K106"/>
  <c r="L106"/>
  <c r="M106"/>
  <c r="N106"/>
  <c r="O106"/>
  <c r="Q106" s="1"/>
  <c r="C139"/>
  <c r="D139"/>
  <c r="E139"/>
  <c r="F139"/>
  <c r="G139"/>
  <c r="H139"/>
  <c r="C148"/>
  <c r="D148"/>
  <c r="E148"/>
  <c r="F148"/>
  <c r="G148"/>
  <c r="H148"/>
  <c r="I148"/>
  <c r="J148"/>
  <c r="K148"/>
  <c r="L148"/>
  <c r="M148"/>
  <c r="N148"/>
  <c r="O148" s="1"/>
  <c r="C149"/>
  <c r="D149"/>
  <c r="E149"/>
  <c r="F149"/>
  <c r="G149"/>
  <c r="H149"/>
  <c r="I149"/>
  <c r="J149"/>
  <c r="K149"/>
  <c r="L149"/>
  <c r="M149"/>
  <c r="N149"/>
  <c r="C150"/>
  <c r="D150"/>
  <c r="E150"/>
  <c r="F150"/>
  <c r="G150"/>
  <c r="H150"/>
  <c r="I150"/>
  <c r="J150"/>
  <c r="K150"/>
  <c r="L150"/>
  <c r="M150"/>
  <c r="N150"/>
  <c r="O150"/>
  <c r="Q150" s="1"/>
  <c r="C151"/>
  <c r="D151"/>
  <c r="E151"/>
  <c r="F151"/>
  <c r="G151"/>
  <c r="H151"/>
  <c r="I151"/>
  <c r="J151"/>
  <c r="K151"/>
  <c r="L151"/>
  <c r="M151"/>
  <c r="N151"/>
  <c r="O151"/>
  <c r="Q151" s="1"/>
  <c r="C152"/>
  <c r="D152"/>
  <c r="E152"/>
  <c r="F152"/>
  <c r="G152"/>
  <c r="H152"/>
  <c r="I152"/>
  <c r="J152"/>
  <c r="K152"/>
  <c r="L152"/>
  <c r="M152"/>
  <c r="N152"/>
  <c r="C153"/>
  <c r="D153"/>
  <c r="E153"/>
  <c r="F153"/>
  <c r="G153"/>
  <c r="H153"/>
  <c r="I153"/>
  <c r="J153"/>
  <c r="K153"/>
  <c r="L153"/>
  <c r="M153"/>
  <c r="N153"/>
  <c r="O153"/>
  <c r="Q153" s="1"/>
  <c r="C154"/>
  <c r="D154"/>
  <c r="E154"/>
  <c r="F154"/>
  <c r="G154"/>
  <c r="H154"/>
  <c r="I154"/>
  <c r="J154"/>
  <c r="K154"/>
  <c r="L154"/>
  <c r="M154"/>
  <c r="N154"/>
  <c r="O154"/>
  <c r="Q154" s="1"/>
  <c r="F155"/>
  <c r="G155"/>
  <c r="H155"/>
  <c r="I155"/>
  <c r="J155"/>
  <c r="K155"/>
  <c r="L155"/>
  <c r="M155"/>
  <c r="N155"/>
  <c r="O155" s="1"/>
  <c r="C156"/>
  <c r="D156"/>
  <c r="E156"/>
  <c r="F156"/>
  <c r="G156"/>
  <c r="H156"/>
  <c r="I156"/>
  <c r="J156"/>
  <c r="K156"/>
  <c r="L156"/>
  <c r="M156"/>
  <c r="N156" s="1"/>
  <c r="C157"/>
  <c r="D157"/>
  <c r="E157"/>
  <c r="F157"/>
  <c r="G157"/>
  <c r="H157"/>
  <c r="I157"/>
  <c r="J157"/>
  <c r="K157"/>
  <c r="L157"/>
  <c r="M157"/>
  <c r="N157"/>
  <c r="O157"/>
  <c r="Q157" s="1"/>
  <c r="C173"/>
  <c r="D173"/>
  <c r="E173"/>
  <c r="F173"/>
  <c r="G173"/>
  <c r="H173"/>
  <c r="Q101" l="1"/>
  <c r="Q97"/>
  <c r="Q104"/>
  <c r="Q98"/>
  <c r="Q148"/>
  <c r="H159"/>
  <c r="I159"/>
  <c r="O156"/>
  <c r="Q156" s="1"/>
  <c r="O152"/>
  <c r="L108"/>
  <c r="H108"/>
  <c r="D108"/>
  <c r="O19"/>
  <c r="O83"/>
  <c r="L159"/>
  <c r="K108"/>
  <c r="G108"/>
  <c r="C108"/>
  <c r="M108"/>
  <c r="I108"/>
  <c r="E108"/>
  <c r="M159"/>
  <c r="K159"/>
  <c r="G159"/>
  <c r="O149"/>
  <c r="N105"/>
  <c r="O105"/>
  <c r="O108" s="1"/>
  <c r="N159"/>
  <c r="J159"/>
  <c r="F159"/>
  <c r="J108"/>
  <c r="F108"/>
  <c r="N83"/>
  <c r="AI104" i="57"/>
  <c r="AI107"/>
  <c r="O159" i="35" l="1"/>
  <c r="Q108"/>
  <c r="Q105"/>
  <c r="Q152"/>
  <c r="Q149"/>
  <c r="N108"/>
  <c r="S21" i="40"/>
  <c r="S22"/>
  <c r="S23"/>
  <c r="S26"/>
  <c r="S29"/>
  <c r="S30"/>
  <c r="S31"/>
  <c r="S32"/>
  <c r="S33"/>
  <c r="S36"/>
  <c r="S38"/>
  <c r="S39"/>
  <c r="S20"/>
  <c r="P45" i="82" l="1"/>
  <c r="P27"/>
  <c r="R21" i="34" l="1"/>
  <c r="R22"/>
  <c r="R23"/>
  <c r="R26"/>
  <c r="R30"/>
  <c r="R32"/>
  <c r="R33"/>
  <c r="R34"/>
  <c r="R35"/>
  <c r="R36"/>
  <c r="R37"/>
  <c r="R38"/>
  <c r="R39"/>
  <c r="R43"/>
  <c r="R20"/>
  <c r="P82" i="122" l="1"/>
  <c r="O82"/>
  <c r="D522" i="111" l="1"/>
  <c r="D521"/>
  <c r="D520"/>
  <c r="D519"/>
  <c r="D518"/>
  <c r="D517"/>
  <c r="P78" i="79"/>
  <c r="P48"/>
  <c r="P29"/>
  <c r="P25"/>
  <c r="P80" s="1"/>
  <c r="P60" i="122"/>
  <c r="P83" s="1"/>
  <c r="D34" i="81"/>
  <c r="E34"/>
  <c r="F34"/>
  <c r="G34"/>
  <c r="H34"/>
  <c r="I34"/>
  <c r="J34"/>
  <c r="K34"/>
  <c r="L34"/>
  <c r="M34"/>
  <c r="N34"/>
  <c r="O34"/>
  <c r="D60" i="122"/>
  <c r="D83" s="1"/>
  <c r="B141"/>
  <c r="M60"/>
  <c r="M83" s="1"/>
  <c r="O60"/>
  <c r="O83" s="1"/>
  <c r="E60"/>
  <c r="E83" s="1"/>
  <c r="F60"/>
  <c r="G60"/>
  <c r="G83" s="1"/>
  <c r="H60"/>
  <c r="I60"/>
  <c r="I83" s="1"/>
  <c r="J60"/>
  <c r="K60"/>
  <c r="L60"/>
  <c r="N60"/>
  <c r="D64"/>
  <c r="E64"/>
  <c r="F64"/>
  <c r="G64"/>
  <c r="H64"/>
  <c r="I64"/>
  <c r="J64"/>
  <c r="K64"/>
  <c r="L64"/>
  <c r="M64"/>
  <c r="N64"/>
  <c r="O64"/>
  <c r="P64"/>
  <c r="B143"/>
  <c r="B145"/>
  <c r="B140"/>
  <c r="B139"/>
  <c r="B138"/>
  <c r="B137"/>
  <c r="B136"/>
  <c r="B101"/>
  <c r="B100"/>
  <c r="B99"/>
  <c r="B98"/>
  <c r="B97"/>
  <c r="P87"/>
  <c r="D82"/>
  <c r="E82"/>
  <c r="F82"/>
  <c r="G82"/>
  <c r="H82"/>
  <c r="I82"/>
  <c r="J82"/>
  <c r="K82"/>
  <c r="L82"/>
  <c r="M82"/>
  <c r="N82"/>
  <c r="P54"/>
  <c r="D27"/>
  <c r="D86" s="1"/>
  <c r="E27"/>
  <c r="E86" s="1"/>
  <c r="F27"/>
  <c r="F86" s="1"/>
  <c r="G27"/>
  <c r="G85" s="1"/>
  <c r="H27"/>
  <c r="H86" s="1"/>
  <c r="I27"/>
  <c r="I86" s="1"/>
  <c r="J27"/>
  <c r="J86" s="1"/>
  <c r="K27"/>
  <c r="K86" s="1"/>
  <c r="L27"/>
  <c r="L86" s="1"/>
  <c r="M27"/>
  <c r="M86" s="1"/>
  <c r="N27"/>
  <c r="N86" s="1"/>
  <c r="O27"/>
  <c r="O86" s="1"/>
  <c r="P27"/>
  <c r="P85" s="1"/>
  <c r="O54"/>
  <c r="N54"/>
  <c r="M54"/>
  <c r="L54"/>
  <c r="K54"/>
  <c r="J54"/>
  <c r="I54"/>
  <c r="H54"/>
  <c r="G54"/>
  <c r="F54"/>
  <c r="E54"/>
  <c r="D54"/>
  <c r="P51"/>
  <c r="O51"/>
  <c r="N51"/>
  <c r="M51"/>
  <c r="L51"/>
  <c r="K51"/>
  <c r="J51"/>
  <c r="I51"/>
  <c r="H51"/>
  <c r="G51"/>
  <c r="F51"/>
  <c r="E51"/>
  <c r="D51"/>
  <c r="P49"/>
  <c r="O49"/>
  <c r="N49"/>
  <c r="M49"/>
  <c r="L49"/>
  <c r="K49"/>
  <c r="J49"/>
  <c r="I49"/>
  <c r="H49"/>
  <c r="G49"/>
  <c r="F49"/>
  <c r="E49"/>
  <c r="D49"/>
  <c r="P45"/>
  <c r="O45"/>
  <c r="N45"/>
  <c r="M45"/>
  <c r="L45"/>
  <c r="K45"/>
  <c r="J45"/>
  <c r="I45"/>
  <c r="H45"/>
  <c r="G45"/>
  <c r="F45"/>
  <c r="E45"/>
  <c r="D45"/>
  <c r="P30"/>
  <c r="P66" s="1"/>
  <c r="P84" s="1"/>
  <c r="O30"/>
  <c r="N30"/>
  <c r="M30"/>
  <c r="L30"/>
  <c r="K30"/>
  <c r="J30"/>
  <c r="I30"/>
  <c r="H30"/>
  <c r="G30"/>
  <c r="F30"/>
  <c r="E30"/>
  <c r="D30"/>
  <c r="D66" s="1"/>
  <c r="O32" i="113"/>
  <c r="N32"/>
  <c r="M32"/>
  <c r="L32"/>
  <c r="K32"/>
  <c r="J32"/>
  <c r="I32"/>
  <c r="H32"/>
  <c r="G32"/>
  <c r="F32"/>
  <c r="E32"/>
  <c r="D32"/>
  <c r="C32"/>
  <c r="N31"/>
  <c r="O31" s="1"/>
  <c r="M31"/>
  <c r="L31"/>
  <c r="K31"/>
  <c r="J31"/>
  <c r="I31"/>
  <c r="H31"/>
  <c r="G31"/>
  <c r="F31"/>
  <c r="E31"/>
  <c r="D31"/>
  <c r="C31"/>
  <c r="O30"/>
  <c r="N30"/>
  <c r="M30"/>
  <c r="L30"/>
  <c r="K30"/>
  <c r="J30"/>
  <c r="I30"/>
  <c r="H30"/>
  <c r="G30"/>
  <c r="F30"/>
  <c r="E30"/>
  <c r="D30"/>
  <c r="C30"/>
  <c r="O29"/>
  <c r="N29"/>
  <c r="M29"/>
  <c r="L29"/>
  <c r="K29"/>
  <c r="J29"/>
  <c r="I29"/>
  <c r="O28"/>
  <c r="N28"/>
  <c r="M28"/>
  <c r="L28"/>
  <c r="K28"/>
  <c r="J28"/>
  <c r="I28"/>
  <c r="H28"/>
  <c r="G28"/>
  <c r="F28"/>
  <c r="E28"/>
  <c r="D28"/>
  <c r="C28"/>
  <c r="O18"/>
  <c r="P55" i="79" l="1"/>
  <c r="O66" i="122"/>
  <c r="L66"/>
  <c r="L84" s="1"/>
  <c r="H66"/>
  <c r="H84" s="1"/>
  <c r="P81" i="79"/>
  <c r="K66" i="122"/>
  <c r="K84" s="1"/>
  <c r="G66"/>
  <c r="G84" s="1"/>
  <c r="P58"/>
  <c r="L83"/>
  <c r="N66"/>
  <c r="J66"/>
  <c r="J84" s="1"/>
  <c r="F66"/>
  <c r="F84" s="1"/>
  <c r="E29" i="113"/>
  <c r="C29"/>
  <c r="F29"/>
  <c r="D29"/>
  <c r="H29"/>
  <c r="Q29" s="1"/>
  <c r="G29"/>
  <c r="Q32"/>
  <c r="Q28"/>
  <c r="Q30"/>
  <c r="Q31"/>
  <c r="H83" i="122"/>
  <c r="K83"/>
  <c r="M66"/>
  <c r="I66"/>
  <c r="I84" s="1"/>
  <c r="E66"/>
  <c r="E84" s="1"/>
  <c r="N83"/>
  <c r="J83"/>
  <c r="F83"/>
  <c r="P70"/>
  <c r="P72" s="1"/>
  <c r="O84"/>
  <c r="K85"/>
  <c r="O58"/>
  <c r="G58"/>
  <c r="O85"/>
  <c r="G86"/>
  <c r="K58"/>
  <c r="P86"/>
  <c r="L58"/>
  <c r="H58"/>
  <c r="D58"/>
  <c r="L85"/>
  <c r="H85"/>
  <c r="D85"/>
  <c r="P56"/>
  <c r="M58"/>
  <c r="I58"/>
  <c r="E58"/>
  <c r="M85"/>
  <c r="I85"/>
  <c r="E85"/>
  <c r="M84"/>
  <c r="N58"/>
  <c r="J58"/>
  <c r="F58"/>
  <c r="N85"/>
  <c r="J85"/>
  <c r="F85"/>
  <c r="N84"/>
  <c r="D84" l="1"/>
  <c r="P28" i="32" l="1"/>
  <c r="P29" s="1"/>
  <c r="P51"/>
  <c r="P53" s="1"/>
  <c r="P43"/>
  <c r="O137" i="35" s="1"/>
  <c r="P35" i="32"/>
  <c r="P32"/>
  <c r="P24"/>
  <c r="O120" i="35" s="1"/>
  <c r="P42" i="38"/>
  <c r="P50" s="1"/>
  <c r="O133" i="35" s="1"/>
  <c r="P56" i="38"/>
  <c r="P58" s="1"/>
  <c r="P39"/>
  <c r="P28"/>
  <c r="P52" s="1"/>
  <c r="O167" i="35" s="1"/>
  <c r="P25" i="38"/>
  <c r="P22" i="83"/>
  <c r="P25" s="1"/>
  <c r="O22"/>
  <c r="P111"/>
  <c r="P70"/>
  <c r="P39"/>
  <c r="P36"/>
  <c r="P28"/>
  <c r="P66" i="82"/>
  <c r="P70"/>
  <c r="P39"/>
  <c r="P36"/>
  <c r="P30"/>
  <c r="P69"/>
  <c r="P34" i="81"/>
  <c r="P43"/>
  <c r="P53" s="1"/>
  <c r="P68"/>
  <c r="P37"/>
  <c r="P25"/>
  <c r="P22"/>
  <c r="P67" s="1"/>
  <c r="O48" i="79"/>
  <c r="D48"/>
  <c r="E48"/>
  <c r="F48"/>
  <c r="G48"/>
  <c r="H48"/>
  <c r="I48"/>
  <c r="J48"/>
  <c r="K48"/>
  <c r="L48"/>
  <c r="M48"/>
  <c r="N48"/>
  <c r="P123"/>
  <c r="P82"/>
  <c r="P67"/>
  <c r="P69" s="1"/>
  <c r="P59"/>
  <c r="P77" s="1"/>
  <c r="P51"/>
  <c r="P53" s="1"/>
  <c r="BC36" i="111"/>
  <c r="BC37"/>
  <c r="BC38"/>
  <c r="BC288" s="1"/>
  <c r="BC39"/>
  <c r="BC40"/>
  <c r="BC41"/>
  <c r="BC42"/>
  <c r="BC292" s="1"/>
  <c r="BC43"/>
  <c r="BC44"/>
  <c r="BC45"/>
  <c r="BC46"/>
  <c r="BC296" s="1"/>
  <c r="BC47"/>
  <c r="BC48"/>
  <c r="BC49"/>
  <c r="BC50"/>
  <c r="BC300" s="1"/>
  <c r="BC51"/>
  <c r="BC52"/>
  <c r="BC53"/>
  <c r="BC54"/>
  <c r="BC304" s="1"/>
  <c r="BC55"/>
  <c r="BC56"/>
  <c r="BC57"/>
  <c r="BC58"/>
  <c r="BC308" s="1"/>
  <c r="BC59"/>
  <c r="BC60"/>
  <c r="BC61"/>
  <c r="BC62"/>
  <c r="BC312" s="1"/>
  <c r="BC63"/>
  <c r="BC64"/>
  <c r="BC65"/>
  <c r="BC66"/>
  <c r="BC316" s="1"/>
  <c r="BC67"/>
  <c r="BC68"/>
  <c r="BC69"/>
  <c r="BC70"/>
  <c r="BC320" s="1"/>
  <c r="BC71"/>
  <c r="BC72"/>
  <c r="BC73"/>
  <c r="BC74"/>
  <c r="BC324" s="1"/>
  <c r="BC75"/>
  <c r="BC76"/>
  <c r="BC77"/>
  <c r="BC78"/>
  <c r="BC328" s="1"/>
  <c r="BC79"/>
  <c r="BC80"/>
  <c r="BC81"/>
  <c r="BC82"/>
  <c r="BC332" s="1"/>
  <c r="BC83"/>
  <c r="BC84"/>
  <c r="BC85"/>
  <c r="BC86"/>
  <c r="BC336" s="1"/>
  <c r="BC87"/>
  <c r="BC88"/>
  <c r="BC89"/>
  <c r="BC90"/>
  <c r="BC340" s="1"/>
  <c r="BC91"/>
  <c r="BC92"/>
  <c r="BC93"/>
  <c r="BC94"/>
  <c r="BC344" s="1"/>
  <c r="BC95"/>
  <c r="BC96"/>
  <c r="BC97"/>
  <c r="BC98"/>
  <c r="BC348" s="1"/>
  <c r="BC99"/>
  <c r="BC100"/>
  <c r="BC101"/>
  <c r="C518" s="1"/>
  <c r="BC102"/>
  <c r="BC352" s="1"/>
  <c r="BC103"/>
  <c r="BC104"/>
  <c r="BC105"/>
  <c r="BC106"/>
  <c r="BC356" s="1"/>
  <c r="BC107"/>
  <c r="BC108"/>
  <c r="BC109"/>
  <c r="BC110"/>
  <c r="BC360" s="1"/>
  <c r="BC111"/>
  <c r="BC112"/>
  <c r="BC113"/>
  <c r="BC114"/>
  <c r="BC364" s="1"/>
  <c r="BC115"/>
  <c r="BC116"/>
  <c r="BC117"/>
  <c r="BC118"/>
  <c r="BC368" s="1"/>
  <c r="BC119"/>
  <c r="BC120"/>
  <c r="C520" s="1"/>
  <c r="BC121"/>
  <c r="BC122"/>
  <c r="BC372" s="1"/>
  <c r="BC123"/>
  <c r="BC124"/>
  <c r="BC125"/>
  <c r="BC126"/>
  <c r="BC376" s="1"/>
  <c r="BC127"/>
  <c r="BC128"/>
  <c r="BC129"/>
  <c r="BC130"/>
  <c r="BC380" s="1"/>
  <c r="BC131"/>
  <c r="BC132"/>
  <c r="C522" s="1"/>
  <c r="BC133"/>
  <c r="BC134"/>
  <c r="BC384" s="1"/>
  <c r="BC135"/>
  <c r="BC136"/>
  <c r="BC137"/>
  <c r="BC138"/>
  <c r="BC388" s="1"/>
  <c r="BC139"/>
  <c r="C519" s="1"/>
  <c r="BC140"/>
  <c r="BC141"/>
  <c r="BC142"/>
  <c r="BC392" s="1"/>
  <c r="BC143"/>
  <c r="BC144"/>
  <c r="BC145"/>
  <c r="BC146"/>
  <c r="BC396" s="1"/>
  <c r="BC147"/>
  <c r="BC148"/>
  <c r="BC149"/>
  <c r="BC150"/>
  <c r="BC400" s="1"/>
  <c r="BC151"/>
  <c r="BC152"/>
  <c r="BC153"/>
  <c r="BC154"/>
  <c r="BC404" s="1"/>
  <c r="BC155"/>
  <c r="BC156"/>
  <c r="BC157"/>
  <c r="BC158"/>
  <c r="BC408" s="1"/>
  <c r="BC159"/>
  <c r="BC160"/>
  <c r="BC161"/>
  <c r="BC162"/>
  <c r="BC412" s="1"/>
  <c r="BC163"/>
  <c r="BC164"/>
  <c r="BC165"/>
  <c r="BC166"/>
  <c r="BC416" s="1"/>
  <c r="BC167"/>
  <c r="BC168"/>
  <c r="BC169"/>
  <c r="BC170"/>
  <c r="BC420" s="1"/>
  <c r="BC171"/>
  <c r="BC172"/>
  <c r="BC173"/>
  <c r="BC174"/>
  <c r="BC424" s="1"/>
  <c r="BC175"/>
  <c r="BC176"/>
  <c r="BC177"/>
  <c r="BC178"/>
  <c r="BC428" s="1"/>
  <c r="BC179"/>
  <c r="BC180"/>
  <c r="BC181"/>
  <c r="BC182"/>
  <c r="BC432" s="1"/>
  <c r="BC183"/>
  <c r="BC184"/>
  <c r="BC185"/>
  <c r="BC186"/>
  <c r="BC436" s="1"/>
  <c r="BC187"/>
  <c r="BC188"/>
  <c r="BC189"/>
  <c r="BC190"/>
  <c r="BC440" s="1"/>
  <c r="BC191"/>
  <c r="BC192"/>
  <c r="BC193"/>
  <c r="BC194"/>
  <c r="BC444" s="1"/>
  <c r="BC195"/>
  <c r="BC196"/>
  <c r="BC197"/>
  <c r="BC198"/>
  <c r="BC448" s="1"/>
  <c r="BC199"/>
  <c r="BC200"/>
  <c r="BC201"/>
  <c r="BC202"/>
  <c r="BC452" s="1"/>
  <c r="BC203"/>
  <c r="BC204"/>
  <c r="BC205"/>
  <c r="BC206"/>
  <c r="BC456" s="1"/>
  <c r="BC207"/>
  <c r="BC208"/>
  <c r="BC209"/>
  <c r="BC210"/>
  <c r="BC460" s="1"/>
  <c r="BC211"/>
  <c r="BC212"/>
  <c r="BC213"/>
  <c r="BC214"/>
  <c r="BC464" s="1"/>
  <c r="BC215"/>
  <c r="BC216"/>
  <c r="BC217"/>
  <c r="BC218"/>
  <c r="BC468" s="1"/>
  <c r="BC219"/>
  <c r="BC220"/>
  <c r="BC221"/>
  <c r="BC222"/>
  <c r="BC472" s="1"/>
  <c r="BC223"/>
  <c r="BC224"/>
  <c r="BC225"/>
  <c r="BC226"/>
  <c r="BC476" s="1"/>
  <c r="BC227"/>
  <c r="BC228"/>
  <c r="BC229"/>
  <c r="BC230"/>
  <c r="BC480" s="1"/>
  <c r="BC231"/>
  <c r="BC232"/>
  <c r="BC233"/>
  <c r="BC234"/>
  <c r="C517" s="1"/>
  <c r="BC235"/>
  <c r="BC236"/>
  <c r="BC237"/>
  <c r="BC238"/>
  <c r="BC488" s="1"/>
  <c r="BC239"/>
  <c r="BC240"/>
  <c r="BC241"/>
  <c r="BC242"/>
  <c r="BC492" s="1"/>
  <c r="BC243"/>
  <c r="BC244"/>
  <c r="BC245"/>
  <c r="BC246"/>
  <c r="BC496" s="1"/>
  <c r="BC247"/>
  <c r="BC248"/>
  <c r="BC249"/>
  <c r="BC250"/>
  <c r="BC500" s="1"/>
  <c r="BC251"/>
  <c r="C521" s="1"/>
  <c r="BC252"/>
  <c r="BC253"/>
  <c r="BC254"/>
  <c r="BC504" s="1"/>
  <c r="BC255"/>
  <c r="BC505" s="1"/>
  <c r="BC256"/>
  <c r="BC257"/>
  <c r="BC258"/>
  <c r="BC508" s="1"/>
  <c r="BC259"/>
  <c r="BC509" s="1"/>
  <c r="BC260"/>
  <c r="BC261"/>
  <c r="BC262"/>
  <c r="BC512" s="1"/>
  <c r="BC18"/>
  <c r="BC268" s="1"/>
  <c r="BC19"/>
  <c r="BC20"/>
  <c r="BC21"/>
  <c r="BC271" s="1"/>
  <c r="BC22"/>
  <c r="BC272" s="1"/>
  <c r="BC23"/>
  <c r="BC24"/>
  <c r="BC25"/>
  <c r="BC275" s="1"/>
  <c r="BC26"/>
  <c r="BC276" s="1"/>
  <c r="BC27"/>
  <c r="BC28"/>
  <c r="BC29"/>
  <c r="BC279" s="1"/>
  <c r="BC30"/>
  <c r="BC280" s="1"/>
  <c r="BC31"/>
  <c r="BC32"/>
  <c r="BC33"/>
  <c r="BC283" s="1"/>
  <c r="BC34"/>
  <c r="BC284" s="1"/>
  <c r="BC35"/>
  <c r="BC17"/>
  <c r="P76" i="122"/>
  <c r="AJ107" i="57"/>
  <c r="AJ108"/>
  <c r="AJ109"/>
  <c r="AJ110"/>
  <c r="AJ111"/>
  <c r="AJ112"/>
  <c r="AJ113"/>
  <c r="AJ114"/>
  <c r="AJ115"/>
  <c r="AJ116"/>
  <c r="AJ117"/>
  <c r="AJ118"/>
  <c r="AJ123"/>
  <c r="AJ124"/>
  <c r="AJ125"/>
  <c r="AJ126"/>
  <c r="AJ127"/>
  <c r="AJ128"/>
  <c r="AJ129"/>
  <c r="AJ130"/>
  <c r="AJ131"/>
  <c r="AJ132"/>
  <c r="AJ133"/>
  <c r="AJ134"/>
  <c r="AJ139"/>
  <c r="AJ140"/>
  <c r="AJ141"/>
  <c r="AJ142"/>
  <c r="AJ143"/>
  <c r="AJ144"/>
  <c r="AJ145"/>
  <c r="AJ146"/>
  <c r="AJ147"/>
  <c r="AJ148"/>
  <c r="AJ149"/>
  <c r="AJ150"/>
  <c r="AJ155"/>
  <c r="AJ156"/>
  <c r="AJ157"/>
  <c r="AJ158"/>
  <c r="AJ159"/>
  <c r="AJ160"/>
  <c r="AJ161"/>
  <c r="AJ162"/>
  <c r="AJ163"/>
  <c r="AJ164"/>
  <c r="AJ165"/>
  <c r="AJ166"/>
  <c r="AJ171"/>
  <c r="AJ172"/>
  <c r="AJ173"/>
  <c r="AJ174"/>
  <c r="AJ175"/>
  <c r="AJ176"/>
  <c r="AJ177"/>
  <c r="AJ178"/>
  <c r="AJ179"/>
  <c r="AJ180"/>
  <c r="AJ181"/>
  <c r="AJ182"/>
  <c r="AJ104"/>
  <c r="AJ75"/>
  <c r="AJ76"/>
  <c r="AJ77"/>
  <c r="AJ78"/>
  <c r="AJ79"/>
  <c r="AJ80"/>
  <c r="AJ81"/>
  <c r="AJ82"/>
  <c r="AJ83"/>
  <c r="AJ84"/>
  <c r="AJ85"/>
  <c r="AJ86"/>
  <c r="AJ59"/>
  <c r="AJ60"/>
  <c r="AJ61"/>
  <c r="AJ62"/>
  <c r="AJ63"/>
  <c r="AJ64"/>
  <c r="AJ65"/>
  <c r="AJ66"/>
  <c r="AJ67"/>
  <c r="AJ68"/>
  <c r="AJ69"/>
  <c r="AJ70"/>
  <c r="AJ43"/>
  <c r="AJ44"/>
  <c r="AJ45"/>
  <c r="AJ46"/>
  <c r="AJ47"/>
  <c r="AJ48"/>
  <c r="AJ49"/>
  <c r="AJ50"/>
  <c r="AJ51"/>
  <c r="AJ52"/>
  <c r="AJ53"/>
  <c r="AJ54"/>
  <c r="AJ27"/>
  <c r="AJ28"/>
  <c r="AJ29"/>
  <c r="AJ30"/>
  <c r="AJ31"/>
  <c r="AJ32"/>
  <c r="AJ33"/>
  <c r="AJ34"/>
  <c r="AJ35"/>
  <c r="AJ36"/>
  <c r="AJ37"/>
  <c r="AJ38"/>
  <c r="Q171"/>
  <c r="Q172"/>
  <c r="Q173"/>
  <c r="Q174"/>
  <c r="Q175"/>
  <c r="Q176"/>
  <c r="Q177"/>
  <c r="Q178"/>
  <c r="Q179"/>
  <c r="Q180"/>
  <c r="Q181"/>
  <c r="Q182"/>
  <c r="Q155"/>
  <c r="Q156"/>
  <c r="Q157"/>
  <c r="Q158"/>
  <c r="Q159"/>
  <c r="Q160"/>
  <c r="Q161"/>
  <c r="Q162"/>
  <c r="Q163"/>
  <c r="Q164"/>
  <c r="Q165"/>
  <c r="Q166"/>
  <c r="Q139"/>
  <c r="Q140"/>
  <c r="Q141"/>
  <c r="Q142"/>
  <c r="Q143"/>
  <c r="Q144"/>
  <c r="Q145"/>
  <c r="Q146"/>
  <c r="Q147"/>
  <c r="Q148"/>
  <c r="Q149"/>
  <c r="Q150"/>
  <c r="Q123"/>
  <c r="Q124"/>
  <c r="Q125"/>
  <c r="Q126"/>
  <c r="Q127"/>
  <c r="Q128"/>
  <c r="Q129"/>
  <c r="Q130"/>
  <c r="Q131"/>
  <c r="Q132"/>
  <c r="Q133"/>
  <c r="Q134"/>
  <c r="Q107"/>
  <c r="Q108"/>
  <c r="Q109"/>
  <c r="Q110"/>
  <c r="Q111"/>
  <c r="Q112"/>
  <c r="Q113"/>
  <c r="Q114"/>
  <c r="Q115"/>
  <c r="Q116"/>
  <c r="Q117"/>
  <c r="Q118"/>
  <c r="Q99"/>
  <c r="Q100"/>
  <c r="Q101"/>
  <c r="Q102"/>
  <c r="Q75"/>
  <c r="Q76"/>
  <c r="Q77"/>
  <c r="Q78"/>
  <c r="Q79"/>
  <c r="Q80"/>
  <c r="Q81"/>
  <c r="Q82"/>
  <c r="Q83"/>
  <c r="Q84"/>
  <c r="Q85"/>
  <c r="Q86"/>
  <c r="Q59"/>
  <c r="Q60"/>
  <c r="Q61"/>
  <c r="Q62"/>
  <c r="Q63"/>
  <c r="Q64"/>
  <c r="Q65"/>
  <c r="Q66"/>
  <c r="Q67"/>
  <c r="Q68"/>
  <c r="Q69"/>
  <c r="Q70"/>
  <c r="Q43"/>
  <c r="Q44"/>
  <c r="Q45"/>
  <c r="Q46"/>
  <c r="Q47"/>
  <c r="Q48"/>
  <c r="Q49"/>
  <c r="Q50"/>
  <c r="Q51"/>
  <c r="Q52"/>
  <c r="Q53"/>
  <c r="Q54"/>
  <c r="Q27"/>
  <c r="Q28"/>
  <c r="Q29"/>
  <c r="Q30"/>
  <c r="Q31"/>
  <c r="Q32"/>
  <c r="Q33"/>
  <c r="Q34"/>
  <c r="Q35"/>
  <c r="Q36"/>
  <c r="Q37"/>
  <c r="Q38"/>
  <c r="C2093" i="56"/>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AJ300" i="112"/>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P111" i="82" s="1"/>
  <c r="AJ353" i="112"/>
  <c r="AJ354"/>
  <c r="AJ355"/>
  <c r="AJ356"/>
  <c r="AJ357"/>
  <c r="AJ358"/>
  <c r="AJ359"/>
  <c r="AJ360"/>
  <c r="AJ361"/>
  <c r="AJ362"/>
  <c r="AJ363"/>
  <c r="AJ364"/>
  <c r="AJ365"/>
  <c r="AJ366"/>
  <c r="AJ367"/>
  <c r="AJ368"/>
  <c r="AJ369"/>
  <c r="AJ370"/>
  <c r="AJ371"/>
  <c r="AJ372"/>
  <c r="AJ373"/>
  <c r="AJ374"/>
  <c r="AJ375"/>
  <c r="AJ376"/>
  <c r="AJ377"/>
  <c r="AJ378"/>
  <c r="AJ379"/>
  <c r="AJ380"/>
  <c r="AJ381"/>
  <c r="AJ382"/>
  <c r="AJ383"/>
  <c r="P109" i="81" s="1"/>
  <c r="AJ384" i="112"/>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507"/>
  <c r="AJ508"/>
  <c r="AJ509"/>
  <c r="AJ510"/>
  <c r="AJ511"/>
  <c r="AJ512"/>
  <c r="AJ513"/>
  <c r="P45" i="83" l="1"/>
  <c r="P47" s="1"/>
  <c r="P41" i="82"/>
  <c r="P70" i="38"/>
  <c r="O116" i="35"/>
  <c r="Q40" i="57"/>
  <c r="AJ40"/>
  <c r="AJ56"/>
  <c r="AJ72"/>
  <c r="AJ88"/>
  <c r="Q88"/>
  <c r="Q120"/>
  <c r="AJ120"/>
  <c r="Q72"/>
  <c r="Q104"/>
  <c r="Q184"/>
  <c r="AJ184"/>
  <c r="AJ168"/>
  <c r="AJ152"/>
  <c r="AJ136"/>
  <c r="Q56"/>
  <c r="Q152"/>
  <c r="Q168"/>
  <c r="P63" i="34"/>
  <c r="BC497" i="111"/>
  <c r="BC489"/>
  <c r="BC481"/>
  <c r="BC473"/>
  <c r="BC465"/>
  <c r="BC457"/>
  <c r="BC453"/>
  <c r="BC445"/>
  <c r="BC437"/>
  <c r="BC429"/>
  <c r="BC421"/>
  <c r="BC413"/>
  <c r="BC405"/>
  <c r="BC397"/>
  <c r="BC381"/>
  <c r="BC373"/>
  <c r="BC365"/>
  <c r="BC357"/>
  <c r="BC353"/>
  <c r="BC345"/>
  <c r="BC337"/>
  <c r="BC329"/>
  <c r="BC321"/>
  <c r="BC317"/>
  <c r="BC309"/>
  <c r="BC301"/>
  <c r="BC293"/>
  <c r="BC285"/>
  <c r="BC281"/>
  <c r="BC277"/>
  <c r="BC273"/>
  <c r="BC269"/>
  <c r="BC510"/>
  <c r="BC506"/>
  <c r="BC502"/>
  <c r="BC498"/>
  <c r="BC494"/>
  <c r="BC490"/>
  <c r="BC486"/>
  <c r="BC482"/>
  <c r="BC478"/>
  <c r="BC474"/>
  <c r="BC470"/>
  <c r="BC466"/>
  <c r="BC462"/>
  <c r="BC458"/>
  <c r="BC454"/>
  <c r="BC450"/>
  <c r="BC446"/>
  <c r="BC442"/>
  <c r="BC438"/>
  <c r="BC434"/>
  <c r="BC430"/>
  <c r="BC426"/>
  <c r="BC422"/>
  <c r="BC418"/>
  <c r="BC414"/>
  <c r="BC410"/>
  <c r="BC406"/>
  <c r="BC402"/>
  <c r="BC398"/>
  <c r="BC394"/>
  <c r="BC390"/>
  <c r="BC386"/>
  <c r="BC378"/>
  <c r="BC374"/>
  <c r="BC366"/>
  <c r="BC362"/>
  <c r="BC358"/>
  <c r="BC354"/>
  <c r="BC350"/>
  <c r="BC346"/>
  <c r="BC342"/>
  <c r="BC338"/>
  <c r="BC334"/>
  <c r="BC330"/>
  <c r="BC326"/>
  <c r="BC322"/>
  <c r="BC318"/>
  <c r="BC314"/>
  <c r="BC310"/>
  <c r="BC306"/>
  <c r="BC302"/>
  <c r="BC298"/>
  <c r="BC294"/>
  <c r="BC290"/>
  <c r="BC286"/>
  <c r="BC493"/>
  <c r="BC485"/>
  <c r="BC477"/>
  <c r="BC469"/>
  <c r="BC461"/>
  <c r="BC449"/>
  <c r="BC441"/>
  <c r="BC433"/>
  <c r="BC425"/>
  <c r="BC417"/>
  <c r="BC409"/>
  <c r="BC401"/>
  <c r="BC393"/>
  <c r="BC385"/>
  <c r="BC377"/>
  <c r="BC369"/>
  <c r="BC361"/>
  <c r="BC349"/>
  <c r="BC341"/>
  <c r="BC333"/>
  <c r="BC325"/>
  <c r="BC313"/>
  <c r="BC305"/>
  <c r="BC297"/>
  <c r="BC289"/>
  <c r="BC267"/>
  <c r="BC282"/>
  <c r="BC278"/>
  <c r="BC274"/>
  <c r="BC270"/>
  <c r="BC511"/>
  <c r="BC507"/>
  <c r="BC503"/>
  <c r="BC499"/>
  <c r="BC495"/>
  <c r="BC491"/>
  <c r="BC487"/>
  <c r="BC483"/>
  <c r="BC479"/>
  <c r="BC475"/>
  <c r="BC471"/>
  <c r="BC467"/>
  <c r="BC463"/>
  <c r="BC459"/>
  <c r="BC455"/>
  <c r="BC451"/>
  <c r="BC447"/>
  <c r="BC443"/>
  <c r="BC439"/>
  <c r="BC435"/>
  <c r="P133" i="122" s="1"/>
  <c r="BC431" i="111"/>
  <c r="BC427"/>
  <c r="BC423"/>
  <c r="BC419"/>
  <c r="BC415"/>
  <c r="BC411"/>
  <c r="BC407"/>
  <c r="BC403"/>
  <c r="BC399"/>
  <c r="BC395"/>
  <c r="BC391"/>
  <c r="BC387"/>
  <c r="BC383"/>
  <c r="BC379"/>
  <c r="BC375"/>
  <c r="BC371"/>
  <c r="BC367"/>
  <c r="BC363"/>
  <c r="BC359"/>
  <c r="BC355"/>
  <c r="BC347"/>
  <c r="BC343"/>
  <c r="BC339"/>
  <c r="BC335"/>
  <c r="BC331"/>
  <c r="BC327"/>
  <c r="BC323"/>
  <c r="BC319"/>
  <c r="BC315"/>
  <c r="BC311"/>
  <c r="BC307"/>
  <c r="BC303"/>
  <c r="BC299"/>
  <c r="BC295"/>
  <c r="BC291"/>
  <c r="BC287"/>
  <c r="BC351"/>
  <c r="P112" i="82" s="1"/>
  <c r="BC484" i="111"/>
  <c r="P112" i="83" s="1"/>
  <c r="BC501" i="111"/>
  <c r="BC389"/>
  <c r="P124" i="79" s="1"/>
  <c r="BC382" i="111"/>
  <c r="P110" i="81" s="1"/>
  <c r="BC370" i="111"/>
  <c r="P39" i="32"/>
  <c r="P37"/>
  <c r="P65"/>
  <c r="P46" i="38"/>
  <c r="P44"/>
  <c r="P68" i="83"/>
  <c r="P69"/>
  <c r="P41"/>
  <c r="P55" i="82"/>
  <c r="P57" s="1"/>
  <c r="P47"/>
  <c r="P65" s="1"/>
  <c r="P68"/>
  <c r="P43"/>
  <c r="P66" i="81"/>
  <c r="P55"/>
  <c r="P45"/>
  <c r="P64"/>
  <c r="P41"/>
  <c r="P39"/>
  <c r="P132" i="122"/>
  <c r="Q40" i="41"/>
  <c r="O19" i="118" s="1"/>
  <c r="Q28" i="41"/>
  <c r="Q53" s="1"/>
  <c r="O174" i="35" s="1"/>
  <c r="Q25" i="41"/>
  <c r="Q59"/>
  <c r="Q57"/>
  <c r="Q51"/>
  <c r="O140" i="35" s="1"/>
  <c r="Q43" i="41"/>
  <c r="O41" i="34"/>
  <c r="P41"/>
  <c r="P23"/>
  <c r="P24" s="1"/>
  <c r="P44"/>
  <c r="P52" s="1"/>
  <c r="O134" i="35" s="1"/>
  <c r="P58" i="34"/>
  <c r="P60" s="1"/>
  <c r="P28"/>
  <c r="P54" s="1"/>
  <c r="O168" i="35" s="1"/>
  <c r="F62" i="118"/>
  <c r="G62"/>
  <c r="G51"/>
  <c r="G41"/>
  <c r="F51"/>
  <c r="F41"/>
  <c r="H51"/>
  <c r="H41"/>
  <c r="C46" i="3"/>
  <c r="C45"/>
  <c r="R45"/>
  <c r="P74" i="81" s="1"/>
  <c r="C44" i="3"/>
  <c r="P66" i="83" l="1"/>
  <c r="P43"/>
  <c r="P55"/>
  <c r="P57" s="1"/>
  <c r="P48" i="34"/>
  <c r="P76" i="82"/>
  <c r="P76" i="83"/>
  <c r="P93" i="122"/>
  <c r="O72" i="84"/>
  <c r="P88" i="79"/>
  <c r="C105" i="3"/>
  <c r="P89" i="34" s="1"/>
  <c r="O123" i="35"/>
  <c r="Q83" i="41"/>
  <c r="O117" i="35"/>
  <c r="P84" i="34"/>
  <c r="P65" i="83"/>
  <c r="P63" i="81"/>
  <c r="Q45" i="41"/>
  <c r="Q47"/>
  <c r="P46" i="34"/>
  <c r="P34" i="40" l="1"/>
  <c r="P27"/>
  <c r="P24"/>
  <c r="P59"/>
  <c r="P57"/>
  <c r="P43"/>
  <c r="P42"/>
  <c r="S42" l="1"/>
  <c r="O119" i="35"/>
  <c r="P84" i="40"/>
  <c r="P40"/>
  <c r="P51"/>
  <c r="P53"/>
  <c r="O170" i="35" l="1"/>
  <c r="O136"/>
  <c r="P47" i="40"/>
  <c r="P45"/>
  <c r="O17" i="118" l="1"/>
  <c r="O21" s="1"/>
  <c r="P61" i="79" l="1"/>
  <c r="P63" s="1"/>
  <c r="P79" s="1"/>
  <c r="P47" i="81"/>
  <c r="P49" s="1"/>
  <c r="P65" s="1"/>
  <c r="P49" i="83"/>
  <c r="P51" s="1"/>
  <c r="P67" s="1"/>
  <c r="P45" i="32"/>
  <c r="P47" s="1"/>
  <c r="P49" i="82"/>
  <c r="P51" s="1"/>
  <c r="P67" s="1"/>
  <c r="O171" i="35" l="1"/>
  <c r="D87" i="122"/>
  <c r="E87"/>
  <c r="F87"/>
  <c r="G87"/>
  <c r="H87"/>
  <c r="I87"/>
  <c r="J87"/>
  <c r="K87"/>
  <c r="L87"/>
  <c r="M87"/>
  <c r="N87"/>
  <c r="O87"/>
  <c r="H75"/>
  <c r="I75"/>
  <c r="J75"/>
  <c r="K75"/>
  <c r="L75"/>
  <c r="M75"/>
  <c r="N75"/>
  <c r="O75"/>
  <c r="G75"/>
  <c r="E75"/>
  <c r="F75"/>
  <c r="D75"/>
  <c r="N76" l="1"/>
  <c r="M18" i="113"/>
  <c r="O76" i="122"/>
  <c r="N18" i="113"/>
  <c r="G76" i="122"/>
  <c r="F18" i="113"/>
  <c r="L76" i="122"/>
  <c r="K18" i="113"/>
  <c r="H76" i="122"/>
  <c r="G18" i="113"/>
  <c r="F76" i="122"/>
  <c r="E18" i="113"/>
  <c r="J76" i="122"/>
  <c r="I18" i="113"/>
  <c r="D76" i="122"/>
  <c r="D68" s="1"/>
  <c r="C18" i="113"/>
  <c r="K76" i="122"/>
  <c r="J18" i="113"/>
  <c r="E76" i="122"/>
  <c r="D18" i="113"/>
  <c r="M76" i="122"/>
  <c r="L18" i="113"/>
  <c r="I76" i="122"/>
  <c r="H18" i="113"/>
  <c r="Q18" s="1"/>
  <c r="F5" i="103" l="1"/>
  <c r="F4"/>
  <c r="F3"/>
  <c r="F2"/>
  <c r="F5" i="97"/>
  <c r="F4"/>
  <c r="F3"/>
  <c r="F2"/>
  <c r="C11" i="31" l="1"/>
  <c r="BB512" i="111" l="1"/>
  <c r="BA512"/>
  <c r="AZ512"/>
  <c r="AY512"/>
  <c r="AX512"/>
  <c r="AW512"/>
  <c r="AV512"/>
  <c r="AU512"/>
  <c r="AT512"/>
  <c r="AS512"/>
  <c r="AR512"/>
  <c r="AQ512"/>
  <c r="AP512"/>
  <c r="AO512"/>
  <c r="AN512"/>
  <c r="AM512"/>
  <c r="AL512"/>
  <c r="AK512"/>
  <c r="AJ512"/>
  <c r="AI512"/>
  <c r="AH512"/>
  <c r="AG512"/>
  <c r="AF512"/>
  <c r="AE512"/>
  <c r="AD512"/>
  <c r="AC512"/>
  <c r="AB512"/>
  <c r="AA512"/>
  <c r="Z512"/>
  <c r="Y512"/>
  <c r="X512"/>
  <c r="W512"/>
  <c r="V512"/>
  <c r="U512"/>
  <c r="T512"/>
  <c r="S512"/>
  <c r="R512"/>
  <c r="Q512"/>
  <c r="P512"/>
  <c r="O512"/>
  <c r="N512"/>
  <c r="M512"/>
  <c r="L512"/>
  <c r="K512"/>
  <c r="J512"/>
  <c r="I512"/>
  <c r="H512"/>
  <c r="G512"/>
  <c r="F512"/>
  <c r="E512"/>
  <c r="D512"/>
  <c r="BB511"/>
  <c r="BA511"/>
  <c r="AZ511"/>
  <c r="AY511"/>
  <c r="AX511"/>
  <c r="AW511"/>
  <c r="AV511"/>
  <c r="AU511"/>
  <c r="AT511"/>
  <c r="AS511"/>
  <c r="AR511"/>
  <c r="AQ511"/>
  <c r="AP511"/>
  <c r="AO511"/>
  <c r="AN511"/>
  <c r="AM511"/>
  <c r="AL511"/>
  <c r="AK511"/>
  <c r="AJ511"/>
  <c r="AI511"/>
  <c r="AH511"/>
  <c r="AG511"/>
  <c r="AF511"/>
  <c r="AE511"/>
  <c r="AD511"/>
  <c r="AC511"/>
  <c r="AB511"/>
  <c r="AA511"/>
  <c r="Z511"/>
  <c r="Y511"/>
  <c r="X511"/>
  <c r="W511"/>
  <c r="V511"/>
  <c r="U511"/>
  <c r="T511"/>
  <c r="S511"/>
  <c r="R511"/>
  <c r="Q511"/>
  <c r="P511"/>
  <c r="O511"/>
  <c r="N511"/>
  <c r="M511"/>
  <c r="L511"/>
  <c r="K511"/>
  <c r="J511"/>
  <c r="I511"/>
  <c r="H511"/>
  <c r="G511"/>
  <c r="F511"/>
  <c r="E511"/>
  <c r="D511"/>
  <c r="BB510"/>
  <c r="BA510"/>
  <c r="AZ510"/>
  <c r="AY510"/>
  <c r="AX510"/>
  <c r="AW510"/>
  <c r="AV510"/>
  <c r="AU510"/>
  <c r="AT510"/>
  <c r="AS510"/>
  <c r="AR510"/>
  <c r="AQ510"/>
  <c r="AP510"/>
  <c r="AO510"/>
  <c r="AN510"/>
  <c r="AM510"/>
  <c r="AL510"/>
  <c r="AK510"/>
  <c r="AJ510"/>
  <c r="AI510"/>
  <c r="AH510"/>
  <c r="AG510"/>
  <c r="AF510"/>
  <c r="AE510"/>
  <c r="AD510"/>
  <c r="AC510"/>
  <c r="AB510"/>
  <c r="AA510"/>
  <c r="Z510"/>
  <c r="Y510"/>
  <c r="X510"/>
  <c r="W510"/>
  <c r="V510"/>
  <c r="U510"/>
  <c r="T510"/>
  <c r="S510"/>
  <c r="R510"/>
  <c r="Q510"/>
  <c r="P510"/>
  <c r="O510"/>
  <c r="N510"/>
  <c r="M510"/>
  <c r="L510"/>
  <c r="K510"/>
  <c r="J510"/>
  <c r="I510"/>
  <c r="H510"/>
  <c r="G510"/>
  <c r="F510"/>
  <c r="E510"/>
  <c r="D510"/>
  <c r="BB509"/>
  <c r="BA509"/>
  <c r="AZ509"/>
  <c r="AY509"/>
  <c r="AX509"/>
  <c r="AW509"/>
  <c r="AV509"/>
  <c r="AU509"/>
  <c r="AT509"/>
  <c r="AS509"/>
  <c r="AR509"/>
  <c r="AQ509"/>
  <c r="AP509"/>
  <c r="AO509"/>
  <c r="AN509"/>
  <c r="AM509"/>
  <c r="AL509"/>
  <c r="AK509"/>
  <c r="AJ509"/>
  <c r="AI509"/>
  <c r="AH509"/>
  <c r="AG509"/>
  <c r="AF509"/>
  <c r="AE509"/>
  <c r="AD509"/>
  <c r="AC509"/>
  <c r="AB509"/>
  <c r="AA509"/>
  <c r="Z509"/>
  <c r="Y509"/>
  <c r="X509"/>
  <c r="W509"/>
  <c r="V509"/>
  <c r="U509"/>
  <c r="T509"/>
  <c r="S509"/>
  <c r="R509"/>
  <c r="Q509"/>
  <c r="P509"/>
  <c r="O509"/>
  <c r="N509"/>
  <c r="M509"/>
  <c r="L509"/>
  <c r="K509"/>
  <c r="J509"/>
  <c r="I509"/>
  <c r="H509"/>
  <c r="G509"/>
  <c r="F509"/>
  <c r="E509"/>
  <c r="D509"/>
  <c r="BB508"/>
  <c r="BA508"/>
  <c r="AZ508"/>
  <c r="AY508"/>
  <c r="AX508"/>
  <c r="AW508"/>
  <c r="AV508"/>
  <c r="AU508"/>
  <c r="AT508"/>
  <c r="AS508"/>
  <c r="AR508"/>
  <c r="AQ508"/>
  <c r="AP508"/>
  <c r="AO508"/>
  <c r="AN508"/>
  <c r="AM508"/>
  <c r="AL508"/>
  <c r="AK508"/>
  <c r="AJ508"/>
  <c r="AI508"/>
  <c r="AH508"/>
  <c r="AG508"/>
  <c r="AF508"/>
  <c r="AE508"/>
  <c r="AD508"/>
  <c r="AC508"/>
  <c r="AB508"/>
  <c r="AA508"/>
  <c r="Z508"/>
  <c r="Y508"/>
  <c r="X508"/>
  <c r="W508"/>
  <c r="V508"/>
  <c r="U508"/>
  <c r="T508"/>
  <c r="S508"/>
  <c r="R508"/>
  <c r="Q508"/>
  <c r="P508"/>
  <c r="O508"/>
  <c r="N508"/>
  <c r="M508"/>
  <c r="L508"/>
  <c r="K508"/>
  <c r="J508"/>
  <c r="I508"/>
  <c r="H508"/>
  <c r="G508"/>
  <c r="F508"/>
  <c r="E508"/>
  <c r="D508"/>
  <c r="BB507"/>
  <c r="BA507"/>
  <c r="AZ507"/>
  <c r="AY507"/>
  <c r="AX507"/>
  <c r="AW507"/>
  <c r="AV507"/>
  <c r="AU507"/>
  <c r="AT507"/>
  <c r="AS507"/>
  <c r="AR507"/>
  <c r="AQ507"/>
  <c r="AP507"/>
  <c r="AO507"/>
  <c r="AN507"/>
  <c r="AM507"/>
  <c r="AL507"/>
  <c r="AK507"/>
  <c r="AJ507"/>
  <c r="AI507"/>
  <c r="AH507"/>
  <c r="AG507"/>
  <c r="AF507"/>
  <c r="AE507"/>
  <c r="AD507"/>
  <c r="AC507"/>
  <c r="AB507"/>
  <c r="AA507"/>
  <c r="Z507"/>
  <c r="Y507"/>
  <c r="X507"/>
  <c r="W507"/>
  <c r="V507"/>
  <c r="U507"/>
  <c r="T507"/>
  <c r="S507"/>
  <c r="R507"/>
  <c r="Q507"/>
  <c r="P507"/>
  <c r="O507"/>
  <c r="N507"/>
  <c r="M507"/>
  <c r="L507"/>
  <c r="K507"/>
  <c r="J507"/>
  <c r="I507"/>
  <c r="H507"/>
  <c r="G507"/>
  <c r="F507"/>
  <c r="E507"/>
  <c r="D507"/>
  <c r="BB506"/>
  <c r="BA506"/>
  <c r="AZ506"/>
  <c r="AY506"/>
  <c r="AX506"/>
  <c r="AW506"/>
  <c r="AV506"/>
  <c r="AU506"/>
  <c r="AT506"/>
  <c r="AS506"/>
  <c r="AR506"/>
  <c r="AQ506"/>
  <c r="AP506"/>
  <c r="AO506"/>
  <c r="AN506"/>
  <c r="AM506"/>
  <c r="AL506"/>
  <c r="AK506"/>
  <c r="AJ506"/>
  <c r="AI506"/>
  <c r="AH506"/>
  <c r="AG506"/>
  <c r="AF506"/>
  <c r="AE506"/>
  <c r="AD506"/>
  <c r="AC506"/>
  <c r="AB506"/>
  <c r="AA506"/>
  <c r="Z506"/>
  <c r="Y506"/>
  <c r="X506"/>
  <c r="W506"/>
  <c r="V506"/>
  <c r="U506"/>
  <c r="T506"/>
  <c r="S506"/>
  <c r="R506"/>
  <c r="Q506"/>
  <c r="P506"/>
  <c r="O506"/>
  <c r="N506"/>
  <c r="M506"/>
  <c r="L506"/>
  <c r="K506"/>
  <c r="J506"/>
  <c r="I506"/>
  <c r="H506"/>
  <c r="G506"/>
  <c r="F506"/>
  <c r="E506"/>
  <c r="D506"/>
  <c r="BB505"/>
  <c r="BA505"/>
  <c r="AZ505"/>
  <c r="AY505"/>
  <c r="AX505"/>
  <c r="AW505"/>
  <c r="AV505"/>
  <c r="AU505"/>
  <c r="AT505"/>
  <c r="AS505"/>
  <c r="AR505"/>
  <c r="AQ505"/>
  <c r="AP505"/>
  <c r="AO505"/>
  <c r="AN505"/>
  <c r="AM505"/>
  <c r="AL505"/>
  <c r="AK505"/>
  <c r="AJ505"/>
  <c r="AI505"/>
  <c r="AH505"/>
  <c r="AG505"/>
  <c r="AF505"/>
  <c r="AE505"/>
  <c r="AD505"/>
  <c r="AC505"/>
  <c r="AB505"/>
  <c r="AA505"/>
  <c r="Z505"/>
  <c r="Y505"/>
  <c r="X505"/>
  <c r="W505"/>
  <c r="V505"/>
  <c r="U505"/>
  <c r="T505"/>
  <c r="S505"/>
  <c r="R505"/>
  <c r="Q505"/>
  <c r="P505"/>
  <c r="O505"/>
  <c r="N505"/>
  <c r="M505"/>
  <c r="L505"/>
  <c r="K505"/>
  <c r="J505"/>
  <c r="I505"/>
  <c r="H505"/>
  <c r="G505"/>
  <c r="F505"/>
  <c r="E505"/>
  <c r="D505"/>
  <c r="BB504"/>
  <c r="BA504"/>
  <c r="AZ504"/>
  <c r="AY504"/>
  <c r="AX504"/>
  <c r="AW504"/>
  <c r="AV504"/>
  <c r="AU504"/>
  <c r="AT504"/>
  <c r="AS504"/>
  <c r="AR504"/>
  <c r="AQ504"/>
  <c r="AP504"/>
  <c r="AO504"/>
  <c r="AN504"/>
  <c r="AM504"/>
  <c r="AL504"/>
  <c r="AK504"/>
  <c r="AJ504"/>
  <c r="AI504"/>
  <c r="AH504"/>
  <c r="AG504"/>
  <c r="AF504"/>
  <c r="AE504"/>
  <c r="AD504"/>
  <c r="AC504"/>
  <c r="AB504"/>
  <c r="AA504"/>
  <c r="Z504"/>
  <c r="Y504"/>
  <c r="X504"/>
  <c r="W504"/>
  <c r="V504"/>
  <c r="U504"/>
  <c r="T504"/>
  <c r="S504"/>
  <c r="R504"/>
  <c r="Q504"/>
  <c r="P504"/>
  <c r="O504"/>
  <c r="N504"/>
  <c r="M504"/>
  <c r="L504"/>
  <c r="K504"/>
  <c r="J504"/>
  <c r="I504"/>
  <c r="H504"/>
  <c r="G504"/>
  <c r="F504"/>
  <c r="E504"/>
  <c r="D504"/>
  <c r="BB503"/>
  <c r="BA503"/>
  <c r="AZ503"/>
  <c r="AY503"/>
  <c r="AX503"/>
  <c r="AW503"/>
  <c r="AV503"/>
  <c r="AU503"/>
  <c r="AT503"/>
  <c r="AS503"/>
  <c r="AR503"/>
  <c r="AQ503"/>
  <c r="AP503"/>
  <c r="AO503"/>
  <c r="AN503"/>
  <c r="AM503"/>
  <c r="AL503"/>
  <c r="AK503"/>
  <c r="AJ503"/>
  <c r="AI503"/>
  <c r="AH503"/>
  <c r="AG503"/>
  <c r="AF503"/>
  <c r="AE503"/>
  <c r="AD503"/>
  <c r="AC503"/>
  <c r="AB503"/>
  <c r="AA503"/>
  <c r="Z503"/>
  <c r="Y503"/>
  <c r="X503"/>
  <c r="W503"/>
  <c r="V503"/>
  <c r="U503"/>
  <c r="T503"/>
  <c r="S503"/>
  <c r="R503"/>
  <c r="Q503"/>
  <c r="P503"/>
  <c r="O503"/>
  <c r="N503"/>
  <c r="M503"/>
  <c r="L503"/>
  <c r="K503"/>
  <c r="J503"/>
  <c r="I503"/>
  <c r="H503"/>
  <c r="G503"/>
  <c r="F503"/>
  <c r="E503"/>
  <c r="D503"/>
  <c r="BB502"/>
  <c r="BA502"/>
  <c r="AZ502"/>
  <c r="AY502"/>
  <c r="AX502"/>
  <c r="AW502"/>
  <c r="AV502"/>
  <c r="AU502"/>
  <c r="AT502"/>
  <c r="AS502"/>
  <c r="AR502"/>
  <c r="AQ502"/>
  <c r="AP502"/>
  <c r="AO502"/>
  <c r="AN502"/>
  <c r="AM502"/>
  <c r="AL502"/>
  <c r="AK502"/>
  <c r="AJ502"/>
  <c r="AI502"/>
  <c r="AH502"/>
  <c r="AG502"/>
  <c r="AF502"/>
  <c r="AE502"/>
  <c r="AD502"/>
  <c r="AC502"/>
  <c r="AB502"/>
  <c r="AA502"/>
  <c r="Z502"/>
  <c r="Y502"/>
  <c r="X502"/>
  <c r="W502"/>
  <c r="V502"/>
  <c r="U502"/>
  <c r="T502"/>
  <c r="S502"/>
  <c r="R502"/>
  <c r="Q502"/>
  <c r="P502"/>
  <c r="O502"/>
  <c r="N502"/>
  <c r="M502"/>
  <c r="L502"/>
  <c r="K502"/>
  <c r="J502"/>
  <c r="I502"/>
  <c r="H502"/>
  <c r="G502"/>
  <c r="F502"/>
  <c r="E502"/>
  <c r="D502"/>
  <c r="BB501"/>
  <c r="BA501"/>
  <c r="AZ501"/>
  <c r="AY501"/>
  <c r="AX501"/>
  <c r="AW501"/>
  <c r="AV501"/>
  <c r="AU501"/>
  <c r="AT501"/>
  <c r="AS501"/>
  <c r="AR501"/>
  <c r="AQ501"/>
  <c r="AP501"/>
  <c r="AO501"/>
  <c r="AN501"/>
  <c r="AM501"/>
  <c r="AL501"/>
  <c r="AK501"/>
  <c r="AJ501"/>
  <c r="AI501"/>
  <c r="AH501"/>
  <c r="AG501"/>
  <c r="AF501"/>
  <c r="AE501"/>
  <c r="AD501"/>
  <c r="AC501"/>
  <c r="AB501"/>
  <c r="AA501"/>
  <c r="Z501"/>
  <c r="Y501"/>
  <c r="X501"/>
  <c r="W501"/>
  <c r="V501"/>
  <c r="U501"/>
  <c r="T501"/>
  <c r="S501"/>
  <c r="R501"/>
  <c r="Q501"/>
  <c r="P501"/>
  <c r="O501"/>
  <c r="N501"/>
  <c r="M501"/>
  <c r="L501"/>
  <c r="K501"/>
  <c r="J501"/>
  <c r="I501"/>
  <c r="H501"/>
  <c r="G501"/>
  <c r="F501"/>
  <c r="E501"/>
  <c r="D501"/>
  <c r="BB500"/>
  <c r="BA500"/>
  <c r="AZ500"/>
  <c r="AY500"/>
  <c r="AX500"/>
  <c r="AW500"/>
  <c r="AV500"/>
  <c r="AU500"/>
  <c r="AT500"/>
  <c r="AS500"/>
  <c r="AR500"/>
  <c r="AQ500"/>
  <c r="AP500"/>
  <c r="AO500"/>
  <c r="AN500"/>
  <c r="AM500"/>
  <c r="AL500"/>
  <c r="AK500"/>
  <c r="AJ500"/>
  <c r="AI500"/>
  <c r="AH500"/>
  <c r="AG500"/>
  <c r="AF500"/>
  <c r="AE500"/>
  <c r="AD500"/>
  <c r="AC500"/>
  <c r="AB500"/>
  <c r="AA500"/>
  <c r="Z500"/>
  <c r="Y500"/>
  <c r="X500"/>
  <c r="W500"/>
  <c r="V500"/>
  <c r="U500"/>
  <c r="T500"/>
  <c r="S500"/>
  <c r="R500"/>
  <c r="Q500"/>
  <c r="P500"/>
  <c r="O500"/>
  <c r="N500"/>
  <c r="M500"/>
  <c r="L500"/>
  <c r="K500"/>
  <c r="J500"/>
  <c r="I500"/>
  <c r="H500"/>
  <c r="G500"/>
  <c r="F500"/>
  <c r="E500"/>
  <c r="D500"/>
  <c r="BB499"/>
  <c r="BA499"/>
  <c r="AZ499"/>
  <c r="AY499"/>
  <c r="AX499"/>
  <c r="AW499"/>
  <c r="AV499"/>
  <c r="AU499"/>
  <c r="AT499"/>
  <c r="AS499"/>
  <c r="AR499"/>
  <c r="AQ499"/>
  <c r="AP499"/>
  <c r="AO499"/>
  <c r="AN499"/>
  <c r="AM499"/>
  <c r="AL499"/>
  <c r="AK499"/>
  <c r="AJ499"/>
  <c r="AI499"/>
  <c r="AH499"/>
  <c r="AG499"/>
  <c r="AF499"/>
  <c r="AE499"/>
  <c r="AD499"/>
  <c r="AC499"/>
  <c r="AB499"/>
  <c r="AA499"/>
  <c r="Z499"/>
  <c r="Y499"/>
  <c r="X499"/>
  <c r="W499"/>
  <c r="V499"/>
  <c r="U499"/>
  <c r="T499"/>
  <c r="S499"/>
  <c r="R499"/>
  <c r="Q499"/>
  <c r="P499"/>
  <c r="O499"/>
  <c r="N499"/>
  <c r="M499"/>
  <c r="L499"/>
  <c r="K499"/>
  <c r="J499"/>
  <c r="I499"/>
  <c r="H499"/>
  <c r="G499"/>
  <c r="F499"/>
  <c r="E499"/>
  <c r="D499"/>
  <c r="BB498"/>
  <c r="BA498"/>
  <c r="AZ498"/>
  <c r="AY498"/>
  <c r="AX498"/>
  <c r="AW498"/>
  <c r="AV498"/>
  <c r="AU498"/>
  <c r="AT498"/>
  <c r="AS498"/>
  <c r="AR498"/>
  <c r="AQ498"/>
  <c r="AP498"/>
  <c r="AO498"/>
  <c r="AN498"/>
  <c r="AM498"/>
  <c r="AL498"/>
  <c r="AK498"/>
  <c r="AJ498"/>
  <c r="AI498"/>
  <c r="AH498"/>
  <c r="AG498"/>
  <c r="AF498"/>
  <c r="AE498"/>
  <c r="AD498"/>
  <c r="AC498"/>
  <c r="AB498"/>
  <c r="AA498"/>
  <c r="Z498"/>
  <c r="Y498"/>
  <c r="X498"/>
  <c r="W498"/>
  <c r="V498"/>
  <c r="U498"/>
  <c r="T498"/>
  <c r="S498"/>
  <c r="R498"/>
  <c r="Q498"/>
  <c r="P498"/>
  <c r="O498"/>
  <c r="N498"/>
  <c r="M498"/>
  <c r="L498"/>
  <c r="K498"/>
  <c r="J498"/>
  <c r="I498"/>
  <c r="H498"/>
  <c r="G498"/>
  <c r="F498"/>
  <c r="E498"/>
  <c r="D498"/>
  <c r="BB497"/>
  <c r="BA497"/>
  <c r="AZ497"/>
  <c r="AY497"/>
  <c r="AX497"/>
  <c r="AW497"/>
  <c r="AV497"/>
  <c r="AU497"/>
  <c r="AT497"/>
  <c r="AS497"/>
  <c r="AR497"/>
  <c r="AQ497"/>
  <c r="AP497"/>
  <c r="AO497"/>
  <c r="AN497"/>
  <c r="AM497"/>
  <c r="AL497"/>
  <c r="AK497"/>
  <c r="AJ497"/>
  <c r="AI497"/>
  <c r="AH497"/>
  <c r="AG497"/>
  <c r="AF497"/>
  <c r="AE497"/>
  <c r="AD497"/>
  <c r="AC497"/>
  <c r="AB497"/>
  <c r="AA497"/>
  <c r="Z497"/>
  <c r="Y497"/>
  <c r="X497"/>
  <c r="W497"/>
  <c r="V497"/>
  <c r="U497"/>
  <c r="T497"/>
  <c r="S497"/>
  <c r="R497"/>
  <c r="Q497"/>
  <c r="P497"/>
  <c r="O497"/>
  <c r="N497"/>
  <c r="M497"/>
  <c r="L497"/>
  <c r="K497"/>
  <c r="J497"/>
  <c r="I497"/>
  <c r="H497"/>
  <c r="G497"/>
  <c r="F497"/>
  <c r="E497"/>
  <c r="D497"/>
  <c r="BB496"/>
  <c r="BA496"/>
  <c r="AZ496"/>
  <c r="AY496"/>
  <c r="AX496"/>
  <c r="AW496"/>
  <c r="AV496"/>
  <c r="AU496"/>
  <c r="AT496"/>
  <c r="AS496"/>
  <c r="AR496"/>
  <c r="AQ496"/>
  <c r="AP496"/>
  <c r="AO496"/>
  <c r="AN496"/>
  <c r="AM496"/>
  <c r="AL496"/>
  <c r="AK496"/>
  <c r="AJ496"/>
  <c r="AI496"/>
  <c r="AH496"/>
  <c r="AG496"/>
  <c r="AF496"/>
  <c r="AE496"/>
  <c r="AD496"/>
  <c r="AC496"/>
  <c r="AB496"/>
  <c r="AA496"/>
  <c r="Z496"/>
  <c r="Y496"/>
  <c r="X496"/>
  <c r="W496"/>
  <c r="V496"/>
  <c r="U496"/>
  <c r="T496"/>
  <c r="S496"/>
  <c r="R496"/>
  <c r="Q496"/>
  <c r="P496"/>
  <c r="O496"/>
  <c r="N496"/>
  <c r="M496"/>
  <c r="L496"/>
  <c r="K496"/>
  <c r="J496"/>
  <c r="I496"/>
  <c r="H496"/>
  <c r="G496"/>
  <c r="F496"/>
  <c r="E496"/>
  <c r="D496"/>
  <c r="BB495"/>
  <c r="BA495"/>
  <c r="AZ495"/>
  <c r="AY495"/>
  <c r="AX495"/>
  <c r="AW495"/>
  <c r="AV495"/>
  <c r="AU495"/>
  <c r="AT495"/>
  <c r="AS495"/>
  <c r="AR495"/>
  <c r="AQ495"/>
  <c r="AP495"/>
  <c r="AO495"/>
  <c r="AN495"/>
  <c r="AM495"/>
  <c r="AL495"/>
  <c r="AK495"/>
  <c r="AJ495"/>
  <c r="AI495"/>
  <c r="AH495"/>
  <c r="AG495"/>
  <c r="AF495"/>
  <c r="AE495"/>
  <c r="AD495"/>
  <c r="AC495"/>
  <c r="AB495"/>
  <c r="AA495"/>
  <c r="Z495"/>
  <c r="Y495"/>
  <c r="X495"/>
  <c r="W495"/>
  <c r="V495"/>
  <c r="U495"/>
  <c r="T495"/>
  <c r="S495"/>
  <c r="R495"/>
  <c r="Q495"/>
  <c r="P495"/>
  <c r="O495"/>
  <c r="N495"/>
  <c r="M495"/>
  <c r="L495"/>
  <c r="K495"/>
  <c r="J495"/>
  <c r="I495"/>
  <c r="H495"/>
  <c r="G495"/>
  <c r="F495"/>
  <c r="E495"/>
  <c r="D495"/>
  <c r="BB494"/>
  <c r="BA494"/>
  <c r="AZ494"/>
  <c r="AY494"/>
  <c r="AX494"/>
  <c r="AW494"/>
  <c r="AV494"/>
  <c r="AU494"/>
  <c r="AT494"/>
  <c r="AS494"/>
  <c r="AR494"/>
  <c r="AQ494"/>
  <c r="AP494"/>
  <c r="AO494"/>
  <c r="AN494"/>
  <c r="AM494"/>
  <c r="AL494"/>
  <c r="AK494"/>
  <c r="AJ494"/>
  <c r="AI494"/>
  <c r="AH494"/>
  <c r="AG494"/>
  <c r="AF494"/>
  <c r="AE494"/>
  <c r="AD494"/>
  <c r="AC494"/>
  <c r="AB494"/>
  <c r="AA494"/>
  <c r="Z494"/>
  <c r="Y494"/>
  <c r="X494"/>
  <c r="W494"/>
  <c r="V494"/>
  <c r="U494"/>
  <c r="T494"/>
  <c r="S494"/>
  <c r="R494"/>
  <c r="Q494"/>
  <c r="P494"/>
  <c r="O494"/>
  <c r="N494"/>
  <c r="M494"/>
  <c r="L494"/>
  <c r="K494"/>
  <c r="J494"/>
  <c r="I494"/>
  <c r="H494"/>
  <c r="G494"/>
  <c r="F494"/>
  <c r="E494"/>
  <c r="D494"/>
  <c r="BB493"/>
  <c r="BA493"/>
  <c r="AZ493"/>
  <c r="AY493"/>
  <c r="AX493"/>
  <c r="AW493"/>
  <c r="AV493"/>
  <c r="AU493"/>
  <c r="AT493"/>
  <c r="AS493"/>
  <c r="AR493"/>
  <c r="AQ493"/>
  <c r="AP493"/>
  <c r="AO493"/>
  <c r="AN493"/>
  <c r="AM493"/>
  <c r="AL493"/>
  <c r="AK493"/>
  <c r="AJ493"/>
  <c r="AI493"/>
  <c r="AH493"/>
  <c r="AG493"/>
  <c r="AF493"/>
  <c r="AE493"/>
  <c r="AD493"/>
  <c r="AC493"/>
  <c r="AB493"/>
  <c r="AA493"/>
  <c r="Z493"/>
  <c r="Y493"/>
  <c r="X493"/>
  <c r="W493"/>
  <c r="V493"/>
  <c r="U493"/>
  <c r="T493"/>
  <c r="S493"/>
  <c r="R493"/>
  <c r="Q493"/>
  <c r="P493"/>
  <c r="O493"/>
  <c r="N493"/>
  <c r="M493"/>
  <c r="L493"/>
  <c r="K493"/>
  <c r="J493"/>
  <c r="I493"/>
  <c r="H493"/>
  <c r="G493"/>
  <c r="F493"/>
  <c r="E493"/>
  <c r="D493"/>
  <c r="BB492"/>
  <c r="BA492"/>
  <c r="AZ492"/>
  <c r="AY492"/>
  <c r="AX492"/>
  <c r="AW492"/>
  <c r="AV492"/>
  <c r="AU492"/>
  <c r="AT492"/>
  <c r="AS492"/>
  <c r="AR492"/>
  <c r="AQ492"/>
  <c r="AP492"/>
  <c r="AO492"/>
  <c r="AN492"/>
  <c r="AM492"/>
  <c r="AL492"/>
  <c r="AK492"/>
  <c r="AJ492"/>
  <c r="AI492"/>
  <c r="AH492"/>
  <c r="AG492"/>
  <c r="AF492"/>
  <c r="AE492"/>
  <c r="AD492"/>
  <c r="AC492"/>
  <c r="AB492"/>
  <c r="AA492"/>
  <c r="Z492"/>
  <c r="Y492"/>
  <c r="X492"/>
  <c r="W492"/>
  <c r="V492"/>
  <c r="U492"/>
  <c r="T492"/>
  <c r="S492"/>
  <c r="R492"/>
  <c r="Q492"/>
  <c r="P492"/>
  <c r="O492"/>
  <c r="N492"/>
  <c r="M492"/>
  <c r="L492"/>
  <c r="K492"/>
  <c r="J492"/>
  <c r="I492"/>
  <c r="H492"/>
  <c r="G492"/>
  <c r="F492"/>
  <c r="E492"/>
  <c r="D492"/>
  <c r="BB491"/>
  <c r="BA491"/>
  <c r="AZ491"/>
  <c r="AY491"/>
  <c r="AX491"/>
  <c r="AW491"/>
  <c r="AV491"/>
  <c r="AU491"/>
  <c r="AT491"/>
  <c r="AS491"/>
  <c r="AR491"/>
  <c r="AQ491"/>
  <c r="AP491"/>
  <c r="AO491"/>
  <c r="AN491"/>
  <c r="AM491"/>
  <c r="AL491"/>
  <c r="AK491"/>
  <c r="AJ491"/>
  <c r="AI491"/>
  <c r="AH491"/>
  <c r="AG491"/>
  <c r="AF491"/>
  <c r="AE491"/>
  <c r="AD491"/>
  <c r="AC491"/>
  <c r="AB491"/>
  <c r="AA491"/>
  <c r="Z491"/>
  <c r="Y491"/>
  <c r="X491"/>
  <c r="W491"/>
  <c r="V491"/>
  <c r="U491"/>
  <c r="T491"/>
  <c r="S491"/>
  <c r="R491"/>
  <c r="Q491"/>
  <c r="P491"/>
  <c r="O491"/>
  <c r="N491"/>
  <c r="M491"/>
  <c r="L491"/>
  <c r="K491"/>
  <c r="J491"/>
  <c r="I491"/>
  <c r="H491"/>
  <c r="G491"/>
  <c r="F491"/>
  <c r="E491"/>
  <c r="D491"/>
  <c r="BB490"/>
  <c r="BA490"/>
  <c r="AZ490"/>
  <c r="AY490"/>
  <c r="AX490"/>
  <c r="AW490"/>
  <c r="AV490"/>
  <c r="AU490"/>
  <c r="AT490"/>
  <c r="AS490"/>
  <c r="AR490"/>
  <c r="AQ490"/>
  <c r="AP490"/>
  <c r="AO490"/>
  <c r="AN490"/>
  <c r="AM490"/>
  <c r="AL490"/>
  <c r="AK490"/>
  <c r="AJ490"/>
  <c r="AI490"/>
  <c r="AH490"/>
  <c r="AG490"/>
  <c r="AF490"/>
  <c r="AE490"/>
  <c r="AD490"/>
  <c r="AC490"/>
  <c r="AB490"/>
  <c r="AA490"/>
  <c r="Z490"/>
  <c r="Y490"/>
  <c r="X490"/>
  <c r="W490"/>
  <c r="V490"/>
  <c r="U490"/>
  <c r="T490"/>
  <c r="S490"/>
  <c r="R490"/>
  <c r="Q490"/>
  <c r="P490"/>
  <c r="O490"/>
  <c r="N490"/>
  <c r="M490"/>
  <c r="L490"/>
  <c r="K490"/>
  <c r="J490"/>
  <c r="I490"/>
  <c r="H490"/>
  <c r="G490"/>
  <c r="F490"/>
  <c r="E490"/>
  <c r="D490"/>
  <c r="BB489"/>
  <c r="BA489"/>
  <c r="AZ489"/>
  <c r="AY489"/>
  <c r="AX489"/>
  <c r="AW489"/>
  <c r="AV489"/>
  <c r="AU489"/>
  <c r="AT489"/>
  <c r="AS489"/>
  <c r="AR489"/>
  <c r="AQ489"/>
  <c r="AP489"/>
  <c r="AO489"/>
  <c r="AN489"/>
  <c r="AM489"/>
  <c r="AL489"/>
  <c r="AK489"/>
  <c r="AJ489"/>
  <c r="AI489"/>
  <c r="AH489"/>
  <c r="AG489"/>
  <c r="AF489"/>
  <c r="AE489"/>
  <c r="AD489"/>
  <c r="AC489"/>
  <c r="AB489"/>
  <c r="AA489"/>
  <c r="Z489"/>
  <c r="Y489"/>
  <c r="X489"/>
  <c r="W489"/>
  <c r="V489"/>
  <c r="U489"/>
  <c r="T489"/>
  <c r="S489"/>
  <c r="R489"/>
  <c r="Q489"/>
  <c r="P489"/>
  <c r="O489"/>
  <c r="N489"/>
  <c r="M489"/>
  <c r="L489"/>
  <c r="K489"/>
  <c r="J489"/>
  <c r="I489"/>
  <c r="H489"/>
  <c r="G489"/>
  <c r="F489"/>
  <c r="E489"/>
  <c r="D489"/>
  <c r="BB488"/>
  <c r="BA488"/>
  <c r="AZ488"/>
  <c r="AY488"/>
  <c r="AX488"/>
  <c r="AW488"/>
  <c r="AV488"/>
  <c r="AU488"/>
  <c r="AT488"/>
  <c r="AS488"/>
  <c r="AR488"/>
  <c r="AQ488"/>
  <c r="AP488"/>
  <c r="AO488"/>
  <c r="AN488"/>
  <c r="AM488"/>
  <c r="AL488"/>
  <c r="AK488"/>
  <c r="AJ488"/>
  <c r="AI488"/>
  <c r="AH488"/>
  <c r="AG488"/>
  <c r="AF488"/>
  <c r="AE488"/>
  <c r="AD488"/>
  <c r="AC488"/>
  <c r="AB488"/>
  <c r="AA488"/>
  <c r="Z488"/>
  <c r="Y488"/>
  <c r="X488"/>
  <c r="W488"/>
  <c r="V488"/>
  <c r="U488"/>
  <c r="T488"/>
  <c r="S488"/>
  <c r="R488"/>
  <c r="Q488"/>
  <c r="P488"/>
  <c r="O488"/>
  <c r="N488"/>
  <c r="M488"/>
  <c r="L488"/>
  <c r="K488"/>
  <c r="J488"/>
  <c r="I488"/>
  <c r="H488"/>
  <c r="G488"/>
  <c r="F488"/>
  <c r="E488"/>
  <c r="D488"/>
  <c r="BB487"/>
  <c r="BA487"/>
  <c r="AZ487"/>
  <c r="AY487"/>
  <c r="AX487"/>
  <c r="AW487"/>
  <c r="AV487"/>
  <c r="AU487"/>
  <c r="AT487"/>
  <c r="AS487"/>
  <c r="AR487"/>
  <c r="AQ487"/>
  <c r="AP487"/>
  <c r="AO487"/>
  <c r="AN487"/>
  <c r="AM487"/>
  <c r="AL487"/>
  <c r="AK487"/>
  <c r="AJ487"/>
  <c r="AI487"/>
  <c r="AH487"/>
  <c r="AG487"/>
  <c r="AF487"/>
  <c r="AE487"/>
  <c r="AD487"/>
  <c r="AC487"/>
  <c r="AB487"/>
  <c r="AA487"/>
  <c r="Z487"/>
  <c r="Y487"/>
  <c r="X487"/>
  <c r="W487"/>
  <c r="V487"/>
  <c r="U487"/>
  <c r="T487"/>
  <c r="S487"/>
  <c r="R487"/>
  <c r="Q487"/>
  <c r="P487"/>
  <c r="O487"/>
  <c r="N487"/>
  <c r="M487"/>
  <c r="L487"/>
  <c r="K487"/>
  <c r="J487"/>
  <c r="I487"/>
  <c r="H487"/>
  <c r="G487"/>
  <c r="F487"/>
  <c r="E487"/>
  <c r="D487"/>
  <c r="BB486"/>
  <c r="BA486"/>
  <c r="AZ486"/>
  <c r="AY486"/>
  <c r="AX486"/>
  <c r="AW486"/>
  <c r="AV486"/>
  <c r="AU486"/>
  <c r="AT486"/>
  <c r="AS486"/>
  <c r="AR486"/>
  <c r="AQ486"/>
  <c r="AP486"/>
  <c r="AO486"/>
  <c r="AN486"/>
  <c r="AM486"/>
  <c r="AL486"/>
  <c r="AK486"/>
  <c r="AJ486"/>
  <c r="AI486"/>
  <c r="AH486"/>
  <c r="AG486"/>
  <c r="AF486"/>
  <c r="AE486"/>
  <c r="AD486"/>
  <c r="AC486"/>
  <c r="AB486"/>
  <c r="AA486"/>
  <c r="Z486"/>
  <c r="Y486"/>
  <c r="X486"/>
  <c r="W486"/>
  <c r="V486"/>
  <c r="U486"/>
  <c r="T486"/>
  <c r="S486"/>
  <c r="R486"/>
  <c r="Q486"/>
  <c r="P486"/>
  <c r="O486"/>
  <c r="N486"/>
  <c r="M486"/>
  <c r="L486"/>
  <c r="K486"/>
  <c r="J486"/>
  <c r="I486"/>
  <c r="H486"/>
  <c r="G486"/>
  <c r="F486"/>
  <c r="E486"/>
  <c r="D486"/>
  <c r="BB485"/>
  <c r="BA485"/>
  <c r="AZ485"/>
  <c r="AY485"/>
  <c r="AX485"/>
  <c r="AW485"/>
  <c r="AV485"/>
  <c r="AU485"/>
  <c r="AT485"/>
  <c r="AS485"/>
  <c r="AR485"/>
  <c r="AQ485"/>
  <c r="AP485"/>
  <c r="AO485"/>
  <c r="AN485"/>
  <c r="AM485"/>
  <c r="AL485"/>
  <c r="AK485"/>
  <c r="AJ485"/>
  <c r="AI485"/>
  <c r="AH485"/>
  <c r="AG485"/>
  <c r="AF485"/>
  <c r="AE485"/>
  <c r="AD485"/>
  <c r="AC485"/>
  <c r="AB485"/>
  <c r="AA485"/>
  <c r="Z485"/>
  <c r="Y485"/>
  <c r="X485"/>
  <c r="W485"/>
  <c r="V485"/>
  <c r="U485"/>
  <c r="T485"/>
  <c r="S485"/>
  <c r="R485"/>
  <c r="Q485"/>
  <c r="P485"/>
  <c r="O485"/>
  <c r="N485"/>
  <c r="M485"/>
  <c r="L485"/>
  <c r="K485"/>
  <c r="J485"/>
  <c r="I485"/>
  <c r="H485"/>
  <c r="G485"/>
  <c r="F485"/>
  <c r="E485"/>
  <c r="D485"/>
  <c r="BB484"/>
  <c r="C526" s="1"/>
  <c r="BA484"/>
  <c r="AZ484"/>
  <c r="AY484"/>
  <c r="AX484"/>
  <c r="AW484"/>
  <c r="AV484"/>
  <c r="AU484"/>
  <c r="AT484"/>
  <c r="AS484"/>
  <c r="AR484"/>
  <c r="AQ484"/>
  <c r="AP484"/>
  <c r="AO484"/>
  <c r="AN484"/>
  <c r="AM484"/>
  <c r="AL484"/>
  <c r="AK484"/>
  <c r="AJ484"/>
  <c r="AI484"/>
  <c r="AH484"/>
  <c r="AG484"/>
  <c r="AF484"/>
  <c r="AE484"/>
  <c r="AD484"/>
  <c r="AC484"/>
  <c r="AB484"/>
  <c r="AA484"/>
  <c r="Z484"/>
  <c r="Y484"/>
  <c r="X484"/>
  <c r="W484"/>
  <c r="V484"/>
  <c r="U484"/>
  <c r="T484"/>
  <c r="S484"/>
  <c r="R484"/>
  <c r="Q484"/>
  <c r="P484"/>
  <c r="O484"/>
  <c r="N484"/>
  <c r="M484"/>
  <c r="L484"/>
  <c r="K484"/>
  <c r="J484"/>
  <c r="I484"/>
  <c r="H484"/>
  <c r="G484"/>
  <c r="F484"/>
  <c r="E484"/>
  <c r="D484"/>
  <c r="BB483"/>
  <c r="BA483"/>
  <c r="AZ483"/>
  <c r="AY483"/>
  <c r="AX483"/>
  <c r="AW483"/>
  <c r="AV483"/>
  <c r="AU483"/>
  <c r="AT483"/>
  <c r="AS483"/>
  <c r="AR483"/>
  <c r="AQ483"/>
  <c r="AP483"/>
  <c r="AO483"/>
  <c r="AN483"/>
  <c r="AM483"/>
  <c r="AL483"/>
  <c r="AK483"/>
  <c r="AJ483"/>
  <c r="AI483"/>
  <c r="AH483"/>
  <c r="AG483"/>
  <c r="AF483"/>
  <c r="AE483"/>
  <c r="AD483"/>
  <c r="AC483"/>
  <c r="AB483"/>
  <c r="AA483"/>
  <c r="Z483"/>
  <c r="Y483"/>
  <c r="X483"/>
  <c r="W483"/>
  <c r="V483"/>
  <c r="U483"/>
  <c r="T483"/>
  <c r="S483"/>
  <c r="R483"/>
  <c r="Q483"/>
  <c r="P483"/>
  <c r="O483"/>
  <c r="N483"/>
  <c r="M483"/>
  <c r="L483"/>
  <c r="K483"/>
  <c r="J483"/>
  <c r="I483"/>
  <c r="H483"/>
  <c r="G483"/>
  <c r="F483"/>
  <c r="E483"/>
  <c r="D483"/>
  <c r="BB482"/>
  <c r="BA482"/>
  <c r="AZ482"/>
  <c r="AY482"/>
  <c r="AX482"/>
  <c r="AW482"/>
  <c r="AV482"/>
  <c r="AU482"/>
  <c r="AT482"/>
  <c r="AS482"/>
  <c r="AR482"/>
  <c r="AQ482"/>
  <c r="AP482"/>
  <c r="AO482"/>
  <c r="AN482"/>
  <c r="AM482"/>
  <c r="AL482"/>
  <c r="AK482"/>
  <c r="AJ482"/>
  <c r="AI482"/>
  <c r="AH482"/>
  <c r="AG482"/>
  <c r="AF482"/>
  <c r="AE482"/>
  <c r="AD482"/>
  <c r="AC482"/>
  <c r="AB482"/>
  <c r="AA482"/>
  <c r="Z482"/>
  <c r="Y482"/>
  <c r="X482"/>
  <c r="W482"/>
  <c r="V482"/>
  <c r="U482"/>
  <c r="T482"/>
  <c r="S482"/>
  <c r="R482"/>
  <c r="Q482"/>
  <c r="P482"/>
  <c r="O482"/>
  <c r="N482"/>
  <c r="M482"/>
  <c r="L482"/>
  <c r="K482"/>
  <c r="J482"/>
  <c r="I482"/>
  <c r="H482"/>
  <c r="G482"/>
  <c r="F482"/>
  <c r="E482"/>
  <c r="D482"/>
  <c r="BB481"/>
  <c r="BA481"/>
  <c r="AZ481"/>
  <c r="AY481"/>
  <c r="AX481"/>
  <c r="AW481"/>
  <c r="AV481"/>
  <c r="AU481"/>
  <c r="AT481"/>
  <c r="AS481"/>
  <c r="AR481"/>
  <c r="AQ481"/>
  <c r="AP481"/>
  <c r="AO481"/>
  <c r="AN481"/>
  <c r="AM481"/>
  <c r="AL481"/>
  <c r="AK481"/>
  <c r="AJ481"/>
  <c r="AI481"/>
  <c r="AH481"/>
  <c r="AG481"/>
  <c r="AF481"/>
  <c r="AE481"/>
  <c r="AD481"/>
  <c r="AC481"/>
  <c r="AB481"/>
  <c r="AA481"/>
  <c r="Z481"/>
  <c r="Y481"/>
  <c r="X481"/>
  <c r="W481"/>
  <c r="V481"/>
  <c r="U481"/>
  <c r="T481"/>
  <c r="S481"/>
  <c r="R481"/>
  <c r="Q481"/>
  <c r="P481"/>
  <c r="O481"/>
  <c r="N481"/>
  <c r="M481"/>
  <c r="L481"/>
  <c r="K481"/>
  <c r="J481"/>
  <c r="I481"/>
  <c r="H481"/>
  <c r="G481"/>
  <c r="F481"/>
  <c r="E481"/>
  <c r="D481"/>
  <c r="BB480"/>
  <c r="BA480"/>
  <c r="AZ480"/>
  <c r="AY480"/>
  <c r="AX480"/>
  <c r="AW480"/>
  <c r="AV480"/>
  <c r="AU480"/>
  <c r="AT480"/>
  <c r="AS480"/>
  <c r="AR480"/>
  <c r="AQ480"/>
  <c r="AP480"/>
  <c r="AO480"/>
  <c r="AN480"/>
  <c r="AM480"/>
  <c r="AL480"/>
  <c r="AK480"/>
  <c r="AJ480"/>
  <c r="AI480"/>
  <c r="AH480"/>
  <c r="AG480"/>
  <c r="AF480"/>
  <c r="AE480"/>
  <c r="AD480"/>
  <c r="AC480"/>
  <c r="AB480"/>
  <c r="AA480"/>
  <c r="Z480"/>
  <c r="Y480"/>
  <c r="X480"/>
  <c r="W480"/>
  <c r="V480"/>
  <c r="U480"/>
  <c r="T480"/>
  <c r="S480"/>
  <c r="R480"/>
  <c r="Q480"/>
  <c r="P480"/>
  <c r="O480"/>
  <c r="N480"/>
  <c r="M480"/>
  <c r="L480"/>
  <c r="K480"/>
  <c r="J480"/>
  <c r="I480"/>
  <c r="H480"/>
  <c r="G480"/>
  <c r="F480"/>
  <c r="E480"/>
  <c r="D480"/>
  <c r="BB479"/>
  <c r="BA479"/>
  <c r="AZ479"/>
  <c r="AY479"/>
  <c r="AX479"/>
  <c r="AW479"/>
  <c r="AV479"/>
  <c r="AU479"/>
  <c r="AT479"/>
  <c r="AS479"/>
  <c r="AR479"/>
  <c r="AQ479"/>
  <c r="AP479"/>
  <c r="AO479"/>
  <c r="AN479"/>
  <c r="AM479"/>
  <c r="AL479"/>
  <c r="AK479"/>
  <c r="AJ479"/>
  <c r="AI479"/>
  <c r="AH479"/>
  <c r="AG479"/>
  <c r="AF479"/>
  <c r="AE479"/>
  <c r="AD479"/>
  <c r="AC479"/>
  <c r="AB479"/>
  <c r="AA479"/>
  <c r="Z479"/>
  <c r="Y479"/>
  <c r="X479"/>
  <c r="W479"/>
  <c r="V479"/>
  <c r="U479"/>
  <c r="T479"/>
  <c r="S479"/>
  <c r="R479"/>
  <c r="Q479"/>
  <c r="P479"/>
  <c r="O479"/>
  <c r="N479"/>
  <c r="M479"/>
  <c r="L479"/>
  <c r="K479"/>
  <c r="J479"/>
  <c r="I479"/>
  <c r="H479"/>
  <c r="G479"/>
  <c r="F479"/>
  <c r="E479"/>
  <c r="D479"/>
  <c r="BB478"/>
  <c r="BA478"/>
  <c r="AZ478"/>
  <c r="AY478"/>
  <c r="AX478"/>
  <c r="AW478"/>
  <c r="AV478"/>
  <c r="AU478"/>
  <c r="AT478"/>
  <c r="AS478"/>
  <c r="AR478"/>
  <c r="AQ478"/>
  <c r="AP478"/>
  <c r="AO478"/>
  <c r="AN478"/>
  <c r="AM478"/>
  <c r="AL478"/>
  <c r="AK478"/>
  <c r="AJ478"/>
  <c r="AI478"/>
  <c r="AH478"/>
  <c r="AG478"/>
  <c r="AF478"/>
  <c r="AE478"/>
  <c r="AD478"/>
  <c r="AC478"/>
  <c r="AB478"/>
  <c r="AA478"/>
  <c r="Z478"/>
  <c r="Y478"/>
  <c r="X478"/>
  <c r="W478"/>
  <c r="V478"/>
  <c r="U478"/>
  <c r="T478"/>
  <c r="S478"/>
  <c r="R478"/>
  <c r="Q478"/>
  <c r="P478"/>
  <c r="O478"/>
  <c r="N478"/>
  <c r="M478"/>
  <c r="L478"/>
  <c r="K478"/>
  <c r="J478"/>
  <c r="I478"/>
  <c r="H478"/>
  <c r="G478"/>
  <c r="F478"/>
  <c r="E478"/>
  <c r="D478"/>
  <c r="BB477"/>
  <c r="BA477"/>
  <c r="AZ477"/>
  <c r="AY477"/>
  <c r="AX477"/>
  <c r="AW477"/>
  <c r="AV477"/>
  <c r="AU477"/>
  <c r="AT477"/>
  <c r="AS477"/>
  <c r="AR477"/>
  <c r="AQ477"/>
  <c r="AP477"/>
  <c r="AO477"/>
  <c r="AN477"/>
  <c r="AM477"/>
  <c r="AL477"/>
  <c r="AK477"/>
  <c r="AJ477"/>
  <c r="AI477"/>
  <c r="AH477"/>
  <c r="AG477"/>
  <c r="AF477"/>
  <c r="AE477"/>
  <c r="AD477"/>
  <c r="AC477"/>
  <c r="AB477"/>
  <c r="AA477"/>
  <c r="Z477"/>
  <c r="Y477"/>
  <c r="X477"/>
  <c r="W477"/>
  <c r="V477"/>
  <c r="U477"/>
  <c r="T477"/>
  <c r="S477"/>
  <c r="R477"/>
  <c r="Q477"/>
  <c r="P477"/>
  <c r="O477"/>
  <c r="N477"/>
  <c r="M477"/>
  <c r="L477"/>
  <c r="K477"/>
  <c r="J477"/>
  <c r="I477"/>
  <c r="H477"/>
  <c r="G477"/>
  <c r="F477"/>
  <c r="E477"/>
  <c r="D477"/>
  <c r="BB476"/>
  <c r="BA476"/>
  <c r="AZ476"/>
  <c r="AY476"/>
  <c r="AX476"/>
  <c r="AW476"/>
  <c r="AV476"/>
  <c r="AU476"/>
  <c r="AT476"/>
  <c r="AS476"/>
  <c r="AR476"/>
  <c r="AQ476"/>
  <c r="AP476"/>
  <c r="AO476"/>
  <c r="AN476"/>
  <c r="AM476"/>
  <c r="AL476"/>
  <c r="AK476"/>
  <c r="AJ476"/>
  <c r="AI476"/>
  <c r="AH476"/>
  <c r="AG476"/>
  <c r="AF476"/>
  <c r="AE476"/>
  <c r="AD476"/>
  <c r="AC476"/>
  <c r="AB476"/>
  <c r="AA476"/>
  <c r="Z476"/>
  <c r="Y476"/>
  <c r="X476"/>
  <c r="W476"/>
  <c r="V476"/>
  <c r="U476"/>
  <c r="T476"/>
  <c r="S476"/>
  <c r="R476"/>
  <c r="Q476"/>
  <c r="P476"/>
  <c r="O476"/>
  <c r="N476"/>
  <c r="M476"/>
  <c r="L476"/>
  <c r="K476"/>
  <c r="J476"/>
  <c r="I476"/>
  <c r="H476"/>
  <c r="G476"/>
  <c r="F476"/>
  <c r="E476"/>
  <c r="D476"/>
  <c r="BB475"/>
  <c r="BA475"/>
  <c r="AZ475"/>
  <c r="AY475"/>
  <c r="AX475"/>
  <c r="AW475"/>
  <c r="AV475"/>
  <c r="AU475"/>
  <c r="AT475"/>
  <c r="AS475"/>
  <c r="AR475"/>
  <c r="AQ475"/>
  <c r="AP475"/>
  <c r="AO475"/>
  <c r="AN475"/>
  <c r="AM475"/>
  <c r="AL475"/>
  <c r="AK475"/>
  <c r="AJ475"/>
  <c r="AI475"/>
  <c r="AH475"/>
  <c r="AG475"/>
  <c r="AF475"/>
  <c r="AE475"/>
  <c r="AD475"/>
  <c r="AC475"/>
  <c r="AB475"/>
  <c r="AA475"/>
  <c r="Z475"/>
  <c r="Y475"/>
  <c r="X475"/>
  <c r="W475"/>
  <c r="V475"/>
  <c r="U475"/>
  <c r="T475"/>
  <c r="S475"/>
  <c r="R475"/>
  <c r="Q475"/>
  <c r="P475"/>
  <c r="O475"/>
  <c r="N475"/>
  <c r="M475"/>
  <c r="L475"/>
  <c r="K475"/>
  <c r="J475"/>
  <c r="I475"/>
  <c r="H475"/>
  <c r="G475"/>
  <c r="F475"/>
  <c r="E475"/>
  <c r="D475"/>
  <c r="BB474"/>
  <c r="BA474"/>
  <c r="AZ474"/>
  <c r="AY474"/>
  <c r="AX474"/>
  <c r="AW474"/>
  <c r="AV474"/>
  <c r="AU474"/>
  <c r="AT474"/>
  <c r="AS474"/>
  <c r="AR474"/>
  <c r="AQ474"/>
  <c r="AP474"/>
  <c r="AO474"/>
  <c r="AN474"/>
  <c r="AM474"/>
  <c r="AL474"/>
  <c r="AK474"/>
  <c r="AJ474"/>
  <c r="AI474"/>
  <c r="AH474"/>
  <c r="AG474"/>
  <c r="AF474"/>
  <c r="AE474"/>
  <c r="AD474"/>
  <c r="AC474"/>
  <c r="AB474"/>
  <c r="AA474"/>
  <c r="Z474"/>
  <c r="Y474"/>
  <c r="X474"/>
  <c r="W474"/>
  <c r="V474"/>
  <c r="U474"/>
  <c r="T474"/>
  <c r="S474"/>
  <c r="R474"/>
  <c r="Q474"/>
  <c r="P474"/>
  <c r="O474"/>
  <c r="N474"/>
  <c r="M474"/>
  <c r="L474"/>
  <c r="K474"/>
  <c r="J474"/>
  <c r="I474"/>
  <c r="H474"/>
  <c r="G474"/>
  <c r="F474"/>
  <c r="E474"/>
  <c r="D474"/>
  <c r="BB473"/>
  <c r="BA473"/>
  <c r="AZ473"/>
  <c r="AY473"/>
  <c r="AX473"/>
  <c r="AW473"/>
  <c r="AV473"/>
  <c r="AU473"/>
  <c r="AT473"/>
  <c r="AS473"/>
  <c r="AR473"/>
  <c r="AQ473"/>
  <c r="AP473"/>
  <c r="AO473"/>
  <c r="AN473"/>
  <c r="AM473"/>
  <c r="AL473"/>
  <c r="AK473"/>
  <c r="AJ473"/>
  <c r="AI473"/>
  <c r="AH473"/>
  <c r="AG473"/>
  <c r="AF473"/>
  <c r="AE473"/>
  <c r="AD473"/>
  <c r="AC473"/>
  <c r="AB473"/>
  <c r="AA473"/>
  <c r="Z473"/>
  <c r="Y473"/>
  <c r="X473"/>
  <c r="W473"/>
  <c r="V473"/>
  <c r="U473"/>
  <c r="T473"/>
  <c r="S473"/>
  <c r="R473"/>
  <c r="Q473"/>
  <c r="P473"/>
  <c r="O473"/>
  <c r="N473"/>
  <c r="M473"/>
  <c r="L473"/>
  <c r="K473"/>
  <c r="J473"/>
  <c r="I473"/>
  <c r="H473"/>
  <c r="G473"/>
  <c r="F473"/>
  <c r="E473"/>
  <c r="D473"/>
  <c r="BB472"/>
  <c r="BA472"/>
  <c r="AZ472"/>
  <c r="AY472"/>
  <c r="AX472"/>
  <c r="AW472"/>
  <c r="AV472"/>
  <c r="AU472"/>
  <c r="AT472"/>
  <c r="AS472"/>
  <c r="AR472"/>
  <c r="AQ472"/>
  <c r="AP472"/>
  <c r="AO472"/>
  <c r="AN472"/>
  <c r="AM472"/>
  <c r="AL472"/>
  <c r="AK472"/>
  <c r="AJ472"/>
  <c r="AI472"/>
  <c r="AH472"/>
  <c r="AG472"/>
  <c r="AF472"/>
  <c r="AE472"/>
  <c r="AD472"/>
  <c r="AC472"/>
  <c r="AB472"/>
  <c r="AA472"/>
  <c r="Z472"/>
  <c r="Y472"/>
  <c r="X472"/>
  <c r="W472"/>
  <c r="V472"/>
  <c r="U472"/>
  <c r="T472"/>
  <c r="S472"/>
  <c r="R472"/>
  <c r="Q472"/>
  <c r="P472"/>
  <c r="O472"/>
  <c r="N472"/>
  <c r="M472"/>
  <c r="L472"/>
  <c r="K472"/>
  <c r="J472"/>
  <c r="I472"/>
  <c r="H472"/>
  <c r="G472"/>
  <c r="F472"/>
  <c r="E472"/>
  <c r="D472"/>
  <c r="BB471"/>
  <c r="BA471"/>
  <c r="AZ471"/>
  <c r="AY471"/>
  <c r="AX471"/>
  <c r="AW471"/>
  <c r="AV471"/>
  <c r="AU471"/>
  <c r="AT471"/>
  <c r="AS471"/>
  <c r="AR471"/>
  <c r="AQ471"/>
  <c r="AP471"/>
  <c r="AO471"/>
  <c r="AN471"/>
  <c r="AM471"/>
  <c r="AL471"/>
  <c r="AK471"/>
  <c r="AJ471"/>
  <c r="AI471"/>
  <c r="AH471"/>
  <c r="AG471"/>
  <c r="AF471"/>
  <c r="AE471"/>
  <c r="AD471"/>
  <c r="AC471"/>
  <c r="AB471"/>
  <c r="AA471"/>
  <c r="Z471"/>
  <c r="Y471"/>
  <c r="X471"/>
  <c r="W471"/>
  <c r="V471"/>
  <c r="U471"/>
  <c r="T471"/>
  <c r="S471"/>
  <c r="R471"/>
  <c r="Q471"/>
  <c r="P471"/>
  <c r="O471"/>
  <c r="N471"/>
  <c r="M471"/>
  <c r="L471"/>
  <c r="K471"/>
  <c r="J471"/>
  <c r="I471"/>
  <c r="H471"/>
  <c r="G471"/>
  <c r="F471"/>
  <c r="E471"/>
  <c r="D471"/>
  <c r="BB470"/>
  <c r="BA470"/>
  <c r="AZ470"/>
  <c r="AY470"/>
  <c r="AX470"/>
  <c r="AW470"/>
  <c r="AV470"/>
  <c r="AU470"/>
  <c r="AT470"/>
  <c r="AS470"/>
  <c r="AR470"/>
  <c r="AQ470"/>
  <c r="AP470"/>
  <c r="AO470"/>
  <c r="AN470"/>
  <c r="AM470"/>
  <c r="AL470"/>
  <c r="AK470"/>
  <c r="AJ470"/>
  <c r="AI470"/>
  <c r="AH470"/>
  <c r="AG470"/>
  <c r="AF470"/>
  <c r="AE470"/>
  <c r="AD470"/>
  <c r="AC470"/>
  <c r="AB470"/>
  <c r="AA470"/>
  <c r="Z470"/>
  <c r="Y470"/>
  <c r="X470"/>
  <c r="W470"/>
  <c r="V470"/>
  <c r="U470"/>
  <c r="T470"/>
  <c r="S470"/>
  <c r="R470"/>
  <c r="Q470"/>
  <c r="P470"/>
  <c r="O470"/>
  <c r="N470"/>
  <c r="M470"/>
  <c r="L470"/>
  <c r="K470"/>
  <c r="J470"/>
  <c r="I470"/>
  <c r="H470"/>
  <c r="G470"/>
  <c r="F470"/>
  <c r="E470"/>
  <c r="D470"/>
  <c r="BB469"/>
  <c r="BA469"/>
  <c r="AZ469"/>
  <c r="AY469"/>
  <c r="AX469"/>
  <c r="AW469"/>
  <c r="AV469"/>
  <c r="AU469"/>
  <c r="AT469"/>
  <c r="AS469"/>
  <c r="AR469"/>
  <c r="AQ469"/>
  <c r="AP469"/>
  <c r="AO469"/>
  <c r="AN469"/>
  <c r="AM469"/>
  <c r="AL469"/>
  <c r="AK469"/>
  <c r="AJ469"/>
  <c r="AI469"/>
  <c r="AH469"/>
  <c r="AG469"/>
  <c r="AF469"/>
  <c r="AE469"/>
  <c r="AD469"/>
  <c r="AC469"/>
  <c r="AB469"/>
  <c r="AA469"/>
  <c r="Z469"/>
  <c r="Y469"/>
  <c r="X469"/>
  <c r="W469"/>
  <c r="V469"/>
  <c r="U469"/>
  <c r="T469"/>
  <c r="S469"/>
  <c r="R469"/>
  <c r="Q469"/>
  <c r="P469"/>
  <c r="O469"/>
  <c r="N469"/>
  <c r="M469"/>
  <c r="L469"/>
  <c r="K469"/>
  <c r="J469"/>
  <c r="I469"/>
  <c r="H469"/>
  <c r="G469"/>
  <c r="F469"/>
  <c r="E469"/>
  <c r="D469"/>
  <c r="BB468"/>
  <c r="BA468"/>
  <c r="AZ468"/>
  <c r="AY468"/>
  <c r="AX468"/>
  <c r="AW468"/>
  <c r="AV468"/>
  <c r="AU468"/>
  <c r="AT468"/>
  <c r="AS468"/>
  <c r="AR468"/>
  <c r="AQ468"/>
  <c r="AP468"/>
  <c r="AO468"/>
  <c r="AN468"/>
  <c r="AM468"/>
  <c r="AL468"/>
  <c r="AK468"/>
  <c r="AJ468"/>
  <c r="AI468"/>
  <c r="AH468"/>
  <c r="AG468"/>
  <c r="AF468"/>
  <c r="AE468"/>
  <c r="AD468"/>
  <c r="AC468"/>
  <c r="AB468"/>
  <c r="AA468"/>
  <c r="Z468"/>
  <c r="Y468"/>
  <c r="X468"/>
  <c r="W468"/>
  <c r="V468"/>
  <c r="U468"/>
  <c r="T468"/>
  <c r="S468"/>
  <c r="R468"/>
  <c r="Q468"/>
  <c r="P468"/>
  <c r="O468"/>
  <c r="N468"/>
  <c r="M468"/>
  <c r="L468"/>
  <c r="K468"/>
  <c r="J468"/>
  <c r="I468"/>
  <c r="H468"/>
  <c r="G468"/>
  <c r="F468"/>
  <c r="E468"/>
  <c r="D468"/>
  <c r="BB467"/>
  <c r="BA467"/>
  <c r="AZ467"/>
  <c r="AY467"/>
  <c r="AX467"/>
  <c r="AW467"/>
  <c r="AV467"/>
  <c r="AU467"/>
  <c r="AT467"/>
  <c r="AS467"/>
  <c r="AR467"/>
  <c r="AQ467"/>
  <c r="AP467"/>
  <c r="AO467"/>
  <c r="AN467"/>
  <c r="AM467"/>
  <c r="AL467"/>
  <c r="AK467"/>
  <c r="AJ467"/>
  <c r="AI467"/>
  <c r="AH467"/>
  <c r="AG467"/>
  <c r="AF467"/>
  <c r="AE467"/>
  <c r="AD467"/>
  <c r="AC467"/>
  <c r="AB467"/>
  <c r="AA467"/>
  <c r="Z467"/>
  <c r="Y467"/>
  <c r="X467"/>
  <c r="W467"/>
  <c r="V467"/>
  <c r="U467"/>
  <c r="T467"/>
  <c r="S467"/>
  <c r="R467"/>
  <c r="Q467"/>
  <c r="P467"/>
  <c r="O467"/>
  <c r="N467"/>
  <c r="M467"/>
  <c r="L467"/>
  <c r="K467"/>
  <c r="J467"/>
  <c r="I467"/>
  <c r="H467"/>
  <c r="G467"/>
  <c r="F467"/>
  <c r="E467"/>
  <c r="D467"/>
  <c r="BB466"/>
  <c r="BA466"/>
  <c r="AZ466"/>
  <c r="AY466"/>
  <c r="AX466"/>
  <c r="AW466"/>
  <c r="AV466"/>
  <c r="AU466"/>
  <c r="AT466"/>
  <c r="AS466"/>
  <c r="AR466"/>
  <c r="AQ466"/>
  <c r="AP466"/>
  <c r="AO466"/>
  <c r="AN466"/>
  <c r="AM466"/>
  <c r="AL466"/>
  <c r="AK466"/>
  <c r="AJ466"/>
  <c r="AI466"/>
  <c r="AH466"/>
  <c r="AG466"/>
  <c r="AF466"/>
  <c r="AE466"/>
  <c r="AD466"/>
  <c r="AC466"/>
  <c r="AB466"/>
  <c r="AA466"/>
  <c r="Z466"/>
  <c r="Y466"/>
  <c r="X466"/>
  <c r="W466"/>
  <c r="V466"/>
  <c r="U466"/>
  <c r="T466"/>
  <c r="S466"/>
  <c r="R466"/>
  <c r="Q466"/>
  <c r="P466"/>
  <c r="O466"/>
  <c r="N466"/>
  <c r="M466"/>
  <c r="L466"/>
  <c r="K466"/>
  <c r="J466"/>
  <c r="I466"/>
  <c r="H466"/>
  <c r="G466"/>
  <c r="F466"/>
  <c r="E466"/>
  <c r="D466"/>
  <c r="BB465"/>
  <c r="BA465"/>
  <c r="AZ465"/>
  <c r="AY465"/>
  <c r="AX465"/>
  <c r="AW465"/>
  <c r="AV465"/>
  <c r="AU465"/>
  <c r="AT465"/>
  <c r="AS465"/>
  <c r="AR465"/>
  <c r="AQ465"/>
  <c r="AP465"/>
  <c r="AO465"/>
  <c r="AN465"/>
  <c r="AM465"/>
  <c r="AL465"/>
  <c r="AK465"/>
  <c r="AJ465"/>
  <c r="AI465"/>
  <c r="AH465"/>
  <c r="AG465"/>
  <c r="AF465"/>
  <c r="AE465"/>
  <c r="AD465"/>
  <c r="AC465"/>
  <c r="AB465"/>
  <c r="AA465"/>
  <c r="Z465"/>
  <c r="Y465"/>
  <c r="X465"/>
  <c r="W465"/>
  <c r="V465"/>
  <c r="U465"/>
  <c r="T465"/>
  <c r="S465"/>
  <c r="R465"/>
  <c r="Q465"/>
  <c r="P465"/>
  <c r="O465"/>
  <c r="N465"/>
  <c r="M465"/>
  <c r="L465"/>
  <c r="K465"/>
  <c r="J465"/>
  <c r="I465"/>
  <c r="H465"/>
  <c r="G465"/>
  <c r="F465"/>
  <c r="E465"/>
  <c r="D465"/>
  <c r="BB464"/>
  <c r="BA464"/>
  <c r="AZ464"/>
  <c r="AY464"/>
  <c r="AX464"/>
  <c r="AW464"/>
  <c r="AV464"/>
  <c r="AU464"/>
  <c r="AT464"/>
  <c r="AS464"/>
  <c r="AR464"/>
  <c r="AQ464"/>
  <c r="AP464"/>
  <c r="AO464"/>
  <c r="AN464"/>
  <c r="AM464"/>
  <c r="AL464"/>
  <c r="AK464"/>
  <c r="AJ464"/>
  <c r="AI464"/>
  <c r="AH464"/>
  <c r="AG464"/>
  <c r="AF464"/>
  <c r="AE464"/>
  <c r="AD464"/>
  <c r="AC464"/>
  <c r="AB464"/>
  <c r="AA464"/>
  <c r="Z464"/>
  <c r="Y464"/>
  <c r="X464"/>
  <c r="W464"/>
  <c r="V464"/>
  <c r="U464"/>
  <c r="T464"/>
  <c r="S464"/>
  <c r="R464"/>
  <c r="Q464"/>
  <c r="P464"/>
  <c r="O464"/>
  <c r="N464"/>
  <c r="M464"/>
  <c r="L464"/>
  <c r="K464"/>
  <c r="J464"/>
  <c r="I464"/>
  <c r="H464"/>
  <c r="G464"/>
  <c r="F464"/>
  <c r="E464"/>
  <c r="D464"/>
  <c r="BB463"/>
  <c r="BA463"/>
  <c r="AZ463"/>
  <c r="AY463"/>
  <c r="AX463"/>
  <c r="AW463"/>
  <c r="AV463"/>
  <c r="AU463"/>
  <c r="AT463"/>
  <c r="AS463"/>
  <c r="AR463"/>
  <c r="AQ463"/>
  <c r="AP463"/>
  <c r="AO463"/>
  <c r="AN463"/>
  <c r="AM463"/>
  <c r="AL463"/>
  <c r="AK463"/>
  <c r="AJ463"/>
  <c r="AI463"/>
  <c r="AH463"/>
  <c r="AG463"/>
  <c r="AF463"/>
  <c r="AE463"/>
  <c r="AD463"/>
  <c r="AC463"/>
  <c r="AB463"/>
  <c r="AA463"/>
  <c r="Z463"/>
  <c r="Y463"/>
  <c r="X463"/>
  <c r="W463"/>
  <c r="V463"/>
  <c r="U463"/>
  <c r="T463"/>
  <c r="S463"/>
  <c r="R463"/>
  <c r="Q463"/>
  <c r="P463"/>
  <c r="O463"/>
  <c r="N463"/>
  <c r="M463"/>
  <c r="L463"/>
  <c r="K463"/>
  <c r="J463"/>
  <c r="I463"/>
  <c r="H463"/>
  <c r="G463"/>
  <c r="F463"/>
  <c r="E463"/>
  <c r="D463"/>
  <c r="BB462"/>
  <c r="BA462"/>
  <c r="AZ462"/>
  <c r="AY462"/>
  <c r="AX462"/>
  <c r="AW462"/>
  <c r="AV462"/>
  <c r="AU462"/>
  <c r="AT462"/>
  <c r="AS462"/>
  <c r="AR462"/>
  <c r="AQ462"/>
  <c r="AP462"/>
  <c r="AO462"/>
  <c r="AN462"/>
  <c r="AM462"/>
  <c r="AL462"/>
  <c r="AK462"/>
  <c r="AJ462"/>
  <c r="AI462"/>
  <c r="AH462"/>
  <c r="AG462"/>
  <c r="AF462"/>
  <c r="AE462"/>
  <c r="AD462"/>
  <c r="AC462"/>
  <c r="AB462"/>
  <c r="AA462"/>
  <c r="Z462"/>
  <c r="Y462"/>
  <c r="X462"/>
  <c r="W462"/>
  <c r="V462"/>
  <c r="U462"/>
  <c r="T462"/>
  <c r="S462"/>
  <c r="R462"/>
  <c r="Q462"/>
  <c r="P462"/>
  <c r="O462"/>
  <c r="N462"/>
  <c r="M462"/>
  <c r="L462"/>
  <c r="K462"/>
  <c r="J462"/>
  <c r="I462"/>
  <c r="H462"/>
  <c r="G462"/>
  <c r="F462"/>
  <c r="E462"/>
  <c r="D462"/>
  <c r="BB461"/>
  <c r="BA461"/>
  <c r="AZ461"/>
  <c r="AY461"/>
  <c r="AX461"/>
  <c r="AW461"/>
  <c r="AV461"/>
  <c r="AU461"/>
  <c r="AT461"/>
  <c r="AS461"/>
  <c r="AR461"/>
  <c r="AQ461"/>
  <c r="AP461"/>
  <c r="AO461"/>
  <c r="AN461"/>
  <c r="AM461"/>
  <c r="AL461"/>
  <c r="AK461"/>
  <c r="AJ461"/>
  <c r="AI461"/>
  <c r="AH461"/>
  <c r="AG461"/>
  <c r="AF461"/>
  <c r="AE461"/>
  <c r="AD461"/>
  <c r="AC461"/>
  <c r="AB461"/>
  <c r="AA461"/>
  <c r="Z461"/>
  <c r="Y461"/>
  <c r="X461"/>
  <c r="W461"/>
  <c r="V461"/>
  <c r="U461"/>
  <c r="T461"/>
  <c r="S461"/>
  <c r="R461"/>
  <c r="Q461"/>
  <c r="P461"/>
  <c r="O461"/>
  <c r="N461"/>
  <c r="M461"/>
  <c r="L461"/>
  <c r="K461"/>
  <c r="J461"/>
  <c r="I461"/>
  <c r="H461"/>
  <c r="G461"/>
  <c r="F461"/>
  <c r="E461"/>
  <c r="D461"/>
  <c r="BB460"/>
  <c r="BA460"/>
  <c r="AZ460"/>
  <c r="AY460"/>
  <c r="AX460"/>
  <c r="AW460"/>
  <c r="AV460"/>
  <c r="AU460"/>
  <c r="AT460"/>
  <c r="AS460"/>
  <c r="AR460"/>
  <c r="AQ460"/>
  <c r="AP460"/>
  <c r="AO460"/>
  <c r="AN460"/>
  <c r="AM460"/>
  <c r="AL460"/>
  <c r="AK460"/>
  <c r="AJ460"/>
  <c r="AI460"/>
  <c r="AH460"/>
  <c r="AG460"/>
  <c r="AF460"/>
  <c r="AE460"/>
  <c r="AD460"/>
  <c r="AC460"/>
  <c r="AB460"/>
  <c r="AA460"/>
  <c r="Z460"/>
  <c r="Y460"/>
  <c r="X460"/>
  <c r="W460"/>
  <c r="V460"/>
  <c r="U460"/>
  <c r="T460"/>
  <c r="S460"/>
  <c r="R460"/>
  <c r="Q460"/>
  <c r="P460"/>
  <c r="O460"/>
  <c r="N460"/>
  <c r="M460"/>
  <c r="L460"/>
  <c r="K460"/>
  <c r="J460"/>
  <c r="I460"/>
  <c r="H460"/>
  <c r="G460"/>
  <c r="F460"/>
  <c r="E460"/>
  <c r="D460"/>
  <c r="BB459"/>
  <c r="BA459"/>
  <c r="AZ459"/>
  <c r="AY459"/>
  <c r="AX459"/>
  <c r="AW459"/>
  <c r="AV459"/>
  <c r="AU459"/>
  <c r="AT459"/>
  <c r="AS459"/>
  <c r="AR459"/>
  <c r="AQ459"/>
  <c r="AP459"/>
  <c r="AO459"/>
  <c r="AN459"/>
  <c r="AM459"/>
  <c r="AL459"/>
  <c r="AK459"/>
  <c r="AJ459"/>
  <c r="AI459"/>
  <c r="AH459"/>
  <c r="AG459"/>
  <c r="AF459"/>
  <c r="AE459"/>
  <c r="AD459"/>
  <c r="AC459"/>
  <c r="AB459"/>
  <c r="AA459"/>
  <c r="Z459"/>
  <c r="Y459"/>
  <c r="X459"/>
  <c r="W459"/>
  <c r="V459"/>
  <c r="U459"/>
  <c r="T459"/>
  <c r="S459"/>
  <c r="R459"/>
  <c r="Q459"/>
  <c r="P459"/>
  <c r="O459"/>
  <c r="N459"/>
  <c r="M459"/>
  <c r="L459"/>
  <c r="K459"/>
  <c r="J459"/>
  <c r="I459"/>
  <c r="H459"/>
  <c r="G459"/>
  <c r="F459"/>
  <c r="E459"/>
  <c r="D459"/>
  <c r="BB458"/>
  <c r="BA458"/>
  <c r="AZ458"/>
  <c r="AY458"/>
  <c r="AX458"/>
  <c r="AW458"/>
  <c r="AV458"/>
  <c r="AU458"/>
  <c r="AT458"/>
  <c r="AS458"/>
  <c r="AR458"/>
  <c r="AQ458"/>
  <c r="AP458"/>
  <c r="AO458"/>
  <c r="AN458"/>
  <c r="AM458"/>
  <c r="AL458"/>
  <c r="AK458"/>
  <c r="AJ458"/>
  <c r="AI458"/>
  <c r="AH458"/>
  <c r="AG458"/>
  <c r="AF458"/>
  <c r="AE458"/>
  <c r="AD458"/>
  <c r="AC458"/>
  <c r="AB458"/>
  <c r="AA458"/>
  <c r="Z458"/>
  <c r="Y458"/>
  <c r="X458"/>
  <c r="W458"/>
  <c r="V458"/>
  <c r="U458"/>
  <c r="T458"/>
  <c r="S458"/>
  <c r="R458"/>
  <c r="Q458"/>
  <c r="P458"/>
  <c r="O458"/>
  <c r="N458"/>
  <c r="M458"/>
  <c r="L458"/>
  <c r="K458"/>
  <c r="J458"/>
  <c r="I458"/>
  <c r="H458"/>
  <c r="G458"/>
  <c r="F458"/>
  <c r="E458"/>
  <c r="D458"/>
  <c r="BB457"/>
  <c r="BA457"/>
  <c r="AZ457"/>
  <c r="AY457"/>
  <c r="AX457"/>
  <c r="AW457"/>
  <c r="AV457"/>
  <c r="AU457"/>
  <c r="AT457"/>
  <c r="AS457"/>
  <c r="AR457"/>
  <c r="AQ457"/>
  <c r="AP457"/>
  <c r="AO457"/>
  <c r="AN457"/>
  <c r="AM457"/>
  <c r="AL457"/>
  <c r="AK457"/>
  <c r="AJ457"/>
  <c r="AI457"/>
  <c r="AH457"/>
  <c r="AG457"/>
  <c r="AF457"/>
  <c r="AE457"/>
  <c r="AD457"/>
  <c r="AC457"/>
  <c r="AB457"/>
  <c r="AA457"/>
  <c r="Z457"/>
  <c r="Y457"/>
  <c r="X457"/>
  <c r="W457"/>
  <c r="V457"/>
  <c r="U457"/>
  <c r="T457"/>
  <c r="S457"/>
  <c r="R457"/>
  <c r="Q457"/>
  <c r="P457"/>
  <c r="O457"/>
  <c r="N457"/>
  <c r="M457"/>
  <c r="L457"/>
  <c r="K457"/>
  <c r="J457"/>
  <c r="I457"/>
  <c r="H457"/>
  <c r="G457"/>
  <c r="F457"/>
  <c r="E457"/>
  <c r="D457"/>
  <c r="BB456"/>
  <c r="BA456"/>
  <c r="AZ456"/>
  <c r="AY456"/>
  <c r="AX456"/>
  <c r="AW456"/>
  <c r="AV456"/>
  <c r="AU456"/>
  <c r="AT456"/>
  <c r="AS456"/>
  <c r="AR456"/>
  <c r="AQ456"/>
  <c r="AP456"/>
  <c r="AO456"/>
  <c r="AN456"/>
  <c r="AM456"/>
  <c r="AL456"/>
  <c r="AK456"/>
  <c r="AJ456"/>
  <c r="AI456"/>
  <c r="AH456"/>
  <c r="AG456"/>
  <c r="AF456"/>
  <c r="AE456"/>
  <c r="AD456"/>
  <c r="AC456"/>
  <c r="AB456"/>
  <c r="AA456"/>
  <c r="Z456"/>
  <c r="Y456"/>
  <c r="X456"/>
  <c r="W456"/>
  <c r="V456"/>
  <c r="U456"/>
  <c r="T456"/>
  <c r="S456"/>
  <c r="R456"/>
  <c r="Q456"/>
  <c r="P456"/>
  <c r="O456"/>
  <c r="N456"/>
  <c r="M456"/>
  <c r="L456"/>
  <c r="K456"/>
  <c r="J456"/>
  <c r="I456"/>
  <c r="H456"/>
  <c r="G456"/>
  <c r="F456"/>
  <c r="E456"/>
  <c r="D456"/>
  <c r="BB455"/>
  <c r="BA455"/>
  <c r="AZ455"/>
  <c r="AY455"/>
  <c r="AX455"/>
  <c r="AW455"/>
  <c r="AV455"/>
  <c r="AU455"/>
  <c r="AT455"/>
  <c r="AS455"/>
  <c r="AR455"/>
  <c r="AQ455"/>
  <c r="AP455"/>
  <c r="AO455"/>
  <c r="AN455"/>
  <c r="AM455"/>
  <c r="AL455"/>
  <c r="AK455"/>
  <c r="AJ455"/>
  <c r="AI455"/>
  <c r="AH455"/>
  <c r="AG455"/>
  <c r="AF455"/>
  <c r="AE455"/>
  <c r="AD455"/>
  <c r="AC455"/>
  <c r="AB455"/>
  <c r="AA455"/>
  <c r="Z455"/>
  <c r="Y455"/>
  <c r="X455"/>
  <c r="W455"/>
  <c r="V455"/>
  <c r="U455"/>
  <c r="T455"/>
  <c r="S455"/>
  <c r="R455"/>
  <c r="Q455"/>
  <c r="P455"/>
  <c r="O455"/>
  <c r="N455"/>
  <c r="M455"/>
  <c r="L455"/>
  <c r="K455"/>
  <c r="J455"/>
  <c r="I455"/>
  <c r="H455"/>
  <c r="G455"/>
  <c r="F455"/>
  <c r="E455"/>
  <c r="D455"/>
  <c r="BB454"/>
  <c r="BA454"/>
  <c r="AZ454"/>
  <c r="AY454"/>
  <c r="AX454"/>
  <c r="AW454"/>
  <c r="AV454"/>
  <c r="AU454"/>
  <c r="AT454"/>
  <c r="AS454"/>
  <c r="AR454"/>
  <c r="AQ454"/>
  <c r="AP454"/>
  <c r="AO454"/>
  <c r="AN454"/>
  <c r="AM454"/>
  <c r="AL454"/>
  <c r="AK454"/>
  <c r="AJ454"/>
  <c r="AI454"/>
  <c r="AH454"/>
  <c r="AG454"/>
  <c r="AF454"/>
  <c r="AE454"/>
  <c r="AD454"/>
  <c r="AC454"/>
  <c r="AB454"/>
  <c r="AA454"/>
  <c r="Z454"/>
  <c r="Y454"/>
  <c r="X454"/>
  <c r="W454"/>
  <c r="V454"/>
  <c r="U454"/>
  <c r="T454"/>
  <c r="S454"/>
  <c r="R454"/>
  <c r="Q454"/>
  <c r="P454"/>
  <c r="O454"/>
  <c r="N454"/>
  <c r="M454"/>
  <c r="L454"/>
  <c r="K454"/>
  <c r="J454"/>
  <c r="I454"/>
  <c r="H454"/>
  <c r="G454"/>
  <c r="F454"/>
  <c r="E454"/>
  <c r="D454"/>
  <c r="BB453"/>
  <c r="BA453"/>
  <c r="AZ453"/>
  <c r="AY453"/>
  <c r="AX453"/>
  <c r="AW453"/>
  <c r="AV453"/>
  <c r="AU453"/>
  <c r="AT453"/>
  <c r="AS453"/>
  <c r="AR453"/>
  <c r="AQ453"/>
  <c r="AP453"/>
  <c r="AO453"/>
  <c r="AN453"/>
  <c r="AM453"/>
  <c r="AL453"/>
  <c r="AK453"/>
  <c r="AJ453"/>
  <c r="AI453"/>
  <c r="AH453"/>
  <c r="AG453"/>
  <c r="AF453"/>
  <c r="AE453"/>
  <c r="AD453"/>
  <c r="AC453"/>
  <c r="AB453"/>
  <c r="AA453"/>
  <c r="Z453"/>
  <c r="Y453"/>
  <c r="X453"/>
  <c r="W453"/>
  <c r="V453"/>
  <c r="U453"/>
  <c r="T453"/>
  <c r="S453"/>
  <c r="R453"/>
  <c r="Q453"/>
  <c r="P453"/>
  <c r="O453"/>
  <c r="N453"/>
  <c r="M453"/>
  <c r="L453"/>
  <c r="K453"/>
  <c r="J453"/>
  <c r="I453"/>
  <c r="H453"/>
  <c r="G453"/>
  <c r="F453"/>
  <c r="E453"/>
  <c r="D453"/>
  <c r="BB452"/>
  <c r="BA452"/>
  <c r="AZ452"/>
  <c r="AY452"/>
  <c r="AX452"/>
  <c r="AW452"/>
  <c r="AV452"/>
  <c r="AU452"/>
  <c r="AT452"/>
  <c r="AS452"/>
  <c r="AR452"/>
  <c r="AQ452"/>
  <c r="AP452"/>
  <c r="AO452"/>
  <c r="AN452"/>
  <c r="AM452"/>
  <c r="AL452"/>
  <c r="AK452"/>
  <c r="AJ452"/>
  <c r="AI452"/>
  <c r="AH452"/>
  <c r="AG452"/>
  <c r="AF452"/>
  <c r="AE452"/>
  <c r="AD452"/>
  <c r="AC452"/>
  <c r="AB452"/>
  <c r="AA452"/>
  <c r="Z452"/>
  <c r="Y452"/>
  <c r="X452"/>
  <c r="W452"/>
  <c r="V452"/>
  <c r="U452"/>
  <c r="T452"/>
  <c r="S452"/>
  <c r="R452"/>
  <c r="Q452"/>
  <c r="P452"/>
  <c r="O452"/>
  <c r="N452"/>
  <c r="M452"/>
  <c r="L452"/>
  <c r="K452"/>
  <c r="J452"/>
  <c r="I452"/>
  <c r="H452"/>
  <c r="G452"/>
  <c r="F452"/>
  <c r="E452"/>
  <c r="D452"/>
  <c r="BB451"/>
  <c r="BA451"/>
  <c r="AZ451"/>
  <c r="AY451"/>
  <c r="AX451"/>
  <c r="AW451"/>
  <c r="AV451"/>
  <c r="AU451"/>
  <c r="AT451"/>
  <c r="AS451"/>
  <c r="AR451"/>
  <c r="AQ451"/>
  <c r="AP451"/>
  <c r="AO451"/>
  <c r="AN451"/>
  <c r="AM451"/>
  <c r="AL451"/>
  <c r="AK451"/>
  <c r="AJ451"/>
  <c r="AI451"/>
  <c r="AH451"/>
  <c r="AG451"/>
  <c r="AF451"/>
  <c r="AE451"/>
  <c r="AD451"/>
  <c r="AC451"/>
  <c r="AB451"/>
  <c r="AA451"/>
  <c r="Z451"/>
  <c r="Y451"/>
  <c r="X451"/>
  <c r="W451"/>
  <c r="V451"/>
  <c r="U451"/>
  <c r="T451"/>
  <c r="S451"/>
  <c r="R451"/>
  <c r="Q451"/>
  <c r="P451"/>
  <c r="O451"/>
  <c r="N451"/>
  <c r="M451"/>
  <c r="L451"/>
  <c r="K451"/>
  <c r="J451"/>
  <c r="I451"/>
  <c r="H451"/>
  <c r="G451"/>
  <c r="F451"/>
  <c r="E451"/>
  <c r="D451"/>
  <c r="BB450"/>
  <c r="BA450"/>
  <c r="AZ450"/>
  <c r="AY450"/>
  <c r="AX450"/>
  <c r="AW450"/>
  <c r="AV450"/>
  <c r="AU450"/>
  <c r="AT450"/>
  <c r="AS450"/>
  <c r="AR450"/>
  <c r="AQ450"/>
  <c r="AP450"/>
  <c r="AO450"/>
  <c r="AN450"/>
  <c r="AM450"/>
  <c r="AL450"/>
  <c r="AK450"/>
  <c r="AJ450"/>
  <c r="AI450"/>
  <c r="AH450"/>
  <c r="AG450"/>
  <c r="AF450"/>
  <c r="AE450"/>
  <c r="AD450"/>
  <c r="AC450"/>
  <c r="AB450"/>
  <c r="AA450"/>
  <c r="Z450"/>
  <c r="Y450"/>
  <c r="X450"/>
  <c r="W450"/>
  <c r="V450"/>
  <c r="U450"/>
  <c r="T450"/>
  <c r="S450"/>
  <c r="R450"/>
  <c r="Q450"/>
  <c r="P450"/>
  <c r="O450"/>
  <c r="N450"/>
  <c r="M450"/>
  <c r="L450"/>
  <c r="K450"/>
  <c r="J450"/>
  <c r="I450"/>
  <c r="H450"/>
  <c r="G450"/>
  <c r="F450"/>
  <c r="E450"/>
  <c r="D450"/>
  <c r="BB449"/>
  <c r="BA449"/>
  <c r="AZ449"/>
  <c r="AY449"/>
  <c r="AX449"/>
  <c r="AW449"/>
  <c r="AV449"/>
  <c r="AU449"/>
  <c r="AT449"/>
  <c r="AS449"/>
  <c r="AR449"/>
  <c r="AQ449"/>
  <c r="AP449"/>
  <c r="AO449"/>
  <c r="AN449"/>
  <c r="AM449"/>
  <c r="AL449"/>
  <c r="AK449"/>
  <c r="AJ449"/>
  <c r="AI449"/>
  <c r="AH449"/>
  <c r="AG449"/>
  <c r="AF449"/>
  <c r="AE449"/>
  <c r="AD449"/>
  <c r="AC449"/>
  <c r="AB449"/>
  <c r="AA449"/>
  <c r="Z449"/>
  <c r="Y449"/>
  <c r="X449"/>
  <c r="W449"/>
  <c r="V449"/>
  <c r="U449"/>
  <c r="T449"/>
  <c r="S449"/>
  <c r="R449"/>
  <c r="Q449"/>
  <c r="P449"/>
  <c r="O449"/>
  <c r="N449"/>
  <c r="M449"/>
  <c r="L449"/>
  <c r="K449"/>
  <c r="J449"/>
  <c r="I449"/>
  <c r="H449"/>
  <c r="G449"/>
  <c r="F449"/>
  <c r="E449"/>
  <c r="D449"/>
  <c r="BB448"/>
  <c r="BA448"/>
  <c r="AZ448"/>
  <c r="AY448"/>
  <c r="AX448"/>
  <c r="AW448"/>
  <c r="AV448"/>
  <c r="AU448"/>
  <c r="AT448"/>
  <c r="AS448"/>
  <c r="AR448"/>
  <c r="AQ448"/>
  <c r="AP448"/>
  <c r="AO448"/>
  <c r="AN448"/>
  <c r="AM448"/>
  <c r="AL448"/>
  <c r="AK448"/>
  <c r="AJ448"/>
  <c r="AI448"/>
  <c r="AH448"/>
  <c r="AG448"/>
  <c r="AF448"/>
  <c r="AE448"/>
  <c r="AD448"/>
  <c r="AC448"/>
  <c r="AB448"/>
  <c r="AA448"/>
  <c r="Z448"/>
  <c r="Y448"/>
  <c r="X448"/>
  <c r="W448"/>
  <c r="V448"/>
  <c r="U448"/>
  <c r="T448"/>
  <c r="S448"/>
  <c r="R448"/>
  <c r="Q448"/>
  <c r="P448"/>
  <c r="O448"/>
  <c r="N448"/>
  <c r="M448"/>
  <c r="L448"/>
  <c r="K448"/>
  <c r="J448"/>
  <c r="I448"/>
  <c r="H448"/>
  <c r="G448"/>
  <c r="F448"/>
  <c r="E448"/>
  <c r="D448"/>
  <c r="BB447"/>
  <c r="BA447"/>
  <c r="AZ447"/>
  <c r="AY447"/>
  <c r="AX447"/>
  <c r="AW447"/>
  <c r="AV447"/>
  <c r="AU447"/>
  <c r="AT447"/>
  <c r="AS447"/>
  <c r="AR447"/>
  <c r="AQ447"/>
  <c r="AP447"/>
  <c r="AO447"/>
  <c r="AN447"/>
  <c r="AM447"/>
  <c r="AL447"/>
  <c r="AK447"/>
  <c r="AJ447"/>
  <c r="AI447"/>
  <c r="AH447"/>
  <c r="AG447"/>
  <c r="AF447"/>
  <c r="AE447"/>
  <c r="AD447"/>
  <c r="AC447"/>
  <c r="AB447"/>
  <c r="AA447"/>
  <c r="Z447"/>
  <c r="Y447"/>
  <c r="X447"/>
  <c r="W447"/>
  <c r="V447"/>
  <c r="U447"/>
  <c r="T447"/>
  <c r="S447"/>
  <c r="R447"/>
  <c r="Q447"/>
  <c r="P447"/>
  <c r="O447"/>
  <c r="N447"/>
  <c r="M447"/>
  <c r="L447"/>
  <c r="K447"/>
  <c r="J447"/>
  <c r="I447"/>
  <c r="H447"/>
  <c r="G447"/>
  <c r="F447"/>
  <c r="E447"/>
  <c r="D447"/>
  <c r="BB446"/>
  <c r="BA446"/>
  <c r="AZ446"/>
  <c r="AY446"/>
  <c r="AX446"/>
  <c r="AW446"/>
  <c r="AV446"/>
  <c r="AU446"/>
  <c r="AT446"/>
  <c r="AS446"/>
  <c r="AR446"/>
  <c r="AQ446"/>
  <c r="AP446"/>
  <c r="AO446"/>
  <c r="AN446"/>
  <c r="AM446"/>
  <c r="AL446"/>
  <c r="AK446"/>
  <c r="AJ446"/>
  <c r="AI446"/>
  <c r="AH446"/>
  <c r="AG446"/>
  <c r="AF446"/>
  <c r="AE446"/>
  <c r="AD446"/>
  <c r="AC446"/>
  <c r="AB446"/>
  <c r="AA446"/>
  <c r="Z446"/>
  <c r="Y446"/>
  <c r="X446"/>
  <c r="W446"/>
  <c r="V446"/>
  <c r="U446"/>
  <c r="T446"/>
  <c r="S446"/>
  <c r="R446"/>
  <c r="Q446"/>
  <c r="P446"/>
  <c r="O446"/>
  <c r="N446"/>
  <c r="M446"/>
  <c r="L446"/>
  <c r="K446"/>
  <c r="J446"/>
  <c r="I446"/>
  <c r="H446"/>
  <c r="G446"/>
  <c r="F446"/>
  <c r="E446"/>
  <c r="D446"/>
  <c r="BB445"/>
  <c r="BA445"/>
  <c r="AZ445"/>
  <c r="AY445"/>
  <c r="AX445"/>
  <c r="AW445"/>
  <c r="AV445"/>
  <c r="AU445"/>
  <c r="AT445"/>
  <c r="AS445"/>
  <c r="AR445"/>
  <c r="AQ445"/>
  <c r="AP445"/>
  <c r="AO445"/>
  <c r="AN445"/>
  <c r="AM445"/>
  <c r="AL445"/>
  <c r="AK445"/>
  <c r="AJ445"/>
  <c r="AI445"/>
  <c r="AH445"/>
  <c r="AG445"/>
  <c r="AF445"/>
  <c r="AE445"/>
  <c r="AD445"/>
  <c r="AC445"/>
  <c r="AB445"/>
  <c r="AA445"/>
  <c r="Z445"/>
  <c r="Y445"/>
  <c r="X445"/>
  <c r="W445"/>
  <c r="V445"/>
  <c r="U445"/>
  <c r="T445"/>
  <c r="S445"/>
  <c r="R445"/>
  <c r="Q445"/>
  <c r="P445"/>
  <c r="O445"/>
  <c r="N445"/>
  <c r="M445"/>
  <c r="L445"/>
  <c r="K445"/>
  <c r="J445"/>
  <c r="I445"/>
  <c r="H445"/>
  <c r="G445"/>
  <c r="F445"/>
  <c r="E445"/>
  <c r="D445"/>
  <c r="BB444"/>
  <c r="BA444"/>
  <c r="AZ444"/>
  <c r="AY444"/>
  <c r="AX444"/>
  <c r="AW444"/>
  <c r="AV444"/>
  <c r="AU444"/>
  <c r="AT444"/>
  <c r="AS444"/>
  <c r="AR444"/>
  <c r="AQ444"/>
  <c r="AP444"/>
  <c r="AO444"/>
  <c r="AN444"/>
  <c r="AM444"/>
  <c r="AL444"/>
  <c r="AK444"/>
  <c r="AJ444"/>
  <c r="AI444"/>
  <c r="AH444"/>
  <c r="AG444"/>
  <c r="AF444"/>
  <c r="AE444"/>
  <c r="AD444"/>
  <c r="AC444"/>
  <c r="AB444"/>
  <c r="AA444"/>
  <c r="Z444"/>
  <c r="Y444"/>
  <c r="X444"/>
  <c r="W444"/>
  <c r="V444"/>
  <c r="U444"/>
  <c r="T444"/>
  <c r="S444"/>
  <c r="R444"/>
  <c r="Q444"/>
  <c r="P444"/>
  <c r="O444"/>
  <c r="N444"/>
  <c r="M444"/>
  <c r="L444"/>
  <c r="K444"/>
  <c r="J444"/>
  <c r="I444"/>
  <c r="H444"/>
  <c r="G444"/>
  <c r="F444"/>
  <c r="E444"/>
  <c r="D444"/>
  <c r="BB443"/>
  <c r="BA443"/>
  <c r="AZ443"/>
  <c r="AY443"/>
  <c r="AX443"/>
  <c r="AW443"/>
  <c r="AV443"/>
  <c r="AU443"/>
  <c r="AT443"/>
  <c r="AS443"/>
  <c r="AR443"/>
  <c r="AQ443"/>
  <c r="AP443"/>
  <c r="AO443"/>
  <c r="AN443"/>
  <c r="AM443"/>
  <c r="AL443"/>
  <c r="AK443"/>
  <c r="AJ443"/>
  <c r="AI443"/>
  <c r="AH443"/>
  <c r="AG443"/>
  <c r="AF443"/>
  <c r="AE443"/>
  <c r="AD443"/>
  <c r="AC443"/>
  <c r="AB443"/>
  <c r="AA443"/>
  <c r="Z443"/>
  <c r="Y443"/>
  <c r="X443"/>
  <c r="W443"/>
  <c r="V443"/>
  <c r="U443"/>
  <c r="T443"/>
  <c r="S443"/>
  <c r="R443"/>
  <c r="Q443"/>
  <c r="P443"/>
  <c r="O443"/>
  <c r="N443"/>
  <c r="M443"/>
  <c r="L443"/>
  <c r="K443"/>
  <c r="J443"/>
  <c r="I443"/>
  <c r="H443"/>
  <c r="G443"/>
  <c r="F443"/>
  <c r="E443"/>
  <c r="D443"/>
  <c r="BB442"/>
  <c r="BA442"/>
  <c r="AZ442"/>
  <c r="AY442"/>
  <c r="AX442"/>
  <c r="AW442"/>
  <c r="AV442"/>
  <c r="AU442"/>
  <c r="AT442"/>
  <c r="AS442"/>
  <c r="AR442"/>
  <c r="AQ442"/>
  <c r="AP442"/>
  <c r="AO442"/>
  <c r="AN442"/>
  <c r="AM442"/>
  <c r="AL442"/>
  <c r="AK442"/>
  <c r="AJ442"/>
  <c r="AI442"/>
  <c r="AH442"/>
  <c r="AG442"/>
  <c r="AF442"/>
  <c r="AE442"/>
  <c r="AD442"/>
  <c r="AC442"/>
  <c r="AB442"/>
  <c r="AA442"/>
  <c r="Z442"/>
  <c r="Y442"/>
  <c r="X442"/>
  <c r="W442"/>
  <c r="V442"/>
  <c r="U442"/>
  <c r="T442"/>
  <c r="S442"/>
  <c r="R442"/>
  <c r="Q442"/>
  <c r="P442"/>
  <c r="O442"/>
  <c r="N442"/>
  <c r="M442"/>
  <c r="L442"/>
  <c r="K442"/>
  <c r="J442"/>
  <c r="I442"/>
  <c r="H442"/>
  <c r="G442"/>
  <c r="F442"/>
  <c r="E442"/>
  <c r="D442"/>
  <c r="BB441"/>
  <c r="BA441"/>
  <c r="AZ441"/>
  <c r="AY441"/>
  <c r="AX441"/>
  <c r="AW441"/>
  <c r="AV441"/>
  <c r="AU441"/>
  <c r="AT441"/>
  <c r="AS441"/>
  <c r="AR441"/>
  <c r="AQ441"/>
  <c r="AP441"/>
  <c r="AO441"/>
  <c r="AN441"/>
  <c r="AM441"/>
  <c r="AL441"/>
  <c r="AK441"/>
  <c r="AJ441"/>
  <c r="AI441"/>
  <c r="AH441"/>
  <c r="AG441"/>
  <c r="AF441"/>
  <c r="AE441"/>
  <c r="AD441"/>
  <c r="AC441"/>
  <c r="AB441"/>
  <c r="AA441"/>
  <c r="Z441"/>
  <c r="Y441"/>
  <c r="X441"/>
  <c r="W441"/>
  <c r="V441"/>
  <c r="U441"/>
  <c r="T441"/>
  <c r="S441"/>
  <c r="R441"/>
  <c r="Q441"/>
  <c r="P441"/>
  <c r="O441"/>
  <c r="N441"/>
  <c r="M441"/>
  <c r="L441"/>
  <c r="K441"/>
  <c r="J441"/>
  <c r="I441"/>
  <c r="H441"/>
  <c r="G441"/>
  <c r="F441"/>
  <c r="E441"/>
  <c r="D441"/>
  <c r="BB440"/>
  <c r="BA440"/>
  <c r="AZ440"/>
  <c r="AY440"/>
  <c r="AX440"/>
  <c r="AW440"/>
  <c r="AV440"/>
  <c r="AU440"/>
  <c r="AT440"/>
  <c r="AS440"/>
  <c r="AR440"/>
  <c r="AQ440"/>
  <c r="AP440"/>
  <c r="AO440"/>
  <c r="AN440"/>
  <c r="AM440"/>
  <c r="AL440"/>
  <c r="AK440"/>
  <c r="AJ440"/>
  <c r="AI440"/>
  <c r="AH440"/>
  <c r="AG440"/>
  <c r="AF440"/>
  <c r="AE440"/>
  <c r="AD440"/>
  <c r="AC440"/>
  <c r="AB440"/>
  <c r="AA440"/>
  <c r="Z440"/>
  <c r="Y440"/>
  <c r="X440"/>
  <c r="W440"/>
  <c r="V440"/>
  <c r="U440"/>
  <c r="T440"/>
  <c r="S440"/>
  <c r="R440"/>
  <c r="Q440"/>
  <c r="P440"/>
  <c r="O440"/>
  <c r="N440"/>
  <c r="M440"/>
  <c r="L440"/>
  <c r="K440"/>
  <c r="J440"/>
  <c r="I440"/>
  <c r="H440"/>
  <c r="G440"/>
  <c r="F440"/>
  <c r="E440"/>
  <c r="D440"/>
  <c r="BB439"/>
  <c r="BA439"/>
  <c r="AZ439"/>
  <c r="AY439"/>
  <c r="AX439"/>
  <c r="AW439"/>
  <c r="AV439"/>
  <c r="AU439"/>
  <c r="AT439"/>
  <c r="AS439"/>
  <c r="AR439"/>
  <c r="AQ439"/>
  <c r="AP439"/>
  <c r="AO439"/>
  <c r="AN439"/>
  <c r="AM439"/>
  <c r="AL439"/>
  <c r="AK439"/>
  <c r="AJ439"/>
  <c r="AI439"/>
  <c r="AH439"/>
  <c r="AG439"/>
  <c r="AF439"/>
  <c r="AE439"/>
  <c r="AD439"/>
  <c r="AC439"/>
  <c r="AB439"/>
  <c r="AA439"/>
  <c r="Z439"/>
  <c r="Y439"/>
  <c r="X439"/>
  <c r="W439"/>
  <c r="V439"/>
  <c r="U439"/>
  <c r="T439"/>
  <c r="S439"/>
  <c r="R439"/>
  <c r="Q439"/>
  <c r="P439"/>
  <c r="O439"/>
  <c r="N439"/>
  <c r="M439"/>
  <c r="L439"/>
  <c r="K439"/>
  <c r="J439"/>
  <c r="I439"/>
  <c r="H439"/>
  <c r="G439"/>
  <c r="F439"/>
  <c r="E439"/>
  <c r="D439"/>
  <c r="BB438"/>
  <c r="BA438"/>
  <c r="AZ438"/>
  <c r="AY438"/>
  <c r="AX438"/>
  <c r="AW438"/>
  <c r="AV438"/>
  <c r="AU438"/>
  <c r="AT438"/>
  <c r="AS438"/>
  <c r="AR438"/>
  <c r="AQ438"/>
  <c r="AP438"/>
  <c r="AO438"/>
  <c r="AN438"/>
  <c r="AM438"/>
  <c r="AL438"/>
  <c r="AK438"/>
  <c r="AJ438"/>
  <c r="AI438"/>
  <c r="AH438"/>
  <c r="AG438"/>
  <c r="AF438"/>
  <c r="AE438"/>
  <c r="AD438"/>
  <c r="AC438"/>
  <c r="AB438"/>
  <c r="AA438"/>
  <c r="Z438"/>
  <c r="Y438"/>
  <c r="X438"/>
  <c r="W438"/>
  <c r="V438"/>
  <c r="U438"/>
  <c r="T438"/>
  <c r="S438"/>
  <c r="R438"/>
  <c r="Q438"/>
  <c r="P438"/>
  <c r="O438"/>
  <c r="N438"/>
  <c r="M438"/>
  <c r="L438"/>
  <c r="K438"/>
  <c r="J438"/>
  <c r="I438"/>
  <c r="H438"/>
  <c r="G438"/>
  <c r="F438"/>
  <c r="E438"/>
  <c r="D438"/>
  <c r="BB437"/>
  <c r="BA437"/>
  <c r="AZ437"/>
  <c r="AY437"/>
  <c r="AX437"/>
  <c r="AW437"/>
  <c r="AV437"/>
  <c r="AU437"/>
  <c r="AT437"/>
  <c r="AS437"/>
  <c r="AR437"/>
  <c r="AQ437"/>
  <c r="AP437"/>
  <c r="AO437"/>
  <c r="AN437"/>
  <c r="AM437"/>
  <c r="AL437"/>
  <c r="AK437"/>
  <c r="AJ437"/>
  <c r="AI437"/>
  <c r="AH437"/>
  <c r="AG437"/>
  <c r="AF437"/>
  <c r="AE437"/>
  <c r="AD437"/>
  <c r="AC437"/>
  <c r="AB437"/>
  <c r="AA437"/>
  <c r="Z437"/>
  <c r="Y437"/>
  <c r="X437"/>
  <c r="W437"/>
  <c r="V437"/>
  <c r="U437"/>
  <c r="T437"/>
  <c r="S437"/>
  <c r="R437"/>
  <c r="Q437"/>
  <c r="P437"/>
  <c r="O437"/>
  <c r="N437"/>
  <c r="M437"/>
  <c r="L437"/>
  <c r="K437"/>
  <c r="J437"/>
  <c r="I437"/>
  <c r="H437"/>
  <c r="G437"/>
  <c r="F437"/>
  <c r="E437"/>
  <c r="D437"/>
  <c r="BB436"/>
  <c r="BA436"/>
  <c r="AZ436"/>
  <c r="AY436"/>
  <c r="AX436"/>
  <c r="AW436"/>
  <c r="AV436"/>
  <c r="AU436"/>
  <c r="AT436"/>
  <c r="AS436"/>
  <c r="AR436"/>
  <c r="AQ436"/>
  <c r="AP436"/>
  <c r="AO436"/>
  <c r="AN436"/>
  <c r="AM436"/>
  <c r="AL436"/>
  <c r="AK436"/>
  <c r="AJ436"/>
  <c r="AI436"/>
  <c r="AH436"/>
  <c r="AG436"/>
  <c r="AF436"/>
  <c r="AE436"/>
  <c r="AD436"/>
  <c r="AC436"/>
  <c r="AB436"/>
  <c r="AA436"/>
  <c r="Z436"/>
  <c r="Y436"/>
  <c r="X436"/>
  <c r="W436"/>
  <c r="V436"/>
  <c r="U436"/>
  <c r="T436"/>
  <c r="S436"/>
  <c r="R436"/>
  <c r="Q436"/>
  <c r="P436"/>
  <c r="O436"/>
  <c r="N436"/>
  <c r="M436"/>
  <c r="L436"/>
  <c r="K436"/>
  <c r="J436"/>
  <c r="I436"/>
  <c r="H436"/>
  <c r="G436"/>
  <c r="F436"/>
  <c r="E436"/>
  <c r="D436"/>
  <c r="BB435"/>
  <c r="O133" i="122" s="1"/>
  <c r="BA435" i="111"/>
  <c r="N133" i="122" s="1"/>
  <c r="AZ435" i="111"/>
  <c r="M133" i="122" s="1"/>
  <c r="AY435" i="111"/>
  <c r="L133" i="122" s="1"/>
  <c r="AX435" i="111"/>
  <c r="K133" i="122" s="1"/>
  <c r="AW435" i="111"/>
  <c r="J133" i="122" s="1"/>
  <c r="AV435" i="111"/>
  <c r="I133" i="122" s="1"/>
  <c r="AU435" i="111"/>
  <c r="H133" i="122" s="1"/>
  <c r="AT435" i="111"/>
  <c r="G133" i="122" s="1"/>
  <c r="AS435" i="111"/>
  <c r="F133" i="122" s="1"/>
  <c r="AR435" i="111"/>
  <c r="E133" i="122" s="1"/>
  <c r="AQ435" i="111"/>
  <c r="D133" i="122" s="1"/>
  <c r="AP435" i="111"/>
  <c r="AO435"/>
  <c r="AN435"/>
  <c r="AM435"/>
  <c r="AL435"/>
  <c r="AK435"/>
  <c r="AJ435"/>
  <c r="AI435"/>
  <c r="AH435"/>
  <c r="AG435"/>
  <c r="AF435"/>
  <c r="AE435"/>
  <c r="AD435"/>
  <c r="AC435"/>
  <c r="AB435"/>
  <c r="AA435"/>
  <c r="Z435"/>
  <c r="Y435"/>
  <c r="X435"/>
  <c r="W435"/>
  <c r="V435"/>
  <c r="U435"/>
  <c r="T435"/>
  <c r="S435"/>
  <c r="R435"/>
  <c r="Q435"/>
  <c r="P435"/>
  <c r="O435"/>
  <c r="N435"/>
  <c r="M435"/>
  <c r="L435"/>
  <c r="K435"/>
  <c r="J435"/>
  <c r="I435"/>
  <c r="H435"/>
  <c r="G435"/>
  <c r="F435"/>
  <c r="E435"/>
  <c r="D435"/>
  <c r="BB434"/>
  <c r="BA434"/>
  <c r="AZ434"/>
  <c r="AY434"/>
  <c r="AX434"/>
  <c r="AW434"/>
  <c r="AV434"/>
  <c r="AU434"/>
  <c r="AT434"/>
  <c r="AS434"/>
  <c r="AR434"/>
  <c r="AQ434"/>
  <c r="AP434"/>
  <c r="AO434"/>
  <c r="AN434"/>
  <c r="AM434"/>
  <c r="AL434"/>
  <c r="AK434"/>
  <c r="AJ434"/>
  <c r="AI434"/>
  <c r="AH434"/>
  <c r="AG434"/>
  <c r="AF434"/>
  <c r="AE434"/>
  <c r="AD434"/>
  <c r="AC434"/>
  <c r="AB434"/>
  <c r="AA434"/>
  <c r="Z434"/>
  <c r="Y434"/>
  <c r="X434"/>
  <c r="W434"/>
  <c r="V434"/>
  <c r="U434"/>
  <c r="T434"/>
  <c r="S434"/>
  <c r="R434"/>
  <c r="Q434"/>
  <c r="P434"/>
  <c r="O434"/>
  <c r="N434"/>
  <c r="M434"/>
  <c r="L434"/>
  <c r="K434"/>
  <c r="J434"/>
  <c r="I434"/>
  <c r="H434"/>
  <c r="G434"/>
  <c r="F434"/>
  <c r="E434"/>
  <c r="D434"/>
  <c r="BB433"/>
  <c r="BA433"/>
  <c r="AZ433"/>
  <c r="AY433"/>
  <c r="AX433"/>
  <c r="AW433"/>
  <c r="AV433"/>
  <c r="AU433"/>
  <c r="AT433"/>
  <c r="AS433"/>
  <c r="AR433"/>
  <c r="AQ433"/>
  <c r="AP433"/>
  <c r="AO433"/>
  <c r="AN433"/>
  <c r="AM433"/>
  <c r="AL433"/>
  <c r="AK433"/>
  <c r="AJ433"/>
  <c r="AI433"/>
  <c r="AH433"/>
  <c r="AG433"/>
  <c r="AF433"/>
  <c r="AE433"/>
  <c r="AD433"/>
  <c r="AC433"/>
  <c r="AB433"/>
  <c r="AA433"/>
  <c r="Z433"/>
  <c r="Y433"/>
  <c r="X433"/>
  <c r="W433"/>
  <c r="V433"/>
  <c r="U433"/>
  <c r="T433"/>
  <c r="S433"/>
  <c r="R433"/>
  <c r="Q433"/>
  <c r="P433"/>
  <c r="O433"/>
  <c r="N433"/>
  <c r="M433"/>
  <c r="L433"/>
  <c r="K433"/>
  <c r="J433"/>
  <c r="I433"/>
  <c r="H433"/>
  <c r="G433"/>
  <c r="F433"/>
  <c r="E433"/>
  <c r="D433"/>
  <c r="BB432"/>
  <c r="BA432"/>
  <c r="AZ432"/>
  <c r="AY432"/>
  <c r="AX432"/>
  <c r="AW432"/>
  <c r="AV432"/>
  <c r="AU432"/>
  <c r="AT432"/>
  <c r="AS432"/>
  <c r="AR432"/>
  <c r="AQ432"/>
  <c r="AP432"/>
  <c r="AO432"/>
  <c r="AN432"/>
  <c r="AM432"/>
  <c r="AL432"/>
  <c r="AK432"/>
  <c r="AJ432"/>
  <c r="AI432"/>
  <c r="AH432"/>
  <c r="AG432"/>
  <c r="AF432"/>
  <c r="AE432"/>
  <c r="AD432"/>
  <c r="AC432"/>
  <c r="AB432"/>
  <c r="AA432"/>
  <c r="Z432"/>
  <c r="Y432"/>
  <c r="X432"/>
  <c r="W432"/>
  <c r="V432"/>
  <c r="U432"/>
  <c r="T432"/>
  <c r="S432"/>
  <c r="R432"/>
  <c r="Q432"/>
  <c r="P432"/>
  <c r="O432"/>
  <c r="N432"/>
  <c r="M432"/>
  <c r="L432"/>
  <c r="K432"/>
  <c r="J432"/>
  <c r="I432"/>
  <c r="H432"/>
  <c r="G432"/>
  <c r="F432"/>
  <c r="E432"/>
  <c r="D432"/>
  <c r="BB431"/>
  <c r="BA431"/>
  <c r="AZ431"/>
  <c r="AY431"/>
  <c r="AX431"/>
  <c r="AW431"/>
  <c r="AV431"/>
  <c r="AU431"/>
  <c r="AT431"/>
  <c r="AS431"/>
  <c r="AR431"/>
  <c r="AQ431"/>
  <c r="AP431"/>
  <c r="AO431"/>
  <c r="AN431"/>
  <c r="AM431"/>
  <c r="AL431"/>
  <c r="AK431"/>
  <c r="AJ431"/>
  <c r="AI431"/>
  <c r="AH431"/>
  <c r="AG431"/>
  <c r="AF431"/>
  <c r="AE431"/>
  <c r="AD431"/>
  <c r="AC431"/>
  <c r="AB431"/>
  <c r="AA431"/>
  <c r="Z431"/>
  <c r="Y431"/>
  <c r="X431"/>
  <c r="W431"/>
  <c r="V431"/>
  <c r="U431"/>
  <c r="T431"/>
  <c r="S431"/>
  <c r="R431"/>
  <c r="Q431"/>
  <c r="P431"/>
  <c r="O431"/>
  <c r="N431"/>
  <c r="M431"/>
  <c r="L431"/>
  <c r="K431"/>
  <c r="J431"/>
  <c r="I431"/>
  <c r="H431"/>
  <c r="G431"/>
  <c r="F431"/>
  <c r="E431"/>
  <c r="D431"/>
  <c r="BB430"/>
  <c r="BA430"/>
  <c r="AZ430"/>
  <c r="AY430"/>
  <c r="AX430"/>
  <c r="AW430"/>
  <c r="AV430"/>
  <c r="AU430"/>
  <c r="AT430"/>
  <c r="AS430"/>
  <c r="AR430"/>
  <c r="AQ430"/>
  <c r="AP430"/>
  <c r="AO430"/>
  <c r="AN430"/>
  <c r="AM430"/>
  <c r="AL430"/>
  <c r="AK430"/>
  <c r="AJ430"/>
  <c r="AI430"/>
  <c r="AH430"/>
  <c r="AG430"/>
  <c r="AF430"/>
  <c r="AE430"/>
  <c r="AD430"/>
  <c r="AC430"/>
  <c r="AB430"/>
  <c r="AA430"/>
  <c r="Z430"/>
  <c r="Y430"/>
  <c r="X430"/>
  <c r="W430"/>
  <c r="V430"/>
  <c r="U430"/>
  <c r="T430"/>
  <c r="S430"/>
  <c r="R430"/>
  <c r="Q430"/>
  <c r="P430"/>
  <c r="O430"/>
  <c r="N430"/>
  <c r="M430"/>
  <c r="L430"/>
  <c r="K430"/>
  <c r="J430"/>
  <c r="I430"/>
  <c r="H430"/>
  <c r="G430"/>
  <c r="F430"/>
  <c r="E430"/>
  <c r="D430"/>
  <c r="BB429"/>
  <c r="BA429"/>
  <c r="AZ429"/>
  <c r="AY429"/>
  <c r="AX429"/>
  <c r="AW429"/>
  <c r="AV429"/>
  <c r="AU429"/>
  <c r="AT429"/>
  <c r="AS429"/>
  <c r="AR429"/>
  <c r="AQ429"/>
  <c r="AP429"/>
  <c r="AO429"/>
  <c r="AN429"/>
  <c r="AM429"/>
  <c r="AL429"/>
  <c r="AK429"/>
  <c r="AJ429"/>
  <c r="AI429"/>
  <c r="AH429"/>
  <c r="AG429"/>
  <c r="AF429"/>
  <c r="AE429"/>
  <c r="AD429"/>
  <c r="AC429"/>
  <c r="AB429"/>
  <c r="AA429"/>
  <c r="Z429"/>
  <c r="Y429"/>
  <c r="X429"/>
  <c r="W429"/>
  <c r="V429"/>
  <c r="U429"/>
  <c r="T429"/>
  <c r="S429"/>
  <c r="R429"/>
  <c r="Q429"/>
  <c r="P429"/>
  <c r="O429"/>
  <c r="N429"/>
  <c r="M429"/>
  <c r="L429"/>
  <c r="K429"/>
  <c r="J429"/>
  <c r="I429"/>
  <c r="H429"/>
  <c r="G429"/>
  <c r="F429"/>
  <c r="E429"/>
  <c r="D429"/>
  <c r="BB428"/>
  <c r="BA428"/>
  <c r="AZ428"/>
  <c r="AY428"/>
  <c r="AX428"/>
  <c r="AW428"/>
  <c r="AV428"/>
  <c r="AU428"/>
  <c r="AT428"/>
  <c r="AS428"/>
  <c r="AR428"/>
  <c r="AQ428"/>
  <c r="AP428"/>
  <c r="AO428"/>
  <c r="AN428"/>
  <c r="AM428"/>
  <c r="AL428"/>
  <c r="AK428"/>
  <c r="AJ428"/>
  <c r="AI428"/>
  <c r="AH428"/>
  <c r="AG428"/>
  <c r="AF428"/>
  <c r="AE428"/>
  <c r="AD428"/>
  <c r="AC428"/>
  <c r="AB428"/>
  <c r="AA428"/>
  <c r="Z428"/>
  <c r="Y428"/>
  <c r="X428"/>
  <c r="W428"/>
  <c r="V428"/>
  <c r="U428"/>
  <c r="T428"/>
  <c r="S428"/>
  <c r="R428"/>
  <c r="Q428"/>
  <c r="P428"/>
  <c r="O428"/>
  <c r="N428"/>
  <c r="M428"/>
  <c r="L428"/>
  <c r="K428"/>
  <c r="J428"/>
  <c r="I428"/>
  <c r="H428"/>
  <c r="G428"/>
  <c r="F428"/>
  <c r="E428"/>
  <c r="D428"/>
  <c r="BB427"/>
  <c r="BA427"/>
  <c r="AZ427"/>
  <c r="AY427"/>
  <c r="AX427"/>
  <c r="AW427"/>
  <c r="AV427"/>
  <c r="AU427"/>
  <c r="AT427"/>
  <c r="AS427"/>
  <c r="AR427"/>
  <c r="AQ427"/>
  <c r="AP427"/>
  <c r="AO427"/>
  <c r="AN427"/>
  <c r="AM427"/>
  <c r="AL427"/>
  <c r="AK427"/>
  <c r="AJ427"/>
  <c r="AI427"/>
  <c r="AH427"/>
  <c r="AG427"/>
  <c r="AF427"/>
  <c r="AE427"/>
  <c r="AD427"/>
  <c r="AC427"/>
  <c r="AB427"/>
  <c r="AA427"/>
  <c r="Z427"/>
  <c r="Y427"/>
  <c r="X427"/>
  <c r="W427"/>
  <c r="V427"/>
  <c r="U427"/>
  <c r="T427"/>
  <c r="S427"/>
  <c r="R427"/>
  <c r="Q427"/>
  <c r="P427"/>
  <c r="O427"/>
  <c r="N427"/>
  <c r="M427"/>
  <c r="L427"/>
  <c r="K427"/>
  <c r="J427"/>
  <c r="I427"/>
  <c r="H427"/>
  <c r="G427"/>
  <c r="F427"/>
  <c r="E427"/>
  <c r="D427"/>
  <c r="BB426"/>
  <c r="BA426"/>
  <c r="AZ426"/>
  <c r="AY426"/>
  <c r="AX426"/>
  <c r="AW426"/>
  <c r="AV426"/>
  <c r="AU426"/>
  <c r="AT426"/>
  <c r="AS426"/>
  <c r="AR426"/>
  <c r="AQ426"/>
  <c r="AP426"/>
  <c r="AO426"/>
  <c r="AN426"/>
  <c r="AM426"/>
  <c r="AL426"/>
  <c r="AK426"/>
  <c r="AJ426"/>
  <c r="AI426"/>
  <c r="AH426"/>
  <c r="AG426"/>
  <c r="AF426"/>
  <c r="AE426"/>
  <c r="AD426"/>
  <c r="AC426"/>
  <c r="AB426"/>
  <c r="AA426"/>
  <c r="Z426"/>
  <c r="Y426"/>
  <c r="X426"/>
  <c r="W426"/>
  <c r="V426"/>
  <c r="U426"/>
  <c r="T426"/>
  <c r="S426"/>
  <c r="R426"/>
  <c r="Q426"/>
  <c r="P426"/>
  <c r="O426"/>
  <c r="N426"/>
  <c r="M426"/>
  <c r="L426"/>
  <c r="K426"/>
  <c r="J426"/>
  <c r="I426"/>
  <c r="H426"/>
  <c r="G426"/>
  <c r="F426"/>
  <c r="E426"/>
  <c r="D426"/>
  <c r="BB425"/>
  <c r="BA425"/>
  <c r="AZ425"/>
  <c r="AY425"/>
  <c r="AX425"/>
  <c r="AW425"/>
  <c r="AV425"/>
  <c r="AU425"/>
  <c r="AT425"/>
  <c r="AS425"/>
  <c r="AR425"/>
  <c r="AQ425"/>
  <c r="AP425"/>
  <c r="AO425"/>
  <c r="AN425"/>
  <c r="AM425"/>
  <c r="AL425"/>
  <c r="AK425"/>
  <c r="AJ425"/>
  <c r="AI425"/>
  <c r="AH425"/>
  <c r="AG425"/>
  <c r="AF425"/>
  <c r="AE425"/>
  <c r="AD425"/>
  <c r="AC425"/>
  <c r="AB425"/>
  <c r="AA425"/>
  <c r="Z425"/>
  <c r="Y425"/>
  <c r="X425"/>
  <c r="W425"/>
  <c r="V425"/>
  <c r="U425"/>
  <c r="T425"/>
  <c r="S425"/>
  <c r="R425"/>
  <c r="Q425"/>
  <c r="P425"/>
  <c r="O425"/>
  <c r="N425"/>
  <c r="M425"/>
  <c r="L425"/>
  <c r="K425"/>
  <c r="J425"/>
  <c r="I425"/>
  <c r="H425"/>
  <c r="G425"/>
  <c r="F425"/>
  <c r="E425"/>
  <c r="D425"/>
  <c r="BB424"/>
  <c r="BA424"/>
  <c r="AZ424"/>
  <c r="AY424"/>
  <c r="AX424"/>
  <c r="AW424"/>
  <c r="AV424"/>
  <c r="AU424"/>
  <c r="AT424"/>
  <c r="AS424"/>
  <c r="AR424"/>
  <c r="AQ424"/>
  <c r="AP424"/>
  <c r="AO424"/>
  <c r="AN424"/>
  <c r="AM424"/>
  <c r="AL424"/>
  <c r="AK424"/>
  <c r="AJ424"/>
  <c r="AI424"/>
  <c r="AH424"/>
  <c r="AG424"/>
  <c r="AF424"/>
  <c r="AE424"/>
  <c r="AD424"/>
  <c r="AC424"/>
  <c r="AB424"/>
  <c r="AA424"/>
  <c r="Z424"/>
  <c r="Y424"/>
  <c r="X424"/>
  <c r="W424"/>
  <c r="V424"/>
  <c r="U424"/>
  <c r="T424"/>
  <c r="S424"/>
  <c r="R424"/>
  <c r="Q424"/>
  <c r="P424"/>
  <c r="O424"/>
  <c r="N424"/>
  <c r="M424"/>
  <c r="L424"/>
  <c r="K424"/>
  <c r="J424"/>
  <c r="I424"/>
  <c r="H424"/>
  <c r="G424"/>
  <c r="F424"/>
  <c r="E424"/>
  <c r="D424"/>
  <c r="BB423"/>
  <c r="BA423"/>
  <c r="AZ423"/>
  <c r="AY423"/>
  <c r="AX423"/>
  <c r="AW423"/>
  <c r="AV423"/>
  <c r="AU423"/>
  <c r="AT423"/>
  <c r="AS423"/>
  <c r="AR423"/>
  <c r="AQ423"/>
  <c r="AP423"/>
  <c r="AO423"/>
  <c r="AN423"/>
  <c r="AM423"/>
  <c r="AL423"/>
  <c r="AK423"/>
  <c r="AJ423"/>
  <c r="AI423"/>
  <c r="AH423"/>
  <c r="AG423"/>
  <c r="AF423"/>
  <c r="AE423"/>
  <c r="AD423"/>
  <c r="AC423"/>
  <c r="AB423"/>
  <c r="AA423"/>
  <c r="Z423"/>
  <c r="Y423"/>
  <c r="X423"/>
  <c r="W423"/>
  <c r="V423"/>
  <c r="U423"/>
  <c r="T423"/>
  <c r="S423"/>
  <c r="R423"/>
  <c r="Q423"/>
  <c r="P423"/>
  <c r="O423"/>
  <c r="N423"/>
  <c r="M423"/>
  <c r="L423"/>
  <c r="K423"/>
  <c r="J423"/>
  <c r="I423"/>
  <c r="H423"/>
  <c r="G423"/>
  <c r="F423"/>
  <c r="E423"/>
  <c r="D423"/>
  <c r="BB422"/>
  <c r="BA422"/>
  <c r="AZ422"/>
  <c r="AY422"/>
  <c r="AX422"/>
  <c r="AW422"/>
  <c r="AV422"/>
  <c r="AU422"/>
  <c r="AT422"/>
  <c r="AS422"/>
  <c r="AR422"/>
  <c r="AQ422"/>
  <c r="AP422"/>
  <c r="AO422"/>
  <c r="AN422"/>
  <c r="AM422"/>
  <c r="AL422"/>
  <c r="AK422"/>
  <c r="AJ422"/>
  <c r="AI422"/>
  <c r="AH422"/>
  <c r="AG422"/>
  <c r="AF422"/>
  <c r="AE422"/>
  <c r="AD422"/>
  <c r="AC422"/>
  <c r="AB422"/>
  <c r="AA422"/>
  <c r="Z422"/>
  <c r="Y422"/>
  <c r="X422"/>
  <c r="W422"/>
  <c r="V422"/>
  <c r="U422"/>
  <c r="T422"/>
  <c r="S422"/>
  <c r="R422"/>
  <c r="Q422"/>
  <c r="P422"/>
  <c r="O422"/>
  <c r="N422"/>
  <c r="M422"/>
  <c r="L422"/>
  <c r="K422"/>
  <c r="J422"/>
  <c r="I422"/>
  <c r="H422"/>
  <c r="G422"/>
  <c r="F422"/>
  <c r="E422"/>
  <c r="D422"/>
  <c r="BB421"/>
  <c r="BA421"/>
  <c r="AZ421"/>
  <c r="AY421"/>
  <c r="AX421"/>
  <c r="AW421"/>
  <c r="AV421"/>
  <c r="AU421"/>
  <c r="AT421"/>
  <c r="AS421"/>
  <c r="AR421"/>
  <c r="AQ421"/>
  <c r="AP421"/>
  <c r="AO421"/>
  <c r="AN421"/>
  <c r="AM421"/>
  <c r="AL421"/>
  <c r="AK421"/>
  <c r="AJ421"/>
  <c r="AI421"/>
  <c r="AH421"/>
  <c r="AG421"/>
  <c r="AF421"/>
  <c r="AE421"/>
  <c r="AD421"/>
  <c r="AC421"/>
  <c r="AB421"/>
  <c r="AA421"/>
  <c r="Z421"/>
  <c r="Y421"/>
  <c r="X421"/>
  <c r="W421"/>
  <c r="V421"/>
  <c r="U421"/>
  <c r="T421"/>
  <c r="S421"/>
  <c r="R421"/>
  <c r="Q421"/>
  <c r="P421"/>
  <c r="O421"/>
  <c r="N421"/>
  <c r="M421"/>
  <c r="L421"/>
  <c r="K421"/>
  <c r="J421"/>
  <c r="I421"/>
  <c r="H421"/>
  <c r="G421"/>
  <c r="F421"/>
  <c r="E421"/>
  <c r="D421"/>
  <c r="BB420"/>
  <c r="BA420"/>
  <c r="AZ420"/>
  <c r="AY420"/>
  <c r="AX420"/>
  <c r="AW420"/>
  <c r="AV420"/>
  <c r="AU420"/>
  <c r="AT420"/>
  <c r="AS420"/>
  <c r="AR420"/>
  <c r="AQ420"/>
  <c r="AP420"/>
  <c r="AO420"/>
  <c r="AN420"/>
  <c r="AM420"/>
  <c r="AL420"/>
  <c r="AK420"/>
  <c r="AJ420"/>
  <c r="AI420"/>
  <c r="AH420"/>
  <c r="AG420"/>
  <c r="AF420"/>
  <c r="AE420"/>
  <c r="AD420"/>
  <c r="AC420"/>
  <c r="AB420"/>
  <c r="AA420"/>
  <c r="Z420"/>
  <c r="Y420"/>
  <c r="X420"/>
  <c r="W420"/>
  <c r="V420"/>
  <c r="U420"/>
  <c r="T420"/>
  <c r="S420"/>
  <c r="R420"/>
  <c r="Q420"/>
  <c r="P420"/>
  <c r="O420"/>
  <c r="N420"/>
  <c r="M420"/>
  <c r="L420"/>
  <c r="K420"/>
  <c r="J420"/>
  <c r="I420"/>
  <c r="H420"/>
  <c r="G420"/>
  <c r="F420"/>
  <c r="E420"/>
  <c r="D420"/>
  <c r="BB419"/>
  <c r="BA419"/>
  <c r="AZ419"/>
  <c r="AY419"/>
  <c r="AX419"/>
  <c r="AW419"/>
  <c r="AV419"/>
  <c r="AU419"/>
  <c r="AT419"/>
  <c r="AS419"/>
  <c r="AR419"/>
  <c r="AQ419"/>
  <c r="AP419"/>
  <c r="AO419"/>
  <c r="AN419"/>
  <c r="AM419"/>
  <c r="AL419"/>
  <c r="AK419"/>
  <c r="AJ419"/>
  <c r="AI419"/>
  <c r="AH419"/>
  <c r="AG419"/>
  <c r="AF419"/>
  <c r="AE419"/>
  <c r="AD419"/>
  <c r="AC419"/>
  <c r="AB419"/>
  <c r="AA419"/>
  <c r="Z419"/>
  <c r="Y419"/>
  <c r="X419"/>
  <c r="W419"/>
  <c r="V419"/>
  <c r="U419"/>
  <c r="T419"/>
  <c r="S419"/>
  <c r="R419"/>
  <c r="Q419"/>
  <c r="P419"/>
  <c r="O419"/>
  <c r="N419"/>
  <c r="M419"/>
  <c r="L419"/>
  <c r="K419"/>
  <c r="J419"/>
  <c r="I419"/>
  <c r="H419"/>
  <c r="G419"/>
  <c r="F419"/>
  <c r="E419"/>
  <c r="D419"/>
  <c r="BB418"/>
  <c r="BA418"/>
  <c r="AZ418"/>
  <c r="AY418"/>
  <c r="AX418"/>
  <c r="AW418"/>
  <c r="AV418"/>
  <c r="AU418"/>
  <c r="AT418"/>
  <c r="AS418"/>
  <c r="AR418"/>
  <c r="AQ418"/>
  <c r="AP418"/>
  <c r="AO418"/>
  <c r="AN418"/>
  <c r="AM418"/>
  <c r="AL418"/>
  <c r="AK418"/>
  <c r="AJ418"/>
  <c r="AI418"/>
  <c r="AH418"/>
  <c r="AG418"/>
  <c r="AF418"/>
  <c r="AE418"/>
  <c r="AD418"/>
  <c r="AC418"/>
  <c r="AB418"/>
  <c r="AA418"/>
  <c r="Z418"/>
  <c r="Y418"/>
  <c r="X418"/>
  <c r="W418"/>
  <c r="V418"/>
  <c r="U418"/>
  <c r="T418"/>
  <c r="S418"/>
  <c r="R418"/>
  <c r="Q418"/>
  <c r="P418"/>
  <c r="O418"/>
  <c r="N418"/>
  <c r="M418"/>
  <c r="L418"/>
  <c r="K418"/>
  <c r="J418"/>
  <c r="I418"/>
  <c r="H418"/>
  <c r="G418"/>
  <c r="F418"/>
  <c r="E418"/>
  <c r="D418"/>
  <c r="BB417"/>
  <c r="BA417"/>
  <c r="AZ417"/>
  <c r="AY417"/>
  <c r="AX417"/>
  <c r="AW417"/>
  <c r="AV417"/>
  <c r="AU417"/>
  <c r="AT417"/>
  <c r="AS417"/>
  <c r="AR417"/>
  <c r="AQ417"/>
  <c r="AP417"/>
  <c r="AO417"/>
  <c r="AN417"/>
  <c r="AM417"/>
  <c r="AL417"/>
  <c r="AK417"/>
  <c r="AJ417"/>
  <c r="AI417"/>
  <c r="AH417"/>
  <c r="AG417"/>
  <c r="AF417"/>
  <c r="AE417"/>
  <c r="AD417"/>
  <c r="AC417"/>
  <c r="AB417"/>
  <c r="AA417"/>
  <c r="Z417"/>
  <c r="Y417"/>
  <c r="X417"/>
  <c r="W417"/>
  <c r="V417"/>
  <c r="U417"/>
  <c r="T417"/>
  <c r="S417"/>
  <c r="R417"/>
  <c r="Q417"/>
  <c r="P417"/>
  <c r="O417"/>
  <c r="N417"/>
  <c r="M417"/>
  <c r="L417"/>
  <c r="K417"/>
  <c r="J417"/>
  <c r="I417"/>
  <c r="H417"/>
  <c r="G417"/>
  <c r="F417"/>
  <c r="E417"/>
  <c r="D417"/>
  <c r="BB416"/>
  <c r="BA416"/>
  <c r="AZ416"/>
  <c r="AY416"/>
  <c r="AX416"/>
  <c r="AW416"/>
  <c r="AV416"/>
  <c r="AU416"/>
  <c r="AT416"/>
  <c r="AS416"/>
  <c r="AR416"/>
  <c r="AQ416"/>
  <c r="AP416"/>
  <c r="AO416"/>
  <c r="AN416"/>
  <c r="AM416"/>
  <c r="AL416"/>
  <c r="AK416"/>
  <c r="AJ416"/>
  <c r="AI416"/>
  <c r="AH416"/>
  <c r="AG416"/>
  <c r="AF416"/>
  <c r="AE416"/>
  <c r="AD416"/>
  <c r="AC416"/>
  <c r="AB416"/>
  <c r="AA416"/>
  <c r="Z416"/>
  <c r="Y416"/>
  <c r="X416"/>
  <c r="W416"/>
  <c r="V416"/>
  <c r="U416"/>
  <c r="T416"/>
  <c r="S416"/>
  <c r="R416"/>
  <c r="Q416"/>
  <c r="P416"/>
  <c r="O416"/>
  <c r="N416"/>
  <c r="M416"/>
  <c r="L416"/>
  <c r="K416"/>
  <c r="J416"/>
  <c r="I416"/>
  <c r="H416"/>
  <c r="G416"/>
  <c r="F416"/>
  <c r="E416"/>
  <c r="D416"/>
  <c r="BB415"/>
  <c r="BA415"/>
  <c r="AZ415"/>
  <c r="AY415"/>
  <c r="AX415"/>
  <c r="AW415"/>
  <c r="AV415"/>
  <c r="AU415"/>
  <c r="AT415"/>
  <c r="AS415"/>
  <c r="AR415"/>
  <c r="AQ415"/>
  <c r="AP415"/>
  <c r="AO415"/>
  <c r="AN415"/>
  <c r="AM415"/>
  <c r="AL415"/>
  <c r="AK415"/>
  <c r="AJ415"/>
  <c r="AI415"/>
  <c r="AH415"/>
  <c r="AG415"/>
  <c r="AF415"/>
  <c r="AE415"/>
  <c r="AD415"/>
  <c r="AC415"/>
  <c r="AB415"/>
  <c r="AA415"/>
  <c r="Z415"/>
  <c r="Y415"/>
  <c r="X415"/>
  <c r="W415"/>
  <c r="V415"/>
  <c r="U415"/>
  <c r="T415"/>
  <c r="S415"/>
  <c r="R415"/>
  <c r="Q415"/>
  <c r="P415"/>
  <c r="O415"/>
  <c r="N415"/>
  <c r="M415"/>
  <c r="L415"/>
  <c r="K415"/>
  <c r="J415"/>
  <c r="I415"/>
  <c r="H415"/>
  <c r="G415"/>
  <c r="F415"/>
  <c r="E415"/>
  <c r="D415"/>
  <c r="BB414"/>
  <c r="BA414"/>
  <c r="AZ414"/>
  <c r="AY414"/>
  <c r="AX414"/>
  <c r="AW414"/>
  <c r="AV414"/>
  <c r="AU414"/>
  <c r="AT414"/>
  <c r="AS414"/>
  <c r="AR414"/>
  <c r="AQ414"/>
  <c r="AP414"/>
  <c r="AO414"/>
  <c r="AN414"/>
  <c r="AM414"/>
  <c r="AL414"/>
  <c r="AK414"/>
  <c r="AJ414"/>
  <c r="AI414"/>
  <c r="AH414"/>
  <c r="AG414"/>
  <c r="AF414"/>
  <c r="AE414"/>
  <c r="AD414"/>
  <c r="AC414"/>
  <c r="AB414"/>
  <c r="AA414"/>
  <c r="Z414"/>
  <c r="Y414"/>
  <c r="X414"/>
  <c r="W414"/>
  <c r="V414"/>
  <c r="U414"/>
  <c r="T414"/>
  <c r="S414"/>
  <c r="R414"/>
  <c r="Q414"/>
  <c r="P414"/>
  <c r="O414"/>
  <c r="N414"/>
  <c r="M414"/>
  <c r="L414"/>
  <c r="K414"/>
  <c r="J414"/>
  <c r="I414"/>
  <c r="H414"/>
  <c r="G414"/>
  <c r="F414"/>
  <c r="E414"/>
  <c r="D414"/>
  <c r="BB413"/>
  <c r="BA413"/>
  <c r="AZ413"/>
  <c r="AY413"/>
  <c r="AX413"/>
  <c r="AW413"/>
  <c r="AV413"/>
  <c r="AU413"/>
  <c r="AT413"/>
  <c r="AS413"/>
  <c r="AR413"/>
  <c r="AQ413"/>
  <c r="AP413"/>
  <c r="AO413"/>
  <c r="AN413"/>
  <c r="AM413"/>
  <c r="AL413"/>
  <c r="AK413"/>
  <c r="AJ413"/>
  <c r="AI413"/>
  <c r="AH413"/>
  <c r="AG413"/>
  <c r="AF413"/>
  <c r="AE413"/>
  <c r="AD413"/>
  <c r="AC413"/>
  <c r="AB413"/>
  <c r="AA413"/>
  <c r="Z413"/>
  <c r="Y413"/>
  <c r="X413"/>
  <c r="W413"/>
  <c r="V413"/>
  <c r="U413"/>
  <c r="T413"/>
  <c r="S413"/>
  <c r="R413"/>
  <c r="Q413"/>
  <c r="P413"/>
  <c r="O413"/>
  <c r="N413"/>
  <c r="M413"/>
  <c r="L413"/>
  <c r="K413"/>
  <c r="J413"/>
  <c r="I413"/>
  <c r="H413"/>
  <c r="G413"/>
  <c r="F413"/>
  <c r="E413"/>
  <c r="D413"/>
  <c r="BB412"/>
  <c r="BA412"/>
  <c r="AZ412"/>
  <c r="AY412"/>
  <c r="AX412"/>
  <c r="AW412"/>
  <c r="AV412"/>
  <c r="AU412"/>
  <c r="AT412"/>
  <c r="AS412"/>
  <c r="AR412"/>
  <c r="AQ412"/>
  <c r="AP412"/>
  <c r="AO412"/>
  <c r="AN412"/>
  <c r="AM412"/>
  <c r="AL412"/>
  <c r="AK412"/>
  <c r="AJ412"/>
  <c r="AI412"/>
  <c r="AH412"/>
  <c r="AG412"/>
  <c r="AF412"/>
  <c r="AE412"/>
  <c r="AD412"/>
  <c r="AC412"/>
  <c r="AB412"/>
  <c r="AA412"/>
  <c r="Z412"/>
  <c r="Y412"/>
  <c r="X412"/>
  <c r="W412"/>
  <c r="V412"/>
  <c r="U412"/>
  <c r="T412"/>
  <c r="S412"/>
  <c r="R412"/>
  <c r="Q412"/>
  <c r="P412"/>
  <c r="O412"/>
  <c r="N412"/>
  <c r="M412"/>
  <c r="L412"/>
  <c r="K412"/>
  <c r="J412"/>
  <c r="I412"/>
  <c r="H412"/>
  <c r="G412"/>
  <c r="F412"/>
  <c r="E412"/>
  <c r="D412"/>
  <c r="BB411"/>
  <c r="BA411"/>
  <c r="AZ411"/>
  <c r="AY411"/>
  <c r="AX411"/>
  <c r="AW411"/>
  <c r="AV411"/>
  <c r="AU411"/>
  <c r="AT411"/>
  <c r="AS411"/>
  <c r="AR411"/>
  <c r="AQ411"/>
  <c r="AP411"/>
  <c r="AO411"/>
  <c r="AN411"/>
  <c r="AM411"/>
  <c r="AL411"/>
  <c r="AK411"/>
  <c r="AJ411"/>
  <c r="AI411"/>
  <c r="AH411"/>
  <c r="AG411"/>
  <c r="AF411"/>
  <c r="AE411"/>
  <c r="AD411"/>
  <c r="AC411"/>
  <c r="AB411"/>
  <c r="AA411"/>
  <c r="Z411"/>
  <c r="Y411"/>
  <c r="X411"/>
  <c r="W411"/>
  <c r="V411"/>
  <c r="U411"/>
  <c r="T411"/>
  <c r="S411"/>
  <c r="R411"/>
  <c r="Q411"/>
  <c r="P411"/>
  <c r="O411"/>
  <c r="N411"/>
  <c r="M411"/>
  <c r="L411"/>
  <c r="K411"/>
  <c r="J411"/>
  <c r="I411"/>
  <c r="H411"/>
  <c r="G411"/>
  <c r="F411"/>
  <c r="E411"/>
  <c r="D411"/>
  <c r="BB410"/>
  <c r="BA410"/>
  <c r="AZ410"/>
  <c r="AY410"/>
  <c r="AX410"/>
  <c r="AW410"/>
  <c r="AV410"/>
  <c r="AU410"/>
  <c r="AT410"/>
  <c r="AS410"/>
  <c r="AR410"/>
  <c r="AQ410"/>
  <c r="AP410"/>
  <c r="AO410"/>
  <c r="AN410"/>
  <c r="AM410"/>
  <c r="AL410"/>
  <c r="AK410"/>
  <c r="AJ410"/>
  <c r="AI410"/>
  <c r="AH410"/>
  <c r="AG410"/>
  <c r="AF410"/>
  <c r="AE410"/>
  <c r="AD410"/>
  <c r="AC410"/>
  <c r="AB410"/>
  <c r="AA410"/>
  <c r="Z410"/>
  <c r="Y410"/>
  <c r="X410"/>
  <c r="W410"/>
  <c r="V410"/>
  <c r="U410"/>
  <c r="T410"/>
  <c r="S410"/>
  <c r="R410"/>
  <c r="Q410"/>
  <c r="P410"/>
  <c r="O410"/>
  <c r="N410"/>
  <c r="M410"/>
  <c r="L410"/>
  <c r="K410"/>
  <c r="J410"/>
  <c r="I410"/>
  <c r="H410"/>
  <c r="G410"/>
  <c r="F410"/>
  <c r="E410"/>
  <c r="D410"/>
  <c r="BB409"/>
  <c r="BA409"/>
  <c r="AZ409"/>
  <c r="AY409"/>
  <c r="AX409"/>
  <c r="AW409"/>
  <c r="AV409"/>
  <c r="AU409"/>
  <c r="AT409"/>
  <c r="AS409"/>
  <c r="AR409"/>
  <c r="AQ409"/>
  <c r="AP409"/>
  <c r="AO409"/>
  <c r="AN409"/>
  <c r="AM409"/>
  <c r="AL409"/>
  <c r="AK409"/>
  <c r="AJ409"/>
  <c r="AI409"/>
  <c r="AH409"/>
  <c r="AG409"/>
  <c r="AF409"/>
  <c r="AE409"/>
  <c r="AD409"/>
  <c r="AC409"/>
  <c r="AB409"/>
  <c r="AA409"/>
  <c r="Z409"/>
  <c r="Y409"/>
  <c r="X409"/>
  <c r="W409"/>
  <c r="V409"/>
  <c r="U409"/>
  <c r="T409"/>
  <c r="S409"/>
  <c r="R409"/>
  <c r="Q409"/>
  <c r="P409"/>
  <c r="O409"/>
  <c r="N409"/>
  <c r="M409"/>
  <c r="L409"/>
  <c r="K409"/>
  <c r="J409"/>
  <c r="I409"/>
  <c r="H409"/>
  <c r="G409"/>
  <c r="F409"/>
  <c r="E409"/>
  <c r="D409"/>
  <c r="BB408"/>
  <c r="BA408"/>
  <c r="AZ408"/>
  <c r="AY408"/>
  <c r="AX408"/>
  <c r="AW408"/>
  <c r="AV408"/>
  <c r="AU408"/>
  <c r="AT408"/>
  <c r="AS408"/>
  <c r="AR408"/>
  <c r="AQ408"/>
  <c r="AP408"/>
  <c r="AO408"/>
  <c r="AN408"/>
  <c r="AM408"/>
  <c r="AL408"/>
  <c r="AK408"/>
  <c r="AJ408"/>
  <c r="AI408"/>
  <c r="AH408"/>
  <c r="AG408"/>
  <c r="AF408"/>
  <c r="AE408"/>
  <c r="AD408"/>
  <c r="AC408"/>
  <c r="AB408"/>
  <c r="AA408"/>
  <c r="Z408"/>
  <c r="Y408"/>
  <c r="X408"/>
  <c r="W408"/>
  <c r="V408"/>
  <c r="U408"/>
  <c r="T408"/>
  <c r="S408"/>
  <c r="R408"/>
  <c r="Q408"/>
  <c r="P408"/>
  <c r="O408"/>
  <c r="N408"/>
  <c r="M408"/>
  <c r="L408"/>
  <c r="K408"/>
  <c r="J408"/>
  <c r="I408"/>
  <c r="H408"/>
  <c r="G408"/>
  <c r="F408"/>
  <c r="E408"/>
  <c r="D408"/>
  <c r="BB407"/>
  <c r="BA407"/>
  <c r="AZ407"/>
  <c r="AY407"/>
  <c r="AX407"/>
  <c r="AW407"/>
  <c r="AV407"/>
  <c r="AU407"/>
  <c r="AT407"/>
  <c r="AS407"/>
  <c r="AR407"/>
  <c r="AQ407"/>
  <c r="AP407"/>
  <c r="AO407"/>
  <c r="AN407"/>
  <c r="AM407"/>
  <c r="AL407"/>
  <c r="AK407"/>
  <c r="AJ407"/>
  <c r="AI407"/>
  <c r="AH407"/>
  <c r="AG407"/>
  <c r="AF407"/>
  <c r="AE407"/>
  <c r="AD407"/>
  <c r="AC407"/>
  <c r="AB407"/>
  <c r="AA407"/>
  <c r="Z407"/>
  <c r="Y407"/>
  <c r="X407"/>
  <c r="W407"/>
  <c r="V407"/>
  <c r="U407"/>
  <c r="T407"/>
  <c r="S407"/>
  <c r="R407"/>
  <c r="Q407"/>
  <c r="P407"/>
  <c r="O407"/>
  <c r="N407"/>
  <c r="M407"/>
  <c r="L407"/>
  <c r="K407"/>
  <c r="J407"/>
  <c r="I407"/>
  <c r="H407"/>
  <c r="G407"/>
  <c r="F407"/>
  <c r="E407"/>
  <c r="D407"/>
  <c r="BB406"/>
  <c r="BA406"/>
  <c r="AZ406"/>
  <c r="AY406"/>
  <c r="AX406"/>
  <c r="AW406"/>
  <c r="AV406"/>
  <c r="AU406"/>
  <c r="AT406"/>
  <c r="AS406"/>
  <c r="AR406"/>
  <c r="AQ406"/>
  <c r="AP406"/>
  <c r="AO406"/>
  <c r="AN406"/>
  <c r="AM406"/>
  <c r="AL406"/>
  <c r="AK406"/>
  <c r="AJ406"/>
  <c r="AI406"/>
  <c r="AH406"/>
  <c r="AG406"/>
  <c r="AF406"/>
  <c r="AE406"/>
  <c r="AD406"/>
  <c r="AC406"/>
  <c r="AB406"/>
  <c r="AA406"/>
  <c r="Z406"/>
  <c r="Y406"/>
  <c r="X406"/>
  <c r="W406"/>
  <c r="V406"/>
  <c r="U406"/>
  <c r="T406"/>
  <c r="S406"/>
  <c r="R406"/>
  <c r="Q406"/>
  <c r="P406"/>
  <c r="O406"/>
  <c r="N406"/>
  <c r="M406"/>
  <c r="L406"/>
  <c r="K406"/>
  <c r="J406"/>
  <c r="I406"/>
  <c r="H406"/>
  <c r="G406"/>
  <c r="F406"/>
  <c r="E406"/>
  <c r="D406"/>
  <c r="BB405"/>
  <c r="BA405"/>
  <c r="AZ405"/>
  <c r="AY405"/>
  <c r="AX405"/>
  <c r="AW405"/>
  <c r="AV405"/>
  <c r="AU405"/>
  <c r="AT405"/>
  <c r="AS405"/>
  <c r="AR405"/>
  <c r="AQ405"/>
  <c r="AP405"/>
  <c r="AO405"/>
  <c r="AN405"/>
  <c r="AM405"/>
  <c r="AL405"/>
  <c r="AK405"/>
  <c r="AJ405"/>
  <c r="AI405"/>
  <c r="AH405"/>
  <c r="AG405"/>
  <c r="AF405"/>
  <c r="AE405"/>
  <c r="AD405"/>
  <c r="AC405"/>
  <c r="AB405"/>
  <c r="AA405"/>
  <c r="Z405"/>
  <c r="Y405"/>
  <c r="X405"/>
  <c r="W405"/>
  <c r="V405"/>
  <c r="U405"/>
  <c r="T405"/>
  <c r="S405"/>
  <c r="R405"/>
  <c r="Q405"/>
  <c r="P405"/>
  <c r="O405"/>
  <c r="N405"/>
  <c r="M405"/>
  <c r="L405"/>
  <c r="K405"/>
  <c r="J405"/>
  <c r="I405"/>
  <c r="H405"/>
  <c r="G405"/>
  <c r="F405"/>
  <c r="E405"/>
  <c r="D405"/>
  <c r="BB404"/>
  <c r="BA404"/>
  <c r="AZ404"/>
  <c r="AY404"/>
  <c r="AX404"/>
  <c r="AW404"/>
  <c r="AV404"/>
  <c r="AU404"/>
  <c r="AT404"/>
  <c r="AS404"/>
  <c r="AR404"/>
  <c r="AQ404"/>
  <c r="AP404"/>
  <c r="AO404"/>
  <c r="AN404"/>
  <c r="AM404"/>
  <c r="AL404"/>
  <c r="AK404"/>
  <c r="AJ404"/>
  <c r="AI404"/>
  <c r="AH404"/>
  <c r="AG404"/>
  <c r="AF404"/>
  <c r="AE404"/>
  <c r="AD404"/>
  <c r="AC404"/>
  <c r="AB404"/>
  <c r="AA404"/>
  <c r="Z404"/>
  <c r="Y404"/>
  <c r="X404"/>
  <c r="W404"/>
  <c r="V404"/>
  <c r="U404"/>
  <c r="T404"/>
  <c r="S404"/>
  <c r="R404"/>
  <c r="Q404"/>
  <c r="P404"/>
  <c r="O404"/>
  <c r="N404"/>
  <c r="M404"/>
  <c r="L404"/>
  <c r="K404"/>
  <c r="J404"/>
  <c r="I404"/>
  <c r="H404"/>
  <c r="G404"/>
  <c r="F404"/>
  <c r="E404"/>
  <c r="D404"/>
  <c r="BB403"/>
  <c r="BA403"/>
  <c r="AZ403"/>
  <c r="AY403"/>
  <c r="AX403"/>
  <c r="AW403"/>
  <c r="AV403"/>
  <c r="AU403"/>
  <c r="AT403"/>
  <c r="AS403"/>
  <c r="AR403"/>
  <c r="AQ403"/>
  <c r="AP403"/>
  <c r="AO403"/>
  <c r="AN403"/>
  <c r="AM403"/>
  <c r="AL403"/>
  <c r="AK403"/>
  <c r="AJ403"/>
  <c r="AI403"/>
  <c r="AH403"/>
  <c r="AG403"/>
  <c r="AF403"/>
  <c r="AE403"/>
  <c r="AD403"/>
  <c r="AC403"/>
  <c r="AB403"/>
  <c r="AA403"/>
  <c r="Z403"/>
  <c r="Y403"/>
  <c r="X403"/>
  <c r="W403"/>
  <c r="V403"/>
  <c r="U403"/>
  <c r="T403"/>
  <c r="S403"/>
  <c r="R403"/>
  <c r="Q403"/>
  <c r="P403"/>
  <c r="O403"/>
  <c r="N403"/>
  <c r="M403"/>
  <c r="L403"/>
  <c r="K403"/>
  <c r="J403"/>
  <c r="I403"/>
  <c r="H403"/>
  <c r="G403"/>
  <c r="F403"/>
  <c r="E403"/>
  <c r="D403"/>
  <c r="BB402"/>
  <c r="BA402"/>
  <c r="AZ402"/>
  <c r="AY402"/>
  <c r="AX402"/>
  <c r="AW402"/>
  <c r="AV402"/>
  <c r="AU402"/>
  <c r="AT402"/>
  <c r="AS402"/>
  <c r="AR402"/>
  <c r="AQ402"/>
  <c r="AP402"/>
  <c r="AO402"/>
  <c r="AN402"/>
  <c r="AM402"/>
  <c r="AL402"/>
  <c r="AK402"/>
  <c r="AJ402"/>
  <c r="AI402"/>
  <c r="AH402"/>
  <c r="AG402"/>
  <c r="AF402"/>
  <c r="AE402"/>
  <c r="AD402"/>
  <c r="AC402"/>
  <c r="AB402"/>
  <c r="AA402"/>
  <c r="Z402"/>
  <c r="Y402"/>
  <c r="X402"/>
  <c r="W402"/>
  <c r="V402"/>
  <c r="U402"/>
  <c r="T402"/>
  <c r="S402"/>
  <c r="R402"/>
  <c r="Q402"/>
  <c r="P402"/>
  <c r="O402"/>
  <c r="N402"/>
  <c r="M402"/>
  <c r="L402"/>
  <c r="K402"/>
  <c r="J402"/>
  <c r="I402"/>
  <c r="H402"/>
  <c r="G402"/>
  <c r="F402"/>
  <c r="E402"/>
  <c r="D402"/>
  <c r="BB401"/>
  <c r="BA401"/>
  <c r="AZ401"/>
  <c r="AY401"/>
  <c r="AX401"/>
  <c r="AW401"/>
  <c r="AV401"/>
  <c r="AU401"/>
  <c r="AT401"/>
  <c r="AS401"/>
  <c r="AR401"/>
  <c r="AQ401"/>
  <c r="AP401"/>
  <c r="AO401"/>
  <c r="AN401"/>
  <c r="AM401"/>
  <c r="AL401"/>
  <c r="AK401"/>
  <c r="AJ401"/>
  <c r="AI401"/>
  <c r="AH401"/>
  <c r="AG401"/>
  <c r="AF401"/>
  <c r="AE401"/>
  <c r="AD401"/>
  <c r="AC401"/>
  <c r="AB401"/>
  <c r="AA401"/>
  <c r="Z401"/>
  <c r="Y401"/>
  <c r="X401"/>
  <c r="W401"/>
  <c r="V401"/>
  <c r="U401"/>
  <c r="T401"/>
  <c r="S401"/>
  <c r="R401"/>
  <c r="Q401"/>
  <c r="P401"/>
  <c r="O401"/>
  <c r="N401"/>
  <c r="M401"/>
  <c r="L401"/>
  <c r="K401"/>
  <c r="J401"/>
  <c r="I401"/>
  <c r="H401"/>
  <c r="G401"/>
  <c r="F401"/>
  <c r="E401"/>
  <c r="D401"/>
  <c r="BB400"/>
  <c r="BA400"/>
  <c r="AZ400"/>
  <c r="AY400"/>
  <c r="AX400"/>
  <c r="AW400"/>
  <c r="AV400"/>
  <c r="AU400"/>
  <c r="AT400"/>
  <c r="AS400"/>
  <c r="AR400"/>
  <c r="AQ400"/>
  <c r="AP400"/>
  <c r="AO400"/>
  <c r="AN400"/>
  <c r="AM400"/>
  <c r="AL400"/>
  <c r="AK400"/>
  <c r="AJ400"/>
  <c r="AI400"/>
  <c r="AH400"/>
  <c r="AG400"/>
  <c r="AF400"/>
  <c r="AE400"/>
  <c r="AD400"/>
  <c r="AC400"/>
  <c r="AB400"/>
  <c r="AA400"/>
  <c r="Z400"/>
  <c r="Y400"/>
  <c r="X400"/>
  <c r="W400"/>
  <c r="V400"/>
  <c r="U400"/>
  <c r="T400"/>
  <c r="S400"/>
  <c r="R400"/>
  <c r="Q400"/>
  <c r="P400"/>
  <c r="O400"/>
  <c r="N400"/>
  <c r="M400"/>
  <c r="L400"/>
  <c r="K400"/>
  <c r="J400"/>
  <c r="I400"/>
  <c r="H400"/>
  <c r="G400"/>
  <c r="F400"/>
  <c r="E400"/>
  <c r="D400"/>
  <c r="BB399"/>
  <c r="BA399"/>
  <c r="AZ399"/>
  <c r="AY399"/>
  <c r="AX399"/>
  <c r="AW399"/>
  <c r="AV399"/>
  <c r="AU399"/>
  <c r="AT399"/>
  <c r="AS399"/>
  <c r="AR399"/>
  <c r="AQ399"/>
  <c r="AP399"/>
  <c r="AO399"/>
  <c r="AN399"/>
  <c r="AM399"/>
  <c r="AL399"/>
  <c r="AK399"/>
  <c r="AJ399"/>
  <c r="AI399"/>
  <c r="AH399"/>
  <c r="AG399"/>
  <c r="AF399"/>
  <c r="AE399"/>
  <c r="AD399"/>
  <c r="AC399"/>
  <c r="AB399"/>
  <c r="AA399"/>
  <c r="Z399"/>
  <c r="Y399"/>
  <c r="X399"/>
  <c r="W399"/>
  <c r="V399"/>
  <c r="U399"/>
  <c r="T399"/>
  <c r="S399"/>
  <c r="R399"/>
  <c r="Q399"/>
  <c r="P399"/>
  <c r="O399"/>
  <c r="N399"/>
  <c r="M399"/>
  <c r="L399"/>
  <c r="K399"/>
  <c r="J399"/>
  <c r="I399"/>
  <c r="H399"/>
  <c r="G399"/>
  <c r="F399"/>
  <c r="E399"/>
  <c r="D399"/>
  <c r="BB398"/>
  <c r="BA398"/>
  <c r="AZ398"/>
  <c r="AY398"/>
  <c r="AX398"/>
  <c r="AW398"/>
  <c r="AV398"/>
  <c r="AU398"/>
  <c r="AT398"/>
  <c r="AS398"/>
  <c r="AR398"/>
  <c r="AQ398"/>
  <c r="AP398"/>
  <c r="AO398"/>
  <c r="AN398"/>
  <c r="AM398"/>
  <c r="AL398"/>
  <c r="AK398"/>
  <c r="AJ398"/>
  <c r="AI398"/>
  <c r="AH398"/>
  <c r="AG398"/>
  <c r="AF398"/>
  <c r="AE398"/>
  <c r="AD398"/>
  <c r="AC398"/>
  <c r="AB398"/>
  <c r="AA398"/>
  <c r="Z398"/>
  <c r="Y398"/>
  <c r="X398"/>
  <c r="W398"/>
  <c r="V398"/>
  <c r="U398"/>
  <c r="T398"/>
  <c r="S398"/>
  <c r="R398"/>
  <c r="Q398"/>
  <c r="P398"/>
  <c r="O398"/>
  <c r="N398"/>
  <c r="M398"/>
  <c r="L398"/>
  <c r="K398"/>
  <c r="J398"/>
  <c r="I398"/>
  <c r="H398"/>
  <c r="G398"/>
  <c r="F398"/>
  <c r="E398"/>
  <c r="D398"/>
  <c r="BB397"/>
  <c r="BA397"/>
  <c r="AZ397"/>
  <c r="AY397"/>
  <c r="AX397"/>
  <c r="AW397"/>
  <c r="AV397"/>
  <c r="AU397"/>
  <c r="AT397"/>
  <c r="AS397"/>
  <c r="AR397"/>
  <c r="AQ397"/>
  <c r="AP397"/>
  <c r="AO397"/>
  <c r="AN397"/>
  <c r="AM397"/>
  <c r="AL397"/>
  <c r="AK397"/>
  <c r="AJ397"/>
  <c r="AI397"/>
  <c r="AH397"/>
  <c r="AG397"/>
  <c r="AF397"/>
  <c r="AE397"/>
  <c r="AD397"/>
  <c r="AC397"/>
  <c r="AB397"/>
  <c r="AA397"/>
  <c r="Z397"/>
  <c r="Y397"/>
  <c r="X397"/>
  <c r="W397"/>
  <c r="V397"/>
  <c r="U397"/>
  <c r="T397"/>
  <c r="S397"/>
  <c r="R397"/>
  <c r="Q397"/>
  <c r="P397"/>
  <c r="O397"/>
  <c r="N397"/>
  <c r="M397"/>
  <c r="L397"/>
  <c r="K397"/>
  <c r="J397"/>
  <c r="I397"/>
  <c r="H397"/>
  <c r="G397"/>
  <c r="F397"/>
  <c r="E397"/>
  <c r="D397"/>
  <c r="BB396"/>
  <c r="BA396"/>
  <c r="AZ396"/>
  <c r="AY396"/>
  <c r="AX396"/>
  <c r="AW396"/>
  <c r="AV396"/>
  <c r="AU396"/>
  <c r="AT396"/>
  <c r="AS396"/>
  <c r="AR396"/>
  <c r="AQ396"/>
  <c r="AP396"/>
  <c r="AO396"/>
  <c r="AN396"/>
  <c r="AM396"/>
  <c r="AL396"/>
  <c r="AK396"/>
  <c r="AJ396"/>
  <c r="AI396"/>
  <c r="AH396"/>
  <c r="AG396"/>
  <c r="AF396"/>
  <c r="AE396"/>
  <c r="AD396"/>
  <c r="AC396"/>
  <c r="AB396"/>
  <c r="AA396"/>
  <c r="Z396"/>
  <c r="Y396"/>
  <c r="X396"/>
  <c r="W396"/>
  <c r="V396"/>
  <c r="U396"/>
  <c r="T396"/>
  <c r="S396"/>
  <c r="R396"/>
  <c r="Q396"/>
  <c r="P396"/>
  <c r="O396"/>
  <c r="N396"/>
  <c r="M396"/>
  <c r="L396"/>
  <c r="K396"/>
  <c r="J396"/>
  <c r="I396"/>
  <c r="H396"/>
  <c r="G396"/>
  <c r="F396"/>
  <c r="E396"/>
  <c r="D396"/>
  <c r="BB395"/>
  <c r="BA395"/>
  <c r="AZ395"/>
  <c r="AY395"/>
  <c r="AX395"/>
  <c r="AW395"/>
  <c r="AV395"/>
  <c r="AU395"/>
  <c r="AT395"/>
  <c r="AS395"/>
  <c r="AR395"/>
  <c r="AQ395"/>
  <c r="AP395"/>
  <c r="AO395"/>
  <c r="AN395"/>
  <c r="AM395"/>
  <c r="AL395"/>
  <c r="AK395"/>
  <c r="AJ395"/>
  <c r="AI395"/>
  <c r="AH395"/>
  <c r="AG395"/>
  <c r="AF395"/>
  <c r="AE395"/>
  <c r="AD395"/>
  <c r="AC395"/>
  <c r="AB395"/>
  <c r="AA395"/>
  <c r="Z395"/>
  <c r="Y395"/>
  <c r="X395"/>
  <c r="W395"/>
  <c r="V395"/>
  <c r="U395"/>
  <c r="T395"/>
  <c r="S395"/>
  <c r="R395"/>
  <c r="Q395"/>
  <c r="P395"/>
  <c r="O395"/>
  <c r="N395"/>
  <c r="M395"/>
  <c r="L395"/>
  <c r="K395"/>
  <c r="J395"/>
  <c r="I395"/>
  <c r="H395"/>
  <c r="G395"/>
  <c r="F395"/>
  <c r="E395"/>
  <c r="D395"/>
  <c r="BB394"/>
  <c r="BA394"/>
  <c r="AZ394"/>
  <c r="AY394"/>
  <c r="AX394"/>
  <c r="AW394"/>
  <c r="AV394"/>
  <c r="AU394"/>
  <c r="AT394"/>
  <c r="AS394"/>
  <c r="AR394"/>
  <c r="AQ394"/>
  <c r="AP394"/>
  <c r="AO394"/>
  <c r="AN394"/>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D394"/>
  <c r="BB393"/>
  <c r="BA393"/>
  <c r="AZ393"/>
  <c r="AY393"/>
  <c r="AX393"/>
  <c r="AW393"/>
  <c r="AV393"/>
  <c r="AU393"/>
  <c r="AT393"/>
  <c r="AS393"/>
  <c r="AR393"/>
  <c r="AQ393"/>
  <c r="AP393"/>
  <c r="AO393"/>
  <c r="AN393"/>
  <c r="AM393"/>
  <c r="AL393"/>
  <c r="AK393"/>
  <c r="AJ393"/>
  <c r="AI393"/>
  <c r="AH393"/>
  <c r="AG393"/>
  <c r="AF393"/>
  <c r="AE393"/>
  <c r="AD393"/>
  <c r="AC393"/>
  <c r="AB393"/>
  <c r="AA393"/>
  <c r="Z393"/>
  <c r="Y393"/>
  <c r="X393"/>
  <c r="W393"/>
  <c r="V393"/>
  <c r="U393"/>
  <c r="T393"/>
  <c r="S393"/>
  <c r="R393"/>
  <c r="Q393"/>
  <c r="P393"/>
  <c r="O393"/>
  <c r="N393"/>
  <c r="M393"/>
  <c r="L393"/>
  <c r="K393"/>
  <c r="J393"/>
  <c r="I393"/>
  <c r="H393"/>
  <c r="G393"/>
  <c r="F393"/>
  <c r="E393"/>
  <c r="D393"/>
  <c r="BB392"/>
  <c r="BA392"/>
  <c r="AZ392"/>
  <c r="AY392"/>
  <c r="AX392"/>
  <c r="AW392"/>
  <c r="AV392"/>
  <c r="AU392"/>
  <c r="AT392"/>
  <c r="AS392"/>
  <c r="AR392"/>
  <c r="AQ392"/>
  <c r="AP392"/>
  <c r="AO392"/>
  <c r="AN392"/>
  <c r="AM392"/>
  <c r="AL392"/>
  <c r="AK392"/>
  <c r="AJ392"/>
  <c r="AI392"/>
  <c r="AH392"/>
  <c r="AG392"/>
  <c r="AF392"/>
  <c r="AE392"/>
  <c r="AD392"/>
  <c r="AC392"/>
  <c r="AB392"/>
  <c r="AA392"/>
  <c r="Z392"/>
  <c r="Y392"/>
  <c r="X392"/>
  <c r="W392"/>
  <c r="V392"/>
  <c r="U392"/>
  <c r="T392"/>
  <c r="S392"/>
  <c r="R392"/>
  <c r="Q392"/>
  <c r="P392"/>
  <c r="O392"/>
  <c r="N392"/>
  <c r="M392"/>
  <c r="L392"/>
  <c r="K392"/>
  <c r="J392"/>
  <c r="I392"/>
  <c r="H392"/>
  <c r="G392"/>
  <c r="F392"/>
  <c r="E392"/>
  <c r="D392"/>
  <c r="BB391"/>
  <c r="BA391"/>
  <c r="AZ391"/>
  <c r="AY391"/>
  <c r="AX391"/>
  <c r="AW391"/>
  <c r="AV391"/>
  <c r="AU391"/>
  <c r="AT391"/>
  <c r="AS391"/>
  <c r="AR391"/>
  <c r="AQ391"/>
  <c r="AP391"/>
  <c r="AO391"/>
  <c r="AN391"/>
  <c r="AM391"/>
  <c r="AL391"/>
  <c r="AK391"/>
  <c r="AJ391"/>
  <c r="AI391"/>
  <c r="AH391"/>
  <c r="AG391"/>
  <c r="AF391"/>
  <c r="AE391"/>
  <c r="AD391"/>
  <c r="AC391"/>
  <c r="AB391"/>
  <c r="AA391"/>
  <c r="Z391"/>
  <c r="Y391"/>
  <c r="X391"/>
  <c r="W391"/>
  <c r="V391"/>
  <c r="U391"/>
  <c r="T391"/>
  <c r="S391"/>
  <c r="R391"/>
  <c r="Q391"/>
  <c r="P391"/>
  <c r="O391"/>
  <c r="N391"/>
  <c r="M391"/>
  <c r="L391"/>
  <c r="K391"/>
  <c r="J391"/>
  <c r="I391"/>
  <c r="H391"/>
  <c r="G391"/>
  <c r="F391"/>
  <c r="E391"/>
  <c r="D391"/>
  <c r="BB390"/>
  <c r="BA390"/>
  <c r="AZ390"/>
  <c r="AY390"/>
  <c r="AX390"/>
  <c r="AW390"/>
  <c r="AV390"/>
  <c r="AU390"/>
  <c r="AT390"/>
  <c r="AS390"/>
  <c r="AR390"/>
  <c r="AQ390"/>
  <c r="AP390"/>
  <c r="AO390"/>
  <c r="AN390"/>
  <c r="AM390"/>
  <c r="AL390"/>
  <c r="AK390"/>
  <c r="AJ390"/>
  <c r="AI390"/>
  <c r="AH390"/>
  <c r="AG390"/>
  <c r="AF390"/>
  <c r="AE390"/>
  <c r="AD390"/>
  <c r="AC390"/>
  <c r="AB390"/>
  <c r="AA390"/>
  <c r="Z390"/>
  <c r="Y390"/>
  <c r="X390"/>
  <c r="W390"/>
  <c r="V390"/>
  <c r="U390"/>
  <c r="T390"/>
  <c r="S390"/>
  <c r="R390"/>
  <c r="Q390"/>
  <c r="P390"/>
  <c r="O390"/>
  <c r="N390"/>
  <c r="M390"/>
  <c r="L390"/>
  <c r="K390"/>
  <c r="J390"/>
  <c r="I390"/>
  <c r="H390"/>
  <c r="G390"/>
  <c r="F390"/>
  <c r="E390"/>
  <c r="D390"/>
  <c r="BB389"/>
  <c r="C528" s="1"/>
  <c r="BA389"/>
  <c r="AZ389"/>
  <c r="AY389"/>
  <c r="AX389"/>
  <c r="AW389"/>
  <c r="AV389"/>
  <c r="AU389"/>
  <c r="AT389"/>
  <c r="AS389"/>
  <c r="AR389"/>
  <c r="AQ389"/>
  <c r="AP389"/>
  <c r="AO389"/>
  <c r="AN389"/>
  <c r="AM389"/>
  <c r="AL389"/>
  <c r="AK389"/>
  <c r="AJ389"/>
  <c r="AI389"/>
  <c r="AH389"/>
  <c r="AG389"/>
  <c r="AF389"/>
  <c r="AE389"/>
  <c r="AD389"/>
  <c r="AC389"/>
  <c r="AB389"/>
  <c r="AA389"/>
  <c r="Z389"/>
  <c r="Y389"/>
  <c r="X389"/>
  <c r="W389"/>
  <c r="V389"/>
  <c r="U389"/>
  <c r="T389"/>
  <c r="S389"/>
  <c r="R389"/>
  <c r="Q389"/>
  <c r="P389"/>
  <c r="O389"/>
  <c r="N389"/>
  <c r="M389"/>
  <c r="L389"/>
  <c r="K389"/>
  <c r="J389"/>
  <c r="I389"/>
  <c r="H389"/>
  <c r="G389"/>
  <c r="F389"/>
  <c r="E389"/>
  <c r="D389"/>
  <c r="BB388"/>
  <c r="BA388"/>
  <c r="AZ388"/>
  <c r="AY388"/>
  <c r="AX388"/>
  <c r="AW388"/>
  <c r="AV388"/>
  <c r="AU388"/>
  <c r="AT388"/>
  <c r="AS388"/>
  <c r="AR388"/>
  <c r="AQ388"/>
  <c r="AP388"/>
  <c r="AO388"/>
  <c r="AN388"/>
  <c r="AM388"/>
  <c r="AL388"/>
  <c r="AK388"/>
  <c r="AJ388"/>
  <c r="AI388"/>
  <c r="AH388"/>
  <c r="AG388"/>
  <c r="AF388"/>
  <c r="AE388"/>
  <c r="AD388"/>
  <c r="AC388"/>
  <c r="AB388"/>
  <c r="AA388"/>
  <c r="Z388"/>
  <c r="Y388"/>
  <c r="X388"/>
  <c r="W388"/>
  <c r="V388"/>
  <c r="U388"/>
  <c r="T388"/>
  <c r="S388"/>
  <c r="R388"/>
  <c r="Q388"/>
  <c r="P388"/>
  <c r="O388"/>
  <c r="N388"/>
  <c r="M388"/>
  <c r="L388"/>
  <c r="K388"/>
  <c r="J388"/>
  <c r="I388"/>
  <c r="H388"/>
  <c r="G388"/>
  <c r="F388"/>
  <c r="E388"/>
  <c r="D388"/>
  <c r="BB387"/>
  <c r="BA387"/>
  <c r="AZ387"/>
  <c r="AY387"/>
  <c r="AX387"/>
  <c r="AW387"/>
  <c r="AV387"/>
  <c r="AU387"/>
  <c r="AT387"/>
  <c r="AS387"/>
  <c r="AR387"/>
  <c r="AQ387"/>
  <c r="AP387"/>
  <c r="AO387"/>
  <c r="AN387"/>
  <c r="AM387"/>
  <c r="AL387"/>
  <c r="AK387"/>
  <c r="AJ387"/>
  <c r="AI387"/>
  <c r="AH387"/>
  <c r="AG387"/>
  <c r="AF387"/>
  <c r="AE387"/>
  <c r="AD387"/>
  <c r="AC387"/>
  <c r="AB387"/>
  <c r="AA387"/>
  <c r="Z387"/>
  <c r="Y387"/>
  <c r="X387"/>
  <c r="W387"/>
  <c r="V387"/>
  <c r="U387"/>
  <c r="T387"/>
  <c r="S387"/>
  <c r="R387"/>
  <c r="Q387"/>
  <c r="P387"/>
  <c r="O387"/>
  <c r="N387"/>
  <c r="M387"/>
  <c r="L387"/>
  <c r="K387"/>
  <c r="J387"/>
  <c r="I387"/>
  <c r="H387"/>
  <c r="G387"/>
  <c r="F387"/>
  <c r="E387"/>
  <c r="D387"/>
  <c r="BB386"/>
  <c r="BA386"/>
  <c r="AZ386"/>
  <c r="AY386"/>
  <c r="AX386"/>
  <c r="AW386"/>
  <c r="AV386"/>
  <c r="AU386"/>
  <c r="AT386"/>
  <c r="AS386"/>
  <c r="AR386"/>
  <c r="AQ386"/>
  <c r="AP386"/>
  <c r="AO386"/>
  <c r="AN386"/>
  <c r="AM386"/>
  <c r="AL386"/>
  <c r="AK386"/>
  <c r="AJ386"/>
  <c r="AI386"/>
  <c r="AH386"/>
  <c r="AG386"/>
  <c r="AF386"/>
  <c r="AE386"/>
  <c r="AD386"/>
  <c r="AC386"/>
  <c r="AB386"/>
  <c r="AA386"/>
  <c r="Z386"/>
  <c r="Y386"/>
  <c r="X386"/>
  <c r="W386"/>
  <c r="V386"/>
  <c r="U386"/>
  <c r="T386"/>
  <c r="S386"/>
  <c r="R386"/>
  <c r="Q386"/>
  <c r="P386"/>
  <c r="O386"/>
  <c r="N386"/>
  <c r="M386"/>
  <c r="L386"/>
  <c r="K386"/>
  <c r="J386"/>
  <c r="I386"/>
  <c r="H386"/>
  <c r="G386"/>
  <c r="F386"/>
  <c r="E386"/>
  <c r="D386"/>
  <c r="BB385"/>
  <c r="BA385"/>
  <c r="AZ385"/>
  <c r="AY385"/>
  <c r="AX385"/>
  <c r="AW385"/>
  <c r="AV385"/>
  <c r="AU385"/>
  <c r="AT385"/>
  <c r="AS385"/>
  <c r="AR385"/>
  <c r="AQ385"/>
  <c r="AP385"/>
  <c r="AO385"/>
  <c r="AN385"/>
  <c r="AM385"/>
  <c r="AL385"/>
  <c r="AK385"/>
  <c r="AJ385"/>
  <c r="AI385"/>
  <c r="AH385"/>
  <c r="AG385"/>
  <c r="AF385"/>
  <c r="AE385"/>
  <c r="AD385"/>
  <c r="AC385"/>
  <c r="AB385"/>
  <c r="AA385"/>
  <c r="Z385"/>
  <c r="Y385"/>
  <c r="X385"/>
  <c r="W385"/>
  <c r="V385"/>
  <c r="U385"/>
  <c r="T385"/>
  <c r="S385"/>
  <c r="R385"/>
  <c r="Q385"/>
  <c r="P385"/>
  <c r="O385"/>
  <c r="N385"/>
  <c r="M385"/>
  <c r="L385"/>
  <c r="K385"/>
  <c r="J385"/>
  <c r="I385"/>
  <c r="H385"/>
  <c r="G385"/>
  <c r="F385"/>
  <c r="E385"/>
  <c r="D385"/>
  <c r="BB384"/>
  <c r="BA384"/>
  <c r="AZ384"/>
  <c r="AY384"/>
  <c r="AX384"/>
  <c r="AW384"/>
  <c r="AV384"/>
  <c r="AU384"/>
  <c r="AT384"/>
  <c r="AS384"/>
  <c r="AR384"/>
  <c r="AQ384"/>
  <c r="AP384"/>
  <c r="AO384"/>
  <c r="AN384"/>
  <c r="AM384"/>
  <c r="AL384"/>
  <c r="AK384"/>
  <c r="AJ384"/>
  <c r="AI384"/>
  <c r="AH384"/>
  <c r="AG384"/>
  <c r="AF384"/>
  <c r="AE384"/>
  <c r="AD384"/>
  <c r="AC384"/>
  <c r="AB384"/>
  <c r="AA384"/>
  <c r="Z384"/>
  <c r="Y384"/>
  <c r="X384"/>
  <c r="W384"/>
  <c r="V384"/>
  <c r="U384"/>
  <c r="T384"/>
  <c r="S384"/>
  <c r="R384"/>
  <c r="Q384"/>
  <c r="P384"/>
  <c r="O384"/>
  <c r="N384"/>
  <c r="M384"/>
  <c r="L384"/>
  <c r="K384"/>
  <c r="J384"/>
  <c r="I384"/>
  <c r="H384"/>
  <c r="G384"/>
  <c r="F384"/>
  <c r="E384"/>
  <c r="D384"/>
  <c r="BB383"/>
  <c r="BA383"/>
  <c r="AZ383"/>
  <c r="AY383"/>
  <c r="AX383"/>
  <c r="AW383"/>
  <c r="AV383"/>
  <c r="AU383"/>
  <c r="AT383"/>
  <c r="AS383"/>
  <c r="AR383"/>
  <c r="AQ383"/>
  <c r="AP383"/>
  <c r="AO383"/>
  <c r="AN383"/>
  <c r="AM383"/>
  <c r="AL383"/>
  <c r="AK383"/>
  <c r="AJ383"/>
  <c r="AI383"/>
  <c r="AH383"/>
  <c r="AG383"/>
  <c r="AF383"/>
  <c r="AE383"/>
  <c r="AD383"/>
  <c r="AC383"/>
  <c r="AB383"/>
  <c r="AA383"/>
  <c r="Z383"/>
  <c r="Y383"/>
  <c r="X383"/>
  <c r="W383"/>
  <c r="V383"/>
  <c r="U383"/>
  <c r="T383"/>
  <c r="S383"/>
  <c r="R383"/>
  <c r="Q383"/>
  <c r="P383"/>
  <c r="O383"/>
  <c r="N383"/>
  <c r="M383"/>
  <c r="L383"/>
  <c r="K383"/>
  <c r="J383"/>
  <c r="I383"/>
  <c r="H383"/>
  <c r="G383"/>
  <c r="F383"/>
  <c r="E383"/>
  <c r="D383"/>
  <c r="BB382"/>
  <c r="C530" s="1"/>
  <c r="BA382"/>
  <c r="AZ382"/>
  <c r="AY382"/>
  <c r="AX382"/>
  <c r="AW382"/>
  <c r="AV382"/>
  <c r="AU382"/>
  <c r="AT382"/>
  <c r="AS382"/>
  <c r="AR382"/>
  <c r="AQ382"/>
  <c r="AP382"/>
  <c r="AO382"/>
  <c r="AN382"/>
  <c r="AM382"/>
  <c r="AL382"/>
  <c r="AK382"/>
  <c r="AJ382"/>
  <c r="AI382"/>
  <c r="AH382"/>
  <c r="AG382"/>
  <c r="AF382"/>
  <c r="AE382"/>
  <c r="AD382"/>
  <c r="AC382"/>
  <c r="AB382"/>
  <c r="AA382"/>
  <c r="Z382"/>
  <c r="Y382"/>
  <c r="X382"/>
  <c r="W382"/>
  <c r="V382"/>
  <c r="U382"/>
  <c r="T382"/>
  <c r="S382"/>
  <c r="R382"/>
  <c r="Q382"/>
  <c r="P382"/>
  <c r="O382"/>
  <c r="N382"/>
  <c r="M382"/>
  <c r="L382"/>
  <c r="K382"/>
  <c r="J382"/>
  <c r="I382"/>
  <c r="H382"/>
  <c r="G382"/>
  <c r="F382"/>
  <c r="E382"/>
  <c r="D382"/>
  <c r="BB381"/>
  <c r="BA381"/>
  <c r="AZ381"/>
  <c r="AY381"/>
  <c r="AX381"/>
  <c r="AW381"/>
  <c r="AV381"/>
  <c r="AU381"/>
  <c r="AT381"/>
  <c r="AS381"/>
  <c r="AR381"/>
  <c r="AQ381"/>
  <c r="AP381"/>
  <c r="AO381"/>
  <c r="AN381"/>
  <c r="AM381"/>
  <c r="AL381"/>
  <c r="AK381"/>
  <c r="AJ381"/>
  <c r="AI381"/>
  <c r="AH381"/>
  <c r="AG381"/>
  <c r="AF381"/>
  <c r="AE381"/>
  <c r="AD381"/>
  <c r="AC381"/>
  <c r="AB381"/>
  <c r="AA381"/>
  <c r="Z381"/>
  <c r="Y381"/>
  <c r="X381"/>
  <c r="W381"/>
  <c r="V381"/>
  <c r="U381"/>
  <c r="T381"/>
  <c r="S381"/>
  <c r="R381"/>
  <c r="Q381"/>
  <c r="P381"/>
  <c r="O381"/>
  <c r="N381"/>
  <c r="M381"/>
  <c r="L381"/>
  <c r="K381"/>
  <c r="J381"/>
  <c r="I381"/>
  <c r="H381"/>
  <c r="G381"/>
  <c r="F381"/>
  <c r="E381"/>
  <c r="D381"/>
  <c r="BB380"/>
  <c r="BA380"/>
  <c r="AZ380"/>
  <c r="AY380"/>
  <c r="AX380"/>
  <c r="AW380"/>
  <c r="AV380"/>
  <c r="AU380"/>
  <c r="AT380"/>
  <c r="AS380"/>
  <c r="AR380"/>
  <c r="AQ380"/>
  <c r="AP380"/>
  <c r="AO380"/>
  <c r="AN380"/>
  <c r="AM380"/>
  <c r="AL380"/>
  <c r="AK380"/>
  <c r="AJ380"/>
  <c r="AI380"/>
  <c r="AH380"/>
  <c r="AG380"/>
  <c r="AF380"/>
  <c r="AE380"/>
  <c r="AD380"/>
  <c r="AC380"/>
  <c r="AB380"/>
  <c r="AA380"/>
  <c r="Z380"/>
  <c r="Y380"/>
  <c r="X380"/>
  <c r="W380"/>
  <c r="V380"/>
  <c r="U380"/>
  <c r="T380"/>
  <c r="S380"/>
  <c r="R380"/>
  <c r="Q380"/>
  <c r="P380"/>
  <c r="O380"/>
  <c r="N380"/>
  <c r="M380"/>
  <c r="L380"/>
  <c r="K380"/>
  <c r="J380"/>
  <c r="I380"/>
  <c r="H380"/>
  <c r="G380"/>
  <c r="F380"/>
  <c r="E380"/>
  <c r="D380"/>
  <c r="BB379"/>
  <c r="BA379"/>
  <c r="AZ379"/>
  <c r="AY379"/>
  <c r="AX379"/>
  <c r="AW379"/>
  <c r="AV379"/>
  <c r="AU379"/>
  <c r="AT379"/>
  <c r="AS379"/>
  <c r="AR379"/>
  <c r="AQ379"/>
  <c r="AP379"/>
  <c r="AO379"/>
  <c r="AN379"/>
  <c r="AM379"/>
  <c r="AL379"/>
  <c r="AK379"/>
  <c r="AJ379"/>
  <c r="AI379"/>
  <c r="AH379"/>
  <c r="AG379"/>
  <c r="AF379"/>
  <c r="AE379"/>
  <c r="AD379"/>
  <c r="AC379"/>
  <c r="AB379"/>
  <c r="AA379"/>
  <c r="Z379"/>
  <c r="Y379"/>
  <c r="X379"/>
  <c r="W379"/>
  <c r="V379"/>
  <c r="U379"/>
  <c r="T379"/>
  <c r="S379"/>
  <c r="R379"/>
  <c r="Q379"/>
  <c r="P379"/>
  <c r="O379"/>
  <c r="N379"/>
  <c r="M379"/>
  <c r="L379"/>
  <c r="K379"/>
  <c r="J379"/>
  <c r="I379"/>
  <c r="H379"/>
  <c r="G379"/>
  <c r="F379"/>
  <c r="E379"/>
  <c r="D379"/>
  <c r="BB378"/>
  <c r="BA378"/>
  <c r="AZ378"/>
  <c r="AY378"/>
  <c r="AX378"/>
  <c r="AW378"/>
  <c r="AV378"/>
  <c r="AU378"/>
  <c r="AT378"/>
  <c r="AS378"/>
  <c r="AR378"/>
  <c r="AQ378"/>
  <c r="AP378"/>
  <c r="AO378"/>
  <c r="AN378"/>
  <c r="AM378"/>
  <c r="AL378"/>
  <c r="AK378"/>
  <c r="AJ378"/>
  <c r="AI378"/>
  <c r="AH378"/>
  <c r="AG378"/>
  <c r="AF378"/>
  <c r="AE378"/>
  <c r="AD378"/>
  <c r="AC378"/>
  <c r="AB378"/>
  <c r="AA378"/>
  <c r="Z378"/>
  <c r="Y378"/>
  <c r="X378"/>
  <c r="W378"/>
  <c r="V378"/>
  <c r="U378"/>
  <c r="T378"/>
  <c r="S378"/>
  <c r="R378"/>
  <c r="Q378"/>
  <c r="P378"/>
  <c r="O378"/>
  <c r="N378"/>
  <c r="M378"/>
  <c r="L378"/>
  <c r="K378"/>
  <c r="J378"/>
  <c r="I378"/>
  <c r="H378"/>
  <c r="G378"/>
  <c r="F378"/>
  <c r="E378"/>
  <c r="D378"/>
  <c r="BB377"/>
  <c r="BA377"/>
  <c r="AZ377"/>
  <c r="AY377"/>
  <c r="AX377"/>
  <c r="AW377"/>
  <c r="AV377"/>
  <c r="AU377"/>
  <c r="AT377"/>
  <c r="AS377"/>
  <c r="AR377"/>
  <c r="AQ377"/>
  <c r="AP377"/>
  <c r="AO377"/>
  <c r="AN377"/>
  <c r="AM377"/>
  <c r="AL377"/>
  <c r="AK377"/>
  <c r="AJ377"/>
  <c r="AI377"/>
  <c r="AH377"/>
  <c r="AG377"/>
  <c r="AF377"/>
  <c r="AE377"/>
  <c r="AD377"/>
  <c r="AC377"/>
  <c r="AB377"/>
  <c r="AA377"/>
  <c r="Z377"/>
  <c r="Y377"/>
  <c r="X377"/>
  <c r="W377"/>
  <c r="V377"/>
  <c r="U377"/>
  <c r="T377"/>
  <c r="S377"/>
  <c r="R377"/>
  <c r="Q377"/>
  <c r="P377"/>
  <c r="O377"/>
  <c r="N377"/>
  <c r="M377"/>
  <c r="L377"/>
  <c r="K377"/>
  <c r="J377"/>
  <c r="I377"/>
  <c r="H377"/>
  <c r="G377"/>
  <c r="F377"/>
  <c r="E377"/>
  <c r="D377"/>
  <c r="BB376"/>
  <c r="BA376"/>
  <c r="AZ376"/>
  <c r="AY376"/>
  <c r="AX376"/>
  <c r="AW376"/>
  <c r="AV376"/>
  <c r="AU376"/>
  <c r="AT376"/>
  <c r="AS376"/>
  <c r="AR376"/>
  <c r="AQ376"/>
  <c r="AP376"/>
  <c r="AO376"/>
  <c r="AN376"/>
  <c r="AM376"/>
  <c r="AL376"/>
  <c r="AK376"/>
  <c r="AJ376"/>
  <c r="AI376"/>
  <c r="AH376"/>
  <c r="AG376"/>
  <c r="AF376"/>
  <c r="AE376"/>
  <c r="AD376"/>
  <c r="AC376"/>
  <c r="AB376"/>
  <c r="AA376"/>
  <c r="Z376"/>
  <c r="Y376"/>
  <c r="X376"/>
  <c r="W376"/>
  <c r="V376"/>
  <c r="U376"/>
  <c r="T376"/>
  <c r="S376"/>
  <c r="R376"/>
  <c r="Q376"/>
  <c r="P376"/>
  <c r="O376"/>
  <c r="N376"/>
  <c r="M376"/>
  <c r="L376"/>
  <c r="K376"/>
  <c r="J376"/>
  <c r="I376"/>
  <c r="H376"/>
  <c r="G376"/>
  <c r="F376"/>
  <c r="E376"/>
  <c r="D376"/>
  <c r="BB375"/>
  <c r="BA375"/>
  <c r="AZ375"/>
  <c r="AY375"/>
  <c r="AX375"/>
  <c r="AW375"/>
  <c r="AV375"/>
  <c r="AU375"/>
  <c r="AT375"/>
  <c r="AS375"/>
  <c r="AR375"/>
  <c r="AQ375"/>
  <c r="AP375"/>
  <c r="AO375"/>
  <c r="AN375"/>
  <c r="AM375"/>
  <c r="AL375"/>
  <c r="AK375"/>
  <c r="AJ375"/>
  <c r="AI375"/>
  <c r="AH375"/>
  <c r="AG375"/>
  <c r="AF375"/>
  <c r="AE375"/>
  <c r="AD375"/>
  <c r="AC375"/>
  <c r="AB375"/>
  <c r="AA375"/>
  <c r="Z375"/>
  <c r="Y375"/>
  <c r="X375"/>
  <c r="W375"/>
  <c r="V375"/>
  <c r="U375"/>
  <c r="T375"/>
  <c r="S375"/>
  <c r="R375"/>
  <c r="Q375"/>
  <c r="P375"/>
  <c r="O375"/>
  <c r="N375"/>
  <c r="M375"/>
  <c r="L375"/>
  <c r="K375"/>
  <c r="J375"/>
  <c r="I375"/>
  <c r="H375"/>
  <c r="G375"/>
  <c r="F375"/>
  <c r="E375"/>
  <c r="D375"/>
  <c r="BB374"/>
  <c r="BA374"/>
  <c r="AZ374"/>
  <c r="AY374"/>
  <c r="AX374"/>
  <c r="AW374"/>
  <c r="AV374"/>
  <c r="AU374"/>
  <c r="AT374"/>
  <c r="AS374"/>
  <c r="AR374"/>
  <c r="AQ374"/>
  <c r="AP374"/>
  <c r="AO374"/>
  <c r="AN374"/>
  <c r="AM374"/>
  <c r="AL374"/>
  <c r="AK374"/>
  <c r="AJ374"/>
  <c r="AI374"/>
  <c r="AH374"/>
  <c r="AG374"/>
  <c r="AF374"/>
  <c r="AE374"/>
  <c r="AD374"/>
  <c r="AC374"/>
  <c r="AB374"/>
  <c r="AA374"/>
  <c r="Z374"/>
  <c r="Y374"/>
  <c r="X374"/>
  <c r="W374"/>
  <c r="V374"/>
  <c r="U374"/>
  <c r="T374"/>
  <c r="S374"/>
  <c r="R374"/>
  <c r="Q374"/>
  <c r="P374"/>
  <c r="O374"/>
  <c r="N374"/>
  <c r="M374"/>
  <c r="L374"/>
  <c r="K374"/>
  <c r="J374"/>
  <c r="I374"/>
  <c r="H374"/>
  <c r="G374"/>
  <c r="F374"/>
  <c r="E374"/>
  <c r="D374"/>
  <c r="BB373"/>
  <c r="BA373"/>
  <c r="AZ373"/>
  <c r="AY373"/>
  <c r="AX373"/>
  <c r="AW373"/>
  <c r="AV373"/>
  <c r="AU373"/>
  <c r="AT373"/>
  <c r="AS373"/>
  <c r="AR373"/>
  <c r="AQ373"/>
  <c r="AP373"/>
  <c r="AO373"/>
  <c r="AN373"/>
  <c r="AM373"/>
  <c r="AL373"/>
  <c r="AK373"/>
  <c r="AJ373"/>
  <c r="AI373"/>
  <c r="AH373"/>
  <c r="AG373"/>
  <c r="AF373"/>
  <c r="AE373"/>
  <c r="AD373"/>
  <c r="AC373"/>
  <c r="AB373"/>
  <c r="AA373"/>
  <c r="Z373"/>
  <c r="Y373"/>
  <c r="X373"/>
  <c r="W373"/>
  <c r="V373"/>
  <c r="U373"/>
  <c r="T373"/>
  <c r="S373"/>
  <c r="R373"/>
  <c r="Q373"/>
  <c r="P373"/>
  <c r="O373"/>
  <c r="N373"/>
  <c r="M373"/>
  <c r="L373"/>
  <c r="K373"/>
  <c r="J373"/>
  <c r="I373"/>
  <c r="H373"/>
  <c r="G373"/>
  <c r="F373"/>
  <c r="E373"/>
  <c r="D373"/>
  <c r="BB372"/>
  <c r="BA372"/>
  <c r="AZ372"/>
  <c r="AY372"/>
  <c r="AX372"/>
  <c r="AW372"/>
  <c r="AV372"/>
  <c r="AU372"/>
  <c r="AT372"/>
  <c r="AS372"/>
  <c r="AR372"/>
  <c r="AQ372"/>
  <c r="AP372"/>
  <c r="AO372"/>
  <c r="AN372"/>
  <c r="AM372"/>
  <c r="AL372"/>
  <c r="AK372"/>
  <c r="AJ372"/>
  <c r="AI372"/>
  <c r="AH372"/>
  <c r="AG372"/>
  <c r="AF372"/>
  <c r="AE372"/>
  <c r="AD372"/>
  <c r="AC372"/>
  <c r="AB372"/>
  <c r="AA372"/>
  <c r="Z372"/>
  <c r="Y372"/>
  <c r="X372"/>
  <c r="W372"/>
  <c r="V372"/>
  <c r="U372"/>
  <c r="T372"/>
  <c r="S372"/>
  <c r="R372"/>
  <c r="Q372"/>
  <c r="P372"/>
  <c r="O372"/>
  <c r="N372"/>
  <c r="M372"/>
  <c r="L372"/>
  <c r="K372"/>
  <c r="J372"/>
  <c r="I372"/>
  <c r="H372"/>
  <c r="G372"/>
  <c r="F372"/>
  <c r="E372"/>
  <c r="D372"/>
  <c r="BB371"/>
  <c r="BA371"/>
  <c r="AZ371"/>
  <c r="AY371"/>
  <c r="AX371"/>
  <c r="AW371"/>
  <c r="AV371"/>
  <c r="AU371"/>
  <c r="AT371"/>
  <c r="AS371"/>
  <c r="AR371"/>
  <c r="AQ371"/>
  <c r="AP371"/>
  <c r="AO371"/>
  <c r="AN371"/>
  <c r="AM371"/>
  <c r="AL371"/>
  <c r="AK371"/>
  <c r="AJ371"/>
  <c r="AI371"/>
  <c r="AH371"/>
  <c r="AG371"/>
  <c r="AF371"/>
  <c r="AE371"/>
  <c r="AD371"/>
  <c r="AC371"/>
  <c r="AB371"/>
  <c r="AA371"/>
  <c r="Z371"/>
  <c r="Y371"/>
  <c r="X371"/>
  <c r="W371"/>
  <c r="V371"/>
  <c r="U371"/>
  <c r="T371"/>
  <c r="S371"/>
  <c r="R371"/>
  <c r="Q371"/>
  <c r="P371"/>
  <c r="O371"/>
  <c r="N371"/>
  <c r="M371"/>
  <c r="L371"/>
  <c r="K371"/>
  <c r="J371"/>
  <c r="I371"/>
  <c r="H371"/>
  <c r="G371"/>
  <c r="F371"/>
  <c r="E371"/>
  <c r="D371"/>
  <c r="BB370"/>
  <c r="C529" s="1"/>
  <c r="BA370"/>
  <c r="AZ370"/>
  <c r="AY370"/>
  <c r="AX370"/>
  <c r="AW370"/>
  <c r="AV370"/>
  <c r="AU370"/>
  <c r="AT370"/>
  <c r="AS370"/>
  <c r="AR370"/>
  <c r="AQ370"/>
  <c r="AP370"/>
  <c r="AO370"/>
  <c r="AN370"/>
  <c r="AM370"/>
  <c r="AL370"/>
  <c r="AK370"/>
  <c r="AJ370"/>
  <c r="AI370"/>
  <c r="AH370"/>
  <c r="AG370"/>
  <c r="AF370"/>
  <c r="AE370"/>
  <c r="AD370"/>
  <c r="AC370"/>
  <c r="AB370"/>
  <c r="AA370"/>
  <c r="Z370"/>
  <c r="Y370"/>
  <c r="X370"/>
  <c r="W370"/>
  <c r="V370"/>
  <c r="U370"/>
  <c r="T370"/>
  <c r="S370"/>
  <c r="R370"/>
  <c r="Q370"/>
  <c r="P370"/>
  <c r="O370"/>
  <c r="N370"/>
  <c r="M370"/>
  <c r="L370"/>
  <c r="K370"/>
  <c r="J370"/>
  <c r="I370"/>
  <c r="H370"/>
  <c r="G370"/>
  <c r="F370"/>
  <c r="E370"/>
  <c r="D370"/>
  <c r="BB369"/>
  <c r="BA369"/>
  <c r="AZ369"/>
  <c r="AY369"/>
  <c r="AX369"/>
  <c r="AW369"/>
  <c r="AV369"/>
  <c r="AU369"/>
  <c r="AT369"/>
  <c r="AS369"/>
  <c r="AR369"/>
  <c r="AQ369"/>
  <c r="AP369"/>
  <c r="AO369"/>
  <c r="AN369"/>
  <c r="AM369"/>
  <c r="AL369"/>
  <c r="AK369"/>
  <c r="AJ369"/>
  <c r="AI369"/>
  <c r="AH369"/>
  <c r="AG369"/>
  <c r="AF369"/>
  <c r="AE369"/>
  <c r="AD369"/>
  <c r="AC369"/>
  <c r="AB369"/>
  <c r="AA369"/>
  <c r="Z369"/>
  <c r="Y369"/>
  <c r="X369"/>
  <c r="W369"/>
  <c r="V369"/>
  <c r="U369"/>
  <c r="T369"/>
  <c r="S369"/>
  <c r="R369"/>
  <c r="Q369"/>
  <c r="P369"/>
  <c r="O369"/>
  <c r="N369"/>
  <c r="M369"/>
  <c r="L369"/>
  <c r="K369"/>
  <c r="J369"/>
  <c r="I369"/>
  <c r="H369"/>
  <c r="G369"/>
  <c r="F369"/>
  <c r="E369"/>
  <c r="D369"/>
  <c r="BB368"/>
  <c r="BA368"/>
  <c r="AZ368"/>
  <c r="AY368"/>
  <c r="AX368"/>
  <c r="AW368"/>
  <c r="AV368"/>
  <c r="AU368"/>
  <c r="AT368"/>
  <c r="AS368"/>
  <c r="AR368"/>
  <c r="AQ368"/>
  <c r="AP368"/>
  <c r="AO368"/>
  <c r="AN368"/>
  <c r="AM368"/>
  <c r="AL368"/>
  <c r="AK368"/>
  <c r="AJ368"/>
  <c r="AI368"/>
  <c r="AH368"/>
  <c r="AG368"/>
  <c r="AF368"/>
  <c r="AE368"/>
  <c r="AD368"/>
  <c r="AC368"/>
  <c r="AB368"/>
  <c r="AA368"/>
  <c r="Z368"/>
  <c r="Y368"/>
  <c r="X368"/>
  <c r="W368"/>
  <c r="V368"/>
  <c r="U368"/>
  <c r="T368"/>
  <c r="S368"/>
  <c r="R368"/>
  <c r="Q368"/>
  <c r="P368"/>
  <c r="O368"/>
  <c r="N368"/>
  <c r="M368"/>
  <c r="L368"/>
  <c r="K368"/>
  <c r="J368"/>
  <c r="I368"/>
  <c r="H368"/>
  <c r="G368"/>
  <c r="F368"/>
  <c r="E368"/>
  <c r="D368"/>
  <c r="BB367"/>
  <c r="BA367"/>
  <c r="AZ367"/>
  <c r="AY367"/>
  <c r="AX367"/>
  <c r="AW367"/>
  <c r="AV367"/>
  <c r="AU367"/>
  <c r="AT367"/>
  <c r="AS367"/>
  <c r="AR367"/>
  <c r="AQ367"/>
  <c r="AP367"/>
  <c r="AO367"/>
  <c r="AN367"/>
  <c r="AM367"/>
  <c r="AL367"/>
  <c r="AK367"/>
  <c r="AJ367"/>
  <c r="AI367"/>
  <c r="AH367"/>
  <c r="AG367"/>
  <c r="AF367"/>
  <c r="AE367"/>
  <c r="AD367"/>
  <c r="AC367"/>
  <c r="AB367"/>
  <c r="AA367"/>
  <c r="Z367"/>
  <c r="Y367"/>
  <c r="X367"/>
  <c r="W367"/>
  <c r="V367"/>
  <c r="U367"/>
  <c r="T367"/>
  <c r="S367"/>
  <c r="R367"/>
  <c r="Q367"/>
  <c r="P367"/>
  <c r="O367"/>
  <c r="N367"/>
  <c r="M367"/>
  <c r="L367"/>
  <c r="K367"/>
  <c r="J367"/>
  <c r="I367"/>
  <c r="H367"/>
  <c r="G367"/>
  <c r="F367"/>
  <c r="E367"/>
  <c r="D367"/>
  <c r="BB366"/>
  <c r="BA366"/>
  <c r="AZ366"/>
  <c r="AY366"/>
  <c r="AX366"/>
  <c r="AW366"/>
  <c r="AV366"/>
  <c r="AU366"/>
  <c r="AT366"/>
  <c r="AS366"/>
  <c r="AR366"/>
  <c r="AQ366"/>
  <c r="AP366"/>
  <c r="AO366"/>
  <c r="AN366"/>
  <c r="AM366"/>
  <c r="AL366"/>
  <c r="AK366"/>
  <c r="AJ366"/>
  <c r="AI366"/>
  <c r="AH366"/>
  <c r="AG366"/>
  <c r="AF366"/>
  <c r="AE366"/>
  <c r="AD366"/>
  <c r="AC366"/>
  <c r="AB366"/>
  <c r="AA366"/>
  <c r="Z366"/>
  <c r="Y366"/>
  <c r="X366"/>
  <c r="W366"/>
  <c r="V366"/>
  <c r="U366"/>
  <c r="T366"/>
  <c r="S366"/>
  <c r="R366"/>
  <c r="Q366"/>
  <c r="P366"/>
  <c r="O366"/>
  <c r="N366"/>
  <c r="M366"/>
  <c r="L366"/>
  <c r="K366"/>
  <c r="J366"/>
  <c r="I366"/>
  <c r="H366"/>
  <c r="G366"/>
  <c r="F366"/>
  <c r="E366"/>
  <c r="D366"/>
  <c r="BB365"/>
  <c r="BA365"/>
  <c r="AZ365"/>
  <c r="AY365"/>
  <c r="AX365"/>
  <c r="AW365"/>
  <c r="AV365"/>
  <c r="AU365"/>
  <c r="AT365"/>
  <c r="AS365"/>
  <c r="AR365"/>
  <c r="AQ365"/>
  <c r="AP365"/>
  <c r="AO365"/>
  <c r="AN365"/>
  <c r="AM365"/>
  <c r="AL365"/>
  <c r="AK365"/>
  <c r="AJ365"/>
  <c r="AI365"/>
  <c r="AH365"/>
  <c r="AG365"/>
  <c r="AF365"/>
  <c r="AE365"/>
  <c r="AD365"/>
  <c r="AC365"/>
  <c r="AB365"/>
  <c r="AA365"/>
  <c r="Z365"/>
  <c r="Y365"/>
  <c r="X365"/>
  <c r="W365"/>
  <c r="V365"/>
  <c r="U365"/>
  <c r="T365"/>
  <c r="S365"/>
  <c r="R365"/>
  <c r="Q365"/>
  <c r="P365"/>
  <c r="O365"/>
  <c r="N365"/>
  <c r="M365"/>
  <c r="L365"/>
  <c r="K365"/>
  <c r="J365"/>
  <c r="I365"/>
  <c r="H365"/>
  <c r="G365"/>
  <c r="F365"/>
  <c r="E365"/>
  <c r="D365"/>
  <c r="BB364"/>
  <c r="BA364"/>
  <c r="AZ364"/>
  <c r="AY364"/>
  <c r="AX364"/>
  <c r="AW364"/>
  <c r="AV364"/>
  <c r="AU364"/>
  <c r="AT364"/>
  <c r="AS364"/>
  <c r="AR364"/>
  <c r="AQ364"/>
  <c r="AP364"/>
  <c r="AO364"/>
  <c r="AN364"/>
  <c r="AM364"/>
  <c r="AL364"/>
  <c r="AK364"/>
  <c r="AJ364"/>
  <c r="AI364"/>
  <c r="AH364"/>
  <c r="AG364"/>
  <c r="AF364"/>
  <c r="AE364"/>
  <c r="AD364"/>
  <c r="AC364"/>
  <c r="AB364"/>
  <c r="AA364"/>
  <c r="Z364"/>
  <c r="Y364"/>
  <c r="X364"/>
  <c r="W364"/>
  <c r="V364"/>
  <c r="U364"/>
  <c r="T364"/>
  <c r="S364"/>
  <c r="R364"/>
  <c r="Q364"/>
  <c r="P364"/>
  <c r="O364"/>
  <c r="N364"/>
  <c r="M364"/>
  <c r="L364"/>
  <c r="K364"/>
  <c r="J364"/>
  <c r="I364"/>
  <c r="H364"/>
  <c r="G364"/>
  <c r="F364"/>
  <c r="E364"/>
  <c r="D364"/>
  <c r="BB363"/>
  <c r="BA363"/>
  <c r="AZ363"/>
  <c r="AY363"/>
  <c r="AX363"/>
  <c r="AW363"/>
  <c r="AV363"/>
  <c r="AU363"/>
  <c r="AT363"/>
  <c r="AS363"/>
  <c r="AR363"/>
  <c r="AQ363"/>
  <c r="AP363"/>
  <c r="AO363"/>
  <c r="AN363"/>
  <c r="AM363"/>
  <c r="AL363"/>
  <c r="AK363"/>
  <c r="AJ363"/>
  <c r="AI363"/>
  <c r="AH363"/>
  <c r="AG363"/>
  <c r="AF363"/>
  <c r="AE363"/>
  <c r="AD363"/>
  <c r="AC363"/>
  <c r="AB363"/>
  <c r="AA363"/>
  <c r="Z363"/>
  <c r="Y363"/>
  <c r="X363"/>
  <c r="W363"/>
  <c r="V363"/>
  <c r="U363"/>
  <c r="T363"/>
  <c r="S363"/>
  <c r="R363"/>
  <c r="Q363"/>
  <c r="P363"/>
  <c r="O363"/>
  <c r="N363"/>
  <c r="M363"/>
  <c r="L363"/>
  <c r="K363"/>
  <c r="J363"/>
  <c r="I363"/>
  <c r="H363"/>
  <c r="G363"/>
  <c r="F363"/>
  <c r="E363"/>
  <c r="D363"/>
  <c r="BB362"/>
  <c r="BA362"/>
  <c r="AZ362"/>
  <c r="AY362"/>
  <c r="AX362"/>
  <c r="AW362"/>
  <c r="AV362"/>
  <c r="AU362"/>
  <c r="AT362"/>
  <c r="AS362"/>
  <c r="AR362"/>
  <c r="AQ362"/>
  <c r="AP362"/>
  <c r="AO362"/>
  <c r="AN362"/>
  <c r="AM362"/>
  <c r="AL362"/>
  <c r="AK362"/>
  <c r="AJ362"/>
  <c r="AI362"/>
  <c r="AH362"/>
  <c r="AG362"/>
  <c r="AF362"/>
  <c r="AE362"/>
  <c r="AD362"/>
  <c r="AC362"/>
  <c r="AB362"/>
  <c r="AA362"/>
  <c r="Z362"/>
  <c r="Y362"/>
  <c r="X362"/>
  <c r="W362"/>
  <c r="V362"/>
  <c r="U362"/>
  <c r="T362"/>
  <c r="S362"/>
  <c r="R362"/>
  <c r="Q362"/>
  <c r="P362"/>
  <c r="O362"/>
  <c r="N362"/>
  <c r="M362"/>
  <c r="L362"/>
  <c r="K362"/>
  <c r="J362"/>
  <c r="I362"/>
  <c r="H362"/>
  <c r="G362"/>
  <c r="F362"/>
  <c r="E362"/>
  <c r="D362"/>
  <c r="BB361"/>
  <c r="BA361"/>
  <c r="AZ361"/>
  <c r="AY361"/>
  <c r="AX361"/>
  <c r="AW361"/>
  <c r="AV361"/>
  <c r="AU361"/>
  <c r="AT361"/>
  <c r="AS361"/>
  <c r="AR361"/>
  <c r="AQ361"/>
  <c r="AP361"/>
  <c r="AO361"/>
  <c r="AN361"/>
  <c r="AM361"/>
  <c r="AL361"/>
  <c r="AK361"/>
  <c r="AJ361"/>
  <c r="AI361"/>
  <c r="AH361"/>
  <c r="AG361"/>
  <c r="AF361"/>
  <c r="AE361"/>
  <c r="AD361"/>
  <c r="AC361"/>
  <c r="AB361"/>
  <c r="AA361"/>
  <c r="Z361"/>
  <c r="Y361"/>
  <c r="X361"/>
  <c r="W361"/>
  <c r="V361"/>
  <c r="U361"/>
  <c r="T361"/>
  <c r="S361"/>
  <c r="R361"/>
  <c r="Q361"/>
  <c r="P361"/>
  <c r="O361"/>
  <c r="N361"/>
  <c r="M361"/>
  <c r="L361"/>
  <c r="K361"/>
  <c r="J361"/>
  <c r="I361"/>
  <c r="H361"/>
  <c r="G361"/>
  <c r="F361"/>
  <c r="E361"/>
  <c r="D361"/>
  <c r="BB360"/>
  <c r="BA360"/>
  <c r="AZ360"/>
  <c r="AY360"/>
  <c r="AX360"/>
  <c r="AW360"/>
  <c r="AV360"/>
  <c r="AU360"/>
  <c r="AT360"/>
  <c r="AS360"/>
  <c r="AR360"/>
  <c r="AQ360"/>
  <c r="AP360"/>
  <c r="AO360"/>
  <c r="AN360"/>
  <c r="AM360"/>
  <c r="AL360"/>
  <c r="AK360"/>
  <c r="AJ360"/>
  <c r="AI360"/>
  <c r="AH360"/>
  <c r="AG360"/>
  <c r="AF360"/>
  <c r="AE360"/>
  <c r="AD360"/>
  <c r="AC360"/>
  <c r="AB360"/>
  <c r="AA360"/>
  <c r="Z360"/>
  <c r="Y360"/>
  <c r="X360"/>
  <c r="W360"/>
  <c r="V360"/>
  <c r="U360"/>
  <c r="T360"/>
  <c r="S360"/>
  <c r="R360"/>
  <c r="Q360"/>
  <c r="P360"/>
  <c r="O360"/>
  <c r="N360"/>
  <c r="M360"/>
  <c r="L360"/>
  <c r="K360"/>
  <c r="J360"/>
  <c r="I360"/>
  <c r="H360"/>
  <c r="G360"/>
  <c r="F360"/>
  <c r="E360"/>
  <c r="D360"/>
  <c r="BB359"/>
  <c r="BA359"/>
  <c r="AZ359"/>
  <c r="AY359"/>
  <c r="AX359"/>
  <c r="AW359"/>
  <c r="AV359"/>
  <c r="AU359"/>
  <c r="AT359"/>
  <c r="AS359"/>
  <c r="AR359"/>
  <c r="AQ359"/>
  <c r="AP359"/>
  <c r="AO359"/>
  <c r="AN359"/>
  <c r="AM359"/>
  <c r="AL359"/>
  <c r="AK359"/>
  <c r="AJ359"/>
  <c r="AI359"/>
  <c r="AH359"/>
  <c r="AG359"/>
  <c r="AF359"/>
  <c r="AE359"/>
  <c r="AD359"/>
  <c r="AC359"/>
  <c r="AB359"/>
  <c r="AA359"/>
  <c r="Z359"/>
  <c r="Y359"/>
  <c r="X359"/>
  <c r="W359"/>
  <c r="V359"/>
  <c r="U359"/>
  <c r="T359"/>
  <c r="S359"/>
  <c r="R359"/>
  <c r="Q359"/>
  <c r="P359"/>
  <c r="O359"/>
  <c r="N359"/>
  <c r="M359"/>
  <c r="L359"/>
  <c r="K359"/>
  <c r="J359"/>
  <c r="I359"/>
  <c r="H359"/>
  <c r="G359"/>
  <c r="F359"/>
  <c r="E359"/>
  <c r="D359"/>
  <c r="BB358"/>
  <c r="BA358"/>
  <c r="AZ358"/>
  <c r="AY358"/>
  <c r="AX358"/>
  <c r="AW358"/>
  <c r="AV358"/>
  <c r="AU358"/>
  <c r="AT358"/>
  <c r="AS358"/>
  <c r="AR358"/>
  <c r="AQ358"/>
  <c r="AP358"/>
  <c r="AO358"/>
  <c r="AN358"/>
  <c r="AM358"/>
  <c r="AL358"/>
  <c r="AK358"/>
  <c r="AJ358"/>
  <c r="AI358"/>
  <c r="AH358"/>
  <c r="AG358"/>
  <c r="AF358"/>
  <c r="AE358"/>
  <c r="AD358"/>
  <c r="AC358"/>
  <c r="AB358"/>
  <c r="AA358"/>
  <c r="Z358"/>
  <c r="Y358"/>
  <c r="X358"/>
  <c r="W358"/>
  <c r="V358"/>
  <c r="U358"/>
  <c r="T358"/>
  <c r="S358"/>
  <c r="R358"/>
  <c r="Q358"/>
  <c r="P358"/>
  <c r="O358"/>
  <c r="N358"/>
  <c r="M358"/>
  <c r="L358"/>
  <c r="K358"/>
  <c r="J358"/>
  <c r="I358"/>
  <c r="H358"/>
  <c r="G358"/>
  <c r="F358"/>
  <c r="E358"/>
  <c r="D358"/>
  <c r="BB357"/>
  <c r="BA357"/>
  <c r="AZ357"/>
  <c r="AY357"/>
  <c r="AX357"/>
  <c r="AW357"/>
  <c r="AV357"/>
  <c r="AU357"/>
  <c r="AT357"/>
  <c r="AS357"/>
  <c r="AR357"/>
  <c r="AQ357"/>
  <c r="AP357"/>
  <c r="AO357"/>
  <c r="AN357"/>
  <c r="AM357"/>
  <c r="AL357"/>
  <c r="AK357"/>
  <c r="AJ357"/>
  <c r="AI357"/>
  <c r="AH357"/>
  <c r="AG357"/>
  <c r="AF357"/>
  <c r="AE357"/>
  <c r="AD357"/>
  <c r="AC357"/>
  <c r="AB357"/>
  <c r="AA357"/>
  <c r="Z357"/>
  <c r="Y357"/>
  <c r="X357"/>
  <c r="W357"/>
  <c r="V357"/>
  <c r="U357"/>
  <c r="T357"/>
  <c r="S357"/>
  <c r="R357"/>
  <c r="Q357"/>
  <c r="P357"/>
  <c r="O357"/>
  <c r="N357"/>
  <c r="M357"/>
  <c r="L357"/>
  <c r="K357"/>
  <c r="J357"/>
  <c r="I357"/>
  <c r="H357"/>
  <c r="G357"/>
  <c r="F357"/>
  <c r="E357"/>
  <c r="D357"/>
  <c r="BB356"/>
  <c r="BA356"/>
  <c r="AZ356"/>
  <c r="AY356"/>
  <c r="AX356"/>
  <c r="AW356"/>
  <c r="AV356"/>
  <c r="AU356"/>
  <c r="AT356"/>
  <c r="AS356"/>
  <c r="AR356"/>
  <c r="AQ356"/>
  <c r="AP356"/>
  <c r="AO356"/>
  <c r="AN356"/>
  <c r="AM356"/>
  <c r="AL356"/>
  <c r="AK356"/>
  <c r="AJ356"/>
  <c r="AI356"/>
  <c r="AH356"/>
  <c r="AG356"/>
  <c r="AF356"/>
  <c r="AE356"/>
  <c r="AD356"/>
  <c r="AC356"/>
  <c r="AB356"/>
  <c r="AA356"/>
  <c r="Z356"/>
  <c r="Y356"/>
  <c r="X356"/>
  <c r="W356"/>
  <c r="V356"/>
  <c r="U356"/>
  <c r="T356"/>
  <c r="S356"/>
  <c r="R356"/>
  <c r="Q356"/>
  <c r="P356"/>
  <c r="O356"/>
  <c r="N356"/>
  <c r="M356"/>
  <c r="L356"/>
  <c r="K356"/>
  <c r="J356"/>
  <c r="I356"/>
  <c r="H356"/>
  <c r="G356"/>
  <c r="F356"/>
  <c r="E356"/>
  <c r="D356"/>
  <c r="BB355"/>
  <c r="BA355"/>
  <c r="AZ355"/>
  <c r="AY355"/>
  <c r="AX355"/>
  <c r="AW355"/>
  <c r="AV355"/>
  <c r="AU355"/>
  <c r="AT355"/>
  <c r="AS355"/>
  <c r="AR355"/>
  <c r="AQ355"/>
  <c r="AP355"/>
  <c r="AO355"/>
  <c r="AN355"/>
  <c r="AM355"/>
  <c r="AL355"/>
  <c r="AK355"/>
  <c r="AJ355"/>
  <c r="AI355"/>
  <c r="AH355"/>
  <c r="AG355"/>
  <c r="AF355"/>
  <c r="AE355"/>
  <c r="AD355"/>
  <c r="AC355"/>
  <c r="AB355"/>
  <c r="AA355"/>
  <c r="Z355"/>
  <c r="Y355"/>
  <c r="X355"/>
  <c r="W355"/>
  <c r="V355"/>
  <c r="U355"/>
  <c r="T355"/>
  <c r="S355"/>
  <c r="R355"/>
  <c r="Q355"/>
  <c r="P355"/>
  <c r="O355"/>
  <c r="N355"/>
  <c r="M355"/>
  <c r="L355"/>
  <c r="K355"/>
  <c r="J355"/>
  <c r="I355"/>
  <c r="H355"/>
  <c r="G355"/>
  <c r="F355"/>
  <c r="E355"/>
  <c r="D355"/>
  <c r="BB354"/>
  <c r="BA354"/>
  <c r="AZ354"/>
  <c r="AY354"/>
  <c r="AX354"/>
  <c r="AW354"/>
  <c r="AV354"/>
  <c r="AU354"/>
  <c r="AT354"/>
  <c r="AS354"/>
  <c r="AR354"/>
  <c r="AQ354"/>
  <c r="AP354"/>
  <c r="AO354"/>
  <c r="AN354"/>
  <c r="AM354"/>
  <c r="AL354"/>
  <c r="AK354"/>
  <c r="AJ354"/>
  <c r="AI354"/>
  <c r="AH354"/>
  <c r="AG354"/>
  <c r="AF354"/>
  <c r="AE354"/>
  <c r="AD354"/>
  <c r="AC354"/>
  <c r="AB354"/>
  <c r="AA354"/>
  <c r="Z354"/>
  <c r="Y354"/>
  <c r="X354"/>
  <c r="W354"/>
  <c r="V354"/>
  <c r="U354"/>
  <c r="T354"/>
  <c r="S354"/>
  <c r="R354"/>
  <c r="Q354"/>
  <c r="P354"/>
  <c r="O354"/>
  <c r="N354"/>
  <c r="M354"/>
  <c r="L354"/>
  <c r="K354"/>
  <c r="J354"/>
  <c r="I354"/>
  <c r="H354"/>
  <c r="G354"/>
  <c r="F354"/>
  <c r="E354"/>
  <c r="D354"/>
  <c r="BB353"/>
  <c r="BA353"/>
  <c r="AZ353"/>
  <c r="AY353"/>
  <c r="AX353"/>
  <c r="AW353"/>
  <c r="AV353"/>
  <c r="AU353"/>
  <c r="AT353"/>
  <c r="AS353"/>
  <c r="AR353"/>
  <c r="AQ353"/>
  <c r="AP353"/>
  <c r="AO353"/>
  <c r="AN353"/>
  <c r="AM353"/>
  <c r="AL353"/>
  <c r="AK353"/>
  <c r="AJ353"/>
  <c r="AI353"/>
  <c r="AH353"/>
  <c r="AG353"/>
  <c r="AF353"/>
  <c r="AE353"/>
  <c r="AD353"/>
  <c r="AC353"/>
  <c r="AB353"/>
  <c r="AA353"/>
  <c r="Z353"/>
  <c r="Y353"/>
  <c r="X353"/>
  <c r="W353"/>
  <c r="V353"/>
  <c r="U353"/>
  <c r="T353"/>
  <c r="S353"/>
  <c r="R353"/>
  <c r="Q353"/>
  <c r="P353"/>
  <c r="O353"/>
  <c r="N353"/>
  <c r="M353"/>
  <c r="L353"/>
  <c r="K353"/>
  <c r="J353"/>
  <c r="I353"/>
  <c r="H353"/>
  <c r="G353"/>
  <c r="F353"/>
  <c r="E353"/>
  <c r="D353"/>
  <c r="BB352"/>
  <c r="BA352"/>
  <c r="AZ352"/>
  <c r="AY352"/>
  <c r="AX352"/>
  <c r="AW352"/>
  <c r="AV352"/>
  <c r="AU352"/>
  <c r="AT352"/>
  <c r="AS352"/>
  <c r="AR352"/>
  <c r="AQ352"/>
  <c r="AP352"/>
  <c r="AO352"/>
  <c r="AN352"/>
  <c r="AM352"/>
  <c r="AL352"/>
  <c r="AK352"/>
  <c r="AJ352"/>
  <c r="AI352"/>
  <c r="AH352"/>
  <c r="AG352"/>
  <c r="AF352"/>
  <c r="AE352"/>
  <c r="AD352"/>
  <c r="AC352"/>
  <c r="AB352"/>
  <c r="AA352"/>
  <c r="Z352"/>
  <c r="Y352"/>
  <c r="X352"/>
  <c r="W352"/>
  <c r="V352"/>
  <c r="U352"/>
  <c r="T352"/>
  <c r="S352"/>
  <c r="R352"/>
  <c r="Q352"/>
  <c r="P352"/>
  <c r="O352"/>
  <c r="N352"/>
  <c r="M352"/>
  <c r="L352"/>
  <c r="K352"/>
  <c r="J352"/>
  <c r="I352"/>
  <c r="H352"/>
  <c r="G352"/>
  <c r="F352"/>
  <c r="E352"/>
  <c r="D352"/>
  <c r="BB351"/>
  <c r="C527" s="1"/>
  <c r="BA351"/>
  <c r="AZ351"/>
  <c r="AY351"/>
  <c r="AX351"/>
  <c r="AW351"/>
  <c r="AV351"/>
  <c r="AU351"/>
  <c r="AT351"/>
  <c r="AS351"/>
  <c r="AR351"/>
  <c r="AQ351"/>
  <c r="AP351"/>
  <c r="AO351"/>
  <c r="AN351"/>
  <c r="AM351"/>
  <c r="AL351"/>
  <c r="AK351"/>
  <c r="AJ351"/>
  <c r="AI351"/>
  <c r="AH351"/>
  <c r="AG351"/>
  <c r="AF351"/>
  <c r="AE351"/>
  <c r="AD351"/>
  <c r="AC351"/>
  <c r="AB351"/>
  <c r="AA351"/>
  <c r="Z351"/>
  <c r="Y351"/>
  <c r="X351"/>
  <c r="W351"/>
  <c r="V351"/>
  <c r="U351"/>
  <c r="T351"/>
  <c r="S351"/>
  <c r="R351"/>
  <c r="Q351"/>
  <c r="P351"/>
  <c r="O351"/>
  <c r="N351"/>
  <c r="M351"/>
  <c r="L351"/>
  <c r="K351"/>
  <c r="J351"/>
  <c r="I351"/>
  <c r="H351"/>
  <c r="G351"/>
  <c r="F351"/>
  <c r="E351"/>
  <c r="D351"/>
  <c r="BB350"/>
  <c r="BA350"/>
  <c r="AZ350"/>
  <c r="AY350"/>
  <c r="AX350"/>
  <c r="AW350"/>
  <c r="AV350"/>
  <c r="AU350"/>
  <c r="AT350"/>
  <c r="AS350"/>
  <c r="AR350"/>
  <c r="AQ350"/>
  <c r="AP350"/>
  <c r="AO350"/>
  <c r="AN350"/>
  <c r="AM350"/>
  <c r="AL350"/>
  <c r="AK350"/>
  <c r="AJ350"/>
  <c r="AI350"/>
  <c r="AH350"/>
  <c r="AG350"/>
  <c r="AF350"/>
  <c r="AE350"/>
  <c r="AD350"/>
  <c r="AC350"/>
  <c r="AB350"/>
  <c r="AA350"/>
  <c r="Z350"/>
  <c r="Y350"/>
  <c r="X350"/>
  <c r="W350"/>
  <c r="V350"/>
  <c r="U350"/>
  <c r="T350"/>
  <c r="S350"/>
  <c r="R350"/>
  <c r="Q350"/>
  <c r="P350"/>
  <c r="O350"/>
  <c r="N350"/>
  <c r="M350"/>
  <c r="L350"/>
  <c r="K350"/>
  <c r="J350"/>
  <c r="I350"/>
  <c r="H350"/>
  <c r="G350"/>
  <c r="F350"/>
  <c r="E350"/>
  <c r="D350"/>
  <c r="BB349"/>
  <c r="BA349"/>
  <c r="AZ349"/>
  <c r="AY349"/>
  <c r="AX349"/>
  <c r="AW349"/>
  <c r="AV349"/>
  <c r="AU349"/>
  <c r="AT349"/>
  <c r="AS349"/>
  <c r="AR349"/>
  <c r="AQ349"/>
  <c r="AP349"/>
  <c r="AO349"/>
  <c r="AN349"/>
  <c r="AM349"/>
  <c r="AL349"/>
  <c r="AK349"/>
  <c r="AJ349"/>
  <c r="AI349"/>
  <c r="AH349"/>
  <c r="AG349"/>
  <c r="AF349"/>
  <c r="AE349"/>
  <c r="AD349"/>
  <c r="AC349"/>
  <c r="AB349"/>
  <c r="AA349"/>
  <c r="Z349"/>
  <c r="Y349"/>
  <c r="X349"/>
  <c r="W349"/>
  <c r="V349"/>
  <c r="U349"/>
  <c r="T349"/>
  <c r="S349"/>
  <c r="R349"/>
  <c r="Q349"/>
  <c r="P349"/>
  <c r="O349"/>
  <c r="N349"/>
  <c r="M349"/>
  <c r="L349"/>
  <c r="K349"/>
  <c r="J349"/>
  <c r="I349"/>
  <c r="H349"/>
  <c r="G349"/>
  <c r="F349"/>
  <c r="E349"/>
  <c r="D349"/>
  <c r="BB348"/>
  <c r="BA348"/>
  <c r="AZ348"/>
  <c r="AY348"/>
  <c r="AX348"/>
  <c r="AW348"/>
  <c r="AV348"/>
  <c r="AU348"/>
  <c r="AT348"/>
  <c r="AS348"/>
  <c r="AR348"/>
  <c r="AQ348"/>
  <c r="AP348"/>
  <c r="AO348"/>
  <c r="AN348"/>
  <c r="AM348"/>
  <c r="AL348"/>
  <c r="AK348"/>
  <c r="AJ348"/>
  <c r="AI348"/>
  <c r="AH348"/>
  <c r="AG348"/>
  <c r="AF348"/>
  <c r="AE348"/>
  <c r="AD348"/>
  <c r="AC348"/>
  <c r="AB348"/>
  <c r="AA348"/>
  <c r="Z348"/>
  <c r="Y348"/>
  <c r="X348"/>
  <c r="W348"/>
  <c r="V348"/>
  <c r="U348"/>
  <c r="T348"/>
  <c r="S348"/>
  <c r="R348"/>
  <c r="Q348"/>
  <c r="P348"/>
  <c r="O348"/>
  <c r="N348"/>
  <c r="M348"/>
  <c r="L348"/>
  <c r="K348"/>
  <c r="J348"/>
  <c r="I348"/>
  <c r="H348"/>
  <c r="G348"/>
  <c r="F348"/>
  <c r="E348"/>
  <c r="D348"/>
  <c r="BB347"/>
  <c r="BA347"/>
  <c r="AZ347"/>
  <c r="AY347"/>
  <c r="AX347"/>
  <c r="AW347"/>
  <c r="AV347"/>
  <c r="AU347"/>
  <c r="AT347"/>
  <c r="AS347"/>
  <c r="AR347"/>
  <c r="AQ347"/>
  <c r="AP347"/>
  <c r="AO347"/>
  <c r="AN347"/>
  <c r="AM347"/>
  <c r="AL347"/>
  <c r="AK347"/>
  <c r="AJ347"/>
  <c r="AI347"/>
  <c r="AH347"/>
  <c r="AG347"/>
  <c r="AF347"/>
  <c r="AE347"/>
  <c r="AD347"/>
  <c r="AC347"/>
  <c r="AB347"/>
  <c r="AA347"/>
  <c r="Z347"/>
  <c r="Y347"/>
  <c r="X347"/>
  <c r="W347"/>
  <c r="V347"/>
  <c r="U347"/>
  <c r="T347"/>
  <c r="S347"/>
  <c r="R347"/>
  <c r="Q347"/>
  <c r="P347"/>
  <c r="O347"/>
  <c r="N347"/>
  <c r="M347"/>
  <c r="L347"/>
  <c r="K347"/>
  <c r="J347"/>
  <c r="I347"/>
  <c r="H347"/>
  <c r="G347"/>
  <c r="F347"/>
  <c r="E347"/>
  <c r="D347"/>
  <c r="BB346"/>
  <c r="BA346"/>
  <c r="AZ346"/>
  <c r="AY346"/>
  <c r="AX346"/>
  <c r="AW346"/>
  <c r="AV346"/>
  <c r="AU346"/>
  <c r="AT346"/>
  <c r="AS346"/>
  <c r="AR346"/>
  <c r="AQ346"/>
  <c r="AP346"/>
  <c r="AO346"/>
  <c r="AN346"/>
  <c r="AM346"/>
  <c r="AL346"/>
  <c r="AK346"/>
  <c r="AJ346"/>
  <c r="AI346"/>
  <c r="AH346"/>
  <c r="AG346"/>
  <c r="AF346"/>
  <c r="AE346"/>
  <c r="AD346"/>
  <c r="AC346"/>
  <c r="AB346"/>
  <c r="AA346"/>
  <c r="Z346"/>
  <c r="Y346"/>
  <c r="X346"/>
  <c r="W346"/>
  <c r="V346"/>
  <c r="U346"/>
  <c r="T346"/>
  <c r="S346"/>
  <c r="R346"/>
  <c r="Q346"/>
  <c r="P346"/>
  <c r="O346"/>
  <c r="N346"/>
  <c r="M346"/>
  <c r="L346"/>
  <c r="K346"/>
  <c r="J346"/>
  <c r="I346"/>
  <c r="H346"/>
  <c r="G346"/>
  <c r="F346"/>
  <c r="E346"/>
  <c r="D346"/>
  <c r="BB345"/>
  <c r="BA345"/>
  <c r="AZ345"/>
  <c r="AY345"/>
  <c r="AX345"/>
  <c r="AW345"/>
  <c r="AV345"/>
  <c r="AU345"/>
  <c r="AT345"/>
  <c r="AS345"/>
  <c r="AR345"/>
  <c r="AQ345"/>
  <c r="AP345"/>
  <c r="AO345"/>
  <c r="AN345"/>
  <c r="AM345"/>
  <c r="AL345"/>
  <c r="AK345"/>
  <c r="AJ345"/>
  <c r="AI345"/>
  <c r="AH345"/>
  <c r="AG345"/>
  <c r="AF345"/>
  <c r="AE345"/>
  <c r="AD345"/>
  <c r="AC345"/>
  <c r="AB345"/>
  <c r="AA345"/>
  <c r="Z345"/>
  <c r="Y345"/>
  <c r="X345"/>
  <c r="W345"/>
  <c r="V345"/>
  <c r="U345"/>
  <c r="T345"/>
  <c r="S345"/>
  <c r="R345"/>
  <c r="Q345"/>
  <c r="P345"/>
  <c r="O345"/>
  <c r="N345"/>
  <c r="M345"/>
  <c r="L345"/>
  <c r="K345"/>
  <c r="J345"/>
  <c r="I345"/>
  <c r="H345"/>
  <c r="G345"/>
  <c r="F345"/>
  <c r="E345"/>
  <c r="D345"/>
  <c r="BB344"/>
  <c r="BA344"/>
  <c r="AZ344"/>
  <c r="AY344"/>
  <c r="AX344"/>
  <c r="AW344"/>
  <c r="AV344"/>
  <c r="AU344"/>
  <c r="AT344"/>
  <c r="AS344"/>
  <c r="AR344"/>
  <c r="AQ344"/>
  <c r="AP344"/>
  <c r="AO344"/>
  <c r="AN344"/>
  <c r="AM344"/>
  <c r="AL344"/>
  <c r="AK344"/>
  <c r="AJ344"/>
  <c r="AI344"/>
  <c r="AH344"/>
  <c r="AG344"/>
  <c r="AF344"/>
  <c r="AE344"/>
  <c r="AD344"/>
  <c r="AC344"/>
  <c r="AB344"/>
  <c r="AA344"/>
  <c r="Z344"/>
  <c r="Y344"/>
  <c r="X344"/>
  <c r="W344"/>
  <c r="V344"/>
  <c r="U344"/>
  <c r="T344"/>
  <c r="S344"/>
  <c r="R344"/>
  <c r="Q344"/>
  <c r="P344"/>
  <c r="O344"/>
  <c r="N344"/>
  <c r="M344"/>
  <c r="L344"/>
  <c r="K344"/>
  <c r="J344"/>
  <c r="I344"/>
  <c r="H344"/>
  <c r="G344"/>
  <c r="F344"/>
  <c r="E344"/>
  <c r="D344"/>
  <c r="BB343"/>
  <c r="BA343"/>
  <c r="AZ343"/>
  <c r="AY343"/>
  <c r="AX343"/>
  <c r="AW343"/>
  <c r="AV343"/>
  <c r="AU343"/>
  <c r="AT343"/>
  <c r="AS343"/>
  <c r="AR343"/>
  <c r="AQ343"/>
  <c r="AP343"/>
  <c r="AO343"/>
  <c r="AN343"/>
  <c r="AM343"/>
  <c r="AL343"/>
  <c r="AK343"/>
  <c r="AJ343"/>
  <c r="AI343"/>
  <c r="AH343"/>
  <c r="AG343"/>
  <c r="AF343"/>
  <c r="AE343"/>
  <c r="AD343"/>
  <c r="AC343"/>
  <c r="AB343"/>
  <c r="AA343"/>
  <c r="Z343"/>
  <c r="Y343"/>
  <c r="X343"/>
  <c r="W343"/>
  <c r="V343"/>
  <c r="U343"/>
  <c r="T343"/>
  <c r="S343"/>
  <c r="R343"/>
  <c r="Q343"/>
  <c r="P343"/>
  <c r="O343"/>
  <c r="N343"/>
  <c r="M343"/>
  <c r="L343"/>
  <c r="K343"/>
  <c r="J343"/>
  <c r="I343"/>
  <c r="H343"/>
  <c r="G343"/>
  <c r="F343"/>
  <c r="E343"/>
  <c r="D343"/>
  <c r="BB342"/>
  <c r="BA342"/>
  <c r="AZ342"/>
  <c r="AY342"/>
  <c r="AX342"/>
  <c r="AW342"/>
  <c r="AV342"/>
  <c r="AU342"/>
  <c r="AT342"/>
  <c r="AS342"/>
  <c r="AR342"/>
  <c r="AQ342"/>
  <c r="AP342"/>
  <c r="AO342"/>
  <c r="AN342"/>
  <c r="AM342"/>
  <c r="AL342"/>
  <c r="AK342"/>
  <c r="AJ342"/>
  <c r="AI342"/>
  <c r="AH342"/>
  <c r="AG342"/>
  <c r="AF342"/>
  <c r="AE342"/>
  <c r="AD342"/>
  <c r="AC342"/>
  <c r="AB342"/>
  <c r="AA342"/>
  <c r="Z342"/>
  <c r="Y342"/>
  <c r="X342"/>
  <c r="W342"/>
  <c r="V342"/>
  <c r="U342"/>
  <c r="T342"/>
  <c r="S342"/>
  <c r="R342"/>
  <c r="Q342"/>
  <c r="P342"/>
  <c r="O342"/>
  <c r="N342"/>
  <c r="M342"/>
  <c r="L342"/>
  <c r="K342"/>
  <c r="J342"/>
  <c r="I342"/>
  <c r="H342"/>
  <c r="G342"/>
  <c r="F342"/>
  <c r="E342"/>
  <c r="D342"/>
  <c r="BB341"/>
  <c r="BA341"/>
  <c r="AZ341"/>
  <c r="AY341"/>
  <c r="AX341"/>
  <c r="AW341"/>
  <c r="AV341"/>
  <c r="AU341"/>
  <c r="AT341"/>
  <c r="AS341"/>
  <c r="AR341"/>
  <c r="AQ341"/>
  <c r="AP341"/>
  <c r="AO341"/>
  <c r="AN341"/>
  <c r="AM341"/>
  <c r="AL341"/>
  <c r="AK341"/>
  <c r="AJ341"/>
  <c r="AI341"/>
  <c r="AH341"/>
  <c r="AG341"/>
  <c r="AF341"/>
  <c r="AE341"/>
  <c r="AD341"/>
  <c r="AC341"/>
  <c r="AB341"/>
  <c r="AA341"/>
  <c r="Z341"/>
  <c r="Y341"/>
  <c r="X341"/>
  <c r="W341"/>
  <c r="V341"/>
  <c r="U341"/>
  <c r="T341"/>
  <c r="S341"/>
  <c r="R341"/>
  <c r="Q341"/>
  <c r="P341"/>
  <c r="O341"/>
  <c r="N341"/>
  <c r="M341"/>
  <c r="L341"/>
  <c r="K341"/>
  <c r="J341"/>
  <c r="I341"/>
  <c r="H341"/>
  <c r="G341"/>
  <c r="F341"/>
  <c r="E341"/>
  <c r="D341"/>
  <c r="BB340"/>
  <c r="BA340"/>
  <c r="AZ340"/>
  <c r="AY340"/>
  <c r="AX340"/>
  <c r="AW340"/>
  <c r="AV340"/>
  <c r="AU340"/>
  <c r="AT340"/>
  <c r="AS340"/>
  <c r="AR340"/>
  <c r="AQ340"/>
  <c r="AP340"/>
  <c r="AO340"/>
  <c r="AN340"/>
  <c r="AM340"/>
  <c r="AL340"/>
  <c r="AK340"/>
  <c r="AJ340"/>
  <c r="AI340"/>
  <c r="AH340"/>
  <c r="AG340"/>
  <c r="AF340"/>
  <c r="AE340"/>
  <c r="AD340"/>
  <c r="AC340"/>
  <c r="AB340"/>
  <c r="AA340"/>
  <c r="Z340"/>
  <c r="Y340"/>
  <c r="X340"/>
  <c r="W340"/>
  <c r="V340"/>
  <c r="U340"/>
  <c r="T340"/>
  <c r="S340"/>
  <c r="R340"/>
  <c r="Q340"/>
  <c r="P340"/>
  <c r="O340"/>
  <c r="N340"/>
  <c r="M340"/>
  <c r="L340"/>
  <c r="K340"/>
  <c r="J340"/>
  <c r="I340"/>
  <c r="H340"/>
  <c r="G340"/>
  <c r="F340"/>
  <c r="E340"/>
  <c r="D340"/>
  <c r="BB339"/>
  <c r="BA339"/>
  <c r="AZ339"/>
  <c r="AY339"/>
  <c r="AX339"/>
  <c r="AW339"/>
  <c r="AV339"/>
  <c r="AU339"/>
  <c r="AT339"/>
  <c r="AS339"/>
  <c r="AR339"/>
  <c r="AQ339"/>
  <c r="AP339"/>
  <c r="AO339"/>
  <c r="AN339"/>
  <c r="AM339"/>
  <c r="AL339"/>
  <c r="AK339"/>
  <c r="AJ339"/>
  <c r="AI339"/>
  <c r="AH339"/>
  <c r="AG339"/>
  <c r="AF339"/>
  <c r="AE339"/>
  <c r="AD339"/>
  <c r="AC339"/>
  <c r="AB339"/>
  <c r="AA339"/>
  <c r="Z339"/>
  <c r="Y339"/>
  <c r="X339"/>
  <c r="W339"/>
  <c r="V339"/>
  <c r="U339"/>
  <c r="T339"/>
  <c r="S339"/>
  <c r="R339"/>
  <c r="Q339"/>
  <c r="P339"/>
  <c r="O339"/>
  <c r="N339"/>
  <c r="M339"/>
  <c r="L339"/>
  <c r="K339"/>
  <c r="J339"/>
  <c r="I339"/>
  <c r="H339"/>
  <c r="G339"/>
  <c r="F339"/>
  <c r="E339"/>
  <c r="D339"/>
  <c r="BB338"/>
  <c r="BA338"/>
  <c r="AZ338"/>
  <c r="AY338"/>
  <c r="AX338"/>
  <c r="AW338"/>
  <c r="AV338"/>
  <c r="AU338"/>
  <c r="AT338"/>
  <c r="AS338"/>
  <c r="AR338"/>
  <c r="AQ338"/>
  <c r="AP338"/>
  <c r="AO338"/>
  <c r="AN338"/>
  <c r="AM338"/>
  <c r="AL338"/>
  <c r="AK338"/>
  <c r="AJ338"/>
  <c r="AI338"/>
  <c r="AH338"/>
  <c r="AG338"/>
  <c r="AF338"/>
  <c r="AE338"/>
  <c r="AD338"/>
  <c r="AC338"/>
  <c r="AB338"/>
  <c r="AA338"/>
  <c r="Z338"/>
  <c r="Y338"/>
  <c r="X338"/>
  <c r="W338"/>
  <c r="V338"/>
  <c r="U338"/>
  <c r="T338"/>
  <c r="S338"/>
  <c r="R338"/>
  <c r="Q338"/>
  <c r="P338"/>
  <c r="O338"/>
  <c r="N338"/>
  <c r="M338"/>
  <c r="L338"/>
  <c r="K338"/>
  <c r="J338"/>
  <c r="I338"/>
  <c r="H338"/>
  <c r="G338"/>
  <c r="F338"/>
  <c r="E338"/>
  <c r="D338"/>
  <c r="BB337"/>
  <c r="BA337"/>
  <c r="AZ337"/>
  <c r="AY337"/>
  <c r="AX337"/>
  <c r="AW337"/>
  <c r="AV337"/>
  <c r="AU337"/>
  <c r="AT337"/>
  <c r="AS337"/>
  <c r="AR337"/>
  <c r="AQ337"/>
  <c r="AP337"/>
  <c r="AO337"/>
  <c r="AN337"/>
  <c r="AM337"/>
  <c r="AL337"/>
  <c r="AK337"/>
  <c r="AJ337"/>
  <c r="AI337"/>
  <c r="AH337"/>
  <c r="AG337"/>
  <c r="AF337"/>
  <c r="AE337"/>
  <c r="AD337"/>
  <c r="AC337"/>
  <c r="AB337"/>
  <c r="AA337"/>
  <c r="Z337"/>
  <c r="Y337"/>
  <c r="X337"/>
  <c r="W337"/>
  <c r="V337"/>
  <c r="U337"/>
  <c r="T337"/>
  <c r="S337"/>
  <c r="R337"/>
  <c r="Q337"/>
  <c r="P337"/>
  <c r="O337"/>
  <c r="N337"/>
  <c r="M337"/>
  <c r="L337"/>
  <c r="K337"/>
  <c r="J337"/>
  <c r="I337"/>
  <c r="H337"/>
  <c r="G337"/>
  <c r="F337"/>
  <c r="E337"/>
  <c r="D337"/>
  <c r="BB336"/>
  <c r="BA336"/>
  <c r="AZ336"/>
  <c r="AY336"/>
  <c r="AX336"/>
  <c r="AW336"/>
  <c r="AV336"/>
  <c r="AU336"/>
  <c r="AT336"/>
  <c r="AS336"/>
  <c r="AR336"/>
  <c r="AQ336"/>
  <c r="AP336"/>
  <c r="AO336"/>
  <c r="AN336"/>
  <c r="AM336"/>
  <c r="AL336"/>
  <c r="AK336"/>
  <c r="AJ336"/>
  <c r="AI336"/>
  <c r="AH336"/>
  <c r="AG336"/>
  <c r="AF336"/>
  <c r="AE336"/>
  <c r="AD336"/>
  <c r="AC336"/>
  <c r="AB336"/>
  <c r="AA336"/>
  <c r="Z336"/>
  <c r="Y336"/>
  <c r="X336"/>
  <c r="W336"/>
  <c r="V336"/>
  <c r="U336"/>
  <c r="T336"/>
  <c r="S336"/>
  <c r="R336"/>
  <c r="Q336"/>
  <c r="P336"/>
  <c r="O336"/>
  <c r="N336"/>
  <c r="M336"/>
  <c r="L336"/>
  <c r="K336"/>
  <c r="J336"/>
  <c r="I336"/>
  <c r="H336"/>
  <c r="G336"/>
  <c r="F336"/>
  <c r="E336"/>
  <c r="D336"/>
  <c r="BB335"/>
  <c r="BA335"/>
  <c r="AZ335"/>
  <c r="AY335"/>
  <c r="AX335"/>
  <c r="AW335"/>
  <c r="AV335"/>
  <c r="AU335"/>
  <c r="AT335"/>
  <c r="AS335"/>
  <c r="AR335"/>
  <c r="AQ335"/>
  <c r="AP335"/>
  <c r="AO335"/>
  <c r="AN335"/>
  <c r="AM335"/>
  <c r="AL335"/>
  <c r="AK335"/>
  <c r="AJ335"/>
  <c r="AI335"/>
  <c r="AH335"/>
  <c r="AG335"/>
  <c r="AF335"/>
  <c r="AE335"/>
  <c r="AD335"/>
  <c r="AC335"/>
  <c r="AB335"/>
  <c r="AA335"/>
  <c r="Z335"/>
  <c r="Y335"/>
  <c r="X335"/>
  <c r="W335"/>
  <c r="V335"/>
  <c r="U335"/>
  <c r="T335"/>
  <c r="S335"/>
  <c r="R335"/>
  <c r="Q335"/>
  <c r="P335"/>
  <c r="O335"/>
  <c r="N335"/>
  <c r="M335"/>
  <c r="L335"/>
  <c r="K335"/>
  <c r="J335"/>
  <c r="I335"/>
  <c r="H335"/>
  <c r="G335"/>
  <c r="F335"/>
  <c r="E335"/>
  <c r="D335"/>
  <c r="BB334"/>
  <c r="BA334"/>
  <c r="AZ334"/>
  <c r="AY334"/>
  <c r="AX334"/>
  <c r="AW334"/>
  <c r="AV334"/>
  <c r="AU334"/>
  <c r="AT334"/>
  <c r="AS334"/>
  <c r="AR334"/>
  <c r="AQ334"/>
  <c r="AP334"/>
  <c r="AO334"/>
  <c r="AN334"/>
  <c r="AM334"/>
  <c r="AL334"/>
  <c r="AK334"/>
  <c r="AJ334"/>
  <c r="AI334"/>
  <c r="AH334"/>
  <c r="AG334"/>
  <c r="AF334"/>
  <c r="AE334"/>
  <c r="AD334"/>
  <c r="AC334"/>
  <c r="AB334"/>
  <c r="AA334"/>
  <c r="Z334"/>
  <c r="Y334"/>
  <c r="X334"/>
  <c r="W334"/>
  <c r="V334"/>
  <c r="U334"/>
  <c r="T334"/>
  <c r="S334"/>
  <c r="R334"/>
  <c r="Q334"/>
  <c r="P334"/>
  <c r="O334"/>
  <c r="N334"/>
  <c r="M334"/>
  <c r="L334"/>
  <c r="K334"/>
  <c r="J334"/>
  <c r="I334"/>
  <c r="H334"/>
  <c r="G334"/>
  <c r="F334"/>
  <c r="E334"/>
  <c r="D334"/>
  <c r="BB333"/>
  <c r="BA333"/>
  <c r="AZ333"/>
  <c r="AY333"/>
  <c r="AX333"/>
  <c r="AW333"/>
  <c r="AV333"/>
  <c r="AU333"/>
  <c r="AT333"/>
  <c r="AS333"/>
  <c r="AR333"/>
  <c r="AQ333"/>
  <c r="AP333"/>
  <c r="AO333"/>
  <c r="AN333"/>
  <c r="AM333"/>
  <c r="AL333"/>
  <c r="AK333"/>
  <c r="AJ333"/>
  <c r="AI333"/>
  <c r="AH333"/>
  <c r="AG333"/>
  <c r="AF333"/>
  <c r="AE333"/>
  <c r="AD333"/>
  <c r="AC333"/>
  <c r="AB333"/>
  <c r="AA333"/>
  <c r="Z333"/>
  <c r="Y333"/>
  <c r="X333"/>
  <c r="W333"/>
  <c r="V333"/>
  <c r="U333"/>
  <c r="T333"/>
  <c r="S333"/>
  <c r="R333"/>
  <c r="Q333"/>
  <c r="P333"/>
  <c r="O333"/>
  <c r="N333"/>
  <c r="M333"/>
  <c r="L333"/>
  <c r="K333"/>
  <c r="J333"/>
  <c r="I333"/>
  <c r="H333"/>
  <c r="G333"/>
  <c r="F333"/>
  <c r="E333"/>
  <c r="D333"/>
  <c r="BB332"/>
  <c r="BA332"/>
  <c r="AZ332"/>
  <c r="AY332"/>
  <c r="AX332"/>
  <c r="AW332"/>
  <c r="AV332"/>
  <c r="AU332"/>
  <c r="AT332"/>
  <c r="AS332"/>
  <c r="AR332"/>
  <c r="AQ332"/>
  <c r="AP332"/>
  <c r="AO332"/>
  <c r="AN332"/>
  <c r="AM332"/>
  <c r="AL332"/>
  <c r="AK332"/>
  <c r="AJ332"/>
  <c r="AI332"/>
  <c r="AH332"/>
  <c r="AG332"/>
  <c r="AF332"/>
  <c r="AE332"/>
  <c r="AD332"/>
  <c r="AC332"/>
  <c r="AB332"/>
  <c r="AA332"/>
  <c r="Z332"/>
  <c r="Y332"/>
  <c r="X332"/>
  <c r="W332"/>
  <c r="V332"/>
  <c r="U332"/>
  <c r="T332"/>
  <c r="S332"/>
  <c r="R332"/>
  <c r="Q332"/>
  <c r="P332"/>
  <c r="O332"/>
  <c r="N332"/>
  <c r="M332"/>
  <c r="L332"/>
  <c r="K332"/>
  <c r="J332"/>
  <c r="I332"/>
  <c r="H332"/>
  <c r="G332"/>
  <c r="F332"/>
  <c r="E332"/>
  <c r="D332"/>
  <c r="BB331"/>
  <c r="BA331"/>
  <c r="AZ331"/>
  <c r="AY331"/>
  <c r="AX331"/>
  <c r="AW331"/>
  <c r="AV331"/>
  <c r="AU331"/>
  <c r="AT331"/>
  <c r="AS331"/>
  <c r="AR331"/>
  <c r="AQ331"/>
  <c r="AP331"/>
  <c r="AO331"/>
  <c r="AN331"/>
  <c r="AM331"/>
  <c r="AL331"/>
  <c r="AK331"/>
  <c r="AJ331"/>
  <c r="AI331"/>
  <c r="AH331"/>
  <c r="AG331"/>
  <c r="AF331"/>
  <c r="AE331"/>
  <c r="AD331"/>
  <c r="AC331"/>
  <c r="AB331"/>
  <c r="AA331"/>
  <c r="Z331"/>
  <c r="Y331"/>
  <c r="X331"/>
  <c r="W331"/>
  <c r="V331"/>
  <c r="U331"/>
  <c r="T331"/>
  <c r="S331"/>
  <c r="R331"/>
  <c r="Q331"/>
  <c r="P331"/>
  <c r="O331"/>
  <c r="N331"/>
  <c r="M331"/>
  <c r="L331"/>
  <c r="K331"/>
  <c r="J331"/>
  <c r="I331"/>
  <c r="H331"/>
  <c r="G331"/>
  <c r="F331"/>
  <c r="E331"/>
  <c r="D331"/>
  <c r="BB330"/>
  <c r="BA330"/>
  <c r="AZ330"/>
  <c r="AY330"/>
  <c r="AX330"/>
  <c r="AW330"/>
  <c r="AV330"/>
  <c r="AU330"/>
  <c r="AT330"/>
  <c r="AS330"/>
  <c r="AR330"/>
  <c r="AQ330"/>
  <c r="AP330"/>
  <c r="AO330"/>
  <c r="AN330"/>
  <c r="AM330"/>
  <c r="AL330"/>
  <c r="AK330"/>
  <c r="AJ330"/>
  <c r="AI330"/>
  <c r="AH330"/>
  <c r="AG330"/>
  <c r="AF330"/>
  <c r="AE330"/>
  <c r="AD330"/>
  <c r="AC330"/>
  <c r="AB330"/>
  <c r="AA330"/>
  <c r="Z330"/>
  <c r="Y330"/>
  <c r="X330"/>
  <c r="W330"/>
  <c r="V330"/>
  <c r="U330"/>
  <c r="T330"/>
  <c r="S330"/>
  <c r="R330"/>
  <c r="Q330"/>
  <c r="P330"/>
  <c r="O330"/>
  <c r="N330"/>
  <c r="M330"/>
  <c r="L330"/>
  <c r="K330"/>
  <c r="J330"/>
  <c r="I330"/>
  <c r="H330"/>
  <c r="G330"/>
  <c r="F330"/>
  <c r="E330"/>
  <c r="D330"/>
  <c r="BB329"/>
  <c r="BA329"/>
  <c r="AZ329"/>
  <c r="AY329"/>
  <c r="AX329"/>
  <c r="AW329"/>
  <c r="AV329"/>
  <c r="AU329"/>
  <c r="AT329"/>
  <c r="AS329"/>
  <c r="AR329"/>
  <c r="AQ329"/>
  <c r="AP329"/>
  <c r="AO329"/>
  <c r="AN329"/>
  <c r="AM329"/>
  <c r="AL329"/>
  <c r="AK329"/>
  <c r="AJ329"/>
  <c r="AI329"/>
  <c r="AH329"/>
  <c r="AG329"/>
  <c r="AF329"/>
  <c r="AE329"/>
  <c r="AD329"/>
  <c r="AC329"/>
  <c r="AB329"/>
  <c r="AA329"/>
  <c r="Z329"/>
  <c r="Y329"/>
  <c r="X329"/>
  <c r="W329"/>
  <c r="V329"/>
  <c r="U329"/>
  <c r="T329"/>
  <c r="S329"/>
  <c r="R329"/>
  <c r="Q329"/>
  <c r="P329"/>
  <c r="O329"/>
  <c r="N329"/>
  <c r="M329"/>
  <c r="L329"/>
  <c r="K329"/>
  <c r="J329"/>
  <c r="I329"/>
  <c r="H329"/>
  <c r="G329"/>
  <c r="F329"/>
  <c r="E329"/>
  <c r="D329"/>
  <c r="BB328"/>
  <c r="BA328"/>
  <c r="AZ328"/>
  <c r="AY328"/>
  <c r="AX328"/>
  <c r="AW328"/>
  <c r="AV328"/>
  <c r="AU328"/>
  <c r="AT328"/>
  <c r="AS328"/>
  <c r="AR328"/>
  <c r="AQ328"/>
  <c r="AP328"/>
  <c r="AO328"/>
  <c r="AN328"/>
  <c r="AM328"/>
  <c r="AL328"/>
  <c r="AK328"/>
  <c r="AJ328"/>
  <c r="AI328"/>
  <c r="AH328"/>
  <c r="AG328"/>
  <c r="AF328"/>
  <c r="AE328"/>
  <c r="AD328"/>
  <c r="AC328"/>
  <c r="AB328"/>
  <c r="AA328"/>
  <c r="Z328"/>
  <c r="Y328"/>
  <c r="X328"/>
  <c r="W328"/>
  <c r="V328"/>
  <c r="U328"/>
  <c r="T328"/>
  <c r="S328"/>
  <c r="R328"/>
  <c r="Q328"/>
  <c r="P328"/>
  <c r="O328"/>
  <c r="N328"/>
  <c r="M328"/>
  <c r="L328"/>
  <c r="K328"/>
  <c r="J328"/>
  <c r="I328"/>
  <c r="H328"/>
  <c r="G328"/>
  <c r="F328"/>
  <c r="E328"/>
  <c r="D328"/>
  <c r="BB327"/>
  <c r="BA327"/>
  <c r="AZ327"/>
  <c r="AY327"/>
  <c r="AX327"/>
  <c r="AW327"/>
  <c r="AV327"/>
  <c r="AU327"/>
  <c r="AT327"/>
  <c r="AS327"/>
  <c r="AR327"/>
  <c r="AQ327"/>
  <c r="AP327"/>
  <c r="AO327"/>
  <c r="AN327"/>
  <c r="AM327"/>
  <c r="AL327"/>
  <c r="AK327"/>
  <c r="AJ327"/>
  <c r="AI327"/>
  <c r="AH327"/>
  <c r="AG327"/>
  <c r="AF327"/>
  <c r="AE327"/>
  <c r="AD327"/>
  <c r="AC327"/>
  <c r="AB327"/>
  <c r="AA327"/>
  <c r="Z327"/>
  <c r="Y327"/>
  <c r="X327"/>
  <c r="W327"/>
  <c r="V327"/>
  <c r="U327"/>
  <c r="T327"/>
  <c r="S327"/>
  <c r="R327"/>
  <c r="Q327"/>
  <c r="P327"/>
  <c r="O327"/>
  <c r="N327"/>
  <c r="M327"/>
  <c r="L327"/>
  <c r="K327"/>
  <c r="J327"/>
  <c r="I327"/>
  <c r="H327"/>
  <c r="G327"/>
  <c r="F327"/>
  <c r="E327"/>
  <c r="D327"/>
  <c r="BB326"/>
  <c r="BA326"/>
  <c r="AZ326"/>
  <c r="AY326"/>
  <c r="AX326"/>
  <c r="AW326"/>
  <c r="AV326"/>
  <c r="AU326"/>
  <c r="AT326"/>
  <c r="AS326"/>
  <c r="AR326"/>
  <c r="AQ326"/>
  <c r="AP326"/>
  <c r="AO326"/>
  <c r="AN326"/>
  <c r="AM326"/>
  <c r="AL326"/>
  <c r="AK326"/>
  <c r="AJ326"/>
  <c r="AI326"/>
  <c r="AH326"/>
  <c r="AG326"/>
  <c r="AF326"/>
  <c r="AE326"/>
  <c r="AD326"/>
  <c r="AC326"/>
  <c r="AB326"/>
  <c r="AA326"/>
  <c r="Z326"/>
  <c r="Y326"/>
  <c r="X326"/>
  <c r="W326"/>
  <c r="V326"/>
  <c r="U326"/>
  <c r="T326"/>
  <c r="S326"/>
  <c r="R326"/>
  <c r="Q326"/>
  <c r="P326"/>
  <c r="O326"/>
  <c r="N326"/>
  <c r="M326"/>
  <c r="L326"/>
  <c r="K326"/>
  <c r="J326"/>
  <c r="I326"/>
  <c r="H326"/>
  <c r="G326"/>
  <c r="F326"/>
  <c r="E326"/>
  <c r="D326"/>
  <c r="BB325"/>
  <c r="BA325"/>
  <c r="AZ325"/>
  <c r="AY325"/>
  <c r="AX325"/>
  <c r="AW325"/>
  <c r="AV325"/>
  <c r="AU325"/>
  <c r="AT325"/>
  <c r="AS325"/>
  <c r="AR325"/>
  <c r="AQ325"/>
  <c r="AP325"/>
  <c r="AO325"/>
  <c r="AN325"/>
  <c r="AM325"/>
  <c r="AL325"/>
  <c r="AK325"/>
  <c r="AJ325"/>
  <c r="AI325"/>
  <c r="AH325"/>
  <c r="AG325"/>
  <c r="AF325"/>
  <c r="AE325"/>
  <c r="AD325"/>
  <c r="AC325"/>
  <c r="AB325"/>
  <c r="AA325"/>
  <c r="Z325"/>
  <c r="Y325"/>
  <c r="X325"/>
  <c r="W325"/>
  <c r="V325"/>
  <c r="U325"/>
  <c r="T325"/>
  <c r="S325"/>
  <c r="R325"/>
  <c r="Q325"/>
  <c r="P325"/>
  <c r="O325"/>
  <c r="N325"/>
  <c r="M325"/>
  <c r="L325"/>
  <c r="K325"/>
  <c r="J325"/>
  <c r="I325"/>
  <c r="H325"/>
  <c r="G325"/>
  <c r="F325"/>
  <c r="E325"/>
  <c r="D325"/>
  <c r="BB324"/>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U324"/>
  <c r="T324"/>
  <c r="S324"/>
  <c r="R324"/>
  <c r="Q324"/>
  <c r="P324"/>
  <c r="O324"/>
  <c r="N324"/>
  <c r="M324"/>
  <c r="L324"/>
  <c r="K324"/>
  <c r="J324"/>
  <c r="I324"/>
  <c r="H324"/>
  <c r="G324"/>
  <c r="F324"/>
  <c r="E324"/>
  <c r="D324"/>
  <c r="BB323"/>
  <c r="BA323"/>
  <c r="AZ323"/>
  <c r="AY323"/>
  <c r="AX323"/>
  <c r="AW323"/>
  <c r="AV323"/>
  <c r="AU323"/>
  <c r="AT323"/>
  <c r="AS323"/>
  <c r="AR323"/>
  <c r="AQ323"/>
  <c r="AP323"/>
  <c r="AO323"/>
  <c r="AN323"/>
  <c r="AM323"/>
  <c r="AL323"/>
  <c r="AK323"/>
  <c r="AJ323"/>
  <c r="AI323"/>
  <c r="AH323"/>
  <c r="AG323"/>
  <c r="AF323"/>
  <c r="AE323"/>
  <c r="AD323"/>
  <c r="AC323"/>
  <c r="AB323"/>
  <c r="AA323"/>
  <c r="Z323"/>
  <c r="Y323"/>
  <c r="X323"/>
  <c r="W323"/>
  <c r="V323"/>
  <c r="U323"/>
  <c r="T323"/>
  <c r="S323"/>
  <c r="R323"/>
  <c r="Q323"/>
  <c r="P323"/>
  <c r="O323"/>
  <c r="N323"/>
  <c r="M323"/>
  <c r="L323"/>
  <c r="K323"/>
  <c r="J323"/>
  <c r="I323"/>
  <c r="H323"/>
  <c r="G323"/>
  <c r="F323"/>
  <c r="E323"/>
  <c r="D323"/>
  <c r="BB322"/>
  <c r="BA322"/>
  <c r="AZ322"/>
  <c r="AY322"/>
  <c r="AX322"/>
  <c r="AW322"/>
  <c r="AV322"/>
  <c r="AU322"/>
  <c r="AT322"/>
  <c r="AS322"/>
  <c r="AR322"/>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BB321"/>
  <c r="BA321"/>
  <c r="AZ321"/>
  <c r="AY321"/>
  <c r="AX321"/>
  <c r="AW321"/>
  <c r="AV321"/>
  <c r="AU321"/>
  <c r="AT321"/>
  <c r="AS321"/>
  <c r="AR321"/>
  <c r="AQ321"/>
  <c r="AP321"/>
  <c r="AO321"/>
  <c r="AN321"/>
  <c r="AM321"/>
  <c r="AL321"/>
  <c r="AK321"/>
  <c r="AJ321"/>
  <c r="AI321"/>
  <c r="AH321"/>
  <c r="AG321"/>
  <c r="AF321"/>
  <c r="AE321"/>
  <c r="AD321"/>
  <c r="AC321"/>
  <c r="AB321"/>
  <c r="AA321"/>
  <c r="Z321"/>
  <c r="Y321"/>
  <c r="X321"/>
  <c r="W321"/>
  <c r="V321"/>
  <c r="U321"/>
  <c r="T321"/>
  <c r="S321"/>
  <c r="R321"/>
  <c r="Q321"/>
  <c r="P321"/>
  <c r="O321"/>
  <c r="N321"/>
  <c r="M321"/>
  <c r="L321"/>
  <c r="K321"/>
  <c r="J321"/>
  <c r="I321"/>
  <c r="H321"/>
  <c r="G321"/>
  <c r="F321"/>
  <c r="E321"/>
  <c r="D321"/>
  <c r="BB320"/>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I320"/>
  <c r="H320"/>
  <c r="G320"/>
  <c r="F320"/>
  <c r="E320"/>
  <c r="D320"/>
  <c r="BB319"/>
  <c r="BA319"/>
  <c r="AZ319"/>
  <c r="AY319"/>
  <c r="AX319"/>
  <c r="AW319"/>
  <c r="AV319"/>
  <c r="AU319"/>
  <c r="AT319"/>
  <c r="AS319"/>
  <c r="AR319"/>
  <c r="AQ319"/>
  <c r="AP319"/>
  <c r="AO319"/>
  <c r="AN319"/>
  <c r="AM319"/>
  <c r="AL319"/>
  <c r="AK319"/>
  <c r="AJ319"/>
  <c r="AI319"/>
  <c r="AH319"/>
  <c r="AG319"/>
  <c r="AF319"/>
  <c r="AE319"/>
  <c r="AD319"/>
  <c r="AC319"/>
  <c r="AB319"/>
  <c r="AA319"/>
  <c r="Z319"/>
  <c r="Y319"/>
  <c r="X319"/>
  <c r="W319"/>
  <c r="V319"/>
  <c r="U319"/>
  <c r="T319"/>
  <c r="S319"/>
  <c r="R319"/>
  <c r="Q319"/>
  <c r="P319"/>
  <c r="O319"/>
  <c r="N319"/>
  <c r="M319"/>
  <c r="L319"/>
  <c r="K319"/>
  <c r="J319"/>
  <c r="I319"/>
  <c r="H319"/>
  <c r="G319"/>
  <c r="F319"/>
  <c r="E319"/>
  <c r="D319"/>
  <c r="BB318"/>
  <c r="BA318"/>
  <c r="AZ318"/>
  <c r="AY318"/>
  <c r="AX318"/>
  <c r="AW318"/>
  <c r="AV318"/>
  <c r="AU318"/>
  <c r="AT318"/>
  <c r="AS318"/>
  <c r="AR318"/>
  <c r="AQ318"/>
  <c r="AP318"/>
  <c r="AO318"/>
  <c r="AN318"/>
  <c r="AM318"/>
  <c r="AL318"/>
  <c r="AK318"/>
  <c r="AJ318"/>
  <c r="AI318"/>
  <c r="AH318"/>
  <c r="AG318"/>
  <c r="AF318"/>
  <c r="AE318"/>
  <c r="AD318"/>
  <c r="AC318"/>
  <c r="AB318"/>
  <c r="AA318"/>
  <c r="Z318"/>
  <c r="Y318"/>
  <c r="X318"/>
  <c r="W318"/>
  <c r="V318"/>
  <c r="U318"/>
  <c r="T318"/>
  <c r="S318"/>
  <c r="R318"/>
  <c r="Q318"/>
  <c r="P318"/>
  <c r="O318"/>
  <c r="N318"/>
  <c r="M318"/>
  <c r="L318"/>
  <c r="K318"/>
  <c r="J318"/>
  <c r="I318"/>
  <c r="H318"/>
  <c r="G318"/>
  <c r="F318"/>
  <c r="E318"/>
  <c r="D318"/>
  <c r="BB317"/>
  <c r="BA317"/>
  <c r="AZ317"/>
  <c r="AY317"/>
  <c r="AX317"/>
  <c r="AW317"/>
  <c r="AV317"/>
  <c r="AU317"/>
  <c r="AT317"/>
  <c r="AS317"/>
  <c r="AR317"/>
  <c r="AQ317"/>
  <c r="AP317"/>
  <c r="AO317"/>
  <c r="AN317"/>
  <c r="AM317"/>
  <c r="AL317"/>
  <c r="AK317"/>
  <c r="AJ317"/>
  <c r="AI317"/>
  <c r="AH317"/>
  <c r="AG317"/>
  <c r="AF317"/>
  <c r="AE317"/>
  <c r="AD317"/>
  <c r="AC317"/>
  <c r="AB317"/>
  <c r="AA317"/>
  <c r="Z317"/>
  <c r="Y317"/>
  <c r="X317"/>
  <c r="W317"/>
  <c r="V317"/>
  <c r="U317"/>
  <c r="T317"/>
  <c r="S317"/>
  <c r="R317"/>
  <c r="Q317"/>
  <c r="P317"/>
  <c r="O317"/>
  <c r="N317"/>
  <c r="M317"/>
  <c r="L317"/>
  <c r="K317"/>
  <c r="J317"/>
  <c r="I317"/>
  <c r="H317"/>
  <c r="G317"/>
  <c r="F317"/>
  <c r="E317"/>
  <c r="D317"/>
  <c r="BB316"/>
  <c r="BA316"/>
  <c r="AZ316"/>
  <c r="AY316"/>
  <c r="AX316"/>
  <c r="AW316"/>
  <c r="AV316"/>
  <c r="AU316"/>
  <c r="AT316"/>
  <c r="AS316"/>
  <c r="AR316"/>
  <c r="AQ316"/>
  <c r="AP316"/>
  <c r="AO316"/>
  <c r="AN316"/>
  <c r="AM316"/>
  <c r="AL316"/>
  <c r="AK316"/>
  <c r="AJ316"/>
  <c r="AI316"/>
  <c r="AH316"/>
  <c r="AG316"/>
  <c r="AF316"/>
  <c r="AE316"/>
  <c r="AD316"/>
  <c r="AC316"/>
  <c r="AB316"/>
  <c r="AA316"/>
  <c r="Z316"/>
  <c r="Y316"/>
  <c r="X316"/>
  <c r="W316"/>
  <c r="V316"/>
  <c r="U316"/>
  <c r="T316"/>
  <c r="S316"/>
  <c r="R316"/>
  <c r="Q316"/>
  <c r="P316"/>
  <c r="O316"/>
  <c r="N316"/>
  <c r="M316"/>
  <c r="L316"/>
  <c r="K316"/>
  <c r="J316"/>
  <c r="I316"/>
  <c r="H316"/>
  <c r="G316"/>
  <c r="F316"/>
  <c r="E316"/>
  <c r="D316"/>
  <c r="BB315"/>
  <c r="BA315"/>
  <c r="AZ315"/>
  <c r="AY315"/>
  <c r="AX315"/>
  <c r="AW315"/>
  <c r="AV315"/>
  <c r="AU315"/>
  <c r="AT315"/>
  <c r="AS315"/>
  <c r="AR315"/>
  <c r="AQ315"/>
  <c r="AP315"/>
  <c r="AO315"/>
  <c r="AN315"/>
  <c r="AM315"/>
  <c r="AL315"/>
  <c r="AK315"/>
  <c r="AJ315"/>
  <c r="AI315"/>
  <c r="AH315"/>
  <c r="AG315"/>
  <c r="AF315"/>
  <c r="AE315"/>
  <c r="AD315"/>
  <c r="AC315"/>
  <c r="AB315"/>
  <c r="AA315"/>
  <c r="Z315"/>
  <c r="Y315"/>
  <c r="X315"/>
  <c r="W315"/>
  <c r="V315"/>
  <c r="U315"/>
  <c r="T315"/>
  <c r="S315"/>
  <c r="R315"/>
  <c r="Q315"/>
  <c r="P315"/>
  <c r="O315"/>
  <c r="N315"/>
  <c r="M315"/>
  <c r="L315"/>
  <c r="K315"/>
  <c r="J315"/>
  <c r="I315"/>
  <c r="H315"/>
  <c r="G315"/>
  <c r="F315"/>
  <c r="E315"/>
  <c r="D315"/>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Q314"/>
  <c r="P314"/>
  <c r="O314"/>
  <c r="N314"/>
  <c r="M314"/>
  <c r="L314"/>
  <c r="K314"/>
  <c r="J314"/>
  <c r="I314"/>
  <c r="H314"/>
  <c r="G314"/>
  <c r="F314"/>
  <c r="E314"/>
  <c r="D314"/>
  <c r="BB313"/>
  <c r="BA313"/>
  <c r="AZ313"/>
  <c r="AY313"/>
  <c r="AX313"/>
  <c r="AW313"/>
  <c r="AV313"/>
  <c r="AU313"/>
  <c r="AT313"/>
  <c r="AS313"/>
  <c r="AR313"/>
  <c r="AQ313"/>
  <c r="AP313"/>
  <c r="AO313"/>
  <c r="AN313"/>
  <c r="AM313"/>
  <c r="AL313"/>
  <c r="AK313"/>
  <c r="AJ313"/>
  <c r="AI313"/>
  <c r="AH313"/>
  <c r="AG313"/>
  <c r="AF313"/>
  <c r="AE313"/>
  <c r="AD313"/>
  <c r="AC313"/>
  <c r="AB313"/>
  <c r="AA313"/>
  <c r="Z313"/>
  <c r="Y313"/>
  <c r="X313"/>
  <c r="W313"/>
  <c r="V313"/>
  <c r="U313"/>
  <c r="T313"/>
  <c r="S313"/>
  <c r="R313"/>
  <c r="Q313"/>
  <c r="P313"/>
  <c r="O313"/>
  <c r="N313"/>
  <c r="M313"/>
  <c r="L313"/>
  <c r="K313"/>
  <c r="J313"/>
  <c r="I313"/>
  <c r="H313"/>
  <c r="G313"/>
  <c r="F313"/>
  <c r="E313"/>
  <c r="D313"/>
  <c r="BB312"/>
  <c r="BA312"/>
  <c r="AZ312"/>
  <c r="AY312"/>
  <c r="AX312"/>
  <c r="AW312"/>
  <c r="AV312"/>
  <c r="AU312"/>
  <c r="AT312"/>
  <c r="AS312"/>
  <c r="AR312"/>
  <c r="AQ312"/>
  <c r="AP312"/>
  <c r="AO312"/>
  <c r="AN312"/>
  <c r="AM312"/>
  <c r="AL312"/>
  <c r="AK312"/>
  <c r="AJ312"/>
  <c r="AI312"/>
  <c r="AH312"/>
  <c r="AG312"/>
  <c r="AF312"/>
  <c r="AE312"/>
  <c r="AD312"/>
  <c r="AC312"/>
  <c r="AB312"/>
  <c r="AA312"/>
  <c r="Z312"/>
  <c r="Y312"/>
  <c r="X312"/>
  <c r="W312"/>
  <c r="V312"/>
  <c r="U312"/>
  <c r="T312"/>
  <c r="S312"/>
  <c r="R312"/>
  <c r="Q312"/>
  <c r="P312"/>
  <c r="O312"/>
  <c r="N312"/>
  <c r="M312"/>
  <c r="L312"/>
  <c r="K312"/>
  <c r="J312"/>
  <c r="I312"/>
  <c r="H312"/>
  <c r="G312"/>
  <c r="F312"/>
  <c r="E312"/>
  <c r="D312"/>
  <c r="BB311"/>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Q311"/>
  <c r="P311"/>
  <c r="O311"/>
  <c r="N311"/>
  <c r="M311"/>
  <c r="L311"/>
  <c r="K311"/>
  <c r="J311"/>
  <c r="I311"/>
  <c r="H311"/>
  <c r="G311"/>
  <c r="F311"/>
  <c r="E311"/>
  <c r="D311"/>
  <c r="BB310"/>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BB309"/>
  <c r="BA309"/>
  <c r="AZ309"/>
  <c r="AY309"/>
  <c r="AX309"/>
  <c r="AW309"/>
  <c r="AV309"/>
  <c r="AU309"/>
  <c r="AT309"/>
  <c r="AS309"/>
  <c r="AR309"/>
  <c r="AQ309"/>
  <c r="AP309"/>
  <c r="AO309"/>
  <c r="AN309"/>
  <c r="AM309"/>
  <c r="AL309"/>
  <c r="AK309"/>
  <c r="AJ309"/>
  <c r="AI309"/>
  <c r="AH309"/>
  <c r="AG309"/>
  <c r="AF309"/>
  <c r="AE309"/>
  <c r="AD309"/>
  <c r="AC309"/>
  <c r="AB309"/>
  <c r="AA309"/>
  <c r="Z309"/>
  <c r="Y309"/>
  <c r="X309"/>
  <c r="W309"/>
  <c r="V309"/>
  <c r="U309"/>
  <c r="T309"/>
  <c r="S309"/>
  <c r="R309"/>
  <c r="Q309"/>
  <c r="P309"/>
  <c r="O309"/>
  <c r="N309"/>
  <c r="M309"/>
  <c r="L309"/>
  <c r="K309"/>
  <c r="J309"/>
  <c r="I309"/>
  <c r="H309"/>
  <c r="G309"/>
  <c r="F309"/>
  <c r="E309"/>
  <c r="D309"/>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Q308"/>
  <c r="P308"/>
  <c r="O308"/>
  <c r="N308"/>
  <c r="M308"/>
  <c r="L308"/>
  <c r="K308"/>
  <c r="J308"/>
  <c r="I308"/>
  <c r="H308"/>
  <c r="G308"/>
  <c r="F308"/>
  <c r="E308"/>
  <c r="D308"/>
  <c r="BB307"/>
  <c r="BA307"/>
  <c r="AZ307"/>
  <c r="AY307"/>
  <c r="AX307"/>
  <c r="AW307"/>
  <c r="AV307"/>
  <c r="AU307"/>
  <c r="AT307"/>
  <c r="AS307"/>
  <c r="AR307"/>
  <c r="AQ307"/>
  <c r="AP307"/>
  <c r="AO307"/>
  <c r="AN307"/>
  <c r="AM307"/>
  <c r="AL307"/>
  <c r="AK307"/>
  <c r="AJ307"/>
  <c r="AI307"/>
  <c r="AH307"/>
  <c r="AG307"/>
  <c r="AF307"/>
  <c r="AE307"/>
  <c r="AD307"/>
  <c r="AC307"/>
  <c r="AB307"/>
  <c r="AA307"/>
  <c r="Z307"/>
  <c r="Y307"/>
  <c r="X307"/>
  <c r="W307"/>
  <c r="V307"/>
  <c r="U307"/>
  <c r="T307"/>
  <c r="S307"/>
  <c r="R307"/>
  <c r="Q307"/>
  <c r="P307"/>
  <c r="O307"/>
  <c r="N307"/>
  <c r="M307"/>
  <c r="L307"/>
  <c r="K307"/>
  <c r="J307"/>
  <c r="I307"/>
  <c r="H307"/>
  <c r="G307"/>
  <c r="F307"/>
  <c r="E307"/>
  <c r="D307"/>
  <c r="BB306"/>
  <c r="BA306"/>
  <c r="AZ306"/>
  <c r="AY306"/>
  <c r="AX306"/>
  <c r="AW306"/>
  <c r="AV306"/>
  <c r="AU306"/>
  <c r="AT306"/>
  <c r="AS306"/>
  <c r="AR306"/>
  <c r="AQ306"/>
  <c r="AP306"/>
  <c r="AO306"/>
  <c r="AN306"/>
  <c r="AM306"/>
  <c r="AL306"/>
  <c r="AK306"/>
  <c r="AJ306"/>
  <c r="AI306"/>
  <c r="AH306"/>
  <c r="AG306"/>
  <c r="AF306"/>
  <c r="AE306"/>
  <c r="AD306"/>
  <c r="AC306"/>
  <c r="AB306"/>
  <c r="AA306"/>
  <c r="Z306"/>
  <c r="Y306"/>
  <c r="X306"/>
  <c r="W306"/>
  <c r="V306"/>
  <c r="U306"/>
  <c r="T306"/>
  <c r="S306"/>
  <c r="R306"/>
  <c r="Q306"/>
  <c r="P306"/>
  <c r="O306"/>
  <c r="N306"/>
  <c r="M306"/>
  <c r="L306"/>
  <c r="K306"/>
  <c r="J306"/>
  <c r="I306"/>
  <c r="H306"/>
  <c r="G306"/>
  <c r="F306"/>
  <c r="E306"/>
  <c r="D306"/>
  <c r="BB305"/>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I305"/>
  <c r="H305"/>
  <c r="G305"/>
  <c r="F305"/>
  <c r="E305"/>
  <c r="D305"/>
  <c r="BB304"/>
  <c r="BA304"/>
  <c r="AZ304"/>
  <c r="AY304"/>
  <c r="AX304"/>
  <c r="AW304"/>
  <c r="AV304"/>
  <c r="AU304"/>
  <c r="AT304"/>
  <c r="AS304"/>
  <c r="AR304"/>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I304"/>
  <c r="H304"/>
  <c r="G304"/>
  <c r="F304"/>
  <c r="E304"/>
  <c r="D304"/>
  <c r="BB303"/>
  <c r="BA303"/>
  <c r="AZ303"/>
  <c r="AY303"/>
  <c r="AX303"/>
  <c r="AW303"/>
  <c r="AV303"/>
  <c r="AU303"/>
  <c r="AT303"/>
  <c r="AS303"/>
  <c r="AR303"/>
  <c r="AQ303"/>
  <c r="AP303"/>
  <c r="AO303"/>
  <c r="AN303"/>
  <c r="AM303"/>
  <c r="AL303"/>
  <c r="AK303"/>
  <c r="AJ303"/>
  <c r="AI303"/>
  <c r="AH303"/>
  <c r="AG303"/>
  <c r="AF303"/>
  <c r="AE303"/>
  <c r="AD303"/>
  <c r="AC303"/>
  <c r="AB303"/>
  <c r="AA303"/>
  <c r="Z303"/>
  <c r="Y303"/>
  <c r="X303"/>
  <c r="W303"/>
  <c r="V303"/>
  <c r="U303"/>
  <c r="T303"/>
  <c r="S303"/>
  <c r="R303"/>
  <c r="Q303"/>
  <c r="P303"/>
  <c r="O303"/>
  <c r="N303"/>
  <c r="M303"/>
  <c r="L303"/>
  <c r="K303"/>
  <c r="J303"/>
  <c r="I303"/>
  <c r="H303"/>
  <c r="G303"/>
  <c r="F303"/>
  <c r="E303"/>
  <c r="D303"/>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O302"/>
  <c r="N302"/>
  <c r="M302"/>
  <c r="L302"/>
  <c r="K302"/>
  <c r="J302"/>
  <c r="I302"/>
  <c r="H302"/>
  <c r="G302"/>
  <c r="F302"/>
  <c r="E302"/>
  <c r="D302"/>
  <c r="BB301"/>
  <c r="BA301"/>
  <c r="AZ301"/>
  <c r="AY301"/>
  <c r="AX301"/>
  <c r="AW301"/>
  <c r="AV301"/>
  <c r="AU301"/>
  <c r="AT301"/>
  <c r="AS301"/>
  <c r="AR301"/>
  <c r="AQ301"/>
  <c r="AP301"/>
  <c r="AO301"/>
  <c r="AN301"/>
  <c r="AM301"/>
  <c r="AL301"/>
  <c r="AK301"/>
  <c r="AJ301"/>
  <c r="AI301"/>
  <c r="AH301"/>
  <c r="AG301"/>
  <c r="AF301"/>
  <c r="AE301"/>
  <c r="AD301"/>
  <c r="AC301"/>
  <c r="AB301"/>
  <c r="AA301"/>
  <c r="Z301"/>
  <c r="Y301"/>
  <c r="X301"/>
  <c r="W301"/>
  <c r="V301"/>
  <c r="U301"/>
  <c r="T301"/>
  <c r="S301"/>
  <c r="R301"/>
  <c r="Q301"/>
  <c r="P301"/>
  <c r="O301"/>
  <c r="N301"/>
  <c r="M301"/>
  <c r="L301"/>
  <c r="K301"/>
  <c r="J301"/>
  <c r="I301"/>
  <c r="H301"/>
  <c r="G301"/>
  <c r="F301"/>
  <c r="E301"/>
  <c r="D301"/>
  <c r="BB300"/>
  <c r="BA300"/>
  <c r="AZ300"/>
  <c r="AY300"/>
  <c r="AX300"/>
  <c r="AW300"/>
  <c r="AV300"/>
  <c r="AU300"/>
  <c r="AT300"/>
  <c r="AS300"/>
  <c r="AR300"/>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I300"/>
  <c r="H300"/>
  <c r="G300"/>
  <c r="F300"/>
  <c r="E300"/>
  <c r="D300"/>
  <c r="BB299"/>
  <c r="BA299"/>
  <c r="AZ299"/>
  <c r="AY299"/>
  <c r="AX299"/>
  <c r="AW299"/>
  <c r="AV299"/>
  <c r="AU299"/>
  <c r="AT299"/>
  <c r="AS299"/>
  <c r="AR299"/>
  <c r="AQ299"/>
  <c r="AP299"/>
  <c r="AO299"/>
  <c r="AN299"/>
  <c r="AM299"/>
  <c r="AL299"/>
  <c r="AK299"/>
  <c r="AJ299"/>
  <c r="AI299"/>
  <c r="AH299"/>
  <c r="AG299"/>
  <c r="AF299"/>
  <c r="AE299"/>
  <c r="AD299"/>
  <c r="AC299"/>
  <c r="AB299"/>
  <c r="AA299"/>
  <c r="Z299"/>
  <c r="Y299"/>
  <c r="X299"/>
  <c r="W299"/>
  <c r="V299"/>
  <c r="U299"/>
  <c r="T299"/>
  <c r="S299"/>
  <c r="R299"/>
  <c r="Q299"/>
  <c r="P299"/>
  <c r="O299"/>
  <c r="N299"/>
  <c r="M299"/>
  <c r="L299"/>
  <c r="K299"/>
  <c r="J299"/>
  <c r="I299"/>
  <c r="H299"/>
  <c r="G299"/>
  <c r="F299"/>
  <c r="E299"/>
  <c r="D299"/>
  <c r="BB298"/>
  <c r="BA298"/>
  <c r="AZ298"/>
  <c r="AY298"/>
  <c r="AX298"/>
  <c r="AW298"/>
  <c r="AV298"/>
  <c r="AU298"/>
  <c r="AT298"/>
  <c r="AS298"/>
  <c r="AR298"/>
  <c r="AQ298"/>
  <c r="AP298"/>
  <c r="AO298"/>
  <c r="AN298"/>
  <c r="AM298"/>
  <c r="AL298"/>
  <c r="AK298"/>
  <c r="AJ298"/>
  <c r="AI298"/>
  <c r="AH298"/>
  <c r="AG298"/>
  <c r="AF298"/>
  <c r="AE298"/>
  <c r="AD298"/>
  <c r="AC298"/>
  <c r="AB298"/>
  <c r="AA298"/>
  <c r="Z298"/>
  <c r="Y298"/>
  <c r="X298"/>
  <c r="W298"/>
  <c r="V298"/>
  <c r="U298"/>
  <c r="T298"/>
  <c r="S298"/>
  <c r="R298"/>
  <c r="Q298"/>
  <c r="P298"/>
  <c r="O298"/>
  <c r="N298"/>
  <c r="M298"/>
  <c r="L298"/>
  <c r="K298"/>
  <c r="J298"/>
  <c r="I298"/>
  <c r="H298"/>
  <c r="G298"/>
  <c r="F298"/>
  <c r="E298"/>
  <c r="D298"/>
  <c r="BB297"/>
  <c r="BA297"/>
  <c r="AZ297"/>
  <c r="AY297"/>
  <c r="AX297"/>
  <c r="AW297"/>
  <c r="AV297"/>
  <c r="AU297"/>
  <c r="AT297"/>
  <c r="AS297"/>
  <c r="AR297"/>
  <c r="AQ297"/>
  <c r="AP297"/>
  <c r="AO297"/>
  <c r="AN297"/>
  <c r="AM297"/>
  <c r="AL297"/>
  <c r="AK297"/>
  <c r="AJ297"/>
  <c r="AI297"/>
  <c r="AH297"/>
  <c r="AG297"/>
  <c r="AF297"/>
  <c r="AE297"/>
  <c r="AD297"/>
  <c r="AC297"/>
  <c r="AB297"/>
  <c r="AA297"/>
  <c r="Z297"/>
  <c r="Y297"/>
  <c r="X297"/>
  <c r="W297"/>
  <c r="V297"/>
  <c r="U297"/>
  <c r="T297"/>
  <c r="S297"/>
  <c r="R297"/>
  <c r="Q297"/>
  <c r="P297"/>
  <c r="O297"/>
  <c r="N297"/>
  <c r="M297"/>
  <c r="L297"/>
  <c r="K297"/>
  <c r="J297"/>
  <c r="I297"/>
  <c r="H297"/>
  <c r="G297"/>
  <c r="F297"/>
  <c r="E297"/>
  <c r="D297"/>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O296"/>
  <c r="N296"/>
  <c r="M296"/>
  <c r="L296"/>
  <c r="K296"/>
  <c r="J296"/>
  <c r="I296"/>
  <c r="H296"/>
  <c r="G296"/>
  <c r="F296"/>
  <c r="E296"/>
  <c r="D296"/>
  <c r="BB295"/>
  <c r="BA295"/>
  <c r="AZ295"/>
  <c r="AY295"/>
  <c r="AX295"/>
  <c r="AW295"/>
  <c r="AV295"/>
  <c r="AU295"/>
  <c r="AT295"/>
  <c r="AS295"/>
  <c r="AR295"/>
  <c r="AQ295"/>
  <c r="AP295"/>
  <c r="AO295"/>
  <c r="AN295"/>
  <c r="AM295"/>
  <c r="AL295"/>
  <c r="AK295"/>
  <c r="AJ295"/>
  <c r="AI295"/>
  <c r="AH295"/>
  <c r="AG295"/>
  <c r="AF295"/>
  <c r="AE295"/>
  <c r="AD295"/>
  <c r="AC295"/>
  <c r="AB295"/>
  <c r="AA295"/>
  <c r="Z295"/>
  <c r="Y295"/>
  <c r="X295"/>
  <c r="W295"/>
  <c r="V295"/>
  <c r="U295"/>
  <c r="T295"/>
  <c r="S295"/>
  <c r="R295"/>
  <c r="Q295"/>
  <c r="P295"/>
  <c r="O295"/>
  <c r="N295"/>
  <c r="M295"/>
  <c r="L295"/>
  <c r="K295"/>
  <c r="J295"/>
  <c r="I295"/>
  <c r="H295"/>
  <c r="G295"/>
  <c r="F295"/>
  <c r="E295"/>
  <c r="D295"/>
  <c r="BB294"/>
  <c r="BA294"/>
  <c r="AZ294"/>
  <c r="AY294"/>
  <c r="AX294"/>
  <c r="AW294"/>
  <c r="AV294"/>
  <c r="AU294"/>
  <c r="AT294"/>
  <c r="AS294"/>
  <c r="AR294"/>
  <c r="AQ294"/>
  <c r="AP294"/>
  <c r="AO294"/>
  <c r="AN294"/>
  <c r="AM294"/>
  <c r="AL294"/>
  <c r="AK294"/>
  <c r="AJ294"/>
  <c r="AI294"/>
  <c r="AH294"/>
  <c r="AG294"/>
  <c r="AF294"/>
  <c r="AE294"/>
  <c r="AD294"/>
  <c r="AC294"/>
  <c r="AB294"/>
  <c r="AA294"/>
  <c r="Z294"/>
  <c r="Y294"/>
  <c r="X294"/>
  <c r="W294"/>
  <c r="V294"/>
  <c r="U294"/>
  <c r="T294"/>
  <c r="S294"/>
  <c r="R294"/>
  <c r="Q294"/>
  <c r="P294"/>
  <c r="O294"/>
  <c r="N294"/>
  <c r="M294"/>
  <c r="L294"/>
  <c r="K294"/>
  <c r="J294"/>
  <c r="I294"/>
  <c r="H294"/>
  <c r="G294"/>
  <c r="F294"/>
  <c r="E294"/>
  <c r="D294"/>
  <c r="BB293"/>
  <c r="BA293"/>
  <c r="AZ293"/>
  <c r="AY293"/>
  <c r="AX293"/>
  <c r="AW293"/>
  <c r="AV293"/>
  <c r="AU293"/>
  <c r="AT293"/>
  <c r="AS293"/>
  <c r="AR293"/>
  <c r="AQ293"/>
  <c r="AP293"/>
  <c r="AO293"/>
  <c r="AN293"/>
  <c r="AM293"/>
  <c r="AL293"/>
  <c r="AK293"/>
  <c r="AJ293"/>
  <c r="AI293"/>
  <c r="AH293"/>
  <c r="AG293"/>
  <c r="AF293"/>
  <c r="AE293"/>
  <c r="AD293"/>
  <c r="AC293"/>
  <c r="AB293"/>
  <c r="AA293"/>
  <c r="Z293"/>
  <c r="Y293"/>
  <c r="X293"/>
  <c r="W293"/>
  <c r="V293"/>
  <c r="U293"/>
  <c r="T293"/>
  <c r="S293"/>
  <c r="R293"/>
  <c r="Q293"/>
  <c r="P293"/>
  <c r="O293"/>
  <c r="N293"/>
  <c r="M293"/>
  <c r="L293"/>
  <c r="K293"/>
  <c r="J293"/>
  <c r="I293"/>
  <c r="H293"/>
  <c r="G293"/>
  <c r="F293"/>
  <c r="E293"/>
  <c r="D293"/>
  <c r="BB292"/>
  <c r="BA292"/>
  <c r="AZ292"/>
  <c r="AY292"/>
  <c r="AX292"/>
  <c r="AW292"/>
  <c r="AV292"/>
  <c r="AU292"/>
  <c r="AT292"/>
  <c r="AS292"/>
  <c r="AR292"/>
  <c r="AQ292"/>
  <c r="AP292"/>
  <c r="AO292"/>
  <c r="AN292"/>
  <c r="AM292"/>
  <c r="AL292"/>
  <c r="AK292"/>
  <c r="AJ292"/>
  <c r="AI292"/>
  <c r="AH292"/>
  <c r="AG292"/>
  <c r="AF292"/>
  <c r="AE292"/>
  <c r="AD292"/>
  <c r="AC292"/>
  <c r="AB292"/>
  <c r="AA292"/>
  <c r="Z292"/>
  <c r="Y292"/>
  <c r="X292"/>
  <c r="W292"/>
  <c r="V292"/>
  <c r="U292"/>
  <c r="T292"/>
  <c r="S292"/>
  <c r="R292"/>
  <c r="Q292"/>
  <c r="P292"/>
  <c r="O292"/>
  <c r="N292"/>
  <c r="M292"/>
  <c r="L292"/>
  <c r="K292"/>
  <c r="J292"/>
  <c r="I292"/>
  <c r="H292"/>
  <c r="G292"/>
  <c r="F292"/>
  <c r="E292"/>
  <c r="D292"/>
  <c r="BB291"/>
  <c r="BA291"/>
  <c r="AZ291"/>
  <c r="AY291"/>
  <c r="AX291"/>
  <c r="AW291"/>
  <c r="AV291"/>
  <c r="AU291"/>
  <c r="AT291"/>
  <c r="AS291"/>
  <c r="AR291"/>
  <c r="AQ291"/>
  <c r="AP291"/>
  <c r="AO291"/>
  <c r="AN291"/>
  <c r="AM291"/>
  <c r="AL291"/>
  <c r="AK291"/>
  <c r="AJ291"/>
  <c r="AI291"/>
  <c r="AH291"/>
  <c r="AG291"/>
  <c r="AF291"/>
  <c r="AE291"/>
  <c r="AD291"/>
  <c r="AC291"/>
  <c r="AB291"/>
  <c r="AA291"/>
  <c r="Z291"/>
  <c r="Y291"/>
  <c r="X291"/>
  <c r="W291"/>
  <c r="V291"/>
  <c r="U291"/>
  <c r="T291"/>
  <c r="S291"/>
  <c r="R291"/>
  <c r="Q291"/>
  <c r="P291"/>
  <c r="O291"/>
  <c r="N291"/>
  <c r="M291"/>
  <c r="L291"/>
  <c r="K291"/>
  <c r="J291"/>
  <c r="I291"/>
  <c r="H291"/>
  <c r="G291"/>
  <c r="F291"/>
  <c r="E291"/>
  <c r="D291"/>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BB289"/>
  <c r="BA289"/>
  <c r="AZ289"/>
  <c r="AY289"/>
  <c r="AX289"/>
  <c r="AW289"/>
  <c r="AV289"/>
  <c r="AU289"/>
  <c r="AT289"/>
  <c r="AS289"/>
  <c r="AR289"/>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BB288"/>
  <c r="BA288"/>
  <c r="AZ288"/>
  <c r="AY288"/>
  <c r="AX288"/>
  <c r="AW288"/>
  <c r="AV288"/>
  <c r="AU288"/>
  <c r="AT288"/>
  <c r="AS288"/>
  <c r="AR288"/>
  <c r="AQ288"/>
  <c r="AP288"/>
  <c r="AO288"/>
  <c r="AN288"/>
  <c r="AM288"/>
  <c r="AL288"/>
  <c r="AK288"/>
  <c r="AJ288"/>
  <c r="AI288"/>
  <c r="AH288"/>
  <c r="AG288"/>
  <c r="AF288"/>
  <c r="AE288"/>
  <c r="AD288"/>
  <c r="AC288"/>
  <c r="AB288"/>
  <c r="AA288"/>
  <c r="Z288"/>
  <c r="Y288"/>
  <c r="X288"/>
  <c r="W288"/>
  <c r="V288"/>
  <c r="U288"/>
  <c r="T288"/>
  <c r="S288"/>
  <c r="R288"/>
  <c r="Q288"/>
  <c r="P288"/>
  <c r="O288"/>
  <c r="N288"/>
  <c r="M288"/>
  <c r="L288"/>
  <c r="K288"/>
  <c r="J288"/>
  <c r="I288"/>
  <c r="H288"/>
  <c r="G288"/>
  <c r="F288"/>
  <c r="E288"/>
  <c r="D288"/>
  <c r="BB287"/>
  <c r="BA287"/>
  <c r="AZ287"/>
  <c r="AY287"/>
  <c r="AX287"/>
  <c r="AW287"/>
  <c r="AV287"/>
  <c r="AU287"/>
  <c r="AT287"/>
  <c r="AS287"/>
  <c r="AR287"/>
  <c r="AQ287"/>
  <c r="AP287"/>
  <c r="AO287"/>
  <c r="AN287"/>
  <c r="AM287"/>
  <c r="AL287"/>
  <c r="AK287"/>
  <c r="AJ287"/>
  <c r="AI287"/>
  <c r="AH287"/>
  <c r="AG287"/>
  <c r="AF287"/>
  <c r="AE287"/>
  <c r="AD287"/>
  <c r="AC287"/>
  <c r="AB287"/>
  <c r="AA287"/>
  <c r="Z287"/>
  <c r="Y287"/>
  <c r="X287"/>
  <c r="W287"/>
  <c r="V287"/>
  <c r="U287"/>
  <c r="T287"/>
  <c r="S287"/>
  <c r="R287"/>
  <c r="Q287"/>
  <c r="P287"/>
  <c r="O287"/>
  <c r="N287"/>
  <c r="M287"/>
  <c r="L287"/>
  <c r="K287"/>
  <c r="J287"/>
  <c r="I287"/>
  <c r="H287"/>
  <c r="G287"/>
  <c r="F287"/>
  <c r="E287"/>
  <c r="D287"/>
  <c r="BB286"/>
  <c r="BA286"/>
  <c r="AZ286"/>
  <c r="AY286"/>
  <c r="AX286"/>
  <c r="AW286"/>
  <c r="AV286"/>
  <c r="AU286"/>
  <c r="AT286"/>
  <c r="AS286"/>
  <c r="AR286"/>
  <c r="AQ286"/>
  <c r="AP286"/>
  <c r="AO286"/>
  <c r="AN286"/>
  <c r="AM286"/>
  <c r="AL286"/>
  <c r="AK286"/>
  <c r="AJ286"/>
  <c r="AI286"/>
  <c r="AH286"/>
  <c r="AG286"/>
  <c r="AF286"/>
  <c r="AE286"/>
  <c r="AD286"/>
  <c r="AC286"/>
  <c r="AB286"/>
  <c r="AA286"/>
  <c r="Z286"/>
  <c r="Y286"/>
  <c r="X286"/>
  <c r="W286"/>
  <c r="V286"/>
  <c r="U286"/>
  <c r="T286"/>
  <c r="S286"/>
  <c r="R286"/>
  <c r="Q286"/>
  <c r="P286"/>
  <c r="O286"/>
  <c r="N286"/>
  <c r="M286"/>
  <c r="L286"/>
  <c r="K286"/>
  <c r="J286"/>
  <c r="I286"/>
  <c r="H286"/>
  <c r="G286"/>
  <c r="F286"/>
  <c r="E286"/>
  <c r="D286"/>
  <c r="BB285"/>
  <c r="BA285"/>
  <c r="AZ285"/>
  <c r="AY285"/>
  <c r="AX285"/>
  <c r="AW285"/>
  <c r="AV285"/>
  <c r="AU285"/>
  <c r="AT285"/>
  <c r="AS285"/>
  <c r="AR285"/>
  <c r="AQ285"/>
  <c r="AP285"/>
  <c r="AO285"/>
  <c r="AN285"/>
  <c r="AM285"/>
  <c r="AL285"/>
  <c r="AK285"/>
  <c r="AJ285"/>
  <c r="AI285"/>
  <c r="AH285"/>
  <c r="AG285"/>
  <c r="AF285"/>
  <c r="AE285"/>
  <c r="AD285"/>
  <c r="AC285"/>
  <c r="AB285"/>
  <c r="AA285"/>
  <c r="Z285"/>
  <c r="Y285"/>
  <c r="X285"/>
  <c r="W285"/>
  <c r="V285"/>
  <c r="U285"/>
  <c r="T285"/>
  <c r="S285"/>
  <c r="R285"/>
  <c r="Q285"/>
  <c r="P285"/>
  <c r="O285"/>
  <c r="N285"/>
  <c r="M285"/>
  <c r="L285"/>
  <c r="K285"/>
  <c r="J285"/>
  <c r="I285"/>
  <c r="H285"/>
  <c r="G285"/>
  <c r="F285"/>
  <c r="E285"/>
  <c r="D285"/>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I284"/>
  <c r="H284"/>
  <c r="G284"/>
  <c r="F284"/>
  <c r="E284"/>
  <c r="D284"/>
  <c r="BB283"/>
  <c r="BA283"/>
  <c r="AZ283"/>
  <c r="AY283"/>
  <c r="AX283"/>
  <c r="AW283"/>
  <c r="AV283"/>
  <c r="AU283"/>
  <c r="AT283"/>
  <c r="AS283"/>
  <c r="AR283"/>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I283"/>
  <c r="H283"/>
  <c r="G283"/>
  <c r="F283"/>
  <c r="E283"/>
  <c r="D283"/>
  <c r="BB282"/>
  <c r="BA282"/>
  <c r="AZ282"/>
  <c r="AY282"/>
  <c r="AX282"/>
  <c r="AW282"/>
  <c r="AV282"/>
  <c r="AU282"/>
  <c r="AT282"/>
  <c r="AS282"/>
  <c r="AR282"/>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I282"/>
  <c r="H282"/>
  <c r="G282"/>
  <c r="F282"/>
  <c r="E282"/>
  <c r="D282"/>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I281"/>
  <c r="H281"/>
  <c r="G281"/>
  <c r="F281"/>
  <c r="E281"/>
  <c r="D281"/>
  <c r="BB280"/>
  <c r="BA280"/>
  <c r="AZ280"/>
  <c r="AY280"/>
  <c r="AX280"/>
  <c r="AW280"/>
  <c r="AV280"/>
  <c r="AU280"/>
  <c r="AT280"/>
  <c r="AS280"/>
  <c r="AR280"/>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I280"/>
  <c r="H280"/>
  <c r="G280"/>
  <c r="F280"/>
  <c r="E280"/>
  <c r="D280"/>
  <c r="BB279"/>
  <c r="BA279"/>
  <c r="AZ279"/>
  <c r="AY279"/>
  <c r="AX279"/>
  <c r="AW279"/>
  <c r="AV279"/>
  <c r="AU279"/>
  <c r="AT279"/>
  <c r="AS279"/>
  <c r="AR279"/>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I279"/>
  <c r="H279"/>
  <c r="G279"/>
  <c r="F279"/>
  <c r="E279"/>
  <c r="D279"/>
  <c r="BB278"/>
  <c r="BA278"/>
  <c r="AZ278"/>
  <c r="AY278"/>
  <c r="AX278"/>
  <c r="AW278"/>
  <c r="AV278"/>
  <c r="AU278"/>
  <c r="AT278"/>
  <c r="AS278"/>
  <c r="AR278"/>
  <c r="AQ278"/>
  <c r="AP278"/>
  <c r="AO278"/>
  <c r="AN278"/>
  <c r="AM278"/>
  <c r="AL278"/>
  <c r="AK278"/>
  <c r="AJ278"/>
  <c r="AI278"/>
  <c r="AH278"/>
  <c r="AG278"/>
  <c r="AF278"/>
  <c r="AE278"/>
  <c r="AD278"/>
  <c r="AC278"/>
  <c r="AB278"/>
  <c r="AA278"/>
  <c r="Z278"/>
  <c r="Y278"/>
  <c r="X278"/>
  <c r="W278"/>
  <c r="V278"/>
  <c r="U278"/>
  <c r="T278"/>
  <c r="S278"/>
  <c r="R278"/>
  <c r="Q278"/>
  <c r="P278"/>
  <c r="O278"/>
  <c r="N278"/>
  <c r="M278"/>
  <c r="L278"/>
  <c r="K278"/>
  <c r="J278"/>
  <c r="I278"/>
  <c r="H278"/>
  <c r="G278"/>
  <c r="F278"/>
  <c r="E278"/>
  <c r="D278"/>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U277"/>
  <c r="T277"/>
  <c r="S277"/>
  <c r="R277"/>
  <c r="Q277"/>
  <c r="P277"/>
  <c r="O277"/>
  <c r="N277"/>
  <c r="M277"/>
  <c r="L277"/>
  <c r="K277"/>
  <c r="J277"/>
  <c r="I277"/>
  <c r="H277"/>
  <c r="G277"/>
  <c r="F277"/>
  <c r="E277"/>
  <c r="D277"/>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U276"/>
  <c r="T276"/>
  <c r="S276"/>
  <c r="R276"/>
  <c r="Q276"/>
  <c r="P276"/>
  <c r="O276"/>
  <c r="N276"/>
  <c r="M276"/>
  <c r="L276"/>
  <c r="K276"/>
  <c r="J276"/>
  <c r="I276"/>
  <c r="H276"/>
  <c r="G276"/>
  <c r="F276"/>
  <c r="E276"/>
  <c r="D276"/>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U275"/>
  <c r="T275"/>
  <c r="S275"/>
  <c r="R275"/>
  <c r="Q275"/>
  <c r="P275"/>
  <c r="O275"/>
  <c r="N275"/>
  <c r="M275"/>
  <c r="L275"/>
  <c r="K275"/>
  <c r="J275"/>
  <c r="I275"/>
  <c r="H275"/>
  <c r="G275"/>
  <c r="F275"/>
  <c r="E275"/>
  <c r="D275"/>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U272"/>
  <c r="T272"/>
  <c r="S272"/>
  <c r="R272"/>
  <c r="Q272"/>
  <c r="P272"/>
  <c r="O272"/>
  <c r="N272"/>
  <c r="M272"/>
  <c r="L272"/>
  <c r="K272"/>
  <c r="J272"/>
  <c r="I272"/>
  <c r="H272"/>
  <c r="G272"/>
  <c r="F272"/>
  <c r="E272"/>
  <c r="D272"/>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U271"/>
  <c r="T271"/>
  <c r="S271"/>
  <c r="R271"/>
  <c r="Q271"/>
  <c r="P271"/>
  <c r="O271"/>
  <c r="N271"/>
  <c r="M271"/>
  <c r="L271"/>
  <c r="K271"/>
  <c r="J271"/>
  <c r="I271"/>
  <c r="H271"/>
  <c r="G271"/>
  <c r="F271"/>
  <c r="E271"/>
  <c r="D271"/>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I267"/>
  <c r="H267"/>
  <c r="G267"/>
  <c r="F267"/>
  <c r="E267"/>
  <c r="D267"/>
  <c r="E5"/>
  <c r="E4"/>
  <c r="E3"/>
  <c r="E2"/>
  <c r="X512" i="109"/>
  <c r="W512"/>
  <c r="V512"/>
  <c r="U512"/>
  <c r="T512"/>
  <c r="S512"/>
  <c r="R512"/>
  <c r="Q512"/>
  <c r="P512"/>
  <c r="O512"/>
  <c r="N512"/>
  <c r="M512"/>
  <c r="L512"/>
  <c r="K512"/>
  <c r="J512"/>
  <c r="I512"/>
  <c r="H512"/>
  <c r="G512"/>
  <c r="F512"/>
  <c r="E512"/>
  <c r="D512"/>
  <c r="X511"/>
  <c r="W511"/>
  <c r="V511"/>
  <c r="U511"/>
  <c r="T511"/>
  <c r="S511"/>
  <c r="R511"/>
  <c r="Q511"/>
  <c r="P511"/>
  <c r="O511"/>
  <c r="N511"/>
  <c r="M511"/>
  <c r="L511"/>
  <c r="K511"/>
  <c r="J511"/>
  <c r="I511"/>
  <c r="H511"/>
  <c r="G511"/>
  <c r="F511"/>
  <c r="E511"/>
  <c r="D511"/>
  <c r="X510"/>
  <c r="W510"/>
  <c r="V510"/>
  <c r="U510"/>
  <c r="T510"/>
  <c r="S510"/>
  <c r="R510"/>
  <c r="Q510"/>
  <c r="P510"/>
  <c r="O510"/>
  <c r="N510"/>
  <c r="M510"/>
  <c r="L510"/>
  <c r="K510"/>
  <c r="J510"/>
  <c r="I510"/>
  <c r="H510"/>
  <c r="G510"/>
  <c r="F510"/>
  <c r="E510"/>
  <c r="D510"/>
  <c r="X509"/>
  <c r="W509"/>
  <c r="V509"/>
  <c r="U509"/>
  <c r="T509"/>
  <c r="S509"/>
  <c r="R509"/>
  <c r="Q509"/>
  <c r="P509"/>
  <c r="O509"/>
  <c r="N509"/>
  <c r="M509"/>
  <c r="L509"/>
  <c r="K509"/>
  <c r="J509"/>
  <c r="I509"/>
  <c r="H509"/>
  <c r="G509"/>
  <c r="F509"/>
  <c r="E509"/>
  <c r="D509"/>
  <c r="X508"/>
  <c r="W508"/>
  <c r="V508"/>
  <c r="U508"/>
  <c r="T508"/>
  <c r="S508"/>
  <c r="R508"/>
  <c r="Q508"/>
  <c r="P508"/>
  <c r="O508"/>
  <c r="N508"/>
  <c r="M508"/>
  <c r="L508"/>
  <c r="K508"/>
  <c r="J508"/>
  <c r="I508"/>
  <c r="H508"/>
  <c r="G508"/>
  <c r="F508"/>
  <c r="E508"/>
  <c r="D508"/>
  <c r="X507"/>
  <c r="W507"/>
  <c r="V507"/>
  <c r="U507"/>
  <c r="T507"/>
  <c r="S507"/>
  <c r="R507"/>
  <c r="Q507"/>
  <c r="P507"/>
  <c r="O507"/>
  <c r="N507"/>
  <c r="M507"/>
  <c r="L507"/>
  <c r="K507"/>
  <c r="J507"/>
  <c r="I507"/>
  <c r="H507"/>
  <c r="G507"/>
  <c r="F507"/>
  <c r="E507"/>
  <c r="D507"/>
  <c r="X506"/>
  <c r="W506"/>
  <c r="V506"/>
  <c r="U506"/>
  <c r="T506"/>
  <c r="S506"/>
  <c r="R506"/>
  <c r="Q506"/>
  <c r="P506"/>
  <c r="O506"/>
  <c r="N506"/>
  <c r="M506"/>
  <c r="L506"/>
  <c r="K506"/>
  <c r="J506"/>
  <c r="I506"/>
  <c r="H506"/>
  <c r="G506"/>
  <c r="F506"/>
  <c r="E506"/>
  <c r="D506"/>
  <c r="X505"/>
  <c r="W505"/>
  <c r="V505"/>
  <c r="U505"/>
  <c r="T505"/>
  <c r="S505"/>
  <c r="R505"/>
  <c r="Q505"/>
  <c r="P505"/>
  <c r="O505"/>
  <c r="N505"/>
  <c r="M505"/>
  <c r="L505"/>
  <c r="K505"/>
  <c r="J505"/>
  <c r="I505"/>
  <c r="H505"/>
  <c r="G505"/>
  <c r="F505"/>
  <c r="E505"/>
  <c r="D505"/>
  <c r="X504"/>
  <c r="W504"/>
  <c r="V504"/>
  <c r="U504"/>
  <c r="T504"/>
  <c r="S504"/>
  <c r="R504"/>
  <c r="Q504"/>
  <c r="P504"/>
  <c r="O504"/>
  <c r="N504"/>
  <c r="M504"/>
  <c r="L504"/>
  <c r="K504"/>
  <c r="J504"/>
  <c r="I504"/>
  <c r="H504"/>
  <c r="G504"/>
  <c r="F504"/>
  <c r="E504"/>
  <c r="D504"/>
  <c r="X503"/>
  <c r="W503"/>
  <c r="V503"/>
  <c r="U503"/>
  <c r="T503"/>
  <c r="S503"/>
  <c r="R503"/>
  <c r="Q503"/>
  <c r="P503"/>
  <c r="O503"/>
  <c r="N503"/>
  <c r="M503"/>
  <c r="L503"/>
  <c r="K503"/>
  <c r="J503"/>
  <c r="I503"/>
  <c r="H503"/>
  <c r="G503"/>
  <c r="F503"/>
  <c r="E503"/>
  <c r="D503"/>
  <c r="X502"/>
  <c r="W502"/>
  <c r="V502"/>
  <c r="U502"/>
  <c r="T502"/>
  <c r="S502"/>
  <c r="R502"/>
  <c r="Q502"/>
  <c r="P502"/>
  <c r="O502"/>
  <c r="N502"/>
  <c r="M502"/>
  <c r="L502"/>
  <c r="K502"/>
  <c r="J502"/>
  <c r="I502"/>
  <c r="H502"/>
  <c r="G502"/>
  <c r="F502"/>
  <c r="E502"/>
  <c r="D502"/>
  <c r="X501"/>
  <c r="W501"/>
  <c r="V501"/>
  <c r="U501"/>
  <c r="T501"/>
  <c r="S501"/>
  <c r="R501"/>
  <c r="Q501"/>
  <c r="P501"/>
  <c r="O501"/>
  <c r="N501"/>
  <c r="M501"/>
  <c r="L501"/>
  <c r="K501"/>
  <c r="J501"/>
  <c r="I501"/>
  <c r="H501"/>
  <c r="G501"/>
  <c r="F501"/>
  <c r="E501"/>
  <c r="D501"/>
  <c r="X500"/>
  <c r="W500"/>
  <c r="V500"/>
  <c r="U500"/>
  <c r="T500"/>
  <c r="S500"/>
  <c r="R500"/>
  <c r="Q500"/>
  <c r="P500"/>
  <c r="O500"/>
  <c r="N500"/>
  <c r="M500"/>
  <c r="L500"/>
  <c r="K500"/>
  <c r="J500"/>
  <c r="I500"/>
  <c r="H500"/>
  <c r="G500"/>
  <c r="F500"/>
  <c r="E500"/>
  <c r="D500"/>
  <c r="X499"/>
  <c r="W499"/>
  <c r="V499"/>
  <c r="U499"/>
  <c r="T499"/>
  <c r="S499"/>
  <c r="R499"/>
  <c r="Q499"/>
  <c r="P499"/>
  <c r="O499"/>
  <c r="N499"/>
  <c r="M499"/>
  <c r="L499"/>
  <c r="K499"/>
  <c r="J499"/>
  <c r="I499"/>
  <c r="H499"/>
  <c r="G499"/>
  <c r="F499"/>
  <c r="E499"/>
  <c r="D499"/>
  <c r="X498"/>
  <c r="W498"/>
  <c r="V498"/>
  <c r="U498"/>
  <c r="T498"/>
  <c r="S498"/>
  <c r="R498"/>
  <c r="Q498"/>
  <c r="P498"/>
  <c r="O498"/>
  <c r="N498"/>
  <c r="M498"/>
  <c r="L498"/>
  <c r="K498"/>
  <c r="J498"/>
  <c r="I498"/>
  <c r="H498"/>
  <c r="G498"/>
  <c r="F498"/>
  <c r="E498"/>
  <c r="D498"/>
  <c r="X497"/>
  <c r="W497"/>
  <c r="V497"/>
  <c r="U497"/>
  <c r="T497"/>
  <c r="S497"/>
  <c r="R497"/>
  <c r="Q497"/>
  <c r="P497"/>
  <c r="O497"/>
  <c r="N497"/>
  <c r="M497"/>
  <c r="L497"/>
  <c r="K497"/>
  <c r="J497"/>
  <c r="I497"/>
  <c r="H497"/>
  <c r="G497"/>
  <c r="F497"/>
  <c r="E497"/>
  <c r="D497"/>
  <c r="X496"/>
  <c r="W496"/>
  <c r="V496"/>
  <c r="U496"/>
  <c r="T496"/>
  <c r="S496"/>
  <c r="R496"/>
  <c r="Q496"/>
  <c r="P496"/>
  <c r="O496"/>
  <c r="N496"/>
  <c r="M496"/>
  <c r="L496"/>
  <c r="K496"/>
  <c r="J496"/>
  <c r="I496"/>
  <c r="H496"/>
  <c r="G496"/>
  <c r="F496"/>
  <c r="E496"/>
  <c r="D496"/>
  <c r="X495"/>
  <c r="W495"/>
  <c r="V495"/>
  <c r="U495"/>
  <c r="T495"/>
  <c r="S495"/>
  <c r="R495"/>
  <c r="Q495"/>
  <c r="P495"/>
  <c r="O495"/>
  <c r="N495"/>
  <c r="M495"/>
  <c r="L495"/>
  <c r="K495"/>
  <c r="J495"/>
  <c r="I495"/>
  <c r="H495"/>
  <c r="G495"/>
  <c r="F495"/>
  <c r="E495"/>
  <c r="D495"/>
  <c r="X494"/>
  <c r="W494"/>
  <c r="V494"/>
  <c r="U494"/>
  <c r="T494"/>
  <c r="S494"/>
  <c r="R494"/>
  <c r="Q494"/>
  <c r="P494"/>
  <c r="O494"/>
  <c r="N494"/>
  <c r="M494"/>
  <c r="L494"/>
  <c r="K494"/>
  <c r="J494"/>
  <c r="I494"/>
  <c r="H494"/>
  <c r="G494"/>
  <c r="F494"/>
  <c r="E494"/>
  <c r="D494"/>
  <c r="X493"/>
  <c r="W493"/>
  <c r="V493"/>
  <c r="U493"/>
  <c r="T493"/>
  <c r="S493"/>
  <c r="R493"/>
  <c r="Q493"/>
  <c r="P493"/>
  <c r="O493"/>
  <c r="N493"/>
  <c r="M493"/>
  <c r="L493"/>
  <c r="K493"/>
  <c r="J493"/>
  <c r="I493"/>
  <c r="H493"/>
  <c r="G493"/>
  <c r="F493"/>
  <c r="E493"/>
  <c r="D493"/>
  <c r="X492"/>
  <c r="W492"/>
  <c r="V492"/>
  <c r="U492"/>
  <c r="T492"/>
  <c r="S492"/>
  <c r="R492"/>
  <c r="Q492"/>
  <c r="P492"/>
  <c r="O492"/>
  <c r="N492"/>
  <c r="M492"/>
  <c r="L492"/>
  <c r="K492"/>
  <c r="J492"/>
  <c r="I492"/>
  <c r="H492"/>
  <c r="G492"/>
  <c r="F492"/>
  <c r="E492"/>
  <c r="D492"/>
  <c r="X491"/>
  <c r="W491"/>
  <c r="V491"/>
  <c r="U491"/>
  <c r="T491"/>
  <c r="S491"/>
  <c r="R491"/>
  <c r="Q491"/>
  <c r="P491"/>
  <c r="O491"/>
  <c r="N491"/>
  <c r="M491"/>
  <c r="L491"/>
  <c r="K491"/>
  <c r="J491"/>
  <c r="I491"/>
  <c r="H491"/>
  <c r="G491"/>
  <c r="F491"/>
  <c r="E491"/>
  <c r="D491"/>
  <c r="X490"/>
  <c r="W490"/>
  <c r="V490"/>
  <c r="U490"/>
  <c r="T490"/>
  <c r="S490"/>
  <c r="R490"/>
  <c r="Q490"/>
  <c r="P490"/>
  <c r="O490"/>
  <c r="N490"/>
  <c r="M490"/>
  <c r="L490"/>
  <c r="K490"/>
  <c r="J490"/>
  <c r="I490"/>
  <c r="H490"/>
  <c r="G490"/>
  <c r="F490"/>
  <c r="E490"/>
  <c r="D490"/>
  <c r="X489"/>
  <c r="W489"/>
  <c r="V489"/>
  <c r="U489"/>
  <c r="T489"/>
  <c r="S489"/>
  <c r="R489"/>
  <c r="Q489"/>
  <c r="P489"/>
  <c r="O489"/>
  <c r="N489"/>
  <c r="M489"/>
  <c r="L489"/>
  <c r="K489"/>
  <c r="J489"/>
  <c r="I489"/>
  <c r="H489"/>
  <c r="G489"/>
  <c r="F489"/>
  <c r="E489"/>
  <c r="D489"/>
  <c r="X488"/>
  <c r="W488"/>
  <c r="V488"/>
  <c r="U488"/>
  <c r="T488"/>
  <c r="S488"/>
  <c r="R488"/>
  <c r="Q488"/>
  <c r="P488"/>
  <c r="O488"/>
  <c r="N488"/>
  <c r="M488"/>
  <c r="L488"/>
  <c r="K488"/>
  <c r="J488"/>
  <c r="I488"/>
  <c r="H488"/>
  <c r="G488"/>
  <c r="F488"/>
  <c r="E488"/>
  <c r="D488"/>
  <c r="X487"/>
  <c r="W487"/>
  <c r="V487"/>
  <c r="U487"/>
  <c r="T487"/>
  <c r="S487"/>
  <c r="R487"/>
  <c r="Q487"/>
  <c r="P487"/>
  <c r="O487"/>
  <c r="N487"/>
  <c r="M487"/>
  <c r="L487"/>
  <c r="K487"/>
  <c r="J487"/>
  <c r="I487"/>
  <c r="H487"/>
  <c r="G487"/>
  <c r="F487"/>
  <c r="E487"/>
  <c r="D487"/>
  <c r="X486"/>
  <c r="W486"/>
  <c r="V486"/>
  <c r="U486"/>
  <c r="T486"/>
  <c r="S486"/>
  <c r="R486"/>
  <c r="Q486"/>
  <c r="P486"/>
  <c r="O486"/>
  <c r="N486"/>
  <c r="M486"/>
  <c r="L486"/>
  <c r="K486"/>
  <c r="J486"/>
  <c r="I486"/>
  <c r="H486"/>
  <c r="G486"/>
  <c r="F486"/>
  <c r="E486"/>
  <c r="D486"/>
  <c r="X485"/>
  <c r="W485"/>
  <c r="V485"/>
  <c r="U485"/>
  <c r="T485"/>
  <c r="S485"/>
  <c r="R485"/>
  <c r="Q485"/>
  <c r="P485"/>
  <c r="O485"/>
  <c r="N485"/>
  <c r="M485"/>
  <c r="L485"/>
  <c r="K485"/>
  <c r="J485"/>
  <c r="I485"/>
  <c r="H485"/>
  <c r="G485"/>
  <c r="F485"/>
  <c r="E485"/>
  <c r="D485"/>
  <c r="X484"/>
  <c r="W484"/>
  <c r="V484"/>
  <c r="U484"/>
  <c r="T484"/>
  <c r="S484"/>
  <c r="R484"/>
  <c r="Q484"/>
  <c r="P484"/>
  <c r="O484"/>
  <c r="N484"/>
  <c r="M484"/>
  <c r="L484"/>
  <c r="K484"/>
  <c r="J484"/>
  <c r="I484"/>
  <c r="H484"/>
  <c r="G484"/>
  <c r="F484"/>
  <c r="E484"/>
  <c r="D484"/>
  <c r="X483"/>
  <c r="W483"/>
  <c r="V483"/>
  <c r="U483"/>
  <c r="T483"/>
  <c r="S483"/>
  <c r="R483"/>
  <c r="Q483"/>
  <c r="P483"/>
  <c r="O483"/>
  <c r="N483"/>
  <c r="M483"/>
  <c r="L483"/>
  <c r="K483"/>
  <c r="J483"/>
  <c r="I483"/>
  <c r="H483"/>
  <c r="G483"/>
  <c r="F483"/>
  <c r="E483"/>
  <c r="D483"/>
  <c r="X482"/>
  <c r="W482"/>
  <c r="V482"/>
  <c r="U482"/>
  <c r="T482"/>
  <c r="S482"/>
  <c r="R482"/>
  <c r="Q482"/>
  <c r="P482"/>
  <c r="O482"/>
  <c r="N482"/>
  <c r="M482"/>
  <c r="L482"/>
  <c r="K482"/>
  <c r="J482"/>
  <c r="I482"/>
  <c r="H482"/>
  <c r="G482"/>
  <c r="F482"/>
  <c r="E482"/>
  <c r="D482"/>
  <c r="X481"/>
  <c r="W481"/>
  <c r="V481"/>
  <c r="U481"/>
  <c r="T481"/>
  <c r="S481"/>
  <c r="R481"/>
  <c r="Q481"/>
  <c r="P481"/>
  <c r="O481"/>
  <c r="N481"/>
  <c r="M481"/>
  <c r="L481"/>
  <c r="K481"/>
  <c r="J481"/>
  <c r="I481"/>
  <c r="H481"/>
  <c r="G481"/>
  <c r="F481"/>
  <c r="E481"/>
  <c r="D481"/>
  <c r="X480"/>
  <c r="W480"/>
  <c r="V480"/>
  <c r="U480"/>
  <c r="T480"/>
  <c r="S480"/>
  <c r="R480"/>
  <c r="Q480"/>
  <c r="P480"/>
  <c r="O480"/>
  <c r="N480"/>
  <c r="M480"/>
  <c r="L480"/>
  <c r="K480"/>
  <c r="J480"/>
  <c r="I480"/>
  <c r="H480"/>
  <c r="G480"/>
  <c r="F480"/>
  <c r="E480"/>
  <c r="D480"/>
  <c r="X479"/>
  <c r="W479"/>
  <c r="V479"/>
  <c r="U479"/>
  <c r="T479"/>
  <c r="S479"/>
  <c r="R479"/>
  <c r="Q479"/>
  <c r="P479"/>
  <c r="O479"/>
  <c r="N479"/>
  <c r="M479"/>
  <c r="L479"/>
  <c r="K479"/>
  <c r="J479"/>
  <c r="I479"/>
  <c r="H479"/>
  <c r="G479"/>
  <c r="F479"/>
  <c r="E479"/>
  <c r="D479"/>
  <c r="X478"/>
  <c r="W478"/>
  <c r="V478"/>
  <c r="U478"/>
  <c r="T478"/>
  <c r="S478"/>
  <c r="R478"/>
  <c r="Q478"/>
  <c r="P478"/>
  <c r="O478"/>
  <c r="N478"/>
  <c r="M478"/>
  <c r="L478"/>
  <c r="K478"/>
  <c r="J478"/>
  <c r="I478"/>
  <c r="H478"/>
  <c r="G478"/>
  <c r="F478"/>
  <c r="E478"/>
  <c r="D478"/>
  <c r="X477"/>
  <c r="W477"/>
  <c r="V477"/>
  <c r="U477"/>
  <c r="T477"/>
  <c r="S477"/>
  <c r="R477"/>
  <c r="Q477"/>
  <c r="P477"/>
  <c r="O477"/>
  <c r="N477"/>
  <c r="M477"/>
  <c r="L477"/>
  <c r="K477"/>
  <c r="J477"/>
  <c r="I477"/>
  <c r="H477"/>
  <c r="G477"/>
  <c r="F477"/>
  <c r="E477"/>
  <c r="D477"/>
  <c r="X476"/>
  <c r="W476"/>
  <c r="V476"/>
  <c r="U476"/>
  <c r="T476"/>
  <c r="S476"/>
  <c r="R476"/>
  <c r="Q476"/>
  <c r="P476"/>
  <c r="O476"/>
  <c r="N476"/>
  <c r="M476"/>
  <c r="L476"/>
  <c r="K476"/>
  <c r="J476"/>
  <c r="I476"/>
  <c r="H476"/>
  <c r="G476"/>
  <c r="F476"/>
  <c r="E476"/>
  <c r="D476"/>
  <c r="X475"/>
  <c r="W475"/>
  <c r="V475"/>
  <c r="U475"/>
  <c r="T475"/>
  <c r="S475"/>
  <c r="R475"/>
  <c r="Q475"/>
  <c r="P475"/>
  <c r="O475"/>
  <c r="N475"/>
  <c r="M475"/>
  <c r="L475"/>
  <c r="K475"/>
  <c r="J475"/>
  <c r="I475"/>
  <c r="H475"/>
  <c r="G475"/>
  <c r="F475"/>
  <c r="E475"/>
  <c r="D475"/>
  <c r="X474"/>
  <c r="W474"/>
  <c r="V474"/>
  <c r="U474"/>
  <c r="T474"/>
  <c r="S474"/>
  <c r="R474"/>
  <c r="Q474"/>
  <c r="P474"/>
  <c r="O474"/>
  <c r="N474"/>
  <c r="M474"/>
  <c r="L474"/>
  <c r="K474"/>
  <c r="J474"/>
  <c r="I474"/>
  <c r="H474"/>
  <c r="G474"/>
  <c r="F474"/>
  <c r="E474"/>
  <c r="D474"/>
  <c r="X473"/>
  <c r="W473"/>
  <c r="V473"/>
  <c r="U473"/>
  <c r="T473"/>
  <c r="S473"/>
  <c r="R473"/>
  <c r="Q473"/>
  <c r="P473"/>
  <c r="O473"/>
  <c r="N473"/>
  <c r="M473"/>
  <c r="L473"/>
  <c r="K473"/>
  <c r="J473"/>
  <c r="I473"/>
  <c r="H473"/>
  <c r="G473"/>
  <c r="F473"/>
  <c r="E473"/>
  <c r="D473"/>
  <c r="X472"/>
  <c r="W472"/>
  <c r="V472"/>
  <c r="U472"/>
  <c r="T472"/>
  <c r="S472"/>
  <c r="R472"/>
  <c r="Q472"/>
  <c r="P472"/>
  <c r="O472"/>
  <c r="N472"/>
  <c r="M472"/>
  <c r="L472"/>
  <c r="K472"/>
  <c r="J472"/>
  <c r="I472"/>
  <c r="H472"/>
  <c r="G472"/>
  <c r="F472"/>
  <c r="E472"/>
  <c r="D472"/>
  <c r="X471"/>
  <c r="W471"/>
  <c r="V471"/>
  <c r="U471"/>
  <c r="T471"/>
  <c r="S471"/>
  <c r="R471"/>
  <c r="Q471"/>
  <c r="P471"/>
  <c r="O471"/>
  <c r="N471"/>
  <c r="M471"/>
  <c r="L471"/>
  <c r="K471"/>
  <c r="J471"/>
  <c r="I471"/>
  <c r="H471"/>
  <c r="G471"/>
  <c r="F471"/>
  <c r="E471"/>
  <c r="D471"/>
  <c r="X470"/>
  <c r="W470"/>
  <c r="V470"/>
  <c r="U470"/>
  <c r="T470"/>
  <c r="S470"/>
  <c r="R470"/>
  <c r="Q470"/>
  <c r="P470"/>
  <c r="O470"/>
  <c r="N470"/>
  <c r="M470"/>
  <c r="L470"/>
  <c r="K470"/>
  <c r="J470"/>
  <c r="I470"/>
  <c r="H470"/>
  <c r="G470"/>
  <c r="F470"/>
  <c r="E470"/>
  <c r="D470"/>
  <c r="X469"/>
  <c r="W469"/>
  <c r="V469"/>
  <c r="U469"/>
  <c r="T469"/>
  <c r="S469"/>
  <c r="R469"/>
  <c r="Q469"/>
  <c r="P469"/>
  <c r="O469"/>
  <c r="N469"/>
  <c r="M469"/>
  <c r="L469"/>
  <c r="K469"/>
  <c r="J469"/>
  <c r="I469"/>
  <c r="H469"/>
  <c r="G469"/>
  <c r="F469"/>
  <c r="E469"/>
  <c r="D469"/>
  <c r="X468"/>
  <c r="W468"/>
  <c r="V468"/>
  <c r="U468"/>
  <c r="T468"/>
  <c r="S468"/>
  <c r="R468"/>
  <c r="Q468"/>
  <c r="P468"/>
  <c r="O468"/>
  <c r="N468"/>
  <c r="M468"/>
  <c r="L468"/>
  <c r="K468"/>
  <c r="J468"/>
  <c r="I468"/>
  <c r="H468"/>
  <c r="G468"/>
  <c r="F468"/>
  <c r="E468"/>
  <c r="D468"/>
  <c r="X467"/>
  <c r="W467"/>
  <c r="V467"/>
  <c r="U467"/>
  <c r="T467"/>
  <c r="S467"/>
  <c r="R467"/>
  <c r="Q467"/>
  <c r="P467"/>
  <c r="O467"/>
  <c r="N467"/>
  <c r="M467"/>
  <c r="L467"/>
  <c r="K467"/>
  <c r="J467"/>
  <c r="I467"/>
  <c r="H467"/>
  <c r="G467"/>
  <c r="F467"/>
  <c r="E467"/>
  <c r="D467"/>
  <c r="X466"/>
  <c r="W466"/>
  <c r="V466"/>
  <c r="U466"/>
  <c r="T466"/>
  <c r="S466"/>
  <c r="R466"/>
  <c r="Q466"/>
  <c r="P466"/>
  <c r="O466"/>
  <c r="N466"/>
  <c r="M466"/>
  <c r="L466"/>
  <c r="K466"/>
  <c r="J466"/>
  <c r="I466"/>
  <c r="H466"/>
  <c r="G466"/>
  <c r="F466"/>
  <c r="E466"/>
  <c r="D466"/>
  <c r="X465"/>
  <c r="W465"/>
  <c r="V465"/>
  <c r="U465"/>
  <c r="T465"/>
  <c r="S465"/>
  <c r="R465"/>
  <c r="Q465"/>
  <c r="P465"/>
  <c r="O465"/>
  <c r="N465"/>
  <c r="M465"/>
  <c r="L465"/>
  <c r="K465"/>
  <c r="J465"/>
  <c r="I465"/>
  <c r="H465"/>
  <c r="G465"/>
  <c r="F465"/>
  <c r="E465"/>
  <c r="D465"/>
  <c r="X464"/>
  <c r="W464"/>
  <c r="V464"/>
  <c r="U464"/>
  <c r="T464"/>
  <c r="S464"/>
  <c r="R464"/>
  <c r="Q464"/>
  <c r="P464"/>
  <c r="O464"/>
  <c r="N464"/>
  <c r="M464"/>
  <c r="L464"/>
  <c r="K464"/>
  <c r="J464"/>
  <c r="I464"/>
  <c r="H464"/>
  <c r="G464"/>
  <c r="F464"/>
  <c r="E464"/>
  <c r="D464"/>
  <c r="X463"/>
  <c r="W463"/>
  <c r="V463"/>
  <c r="U463"/>
  <c r="T463"/>
  <c r="S463"/>
  <c r="R463"/>
  <c r="Q463"/>
  <c r="P463"/>
  <c r="O463"/>
  <c r="N463"/>
  <c r="M463"/>
  <c r="L463"/>
  <c r="K463"/>
  <c r="J463"/>
  <c r="I463"/>
  <c r="H463"/>
  <c r="G463"/>
  <c r="F463"/>
  <c r="E463"/>
  <c r="D463"/>
  <c r="X462"/>
  <c r="W462"/>
  <c r="V462"/>
  <c r="U462"/>
  <c r="T462"/>
  <c r="S462"/>
  <c r="R462"/>
  <c r="Q462"/>
  <c r="P462"/>
  <c r="O462"/>
  <c r="N462"/>
  <c r="M462"/>
  <c r="L462"/>
  <c r="K462"/>
  <c r="J462"/>
  <c r="I462"/>
  <c r="H462"/>
  <c r="G462"/>
  <c r="F462"/>
  <c r="E462"/>
  <c r="D462"/>
  <c r="X461"/>
  <c r="W461"/>
  <c r="V461"/>
  <c r="U461"/>
  <c r="T461"/>
  <c r="S461"/>
  <c r="R461"/>
  <c r="Q461"/>
  <c r="P461"/>
  <c r="O461"/>
  <c r="N461"/>
  <c r="M461"/>
  <c r="L461"/>
  <c r="K461"/>
  <c r="J461"/>
  <c r="I461"/>
  <c r="H461"/>
  <c r="G461"/>
  <c r="F461"/>
  <c r="E461"/>
  <c r="D461"/>
  <c r="X460"/>
  <c r="W460"/>
  <c r="V460"/>
  <c r="U460"/>
  <c r="T460"/>
  <c r="S460"/>
  <c r="R460"/>
  <c r="Q460"/>
  <c r="P460"/>
  <c r="O460"/>
  <c r="N460"/>
  <c r="M460"/>
  <c r="L460"/>
  <c r="K460"/>
  <c r="J460"/>
  <c r="I460"/>
  <c r="H460"/>
  <c r="G460"/>
  <c r="F460"/>
  <c r="E460"/>
  <c r="D460"/>
  <c r="X459"/>
  <c r="W459"/>
  <c r="V459"/>
  <c r="U459"/>
  <c r="T459"/>
  <c r="S459"/>
  <c r="R459"/>
  <c r="Q459"/>
  <c r="P459"/>
  <c r="O459"/>
  <c r="N459"/>
  <c r="M459"/>
  <c r="L459"/>
  <c r="K459"/>
  <c r="J459"/>
  <c r="I459"/>
  <c r="H459"/>
  <c r="G459"/>
  <c r="F459"/>
  <c r="E459"/>
  <c r="D459"/>
  <c r="X458"/>
  <c r="W458"/>
  <c r="V458"/>
  <c r="U458"/>
  <c r="T458"/>
  <c r="S458"/>
  <c r="R458"/>
  <c r="Q458"/>
  <c r="P458"/>
  <c r="O458"/>
  <c r="N458"/>
  <c r="M458"/>
  <c r="L458"/>
  <c r="K458"/>
  <c r="J458"/>
  <c r="I458"/>
  <c r="H458"/>
  <c r="G458"/>
  <c r="F458"/>
  <c r="E458"/>
  <c r="D458"/>
  <c r="X457"/>
  <c r="W457"/>
  <c r="V457"/>
  <c r="U457"/>
  <c r="T457"/>
  <c r="S457"/>
  <c r="R457"/>
  <c r="Q457"/>
  <c r="P457"/>
  <c r="O457"/>
  <c r="N457"/>
  <c r="M457"/>
  <c r="L457"/>
  <c r="K457"/>
  <c r="J457"/>
  <c r="I457"/>
  <c r="H457"/>
  <c r="G457"/>
  <c r="F457"/>
  <c r="E457"/>
  <c r="D457"/>
  <c r="X456"/>
  <c r="W456"/>
  <c r="V456"/>
  <c r="U456"/>
  <c r="T456"/>
  <c r="S456"/>
  <c r="R456"/>
  <c r="Q456"/>
  <c r="P456"/>
  <c r="O456"/>
  <c r="N456"/>
  <c r="M456"/>
  <c r="L456"/>
  <c r="K456"/>
  <c r="J456"/>
  <c r="I456"/>
  <c r="H456"/>
  <c r="G456"/>
  <c r="F456"/>
  <c r="E456"/>
  <c r="D456"/>
  <c r="X455"/>
  <c r="W455"/>
  <c r="V455"/>
  <c r="U455"/>
  <c r="T455"/>
  <c r="S455"/>
  <c r="R455"/>
  <c r="Q455"/>
  <c r="P455"/>
  <c r="O455"/>
  <c r="N455"/>
  <c r="M455"/>
  <c r="L455"/>
  <c r="K455"/>
  <c r="J455"/>
  <c r="I455"/>
  <c r="H455"/>
  <c r="G455"/>
  <c r="F455"/>
  <c r="E455"/>
  <c r="D455"/>
  <c r="X454"/>
  <c r="W454"/>
  <c r="V454"/>
  <c r="U454"/>
  <c r="T454"/>
  <c r="S454"/>
  <c r="R454"/>
  <c r="Q454"/>
  <c r="P454"/>
  <c r="O454"/>
  <c r="N454"/>
  <c r="M454"/>
  <c r="L454"/>
  <c r="K454"/>
  <c r="J454"/>
  <c r="I454"/>
  <c r="H454"/>
  <c r="G454"/>
  <c r="F454"/>
  <c r="E454"/>
  <c r="D454"/>
  <c r="X453"/>
  <c r="W453"/>
  <c r="V453"/>
  <c r="U453"/>
  <c r="T453"/>
  <c r="S453"/>
  <c r="R453"/>
  <c r="Q453"/>
  <c r="P453"/>
  <c r="O453"/>
  <c r="N453"/>
  <c r="M453"/>
  <c r="L453"/>
  <c r="K453"/>
  <c r="J453"/>
  <c r="I453"/>
  <c r="H453"/>
  <c r="G453"/>
  <c r="F453"/>
  <c r="E453"/>
  <c r="D453"/>
  <c r="X452"/>
  <c r="W452"/>
  <c r="V452"/>
  <c r="U452"/>
  <c r="T452"/>
  <c r="S452"/>
  <c r="R452"/>
  <c r="Q452"/>
  <c r="P452"/>
  <c r="O452"/>
  <c r="N452"/>
  <c r="M452"/>
  <c r="L452"/>
  <c r="K452"/>
  <c r="J452"/>
  <c r="I452"/>
  <c r="H452"/>
  <c r="G452"/>
  <c r="F452"/>
  <c r="E452"/>
  <c r="D452"/>
  <c r="X451"/>
  <c r="W451"/>
  <c r="V451"/>
  <c r="U451"/>
  <c r="T451"/>
  <c r="S451"/>
  <c r="R451"/>
  <c r="Q451"/>
  <c r="P451"/>
  <c r="O451"/>
  <c r="N451"/>
  <c r="M451"/>
  <c r="L451"/>
  <c r="K451"/>
  <c r="J451"/>
  <c r="I451"/>
  <c r="H451"/>
  <c r="G451"/>
  <c r="F451"/>
  <c r="E451"/>
  <c r="D451"/>
  <c r="X450"/>
  <c r="W450"/>
  <c r="V450"/>
  <c r="U450"/>
  <c r="T450"/>
  <c r="S450"/>
  <c r="R450"/>
  <c r="Q450"/>
  <c r="P450"/>
  <c r="O450"/>
  <c r="N450"/>
  <c r="M450"/>
  <c r="L450"/>
  <c r="K450"/>
  <c r="J450"/>
  <c r="I450"/>
  <c r="H450"/>
  <c r="G450"/>
  <c r="F450"/>
  <c r="E450"/>
  <c r="D450"/>
  <c r="X449"/>
  <c r="W449"/>
  <c r="V449"/>
  <c r="U449"/>
  <c r="T449"/>
  <c r="S449"/>
  <c r="R449"/>
  <c r="Q449"/>
  <c r="P449"/>
  <c r="O449"/>
  <c r="N449"/>
  <c r="M449"/>
  <c r="L449"/>
  <c r="K449"/>
  <c r="J449"/>
  <c r="I449"/>
  <c r="H449"/>
  <c r="G449"/>
  <c r="F449"/>
  <c r="E449"/>
  <c r="D449"/>
  <c r="X448"/>
  <c r="W448"/>
  <c r="V448"/>
  <c r="U448"/>
  <c r="T448"/>
  <c r="S448"/>
  <c r="R448"/>
  <c r="Q448"/>
  <c r="P448"/>
  <c r="O448"/>
  <c r="N448"/>
  <c r="M448"/>
  <c r="L448"/>
  <c r="K448"/>
  <c r="J448"/>
  <c r="I448"/>
  <c r="H448"/>
  <c r="G448"/>
  <c r="F448"/>
  <c r="E448"/>
  <c r="D448"/>
  <c r="X447"/>
  <c r="W447"/>
  <c r="V447"/>
  <c r="U447"/>
  <c r="T447"/>
  <c r="S447"/>
  <c r="R447"/>
  <c r="Q447"/>
  <c r="P447"/>
  <c r="O447"/>
  <c r="N447"/>
  <c r="M447"/>
  <c r="L447"/>
  <c r="K447"/>
  <c r="J447"/>
  <c r="I447"/>
  <c r="H447"/>
  <c r="G447"/>
  <c r="F447"/>
  <c r="E447"/>
  <c r="D447"/>
  <c r="X446"/>
  <c r="W446"/>
  <c r="V446"/>
  <c r="U446"/>
  <c r="T446"/>
  <c r="S446"/>
  <c r="R446"/>
  <c r="Q446"/>
  <c r="P446"/>
  <c r="O446"/>
  <c r="N446"/>
  <c r="M446"/>
  <c r="L446"/>
  <c r="K446"/>
  <c r="J446"/>
  <c r="I446"/>
  <c r="H446"/>
  <c r="G446"/>
  <c r="F446"/>
  <c r="E446"/>
  <c r="D446"/>
  <c r="X445"/>
  <c r="W445"/>
  <c r="V445"/>
  <c r="U445"/>
  <c r="T445"/>
  <c r="S445"/>
  <c r="R445"/>
  <c r="Q445"/>
  <c r="P445"/>
  <c r="O445"/>
  <c r="N445"/>
  <c r="M445"/>
  <c r="L445"/>
  <c r="K445"/>
  <c r="J445"/>
  <c r="I445"/>
  <c r="H445"/>
  <c r="G445"/>
  <c r="F445"/>
  <c r="E445"/>
  <c r="D445"/>
  <c r="X444"/>
  <c r="W444"/>
  <c r="V444"/>
  <c r="U444"/>
  <c r="T444"/>
  <c r="S444"/>
  <c r="R444"/>
  <c r="Q444"/>
  <c r="P444"/>
  <c r="O444"/>
  <c r="N444"/>
  <c r="M444"/>
  <c r="L444"/>
  <c r="K444"/>
  <c r="J444"/>
  <c r="I444"/>
  <c r="H444"/>
  <c r="G444"/>
  <c r="F444"/>
  <c r="E444"/>
  <c r="D444"/>
  <c r="X443"/>
  <c r="W443"/>
  <c r="V443"/>
  <c r="U443"/>
  <c r="T443"/>
  <c r="S443"/>
  <c r="R443"/>
  <c r="Q443"/>
  <c r="P443"/>
  <c r="O443"/>
  <c r="N443"/>
  <c r="M443"/>
  <c r="L443"/>
  <c r="K443"/>
  <c r="J443"/>
  <c r="I443"/>
  <c r="H443"/>
  <c r="G443"/>
  <c r="F443"/>
  <c r="E443"/>
  <c r="D443"/>
  <c r="X442"/>
  <c r="W442"/>
  <c r="V442"/>
  <c r="U442"/>
  <c r="T442"/>
  <c r="S442"/>
  <c r="R442"/>
  <c r="Q442"/>
  <c r="P442"/>
  <c r="O442"/>
  <c r="N442"/>
  <c r="M442"/>
  <c r="L442"/>
  <c r="K442"/>
  <c r="J442"/>
  <c r="I442"/>
  <c r="H442"/>
  <c r="G442"/>
  <c r="F442"/>
  <c r="E442"/>
  <c r="D442"/>
  <c r="X441"/>
  <c r="W441"/>
  <c r="V441"/>
  <c r="U441"/>
  <c r="T441"/>
  <c r="S441"/>
  <c r="R441"/>
  <c r="Q441"/>
  <c r="P441"/>
  <c r="O441"/>
  <c r="N441"/>
  <c r="M441"/>
  <c r="L441"/>
  <c r="K441"/>
  <c r="J441"/>
  <c r="I441"/>
  <c r="H441"/>
  <c r="G441"/>
  <c r="F441"/>
  <c r="E441"/>
  <c r="D441"/>
  <c r="X440"/>
  <c r="W440"/>
  <c r="V440"/>
  <c r="U440"/>
  <c r="T440"/>
  <c r="S440"/>
  <c r="R440"/>
  <c r="Q440"/>
  <c r="P440"/>
  <c r="O440"/>
  <c r="N440"/>
  <c r="M440"/>
  <c r="L440"/>
  <c r="K440"/>
  <c r="J440"/>
  <c r="I440"/>
  <c r="H440"/>
  <c r="G440"/>
  <c r="F440"/>
  <c r="E440"/>
  <c r="D440"/>
  <c r="X439"/>
  <c r="W439"/>
  <c r="V439"/>
  <c r="U439"/>
  <c r="T439"/>
  <c r="S439"/>
  <c r="R439"/>
  <c r="Q439"/>
  <c r="P439"/>
  <c r="O439"/>
  <c r="N439"/>
  <c r="M439"/>
  <c r="L439"/>
  <c r="K439"/>
  <c r="J439"/>
  <c r="I439"/>
  <c r="H439"/>
  <c r="G439"/>
  <c r="F439"/>
  <c r="E439"/>
  <c r="D439"/>
  <c r="X438"/>
  <c r="W438"/>
  <c r="V438"/>
  <c r="U438"/>
  <c r="T438"/>
  <c r="S438"/>
  <c r="R438"/>
  <c r="Q438"/>
  <c r="P438"/>
  <c r="O438"/>
  <c r="N438"/>
  <c r="M438"/>
  <c r="L438"/>
  <c r="K438"/>
  <c r="J438"/>
  <c r="I438"/>
  <c r="H438"/>
  <c r="G438"/>
  <c r="F438"/>
  <c r="E438"/>
  <c r="D438"/>
  <c r="X437"/>
  <c r="W437"/>
  <c r="V437"/>
  <c r="U437"/>
  <c r="T437"/>
  <c r="S437"/>
  <c r="R437"/>
  <c r="Q437"/>
  <c r="P437"/>
  <c r="O437"/>
  <c r="N437"/>
  <c r="M437"/>
  <c r="L437"/>
  <c r="K437"/>
  <c r="J437"/>
  <c r="I437"/>
  <c r="H437"/>
  <c r="G437"/>
  <c r="F437"/>
  <c r="E437"/>
  <c r="D437"/>
  <c r="X436"/>
  <c r="W436"/>
  <c r="V436"/>
  <c r="U436"/>
  <c r="T436"/>
  <c r="S436"/>
  <c r="R436"/>
  <c r="Q436"/>
  <c r="P436"/>
  <c r="O436"/>
  <c r="N436"/>
  <c r="M436"/>
  <c r="L436"/>
  <c r="K436"/>
  <c r="J436"/>
  <c r="I436"/>
  <c r="H436"/>
  <c r="G436"/>
  <c r="F436"/>
  <c r="E436"/>
  <c r="D436"/>
  <c r="X435"/>
  <c r="W435"/>
  <c r="V435"/>
  <c r="U435"/>
  <c r="T435"/>
  <c r="S435"/>
  <c r="R435"/>
  <c r="Q435"/>
  <c r="P435"/>
  <c r="O435"/>
  <c r="N435"/>
  <c r="M435"/>
  <c r="L435"/>
  <c r="K435"/>
  <c r="J435"/>
  <c r="I435"/>
  <c r="H435"/>
  <c r="G435"/>
  <c r="F435"/>
  <c r="E435"/>
  <c r="D435"/>
  <c r="X434"/>
  <c r="W434"/>
  <c r="V434"/>
  <c r="U434"/>
  <c r="T434"/>
  <c r="S434"/>
  <c r="R434"/>
  <c r="Q434"/>
  <c r="P434"/>
  <c r="O434"/>
  <c r="N434"/>
  <c r="M434"/>
  <c r="L434"/>
  <c r="K434"/>
  <c r="J434"/>
  <c r="I434"/>
  <c r="H434"/>
  <c r="G434"/>
  <c r="F434"/>
  <c r="E434"/>
  <c r="D434"/>
  <c r="X433"/>
  <c r="W433"/>
  <c r="V433"/>
  <c r="U433"/>
  <c r="T433"/>
  <c r="S433"/>
  <c r="R433"/>
  <c r="Q433"/>
  <c r="P433"/>
  <c r="O433"/>
  <c r="N433"/>
  <c r="M433"/>
  <c r="L433"/>
  <c r="K433"/>
  <c r="J433"/>
  <c r="I433"/>
  <c r="H433"/>
  <c r="G433"/>
  <c r="F433"/>
  <c r="E433"/>
  <c r="D433"/>
  <c r="X432"/>
  <c r="W432"/>
  <c r="V432"/>
  <c r="U432"/>
  <c r="T432"/>
  <c r="S432"/>
  <c r="R432"/>
  <c r="Q432"/>
  <c r="P432"/>
  <c r="O432"/>
  <c r="N432"/>
  <c r="M432"/>
  <c r="L432"/>
  <c r="K432"/>
  <c r="J432"/>
  <c r="I432"/>
  <c r="H432"/>
  <c r="G432"/>
  <c r="F432"/>
  <c r="E432"/>
  <c r="D432"/>
  <c r="X431"/>
  <c r="W431"/>
  <c r="V431"/>
  <c r="U431"/>
  <c r="T431"/>
  <c r="S431"/>
  <c r="R431"/>
  <c r="Q431"/>
  <c r="P431"/>
  <c r="O431"/>
  <c r="N431"/>
  <c r="M431"/>
  <c r="L431"/>
  <c r="K431"/>
  <c r="J431"/>
  <c r="I431"/>
  <c r="H431"/>
  <c r="G431"/>
  <c r="F431"/>
  <c r="E431"/>
  <c r="D431"/>
  <c r="X430"/>
  <c r="W430"/>
  <c r="V430"/>
  <c r="U430"/>
  <c r="T430"/>
  <c r="S430"/>
  <c r="R430"/>
  <c r="Q430"/>
  <c r="P430"/>
  <c r="O430"/>
  <c r="N430"/>
  <c r="M430"/>
  <c r="L430"/>
  <c r="K430"/>
  <c r="J430"/>
  <c r="I430"/>
  <c r="H430"/>
  <c r="G430"/>
  <c r="F430"/>
  <c r="E430"/>
  <c r="D430"/>
  <c r="X429"/>
  <c r="W429"/>
  <c r="V429"/>
  <c r="U429"/>
  <c r="T429"/>
  <c r="S429"/>
  <c r="R429"/>
  <c r="Q429"/>
  <c r="P429"/>
  <c r="O429"/>
  <c r="N429"/>
  <c r="M429"/>
  <c r="L429"/>
  <c r="K429"/>
  <c r="J429"/>
  <c r="I429"/>
  <c r="H429"/>
  <c r="G429"/>
  <c r="F429"/>
  <c r="E429"/>
  <c r="D429"/>
  <c r="X428"/>
  <c r="W428"/>
  <c r="V428"/>
  <c r="U428"/>
  <c r="T428"/>
  <c r="S428"/>
  <c r="R428"/>
  <c r="Q428"/>
  <c r="P428"/>
  <c r="O428"/>
  <c r="N428"/>
  <c r="M428"/>
  <c r="L428"/>
  <c r="K428"/>
  <c r="J428"/>
  <c r="I428"/>
  <c r="H428"/>
  <c r="G428"/>
  <c r="F428"/>
  <c r="E428"/>
  <c r="D428"/>
  <c r="X427"/>
  <c r="W427"/>
  <c r="V427"/>
  <c r="U427"/>
  <c r="T427"/>
  <c r="S427"/>
  <c r="R427"/>
  <c r="Q427"/>
  <c r="P427"/>
  <c r="O427"/>
  <c r="N427"/>
  <c r="M427"/>
  <c r="L427"/>
  <c r="K427"/>
  <c r="J427"/>
  <c r="I427"/>
  <c r="H427"/>
  <c r="G427"/>
  <c r="F427"/>
  <c r="E427"/>
  <c r="D427"/>
  <c r="X426"/>
  <c r="W426"/>
  <c r="V426"/>
  <c r="U426"/>
  <c r="T426"/>
  <c r="S426"/>
  <c r="R426"/>
  <c r="Q426"/>
  <c r="P426"/>
  <c r="O426"/>
  <c r="N426"/>
  <c r="M426"/>
  <c r="L426"/>
  <c r="K426"/>
  <c r="J426"/>
  <c r="I426"/>
  <c r="H426"/>
  <c r="G426"/>
  <c r="F426"/>
  <c r="E426"/>
  <c r="D426"/>
  <c r="X425"/>
  <c r="W425"/>
  <c r="V425"/>
  <c r="U425"/>
  <c r="T425"/>
  <c r="S425"/>
  <c r="R425"/>
  <c r="Q425"/>
  <c r="P425"/>
  <c r="O425"/>
  <c r="N425"/>
  <c r="M425"/>
  <c r="L425"/>
  <c r="K425"/>
  <c r="J425"/>
  <c r="I425"/>
  <c r="H425"/>
  <c r="G425"/>
  <c r="F425"/>
  <c r="E425"/>
  <c r="D425"/>
  <c r="X424"/>
  <c r="W424"/>
  <c r="V424"/>
  <c r="U424"/>
  <c r="T424"/>
  <c r="S424"/>
  <c r="R424"/>
  <c r="Q424"/>
  <c r="P424"/>
  <c r="O424"/>
  <c r="N424"/>
  <c r="M424"/>
  <c r="L424"/>
  <c r="K424"/>
  <c r="J424"/>
  <c r="I424"/>
  <c r="H424"/>
  <c r="G424"/>
  <c r="F424"/>
  <c r="E424"/>
  <c r="D424"/>
  <c r="X423"/>
  <c r="W423"/>
  <c r="V423"/>
  <c r="U423"/>
  <c r="T423"/>
  <c r="S423"/>
  <c r="R423"/>
  <c r="Q423"/>
  <c r="P423"/>
  <c r="O423"/>
  <c r="N423"/>
  <c r="M423"/>
  <c r="L423"/>
  <c r="K423"/>
  <c r="J423"/>
  <c r="I423"/>
  <c r="H423"/>
  <c r="G423"/>
  <c r="F423"/>
  <c r="E423"/>
  <c r="D423"/>
  <c r="X422"/>
  <c r="W422"/>
  <c r="V422"/>
  <c r="U422"/>
  <c r="T422"/>
  <c r="S422"/>
  <c r="R422"/>
  <c r="Q422"/>
  <c r="P422"/>
  <c r="O422"/>
  <c r="N422"/>
  <c r="M422"/>
  <c r="L422"/>
  <c r="K422"/>
  <c r="J422"/>
  <c r="I422"/>
  <c r="H422"/>
  <c r="G422"/>
  <c r="F422"/>
  <c r="E422"/>
  <c r="D422"/>
  <c r="X421"/>
  <c r="W421"/>
  <c r="V421"/>
  <c r="U421"/>
  <c r="T421"/>
  <c r="S421"/>
  <c r="R421"/>
  <c r="Q421"/>
  <c r="P421"/>
  <c r="O421"/>
  <c r="N421"/>
  <c r="M421"/>
  <c r="L421"/>
  <c r="K421"/>
  <c r="J421"/>
  <c r="I421"/>
  <c r="H421"/>
  <c r="G421"/>
  <c r="F421"/>
  <c r="E421"/>
  <c r="D421"/>
  <c r="X420"/>
  <c r="W420"/>
  <c r="V420"/>
  <c r="U420"/>
  <c r="T420"/>
  <c r="S420"/>
  <c r="R420"/>
  <c r="Q420"/>
  <c r="P420"/>
  <c r="O420"/>
  <c r="N420"/>
  <c r="M420"/>
  <c r="L420"/>
  <c r="K420"/>
  <c r="J420"/>
  <c r="I420"/>
  <c r="H420"/>
  <c r="G420"/>
  <c r="F420"/>
  <c r="E420"/>
  <c r="D420"/>
  <c r="X419"/>
  <c r="W419"/>
  <c r="V419"/>
  <c r="U419"/>
  <c r="T419"/>
  <c r="S419"/>
  <c r="R419"/>
  <c r="Q419"/>
  <c r="P419"/>
  <c r="O419"/>
  <c r="N419"/>
  <c r="M419"/>
  <c r="L419"/>
  <c r="K419"/>
  <c r="J419"/>
  <c r="I419"/>
  <c r="H419"/>
  <c r="G419"/>
  <c r="F419"/>
  <c r="E419"/>
  <c r="D419"/>
  <c r="X418"/>
  <c r="W418"/>
  <c r="V418"/>
  <c r="U418"/>
  <c r="T418"/>
  <c r="S418"/>
  <c r="R418"/>
  <c r="Q418"/>
  <c r="P418"/>
  <c r="O418"/>
  <c r="N418"/>
  <c r="M418"/>
  <c r="L418"/>
  <c r="K418"/>
  <c r="J418"/>
  <c r="I418"/>
  <c r="H418"/>
  <c r="G418"/>
  <c r="F418"/>
  <c r="E418"/>
  <c r="D418"/>
  <c r="X417"/>
  <c r="W417"/>
  <c r="V417"/>
  <c r="U417"/>
  <c r="T417"/>
  <c r="S417"/>
  <c r="R417"/>
  <c r="Q417"/>
  <c r="P417"/>
  <c r="O417"/>
  <c r="N417"/>
  <c r="M417"/>
  <c r="L417"/>
  <c r="K417"/>
  <c r="J417"/>
  <c r="I417"/>
  <c r="H417"/>
  <c r="G417"/>
  <c r="F417"/>
  <c r="E417"/>
  <c r="D417"/>
  <c r="X416"/>
  <c r="W416"/>
  <c r="V416"/>
  <c r="U416"/>
  <c r="T416"/>
  <c r="S416"/>
  <c r="R416"/>
  <c r="Q416"/>
  <c r="P416"/>
  <c r="O416"/>
  <c r="N416"/>
  <c r="M416"/>
  <c r="L416"/>
  <c r="K416"/>
  <c r="J416"/>
  <c r="I416"/>
  <c r="H416"/>
  <c r="G416"/>
  <c r="F416"/>
  <c r="E416"/>
  <c r="D416"/>
  <c r="X415"/>
  <c r="W415"/>
  <c r="V415"/>
  <c r="U415"/>
  <c r="T415"/>
  <c r="S415"/>
  <c r="R415"/>
  <c r="Q415"/>
  <c r="P415"/>
  <c r="O415"/>
  <c r="N415"/>
  <c r="M415"/>
  <c r="L415"/>
  <c r="K415"/>
  <c r="J415"/>
  <c r="I415"/>
  <c r="H415"/>
  <c r="G415"/>
  <c r="F415"/>
  <c r="E415"/>
  <c r="D415"/>
  <c r="X414"/>
  <c r="W414"/>
  <c r="V414"/>
  <c r="U414"/>
  <c r="T414"/>
  <c r="S414"/>
  <c r="R414"/>
  <c r="Q414"/>
  <c r="P414"/>
  <c r="O414"/>
  <c r="N414"/>
  <c r="M414"/>
  <c r="L414"/>
  <c r="K414"/>
  <c r="J414"/>
  <c r="I414"/>
  <c r="H414"/>
  <c r="G414"/>
  <c r="F414"/>
  <c r="E414"/>
  <c r="D414"/>
  <c r="X413"/>
  <c r="W413"/>
  <c r="V413"/>
  <c r="U413"/>
  <c r="T413"/>
  <c r="S413"/>
  <c r="R413"/>
  <c r="Q413"/>
  <c r="P413"/>
  <c r="O413"/>
  <c r="N413"/>
  <c r="M413"/>
  <c r="L413"/>
  <c r="K413"/>
  <c r="J413"/>
  <c r="I413"/>
  <c r="H413"/>
  <c r="G413"/>
  <c r="F413"/>
  <c r="E413"/>
  <c r="D413"/>
  <c r="X412"/>
  <c r="W412"/>
  <c r="V412"/>
  <c r="U412"/>
  <c r="T412"/>
  <c r="S412"/>
  <c r="R412"/>
  <c r="Q412"/>
  <c r="P412"/>
  <c r="O412"/>
  <c r="N412"/>
  <c r="M412"/>
  <c r="L412"/>
  <c r="K412"/>
  <c r="J412"/>
  <c r="I412"/>
  <c r="H412"/>
  <c r="G412"/>
  <c r="F412"/>
  <c r="E412"/>
  <c r="D412"/>
  <c r="X411"/>
  <c r="W411"/>
  <c r="V411"/>
  <c r="U411"/>
  <c r="T411"/>
  <c r="S411"/>
  <c r="R411"/>
  <c r="Q411"/>
  <c r="P411"/>
  <c r="O411"/>
  <c r="N411"/>
  <c r="M411"/>
  <c r="L411"/>
  <c r="K411"/>
  <c r="J411"/>
  <c r="I411"/>
  <c r="H411"/>
  <c r="G411"/>
  <c r="F411"/>
  <c r="E411"/>
  <c r="D411"/>
  <c r="X410"/>
  <c r="W410"/>
  <c r="V410"/>
  <c r="U410"/>
  <c r="T410"/>
  <c r="S410"/>
  <c r="R410"/>
  <c r="Q410"/>
  <c r="P410"/>
  <c r="O410"/>
  <c r="N410"/>
  <c r="M410"/>
  <c r="L410"/>
  <c r="K410"/>
  <c r="J410"/>
  <c r="I410"/>
  <c r="H410"/>
  <c r="G410"/>
  <c r="F410"/>
  <c r="E410"/>
  <c r="D410"/>
  <c r="X409"/>
  <c r="W409"/>
  <c r="V409"/>
  <c r="U409"/>
  <c r="T409"/>
  <c r="S409"/>
  <c r="R409"/>
  <c r="Q409"/>
  <c r="P409"/>
  <c r="O409"/>
  <c r="N409"/>
  <c r="M409"/>
  <c r="L409"/>
  <c r="K409"/>
  <c r="J409"/>
  <c r="I409"/>
  <c r="H409"/>
  <c r="G409"/>
  <c r="F409"/>
  <c r="E409"/>
  <c r="D409"/>
  <c r="X408"/>
  <c r="W408"/>
  <c r="V408"/>
  <c r="U408"/>
  <c r="T408"/>
  <c r="S408"/>
  <c r="R408"/>
  <c r="Q408"/>
  <c r="P408"/>
  <c r="O408"/>
  <c r="N408"/>
  <c r="M408"/>
  <c r="L408"/>
  <c r="K408"/>
  <c r="J408"/>
  <c r="I408"/>
  <c r="H408"/>
  <c r="G408"/>
  <c r="F408"/>
  <c r="E408"/>
  <c r="D408"/>
  <c r="X407"/>
  <c r="W407"/>
  <c r="V407"/>
  <c r="U407"/>
  <c r="T407"/>
  <c r="S407"/>
  <c r="R407"/>
  <c r="Q407"/>
  <c r="P407"/>
  <c r="O407"/>
  <c r="N407"/>
  <c r="M407"/>
  <c r="L407"/>
  <c r="K407"/>
  <c r="J407"/>
  <c r="I407"/>
  <c r="H407"/>
  <c r="G407"/>
  <c r="F407"/>
  <c r="E407"/>
  <c r="D407"/>
  <c r="X406"/>
  <c r="W406"/>
  <c r="V406"/>
  <c r="U406"/>
  <c r="T406"/>
  <c r="S406"/>
  <c r="R406"/>
  <c r="Q406"/>
  <c r="P406"/>
  <c r="O406"/>
  <c r="N406"/>
  <c r="M406"/>
  <c r="L406"/>
  <c r="K406"/>
  <c r="J406"/>
  <c r="I406"/>
  <c r="H406"/>
  <c r="G406"/>
  <c r="F406"/>
  <c r="E406"/>
  <c r="D406"/>
  <c r="X405"/>
  <c r="W405"/>
  <c r="V405"/>
  <c r="U405"/>
  <c r="T405"/>
  <c r="S405"/>
  <c r="R405"/>
  <c r="Q405"/>
  <c r="P405"/>
  <c r="O405"/>
  <c r="N405"/>
  <c r="M405"/>
  <c r="L405"/>
  <c r="K405"/>
  <c r="J405"/>
  <c r="I405"/>
  <c r="H405"/>
  <c r="G405"/>
  <c r="F405"/>
  <c r="E405"/>
  <c r="D405"/>
  <c r="X404"/>
  <c r="W404"/>
  <c r="V404"/>
  <c r="U404"/>
  <c r="T404"/>
  <c r="S404"/>
  <c r="R404"/>
  <c r="Q404"/>
  <c r="P404"/>
  <c r="O404"/>
  <c r="N404"/>
  <c r="M404"/>
  <c r="L404"/>
  <c r="K404"/>
  <c r="J404"/>
  <c r="I404"/>
  <c r="H404"/>
  <c r="G404"/>
  <c r="F404"/>
  <c r="E404"/>
  <c r="D404"/>
  <c r="X403"/>
  <c r="W403"/>
  <c r="V403"/>
  <c r="U403"/>
  <c r="T403"/>
  <c r="S403"/>
  <c r="R403"/>
  <c r="Q403"/>
  <c r="P403"/>
  <c r="O403"/>
  <c r="N403"/>
  <c r="M403"/>
  <c r="L403"/>
  <c r="K403"/>
  <c r="J403"/>
  <c r="I403"/>
  <c r="H403"/>
  <c r="G403"/>
  <c r="F403"/>
  <c r="E403"/>
  <c r="D403"/>
  <c r="X402"/>
  <c r="W402"/>
  <c r="V402"/>
  <c r="U402"/>
  <c r="T402"/>
  <c r="S402"/>
  <c r="R402"/>
  <c r="Q402"/>
  <c r="P402"/>
  <c r="O402"/>
  <c r="N402"/>
  <c r="M402"/>
  <c r="L402"/>
  <c r="K402"/>
  <c r="J402"/>
  <c r="I402"/>
  <c r="H402"/>
  <c r="G402"/>
  <c r="F402"/>
  <c r="E402"/>
  <c r="D402"/>
  <c r="X401"/>
  <c r="W401"/>
  <c r="V401"/>
  <c r="U401"/>
  <c r="T401"/>
  <c r="S401"/>
  <c r="R401"/>
  <c r="Q401"/>
  <c r="P401"/>
  <c r="O401"/>
  <c r="N401"/>
  <c r="M401"/>
  <c r="L401"/>
  <c r="K401"/>
  <c r="J401"/>
  <c r="I401"/>
  <c r="H401"/>
  <c r="G401"/>
  <c r="F401"/>
  <c r="E401"/>
  <c r="D401"/>
  <c r="X400"/>
  <c r="W400"/>
  <c r="V400"/>
  <c r="U400"/>
  <c r="T400"/>
  <c r="S400"/>
  <c r="R400"/>
  <c r="Q400"/>
  <c r="P400"/>
  <c r="O400"/>
  <c r="N400"/>
  <c r="M400"/>
  <c r="L400"/>
  <c r="K400"/>
  <c r="J400"/>
  <c r="I400"/>
  <c r="H400"/>
  <c r="G400"/>
  <c r="F400"/>
  <c r="E400"/>
  <c r="D400"/>
  <c r="X399"/>
  <c r="W399"/>
  <c r="V399"/>
  <c r="U399"/>
  <c r="T399"/>
  <c r="S399"/>
  <c r="R399"/>
  <c r="Q399"/>
  <c r="P399"/>
  <c r="O399"/>
  <c r="N399"/>
  <c r="M399"/>
  <c r="L399"/>
  <c r="K399"/>
  <c r="J399"/>
  <c r="I399"/>
  <c r="H399"/>
  <c r="G399"/>
  <c r="F399"/>
  <c r="E399"/>
  <c r="D399"/>
  <c r="X398"/>
  <c r="W398"/>
  <c r="V398"/>
  <c r="U398"/>
  <c r="T398"/>
  <c r="S398"/>
  <c r="R398"/>
  <c r="Q398"/>
  <c r="P398"/>
  <c r="O398"/>
  <c r="N398"/>
  <c r="M398"/>
  <c r="L398"/>
  <c r="K398"/>
  <c r="J398"/>
  <c r="I398"/>
  <c r="H398"/>
  <c r="G398"/>
  <c r="F398"/>
  <c r="E398"/>
  <c r="D398"/>
  <c r="X397"/>
  <c r="W397"/>
  <c r="V397"/>
  <c r="U397"/>
  <c r="T397"/>
  <c r="S397"/>
  <c r="R397"/>
  <c r="Q397"/>
  <c r="P397"/>
  <c r="O397"/>
  <c r="N397"/>
  <c r="M397"/>
  <c r="L397"/>
  <c r="K397"/>
  <c r="J397"/>
  <c r="I397"/>
  <c r="H397"/>
  <c r="G397"/>
  <c r="F397"/>
  <c r="E397"/>
  <c r="D397"/>
  <c r="X396"/>
  <c r="W396"/>
  <c r="V396"/>
  <c r="U396"/>
  <c r="T396"/>
  <c r="S396"/>
  <c r="R396"/>
  <c r="Q396"/>
  <c r="P396"/>
  <c r="O396"/>
  <c r="N396"/>
  <c r="M396"/>
  <c r="L396"/>
  <c r="K396"/>
  <c r="J396"/>
  <c r="I396"/>
  <c r="H396"/>
  <c r="G396"/>
  <c r="F396"/>
  <c r="E396"/>
  <c r="D396"/>
  <c r="X395"/>
  <c r="W395"/>
  <c r="V395"/>
  <c r="U395"/>
  <c r="T395"/>
  <c r="S395"/>
  <c r="R395"/>
  <c r="Q395"/>
  <c r="P395"/>
  <c r="O395"/>
  <c r="N395"/>
  <c r="M395"/>
  <c r="L395"/>
  <c r="K395"/>
  <c r="J395"/>
  <c r="I395"/>
  <c r="H395"/>
  <c r="G395"/>
  <c r="F395"/>
  <c r="E395"/>
  <c r="D395"/>
  <c r="X394"/>
  <c r="W394"/>
  <c r="V394"/>
  <c r="U394"/>
  <c r="T394"/>
  <c r="S394"/>
  <c r="R394"/>
  <c r="Q394"/>
  <c r="P394"/>
  <c r="O394"/>
  <c r="N394"/>
  <c r="M394"/>
  <c r="L394"/>
  <c r="K394"/>
  <c r="J394"/>
  <c r="I394"/>
  <c r="H394"/>
  <c r="G394"/>
  <c r="F394"/>
  <c r="E394"/>
  <c r="D394"/>
  <c r="X393"/>
  <c r="W393"/>
  <c r="V393"/>
  <c r="U393"/>
  <c r="T393"/>
  <c r="S393"/>
  <c r="R393"/>
  <c r="Q393"/>
  <c r="P393"/>
  <c r="O393"/>
  <c r="N393"/>
  <c r="M393"/>
  <c r="L393"/>
  <c r="K393"/>
  <c r="J393"/>
  <c r="I393"/>
  <c r="H393"/>
  <c r="G393"/>
  <c r="F393"/>
  <c r="E393"/>
  <c r="D393"/>
  <c r="X392"/>
  <c r="W392"/>
  <c r="V392"/>
  <c r="U392"/>
  <c r="T392"/>
  <c r="S392"/>
  <c r="R392"/>
  <c r="Q392"/>
  <c r="P392"/>
  <c r="O392"/>
  <c r="N392"/>
  <c r="M392"/>
  <c r="L392"/>
  <c r="K392"/>
  <c r="J392"/>
  <c r="I392"/>
  <c r="H392"/>
  <c r="G392"/>
  <c r="F392"/>
  <c r="E392"/>
  <c r="D392"/>
  <c r="X391"/>
  <c r="W391"/>
  <c r="V391"/>
  <c r="U391"/>
  <c r="T391"/>
  <c r="S391"/>
  <c r="R391"/>
  <c r="Q391"/>
  <c r="P391"/>
  <c r="O391"/>
  <c r="N391"/>
  <c r="M391"/>
  <c r="L391"/>
  <c r="K391"/>
  <c r="J391"/>
  <c r="I391"/>
  <c r="H391"/>
  <c r="G391"/>
  <c r="F391"/>
  <c r="E391"/>
  <c r="D391"/>
  <c r="X390"/>
  <c r="W390"/>
  <c r="V390"/>
  <c r="U390"/>
  <c r="T390"/>
  <c r="S390"/>
  <c r="R390"/>
  <c r="Q390"/>
  <c r="P390"/>
  <c r="O390"/>
  <c r="N390"/>
  <c r="M390"/>
  <c r="L390"/>
  <c r="K390"/>
  <c r="J390"/>
  <c r="I390"/>
  <c r="H390"/>
  <c r="G390"/>
  <c r="F390"/>
  <c r="E390"/>
  <c r="D390"/>
  <c r="X389"/>
  <c r="W389"/>
  <c r="V389"/>
  <c r="U389"/>
  <c r="T389"/>
  <c r="S389"/>
  <c r="R389"/>
  <c r="Q389"/>
  <c r="P389"/>
  <c r="O389"/>
  <c r="N389"/>
  <c r="M389"/>
  <c r="L389"/>
  <c r="K389"/>
  <c r="J389"/>
  <c r="I389"/>
  <c r="H389"/>
  <c r="G389"/>
  <c r="F389"/>
  <c r="E389"/>
  <c r="D389"/>
  <c r="X388"/>
  <c r="W388"/>
  <c r="V388"/>
  <c r="U388"/>
  <c r="T388"/>
  <c r="S388"/>
  <c r="R388"/>
  <c r="Q388"/>
  <c r="P388"/>
  <c r="O388"/>
  <c r="N388"/>
  <c r="M388"/>
  <c r="L388"/>
  <c r="K388"/>
  <c r="J388"/>
  <c r="I388"/>
  <c r="H388"/>
  <c r="G388"/>
  <c r="F388"/>
  <c r="E388"/>
  <c r="D388"/>
  <c r="X387"/>
  <c r="W387"/>
  <c r="V387"/>
  <c r="U387"/>
  <c r="T387"/>
  <c r="S387"/>
  <c r="R387"/>
  <c r="Q387"/>
  <c r="P387"/>
  <c r="O387"/>
  <c r="N387"/>
  <c r="M387"/>
  <c r="L387"/>
  <c r="K387"/>
  <c r="J387"/>
  <c r="I387"/>
  <c r="H387"/>
  <c r="G387"/>
  <c r="F387"/>
  <c r="E387"/>
  <c r="D387"/>
  <c r="X386"/>
  <c r="W386"/>
  <c r="V386"/>
  <c r="U386"/>
  <c r="T386"/>
  <c r="S386"/>
  <c r="R386"/>
  <c r="Q386"/>
  <c r="P386"/>
  <c r="O386"/>
  <c r="N386"/>
  <c r="M386"/>
  <c r="L386"/>
  <c r="K386"/>
  <c r="J386"/>
  <c r="I386"/>
  <c r="H386"/>
  <c r="G386"/>
  <c r="F386"/>
  <c r="E386"/>
  <c r="D386"/>
  <c r="X385"/>
  <c r="W385"/>
  <c r="V385"/>
  <c r="U385"/>
  <c r="T385"/>
  <c r="S385"/>
  <c r="R385"/>
  <c r="Q385"/>
  <c r="P385"/>
  <c r="O385"/>
  <c r="N385"/>
  <c r="M385"/>
  <c r="L385"/>
  <c r="K385"/>
  <c r="J385"/>
  <c r="I385"/>
  <c r="H385"/>
  <c r="G385"/>
  <c r="F385"/>
  <c r="E385"/>
  <c r="D385"/>
  <c r="X384"/>
  <c r="W384"/>
  <c r="V384"/>
  <c r="U384"/>
  <c r="T384"/>
  <c r="S384"/>
  <c r="R384"/>
  <c r="Q384"/>
  <c r="P384"/>
  <c r="O384"/>
  <c r="N384"/>
  <c r="M384"/>
  <c r="L384"/>
  <c r="K384"/>
  <c r="J384"/>
  <c r="I384"/>
  <c r="H384"/>
  <c r="G384"/>
  <c r="F384"/>
  <c r="E384"/>
  <c r="D384"/>
  <c r="X383"/>
  <c r="W383"/>
  <c r="V383"/>
  <c r="U383"/>
  <c r="T383"/>
  <c r="S383"/>
  <c r="R383"/>
  <c r="Q383"/>
  <c r="P383"/>
  <c r="O383"/>
  <c r="N383"/>
  <c r="M383"/>
  <c r="L383"/>
  <c r="K383"/>
  <c r="J383"/>
  <c r="I383"/>
  <c r="H383"/>
  <c r="G383"/>
  <c r="F383"/>
  <c r="E383"/>
  <c r="D383"/>
  <c r="X382"/>
  <c r="W382"/>
  <c r="V382"/>
  <c r="U382"/>
  <c r="T382"/>
  <c r="S382"/>
  <c r="R382"/>
  <c r="Q382"/>
  <c r="P382"/>
  <c r="O382"/>
  <c r="N382"/>
  <c r="M382"/>
  <c r="L382"/>
  <c r="K382"/>
  <c r="J382"/>
  <c r="I382"/>
  <c r="H382"/>
  <c r="G382"/>
  <c r="F382"/>
  <c r="E382"/>
  <c r="D382"/>
  <c r="X381"/>
  <c r="W381"/>
  <c r="V381"/>
  <c r="U381"/>
  <c r="T381"/>
  <c r="S381"/>
  <c r="R381"/>
  <c r="Q381"/>
  <c r="P381"/>
  <c r="O381"/>
  <c r="N381"/>
  <c r="M381"/>
  <c r="L381"/>
  <c r="K381"/>
  <c r="J381"/>
  <c r="I381"/>
  <c r="H381"/>
  <c r="G381"/>
  <c r="F381"/>
  <c r="E381"/>
  <c r="D381"/>
  <c r="X380"/>
  <c r="W380"/>
  <c r="V380"/>
  <c r="U380"/>
  <c r="T380"/>
  <c r="S380"/>
  <c r="R380"/>
  <c r="Q380"/>
  <c r="P380"/>
  <c r="O380"/>
  <c r="N380"/>
  <c r="M380"/>
  <c r="L380"/>
  <c r="K380"/>
  <c r="J380"/>
  <c r="I380"/>
  <c r="H380"/>
  <c r="G380"/>
  <c r="F380"/>
  <c r="E380"/>
  <c r="D380"/>
  <c r="X379"/>
  <c r="W379"/>
  <c r="V379"/>
  <c r="U379"/>
  <c r="T379"/>
  <c r="S379"/>
  <c r="R379"/>
  <c r="Q379"/>
  <c r="P379"/>
  <c r="O379"/>
  <c r="N379"/>
  <c r="M379"/>
  <c r="L379"/>
  <c r="K379"/>
  <c r="J379"/>
  <c r="I379"/>
  <c r="H379"/>
  <c r="G379"/>
  <c r="F379"/>
  <c r="E379"/>
  <c r="D379"/>
  <c r="X378"/>
  <c r="W378"/>
  <c r="V378"/>
  <c r="U378"/>
  <c r="T378"/>
  <c r="S378"/>
  <c r="R378"/>
  <c r="Q378"/>
  <c r="P378"/>
  <c r="O378"/>
  <c r="N378"/>
  <c r="M378"/>
  <c r="L378"/>
  <c r="K378"/>
  <c r="J378"/>
  <c r="I378"/>
  <c r="H378"/>
  <c r="G378"/>
  <c r="F378"/>
  <c r="E378"/>
  <c r="D378"/>
  <c r="X377"/>
  <c r="W377"/>
  <c r="V377"/>
  <c r="U377"/>
  <c r="T377"/>
  <c r="S377"/>
  <c r="R377"/>
  <c r="Q377"/>
  <c r="P377"/>
  <c r="O377"/>
  <c r="N377"/>
  <c r="M377"/>
  <c r="L377"/>
  <c r="K377"/>
  <c r="J377"/>
  <c r="I377"/>
  <c r="H377"/>
  <c r="G377"/>
  <c r="F377"/>
  <c r="E377"/>
  <c r="D377"/>
  <c r="X376"/>
  <c r="W376"/>
  <c r="V376"/>
  <c r="U376"/>
  <c r="T376"/>
  <c r="S376"/>
  <c r="R376"/>
  <c r="Q376"/>
  <c r="P376"/>
  <c r="O376"/>
  <c r="N376"/>
  <c r="M376"/>
  <c r="L376"/>
  <c r="K376"/>
  <c r="J376"/>
  <c r="I376"/>
  <c r="H376"/>
  <c r="G376"/>
  <c r="F376"/>
  <c r="E376"/>
  <c r="D376"/>
  <c r="X375"/>
  <c r="W375"/>
  <c r="V375"/>
  <c r="U375"/>
  <c r="T375"/>
  <c r="S375"/>
  <c r="R375"/>
  <c r="Q375"/>
  <c r="P375"/>
  <c r="O375"/>
  <c r="N375"/>
  <c r="M375"/>
  <c r="L375"/>
  <c r="K375"/>
  <c r="J375"/>
  <c r="I375"/>
  <c r="H375"/>
  <c r="G375"/>
  <c r="F375"/>
  <c r="E375"/>
  <c r="D375"/>
  <c r="X374"/>
  <c r="W374"/>
  <c r="V374"/>
  <c r="U374"/>
  <c r="T374"/>
  <c r="S374"/>
  <c r="R374"/>
  <c r="Q374"/>
  <c r="P374"/>
  <c r="O374"/>
  <c r="N374"/>
  <c r="M374"/>
  <c r="L374"/>
  <c r="K374"/>
  <c r="J374"/>
  <c r="I374"/>
  <c r="H374"/>
  <c r="G374"/>
  <c r="F374"/>
  <c r="E374"/>
  <c r="D374"/>
  <c r="X373"/>
  <c r="W373"/>
  <c r="V373"/>
  <c r="U373"/>
  <c r="T373"/>
  <c r="S373"/>
  <c r="R373"/>
  <c r="Q373"/>
  <c r="P373"/>
  <c r="O373"/>
  <c r="N373"/>
  <c r="M373"/>
  <c r="L373"/>
  <c r="K373"/>
  <c r="J373"/>
  <c r="I373"/>
  <c r="H373"/>
  <c r="G373"/>
  <c r="F373"/>
  <c r="E373"/>
  <c r="D373"/>
  <c r="X372"/>
  <c r="W372"/>
  <c r="V372"/>
  <c r="U372"/>
  <c r="T372"/>
  <c r="S372"/>
  <c r="R372"/>
  <c r="Q372"/>
  <c r="P372"/>
  <c r="O372"/>
  <c r="N372"/>
  <c r="M372"/>
  <c r="L372"/>
  <c r="K372"/>
  <c r="J372"/>
  <c r="I372"/>
  <c r="H372"/>
  <c r="G372"/>
  <c r="F372"/>
  <c r="E372"/>
  <c r="D372"/>
  <c r="X371"/>
  <c r="W371"/>
  <c r="V371"/>
  <c r="U371"/>
  <c r="T371"/>
  <c r="S371"/>
  <c r="R371"/>
  <c r="Q371"/>
  <c r="P371"/>
  <c r="O371"/>
  <c r="N371"/>
  <c r="M371"/>
  <c r="L371"/>
  <c r="K371"/>
  <c r="J371"/>
  <c r="I371"/>
  <c r="H371"/>
  <c r="G371"/>
  <c r="F371"/>
  <c r="E371"/>
  <c r="D371"/>
  <c r="X370"/>
  <c r="W370"/>
  <c r="V370"/>
  <c r="U370"/>
  <c r="T370"/>
  <c r="S370"/>
  <c r="R370"/>
  <c r="Q370"/>
  <c r="P370"/>
  <c r="O370"/>
  <c r="N370"/>
  <c r="M370"/>
  <c r="L370"/>
  <c r="K370"/>
  <c r="J370"/>
  <c r="I370"/>
  <c r="H370"/>
  <c r="G370"/>
  <c r="F370"/>
  <c r="E370"/>
  <c r="D370"/>
  <c r="X369"/>
  <c r="W369"/>
  <c r="V369"/>
  <c r="U369"/>
  <c r="T369"/>
  <c r="S369"/>
  <c r="R369"/>
  <c r="Q369"/>
  <c r="P369"/>
  <c r="O369"/>
  <c r="N369"/>
  <c r="M369"/>
  <c r="L369"/>
  <c r="K369"/>
  <c r="J369"/>
  <c r="I369"/>
  <c r="H369"/>
  <c r="G369"/>
  <c r="F369"/>
  <c r="E369"/>
  <c r="D369"/>
  <c r="X368"/>
  <c r="W368"/>
  <c r="V368"/>
  <c r="U368"/>
  <c r="T368"/>
  <c r="S368"/>
  <c r="R368"/>
  <c r="Q368"/>
  <c r="P368"/>
  <c r="O368"/>
  <c r="N368"/>
  <c r="M368"/>
  <c r="L368"/>
  <c r="K368"/>
  <c r="J368"/>
  <c r="I368"/>
  <c r="H368"/>
  <c r="G368"/>
  <c r="F368"/>
  <c r="E368"/>
  <c r="D368"/>
  <c r="X367"/>
  <c r="W367"/>
  <c r="V367"/>
  <c r="U367"/>
  <c r="T367"/>
  <c r="S367"/>
  <c r="R367"/>
  <c r="Q367"/>
  <c r="P367"/>
  <c r="O367"/>
  <c r="N367"/>
  <c r="M367"/>
  <c r="L367"/>
  <c r="K367"/>
  <c r="J367"/>
  <c r="I367"/>
  <c r="H367"/>
  <c r="G367"/>
  <c r="F367"/>
  <c r="E367"/>
  <c r="D367"/>
  <c r="X366"/>
  <c r="W366"/>
  <c r="V366"/>
  <c r="U366"/>
  <c r="T366"/>
  <c r="S366"/>
  <c r="R366"/>
  <c r="Q366"/>
  <c r="P366"/>
  <c r="O366"/>
  <c r="N366"/>
  <c r="M366"/>
  <c r="L366"/>
  <c r="K366"/>
  <c r="J366"/>
  <c r="I366"/>
  <c r="H366"/>
  <c r="G366"/>
  <c r="F366"/>
  <c r="E366"/>
  <c r="D366"/>
  <c r="X365"/>
  <c r="W365"/>
  <c r="V365"/>
  <c r="U365"/>
  <c r="T365"/>
  <c r="S365"/>
  <c r="R365"/>
  <c r="Q365"/>
  <c r="P365"/>
  <c r="O365"/>
  <c r="N365"/>
  <c r="M365"/>
  <c r="L365"/>
  <c r="K365"/>
  <c r="J365"/>
  <c r="I365"/>
  <c r="H365"/>
  <c r="G365"/>
  <c r="F365"/>
  <c r="E365"/>
  <c r="D365"/>
  <c r="X364"/>
  <c r="W364"/>
  <c r="V364"/>
  <c r="U364"/>
  <c r="T364"/>
  <c r="S364"/>
  <c r="R364"/>
  <c r="Q364"/>
  <c r="P364"/>
  <c r="O364"/>
  <c r="N364"/>
  <c r="M364"/>
  <c r="L364"/>
  <c r="K364"/>
  <c r="J364"/>
  <c r="I364"/>
  <c r="H364"/>
  <c r="G364"/>
  <c r="F364"/>
  <c r="E364"/>
  <c r="D364"/>
  <c r="X363"/>
  <c r="W363"/>
  <c r="V363"/>
  <c r="U363"/>
  <c r="T363"/>
  <c r="S363"/>
  <c r="R363"/>
  <c r="Q363"/>
  <c r="P363"/>
  <c r="O363"/>
  <c r="N363"/>
  <c r="M363"/>
  <c r="L363"/>
  <c r="K363"/>
  <c r="J363"/>
  <c r="I363"/>
  <c r="H363"/>
  <c r="G363"/>
  <c r="F363"/>
  <c r="E363"/>
  <c r="D363"/>
  <c r="X362"/>
  <c r="W362"/>
  <c r="V362"/>
  <c r="U362"/>
  <c r="T362"/>
  <c r="S362"/>
  <c r="R362"/>
  <c r="Q362"/>
  <c r="P362"/>
  <c r="O362"/>
  <c r="N362"/>
  <c r="M362"/>
  <c r="L362"/>
  <c r="K362"/>
  <c r="J362"/>
  <c r="I362"/>
  <c r="H362"/>
  <c r="G362"/>
  <c r="F362"/>
  <c r="E362"/>
  <c r="D362"/>
  <c r="X361"/>
  <c r="W361"/>
  <c r="V361"/>
  <c r="U361"/>
  <c r="T361"/>
  <c r="S361"/>
  <c r="R361"/>
  <c r="Q361"/>
  <c r="P361"/>
  <c r="O361"/>
  <c r="N361"/>
  <c r="M361"/>
  <c r="L361"/>
  <c r="K361"/>
  <c r="J361"/>
  <c r="I361"/>
  <c r="H361"/>
  <c r="G361"/>
  <c r="F361"/>
  <c r="E361"/>
  <c r="D361"/>
  <c r="X360"/>
  <c r="W360"/>
  <c r="V360"/>
  <c r="U360"/>
  <c r="T360"/>
  <c r="S360"/>
  <c r="R360"/>
  <c r="Q360"/>
  <c r="P360"/>
  <c r="O360"/>
  <c r="N360"/>
  <c r="M360"/>
  <c r="L360"/>
  <c r="K360"/>
  <c r="J360"/>
  <c r="I360"/>
  <c r="H360"/>
  <c r="G360"/>
  <c r="F360"/>
  <c r="E360"/>
  <c r="D360"/>
  <c r="X359"/>
  <c r="W359"/>
  <c r="V359"/>
  <c r="U359"/>
  <c r="T359"/>
  <c r="S359"/>
  <c r="R359"/>
  <c r="Q359"/>
  <c r="P359"/>
  <c r="O359"/>
  <c r="N359"/>
  <c r="M359"/>
  <c r="L359"/>
  <c r="K359"/>
  <c r="J359"/>
  <c r="I359"/>
  <c r="H359"/>
  <c r="G359"/>
  <c r="F359"/>
  <c r="E359"/>
  <c r="D359"/>
  <c r="X358"/>
  <c r="W358"/>
  <c r="V358"/>
  <c r="U358"/>
  <c r="T358"/>
  <c r="S358"/>
  <c r="R358"/>
  <c r="Q358"/>
  <c r="P358"/>
  <c r="O358"/>
  <c r="N358"/>
  <c r="M358"/>
  <c r="L358"/>
  <c r="K358"/>
  <c r="J358"/>
  <c r="I358"/>
  <c r="H358"/>
  <c r="G358"/>
  <c r="F358"/>
  <c r="E358"/>
  <c r="D358"/>
  <c r="X357"/>
  <c r="W357"/>
  <c r="V357"/>
  <c r="U357"/>
  <c r="T357"/>
  <c r="S357"/>
  <c r="R357"/>
  <c r="Q357"/>
  <c r="P357"/>
  <c r="O357"/>
  <c r="N357"/>
  <c r="M357"/>
  <c r="L357"/>
  <c r="K357"/>
  <c r="J357"/>
  <c r="I357"/>
  <c r="H357"/>
  <c r="G357"/>
  <c r="F357"/>
  <c r="E357"/>
  <c r="D357"/>
  <c r="X356"/>
  <c r="W356"/>
  <c r="V356"/>
  <c r="U356"/>
  <c r="T356"/>
  <c r="S356"/>
  <c r="R356"/>
  <c r="Q356"/>
  <c r="P356"/>
  <c r="O356"/>
  <c r="N356"/>
  <c r="M356"/>
  <c r="L356"/>
  <c r="K356"/>
  <c r="J356"/>
  <c r="I356"/>
  <c r="H356"/>
  <c r="G356"/>
  <c r="F356"/>
  <c r="E356"/>
  <c r="D356"/>
  <c r="X355"/>
  <c r="W355"/>
  <c r="V355"/>
  <c r="U355"/>
  <c r="T355"/>
  <c r="S355"/>
  <c r="R355"/>
  <c r="Q355"/>
  <c r="P355"/>
  <c r="O355"/>
  <c r="N355"/>
  <c r="M355"/>
  <c r="L355"/>
  <c r="K355"/>
  <c r="J355"/>
  <c r="I355"/>
  <c r="H355"/>
  <c r="G355"/>
  <c r="F355"/>
  <c r="E355"/>
  <c r="D355"/>
  <c r="X354"/>
  <c r="W354"/>
  <c r="V354"/>
  <c r="U354"/>
  <c r="T354"/>
  <c r="S354"/>
  <c r="R354"/>
  <c r="Q354"/>
  <c r="P354"/>
  <c r="O354"/>
  <c r="N354"/>
  <c r="M354"/>
  <c r="L354"/>
  <c r="K354"/>
  <c r="J354"/>
  <c r="I354"/>
  <c r="H354"/>
  <c r="G354"/>
  <c r="F354"/>
  <c r="E354"/>
  <c r="D354"/>
  <c r="X353"/>
  <c r="W353"/>
  <c r="V353"/>
  <c r="U353"/>
  <c r="T353"/>
  <c r="S353"/>
  <c r="R353"/>
  <c r="Q353"/>
  <c r="P353"/>
  <c r="O353"/>
  <c r="N353"/>
  <c r="M353"/>
  <c r="L353"/>
  <c r="K353"/>
  <c r="J353"/>
  <c r="I353"/>
  <c r="H353"/>
  <c r="G353"/>
  <c r="F353"/>
  <c r="E353"/>
  <c r="D353"/>
  <c r="X352"/>
  <c r="W352"/>
  <c r="V352"/>
  <c r="U352"/>
  <c r="T352"/>
  <c r="S352"/>
  <c r="R352"/>
  <c r="Q352"/>
  <c r="P352"/>
  <c r="O352"/>
  <c r="N352"/>
  <c r="M352"/>
  <c r="L352"/>
  <c r="K352"/>
  <c r="J352"/>
  <c r="I352"/>
  <c r="H352"/>
  <c r="G352"/>
  <c r="F352"/>
  <c r="E352"/>
  <c r="D352"/>
  <c r="X351"/>
  <c r="W351"/>
  <c r="V351"/>
  <c r="U351"/>
  <c r="T351"/>
  <c r="S351"/>
  <c r="R351"/>
  <c r="Q351"/>
  <c r="P351"/>
  <c r="O351"/>
  <c r="N351"/>
  <c r="M351"/>
  <c r="L351"/>
  <c r="K351"/>
  <c r="J351"/>
  <c r="I351"/>
  <c r="H351"/>
  <c r="G351"/>
  <c r="F351"/>
  <c r="E351"/>
  <c r="D351"/>
  <c r="X350"/>
  <c r="W350"/>
  <c r="V350"/>
  <c r="U350"/>
  <c r="T350"/>
  <c r="S350"/>
  <c r="R350"/>
  <c r="Q350"/>
  <c r="P350"/>
  <c r="O350"/>
  <c r="N350"/>
  <c r="M350"/>
  <c r="L350"/>
  <c r="K350"/>
  <c r="J350"/>
  <c r="I350"/>
  <c r="H350"/>
  <c r="G350"/>
  <c r="F350"/>
  <c r="E350"/>
  <c r="D350"/>
  <c r="X349"/>
  <c r="W349"/>
  <c r="V349"/>
  <c r="U349"/>
  <c r="T349"/>
  <c r="S349"/>
  <c r="R349"/>
  <c r="Q349"/>
  <c r="P349"/>
  <c r="O349"/>
  <c r="N349"/>
  <c r="M349"/>
  <c r="L349"/>
  <c r="K349"/>
  <c r="J349"/>
  <c r="I349"/>
  <c r="H349"/>
  <c r="G349"/>
  <c r="F349"/>
  <c r="E349"/>
  <c r="D349"/>
  <c r="X348"/>
  <c r="W348"/>
  <c r="V348"/>
  <c r="U348"/>
  <c r="T348"/>
  <c r="S348"/>
  <c r="R348"/>
  <c r="Q348"/>
  <c r="P348"/>
  <c r="O348"/>
  <c r="N348"/>
  <c r="M348"/>
  <c r="L348"/>
  <c r="K348"/>
  <c r="J348"/>
  <c r="I348"/>
  <c r="H348"/>
  <c r="G348"/>
  <c r="F348"/>
  <c r="E348"/>
  <c r="D348"/>
  <c r="X347"/>
  <c r="W347"/>
  <c r="V347"/>
  <c r="U347"/>
  <c r="T347"/>
  <c r="S347"/>
  <c r="R347"/>
  <c r="Q347"/>
  <c r="P347"/>
  <c r="O347"/>
  <c r="N347"/>
  <c r="M347"/>
  <c r="L347"/>
  <c r="K347"/>
  <c r="J347"/>
  <c r="I347"/>
  <c r="H347"/>
  <c r="G347"/>
  <c r="F347"/>
  <c r="E347"/>
  <c r="D347"/>
  <c r="X346"/>
  <c r="W346"/>
  <c r="V346"/>
  <c r="U346"/>
  <c r="T346"/>
  <c r="S346"/>
  <c r="R346"/>
  <c r="Q346"/>
  <c r="P346"/>
  <c r="O346"/>
  <c r="N346"/>
  <c r="M346"/>
  <c r="L346"/>
  <c r="K346"/>
  <c r="J346"/>
  <c r="I346"/>
  <c r="H346"/>
  <c r="G346"/>
  <c r="F346"/>
  <c r="E346"/>
  <c r="D346"/>
  <c r="X345"/>
  <c r="W345"/>
  <c r="V345"/>
  <c r="U345"/>
  <c r="T345"/>
  <c r="S345"/>
  <c r="R345"/>
  <c r="Q345"/>
  <c r="P345"/>
  <c r="O345"/>
  <c r="N345"/>
  <c r="M345"/>
  <c r="L345"/>
  <c r="K345"/>
  <c r="J345"/>
  <c r="I345"/>
  <c r="H345"/>
  <c r="G345"/>
  <c r="F345"/>
  <c r="E345"/>
  <c r="D345"/>
  <c r="X344"/>
  <c r="W344"/>
  <c r="V344"/>
  <c r="U344"/>
  <c r="T344"/>
  <c r="S344"/>
  <c r="R344"/>
  <c r="Q344"/>
  <c r="P344"/>
  <c r="O344"/>
  <c r="N344"/>
  <c r="M344"/>
  <c r="L344"/>
  <c r="K344"/>
  <c r="J344"/>
  <c r="I344"/>
  <c r="H344"/>
  <c r="G344"/>
  <c r="F344"/>
  <c r="E344"/>
  <c r="D344"/>
  <c r="X343"/>
  <c r="W343"/>
  <c r="V343"/>
  <c r="U343"/>
  <c r="T343"/>
  <c r="S343"/>
  <c r="R343"/>
  <c r="Q343"/>
  <c r="P343"/>
  <c r="O343"/>
  <c r="N343"/>
  <c r="M343"/>
  <c r="L343"/>
  <c r="K343"/>
  <c r="J343"/>
  <c r="I343"/>
  <c r="H343"/>
  <c r="G343"/>
  <c r="F343"/>
  <c r="E343"/>
  <c r="D343"/>
  <c r="X342"/>
  <c r="W342"/>
  <c r="V342"/>
  <c r="U342"/>
  <c r="T342"/>
  <c r="S342"/>
  <c r="R342"/>
  <c r="Q342"/>
  <c r="P342"/>
  <c r="O342"/>
  <c r="N342"/>
  <c r="M342"/>
  <c r="L342"/>
  <c r="K342"/>
  <c r="J342"/>
  <c r="I342"/>
  <c r="H342"/>
  <c r="G342"/>
  <c r="F342"/>
  <c r="E342"/>
  <c r="D342"/>
  <c r="X341"/>
  <c r="W341"/>
  <c r="V341"/>
  <c r="U341"/>
  <c r="T341"/>
  <c r="S341"/>
  <c r="R341"/>
  <c r="Q341"/>
  <c r="P341"/>
  <c r="O341"/>
  <c r="N341"/>
  <c r="M341"/>
  <c r="L341"/>
  <c r="K341"/>
  <c r="J341"/>
  <c r="I341"/>
  <c r="H341"/>
  <c r="G341"/>
  <c r="F341"/>
  <c r="E341"/>
  <c r="D341"/>
  <c r="X340"/>
  <c r="W340"/>
  <c r="V340"/>
  <c r="U340"/>
  <c r="T340"/>
  <c r="S340"/>
  <c r="R340"/>
  <c r="Q340"/>
  <c r="P340"/>
  <c r="O340"/>
  <c r="N340"/>
  <c r="M340"/>
  <c r="L340"/>
  <c r="K340"/>
  <c r="J340"/>
  <c r="I340"/>
  <c r="H340"/>
  <c r="G340"/>
  <c r="F340"/>
  <c r="E340"/>
  <c r="D340"/>
  <c r="X339"/>
  <c r="W339"/>
  <c r="V339"/>
  <c r="U339"/>
  <c r="T339"/>
  <c r="S339"/>
  <c r="R339"/>
  <c r="Q339"/>
  <c r="P339"/>
  <c r="O339"/>
  <c r="N339"/>
  <c r="M339"/>
  <c r="L339"/>
  <c r="K339"/>
  <c r="J339"/>
  <c r="I339"/>
  <c r="H339"/>
  <c r="G339"/>
  <c r="F339"/>
  <c r="E339"/>
  <c r="D339"/>
  <c r="X338"/>
  <c r="W338"/>
  <c r="V338"/>
  <c r="U338"/>
  <c r="T338"/>
  <c r="S338"/>
  <c r="R338"/>
  <c r="Q338"/>
  <c r="P338"/>
  <c r="O338"/>
  <c r="N338"/>
  <c r="M338"/>
  <c r="L338"/>
  <c r="K338"/>
  <c r="J338"/>
  <c r="I338"/>
  <c r="H338"/>
  <c r="G338"/>
  <c r="F338"/>
  <c r="E338"/>
  <c r="D338"/>
  <c r="X337"/>
  <c r="W337"/>
  <c r="V337"/>
  <c r="U337"/>
  <c r="T337"/>
  <c r="S337"/>
  <c r="R337"/>
  <c r="Q337"/>
  <c r="P337"/>
  <c r="O337"/>
  <c r="N337"/>
  <c r="M337"/>
  <c r="L337"/>
  <c r="K337"/>
  <c r="J337"/>
  <c r="I337"/>
  <c r="H337"/>
  <c r="G337"/>
  <c r="F337"/>
  <c r="E337"/>
  <c r="D337"/>
  <c r="X336"/>
  <c r="W336"/>
  <c r="V336"/>
  <c r="U336"/>
  <c r="T336"/>
  <c r="S336"/>
  <c r="R336"/>
  <c r="Q336"/>
  <c r="P336"/>
  <c r="O336"/>
  <c r="N336"/>
  <c r="M336"/>
  <c r="L336"/>
  <c r="K336"/>
  <c r="J336"/>
  <c r="I336"/>
  <c r="H336"/>
  <c r="G336"/>
  <c r="F336"/>
  <c r="E336"/>
  <c r="D336"/>
  <c r="X335"/>
  <c r="W335"/>
  <c r="V335"/>
  <c r="U335"/>
  <c r="T335"/>
  <c r="S335"/>
  <c r="R335"/>
  <c r="Q335"/>
  <c r="P335"/>
  <c r="O335"/>
  <c r="N335"/>
  <c r="M335"/>
  <c r="L335"/>
  <c r="K335"/>
  <c r="J335"/>
  <c r="I335"/>
  <c r="H335"/>
  <c r="G335"/>
  <c r="F335"/>
  <c r="E335"/>
  <c r="D335"/>
  <c r="X334"/>
  <c r="W334"/>
  <c r="V334"/>
  <c r="U334"/>
  <c r="T334"/>
  <c r="S334"/>
  <c r="R334"/>
  <c r="Q334"/>
  <c r="P334"/>
  <c r="O334"/>
  <c r="N334"/>
  <c r="M334"/>
  <c r="L334"/>
  <c r="K334"/>
  <c r="J334"/>
  <c r="I334"/>
  <c r="H334"/>
  <c r="G334"/>
  <c r="F334"/>
  <c r="E334"/>
  <c r="D334"/>
  <c r="X333"/>
  <c r="W333"/>
  <c r="V333"/>
  <c r="U333"/>
  <c r="T333"/>
  <c r="S333"/>
  <c r="R333"/>
  <c r="Q333"/>
  <c r="P333"/>
  <c r="O333"/>
  <c r="N333"/>
  <c r="M333"/>
  <c r="L333"/>
  <c r="K333"/>
  <c r="J333"/>
  <c r="I333"/>
  <c r="H333"/>
  <c r="G333"/>
  <c r="F333"/>
  <c r="E333"/>
  <c r="D333"/>
  <c r="X332"/>
  <c r="W332"/>
  <c r="V332"/>
  <c r="U332"/>
  <c r="T332"/>
  <c r="S332"/>
  <c r="R332"/>
  <c r="Q332"/>
  <c r="P332"/>
  <c r="O332"/>
  <c r="N332"/>
  <c r="M332"/>
  <c r="L332"/>
  <c r="K332"/>
  <c r="J332"/>
  <c r="I332"/>
  <c r="H332"/>
  <c r="G332"/>
  <c r="F332"/>
  <c r="E332"/>
  <c r="D332"/>
  <c r="X331"/>
  <c r="W331"/>
  <c r="V331"/>
  <c r="U331"/>
  <c r="T331"/>
  <c r="S331"/>
  <c r="R331"/>
  <c r="Q331"/>
  <c r="P331"/>
  <c r="O331"/>
  <c r="N331"/>
  <c r="M331"/>
  <c r="L331"/>
  <c r="K331"/>
  <c r="J331"/>
  <c r="I331"/>
  <c r="H331"/>
  <c r="G331"/>
  <c r="F331"/>
  <c r="E331"/>
  <c r="D331"/>
  <c r="X330"/>
  <c r="W330"/>
  <c r="V330"/>
  <c r="U330"/>
  <c r="T330"/>
  <c r="S330"/>
  <c r="R330"/>
  <c r="Q330"/>
  <c r="P330"/>
  <c r="O330"/>
  <c r="N330"/>
  <c r="M330"/>
  <c r="L330"/>
  <c r="K330"/>
  <c r="J330"/>
  <c r="I330"/>
  <c r="H330"/>
  <c r="G330"/>
  <c r="F330"/>
  <c r="E330"/>
  <c r="D330"/>
  <c r="X329"/>
  <c r="W329"/>
  <c r="V329"/>
  <c r="U329"/>
  <c r="T329"/>
  <c r="S329"/>
  <c r="R329"/>
  <c r="Q329"/>
  <c r="P329"/>
  <c r="O329"/>
  <c r="N329"/>
  <c r="M329"/>
  <c r="L329"/>
  <c r="K329"/>
  <c r="J329"/>
  <c r="I329"/>
  <c r="H329"/>
  <c r="G329"/>
  <c r="F329"/>
  <c r="E329"/>
  <c r="D329"/>
  <c r="X328"/>
  <c r="W328"/>
  <c r="V328"/>
  <c r="U328"/>
  <c r="T328"/>
  <c r="S328"/>
  <c r="R328"/>
  <c r="Q328"/>
  <c r="P328"/>
  <c r="O328"/>
  <c r="N328"/>
  <c r="M328"/>
  <c r="L328"/>
  <c r="K328"/>
  <c r="J328"/>
  <c r="I328"/>
  <c r="H328"/>
  <c r="G328"/>
  <c r="F328"/>
  <c r="E328"/>
  <c r="D328"/>
  <c r="X327"/>
  <c r="W327"/>
  <c r="V327"/>
  <c r="U327"/>
  <c r="T327"/>
  <c r="S327"/>
  <c r="R327"/>
  <c r="Q327"/>
  <c r="P327"/>
  <c r="O327"/>
  <c r="N327"/>
  <c r="M327"/>
  <c r="L327"/>
  <c r="K327"/>
  <c r="J327"/>
  <c r="I327"/>
  <c r="H327"/>
  <c r="G327"/>
  <c r="F327"/>
  <c r="E327"/>
  <c r="D327"/>
  <c r="X326"/>
  <c r="W326"/>
  <c r="V326"/>
  <c r="U326"/>
  <c r="T326"/>
  <c r="S326"/>
  <c r="R326"/>
  <c r="Q326"/>
  <c r="P326"/>
  <c r="O326"/>
  <c r="N326"/>
  <c r="M326"/>
  <c r="L326"/>
  <c r="K326"/>
  <c r="J326"/>
  <c r="I326"/>
  <c r="H326"/>
  <c r="G326"/>
  <c r="F326"/>
  <c r="E326"/>
  <c r="D326"/>
  <c r="X325"/>
  <c r="W325"/>
  <c r="V325"/>
  <c r="U325"/>
  <c r="T325"/>
  <c r="S325"/>
  <c r="R325"/>
  <c r="Q325"/>
  <c r="P325"/>
  <c r="O325"/>
  <c r="N325"/>
  <c r="M325"/>
  <c r="L325"/>
  <c r="K325"/>
  <c r="J325"/>
  <c r="I325"/>
  <c r="H325"/>
  <c r="G325"/>
  <c r="F325"/>
  <c r="E325"/>
  <c r="D325"/>
  <c r="X324"/>
  <c r="W324"/>
  <c r="V324"/>
  <c r="U324"/>
  <c r="T324"/>
  <c r="S324"/>
  <c r="R324"/>
  <c r="Q324"/>
  <c r="P324"/>
  <c r="O324"/>
  <c r="N324"/>
  <c r="M324"/>
  <c r="L324"/>
  <c r="K324"/>
  <c r="J324"/>
  <c r="I324"/>
  <c r="H324"/>
  <c r="G324"/>
  <c r="F324"/>
  <c r="E324"/>
  <c r="D324"/>
  <c r="X323"/>
  <c r="W323"/>
  <c r="V323"/>
  <c r="U323"/>
  <c r="T323"/>
  <c r="S323"/>
  <c r="R323"/>
  <c r="Q323"/>
  <c r="P323"/>
  <c r="O323"/>
  <c r="N323"/>
  <c r="M323"/>
  <c r="L323"/>
  <c r="K323"/>
  <c r="J323"/>
  <c r="I323"/>
  <c r="H323"/>
  <c r="G323"/>
  <c r="F323"/>
  <c r="E323"/>
  <c r="D323"/>
  <c r="X322"/>
  <c r="W322"/>
  <c r="V322"/>
  <c r="U322"/>
  <c r="T322"/>
  <c r="S322"/>
  <c r="R322"/>
  <c r="Q322"/>
  <c r="P322"/>
  <c r="O322"/>
  <c r="N322"/>
  <c r="M322"/>
  <c r="L322"/>
  <c r="K322"/>
  <c r="J322"/>
  <c r="I322"/>
  <c r="H322"/>
  <c r="G322"/>
  <c r="F322"/>
  <c r="E322"/>
  <c r="D322"/>
  <c r="X321"/>
  <c r="W321"/>
  <c r="V321"/>
  <c r="U321"/>
  <c r="T321"/>
  <c r="S321"/>
  <c r="R321"/>
  <c r="Q321"/>
  <c r="P321"/>
  <c r="O321"/>
  <c r="N321"/>
  <c r="M321"/>
  <c r="L321"/>
  <c r="K321"/>
  <c r="J321"/>
  <c r="I321"/>
  <c r="H321"/>
  <c r="G321"/>
  <c r="F321"/>
  <c r="E321"/>
  <c r="D321"/>
  <c r="X320"/>
  <c r="W320"/>
  <c r="V320"/>
  <c r="U320"/>
  <c r="T320"/>
  <c r="S320"/>
  <c r="R320"/>
  <c r="Q320"/>
  <c r="P320"/>
  <c r="O320"/>
  <c r="N320"/>
  <c r="M320"/>
  <c r="L320"/>
  <c r="K320"/>
  <c r="J320"/>
  <c r="I320"/>
  <c r="H320"/>
  <c r="G320"/>
  <c r="F320"/>
  <c r="E320"/>
  <c r="D320"/>
  <c r="X319"/>
  <c r="W319"/>
  <c r="V319"/>
  <c r="U319"/>
  <c r="T319"/>
  <c r="S319"/>
  <c r="R319"/>
  <c r="Q319"/>
  <c r="P319"/>
  <c r="O319"/>
  <c r="N319"/>
  <c r="M319"/>
  <c r="L319"/>
  <c r="K319"/>
  <c r="J319"/>
  <c r="I319"/>
  <c r="H319"/>
  <c r="G319"/>
  <c r="F319"/>
  <c r="E319"/>
  <c r="D319"/>
  <c r="X318"/>
  <c r="W318"/>
  <c r="V318"/>
  <c r="U318"/>
  <c r="T318"/>
  <c r="S318"/>
  <c r="R318"/>
  <c r="Q318"/>
  <c r="P318"/>
  <c r="O318"/>
  <c r="N318"/>
  <c r="M318"/>
  <c r="L318"/>
  <c r="K318"/>
  <c r="J318"/>
  <c r="I318"/>
  <c r="H318"/>
  <c r="G318"/>
  <c r="F318"/>
  <c r="E318"/>
  <c r="D318"/>
  <c r="X317"/>
  <c r="W317"/>
  <c r="V317"/>
  <c r="U317"/>
  <c r="T317"/>
  <c r="S317"/>
  <c r="R317"/>
  <c r="Q317"/>
  <c r="P317"/>
  <c r="O317"/>
  <c r="N317"/>
  <c r="M317"/>
  <c r="L317"/>
  <c r="K317"/>
  <c r="J317"/>
  <c r="I317"/>
  <c r="H317"/>
  <c r="G317"/>
  <c r="F317"/>
  <c r="E317"/>
  <c r="D317"/>
  <c r="X316"/>
  <c r="W316"/>
  <c r="V316"/>
  <c r="U316"/>
  <c r="T316"/>
  <c r="S316"/>
  <c r="R316"/>
  <c r="Q316"/>
  <c r="P316"/>
  <c r="O316"/>
  <c r="N316"/>
  <c r="M316"/>
  <c r="L316"/>
  <c r="K316"/>
  <c r="J316"/>
  <c r="I316"/>
  <c r="H316"/>
  <c r="G316"/>
  <c r="F316"/>
  <c r="E316"/>
  <c r="D316"/>
  <c r="X315"/>
  <c r="W315"/>
  <c r="V315"/>
  <c r="U315"/>
  <c r="T315"/>
  <c r="S315"/>
  <c r="R315"/>
  <c r="Q315"/>
  <c r="P315"/>
  <c r="O315"/>
  <c r="N315"/>
  <c r="M315"/>
  <c r="L315"/>
  <c r="K315"/>
  <c r="J315"/>
  <c r="I315"/>
  <c r="H315"/>
  <c r="G315"/>
  <c r="F315"/>
  <c r="E315"/>
  <c r="D315"/>
  <c r="X314"/>
  <c r="W314"/>
  <c r="V314"/>
  <c r="U314"/>
  <c r="T314"/>
  <c r="S314"/>
  <c r="R314"/>
  <c r="Q314"/>
  <c r="P314"/>
  <c r="O314"/>
  <c r="N314"/>
  <c r="M314"/>
  <c r="L314"/>
  <c r="K314"/>
  <c r="J314"/>
  <c r="I314"/>
  <c r="H314"/>
  <c r="G314"/>
  <c r="F314"/>
  <c r="E314"/>
  <c r="D314"/>
  <c r="X313"/>
  <c r="W313"/>
  <c r="V313"/>
  <c r="U313"/>
  <c r="T313"/>
  <c r="S313"/>
  <c r="R313"/>
  <c r="Q313"/>
  <c r="P313"/>
  <c r="O313"/>
  <c r="N313"/>
  <c r="M313"/>
  <c r="L313"/>
  <c r="K313"/>
  <c r="J313"/>
  <c r="I313"/>
  <c r="H313"/>
  <c r="G313"/>
  <c r="F313"/>
  <c r="E313"/>
  <c r="D313"/>
  <c r="X312"/>
  <c r="W312"/>
  <c r="V312"/>
  <c r="U312"/>
  <c r="T312"/>
  <c r="S312"/>
  <c r="R312"/>
  <c r="Q312"/>
  <c r="P312"/>
  <c r="O312"/>
  <c r="N312"/>
  <c r="M312"/>
  <c r="L312"/>
  <c r="K312"/>
  <c r="J312"/>
  <c r="I312"/>
  <c r="H312"/>
  <c r="G312"/>
  <c r="F312"/>
  <c r="E312"/>
  <c r="D312"/>
  <c r="X311"/>
  <c r="W311"/>
  <c r="V311"/>
  <c r="U311"/>
  <c r="T311"/>
  <c r="S311"/>
  <c r="R311"/>
  <c r="Q311"/>
  <c r="P311"/>
  <c r="O311"/>
  <c r="N311"/>
  <c r="M311"/>
  <c r="L311"/>
  <c r="K311"/>
  <c r="J311"/>
  <c r="I311"/>
  <c r="H311"/>
  <c r="G311"/>
  <c r="F311"/>
  <c r="E311"/>
  <c r="D311"/>
  <c r="X310"/>
  <c r="W310"/>
  <c r="V310"/>
  <c r="U310"/>
  <c r="T310"/>
  <c r="S310"/>
  <c r="R310"/>
  <c r="Q310"/>
  <c r="P310"/>
  <c r="O310"/>
  <c r="N310"/>
  <c r="M310"/>
  <c r="L310"/>
  <c r="K310"/>
  <c r="J310"/>
  <c r="I310"/>
  <c r="H310"/>
  <c r="G310"/>
  <c r="F310"/>
  <c r="E310"/>
  <c r="D310"/>
  <c r="X309"/>
  <c r="W309"/>
  <c r="V309"/>
  <c r="U309"/>
  <c r="T309"/>
  <c r="S309"/>
  <c r="R309"/>
  <c r="Q309"/>
  <c r="P309"/>
  <c r="O309"/>
  <c r="N309"/>
  <c r="M309"/>
  <c r="L309"/>
  <c r="K309"/>
  <c r="J309"/>
  <c r="I309"/>
  <c r="H309"/>
  <c r="G309"/>
  <c r="F309"/>
  <c r="E309"/>
  <c r="D309"/>
  <c r="X308"/>
  <c r="W308"/>
  <c r="V308"/>
  <c r="U308"/>
  <c r="T308"/>
  <c r="S308"/>
  <c r="R308"/>
  <c r="Q308"/>
  <c r="P308"/>
  <c r="O308"/>
  <c r="N308"/>
  <c r="M308"/>
  <c r="L308"/>
  <c r="K308"/>
  <c r="J308"/>
  <c r="I308"/>
  <c r="H308"/>
  <c r="G308"/>
  <c r="F308"/>
  <c r="E308"/>
  <c r="D308"/>
  <c r="X307"/>
  <c r="W307"/>
  <c r="V307"/>
  <c r="U307"/>
  <c r="T307"/>
  <c r="S307"/>
  <c r="R307"/>
  <c r="Q307"/>
  <c r="P307"/>
  <c r="O307"/>
  <c r="N307"/>
  <c r="M307"/>
  <c r="L307"/>
  <c r="K307"/>
  <c r="J307"/>
  <c r="I307"/>
  <c r="H307"/>
  <c r="G307"/>
  <c r="F307"/>
  <c r="E307"/>
  <c r="D307"/>
  <c r="X306"/>
  <c r="W306"/>
  <c r="V306"/>
  <c r="U306"/>
  <c r="T306"/>
  <c r="S306"/>
  <c r="R306"/>
  <c r="Q306"/>
  <c r="P306"/>
  <c r="O306"/>
  <c r="N306"/>
  <c r="M306"/>
  <c r="L306"/>
  <c r="K306"/>
  <c r="J306"/>
  <c r="I306"/>
  <c r="H306"/>
  <c r="G306"/>
  <c r="F306"/>
  <c r="E306"/>
  <c r="D306"/>
  <c r="X305"/>
  <c r="W305"/>
  <c r="V305"/>
  <c r="U305"/>
  <c r="T305"/>
  <c r="S305"/>
  <c r="R305"/>
  <c r="Q305"/>
  <c r="P305"/>
  <c r="O305"/>
  <c r="N305"/>
  <c r="M305"/>
  <c r="L305"/>
  <c r="K305"/>
  <c r="J305"/>
  <c r="I305"/>
  <c r="H305"/>
  <c r="G305"/>
  <c r="F305"/>
  <c r="E305"/>
  <c r="D305"/>
  <c r="X304"/>
  <c r="W304"/>
  <c r="V304"/>
  <c r="U304"/>
  <c r="T304"/>
  <c r="S304"/>
  <c r="R304"/>
  <c r="Q304"/>
  <c r="P304"/>
  <c r="O304"/>
  <c r="N304"/>
  <c r="M304"/>
  <c r="L304"/>
  <c r="K304"/>
  <c r="J304"/>
  <c r="I304"/>
  <c r="H304"/>
  <c r="G304"/>
  <c r="F304"/>
  <c r="E304"/>
  <c r="D304"/>
  <c r="X303"/>
  <c r="W303"/>
  <c r="V303"/>
  <c r="U303"/>
  <c r="T303"/>
  <c r="S303"/>
  <c r="R303"/>
  <c r="Q303"/>
  <c r="P303"/>
  <c r="O303"/>
  <c r="N303"/>
  <c r="M303"/>
  <c r="L303"/>
  <c r="K303"/>
  <c r="J303"/>
  <c r="I303"/>
  <c r="H303"/>
  <c r="G303"/>
  <c r="F303"/>
  <c r="E303"/>
  <c r="D303"/>
  <c r="X302"/>
  <c r="W302"/>
  <c r="V302"/>
  <c r="U302"/>
  <c r="T302"/>
  <c r="S302"/>
  <c r="R302"/>
  <c r="Q302"/>
  <c r="P302"/>
  <c r="O302"/>
  <c r="N302"/>
  <c r="M302"/>
  <c r="L302"/>
  <c r="K302"/>
  <c r="J302"/>
  <c r="I302"/>
  <c r="H302"/>
  <c r="G302"/>
  <c r="F302"/>
  <c r="E302"/>
  <c r="D302"/>
  <c r="X301"/>
  <c r="W301"/>
  <c r="V301"/>
  <c r="U301"/>
  <c r="T301"/>
  <c r="S301"/>
  <c r="R301"/>
  <c r="Q301"/>
  <c r="P301"/>
  <c r="O301"/>
  <c r="N301"/>
  <c r="M301"/>
  <c r="L301"/>
  <c r="K301"/>
  <c r="J301"/>
  <c r="I301"/>
  <c r="H301"/>
  <c r="G301"/>
  <c r="F301"/>
  <c r="E301"/>
  <c r="D301"/>
  <c r="X300"/>
  <c r="W300"/>
  <c r="V300"/>
  <c r="U300"/>
  <c r="T300"/>
  <c r="S300"/>
  <c r="R300"/>
  <c r="Q300"/>
  <c r="P300"/>
  <c r="O300"/>
  <c r="N300"/>
  <c r="M300"/>
  <c r="L300"/>
  <c r="K300"/>
  <c r="J300"/>
  <c r="I300"/>
  <c r="H300"/>
  <c r="G300"/>
  <c r="F300"/>
  <c r="E300"/>
  <c r="D300"/>
  <c r="X299"/>
  <c r="W299"/>
  <c r="V299"/>
  <c r="U299"/>
  <c r="T299"/>
  <c r="S299"/>
  <c r="R299"/>
  <c r="Q299"/>
  <c r="P299"/>
  <c r="O299"/>
  <c r="N299"/>
  <c r="M299"/>
  <c r="L299"/>
  <c r="K299"/>
  <c r="J299"/>
  <c r="I299"/>
  <c r="H299"/>
  <c r="G299"/>
  <c r="F299"/>
  <c r="E299"/>
  <c r="D299"/>
  <c r="X298"/>
  <c r="W298"/>
  <c r="V298"/>
  <c r="U298"/>
  <c r="T298"/>
  <c r="S298"/>
  <c r="R298"/>
  <c r="Q298"/>
  <c r="P298"/>
  <c r="O298"/>
  <c r="N298"/>
  <c r="M298"/>
  <c r="L298"/>
  <c r="K298"/>
  <c r="J298"/>
  <c r="I298"/>
  <c r="H298"/>
  <c r="G298"/>
  <c r="F298"/>
  <c r="E298"/>
  <c r="D298"/>
  <c r="X297"/>
  <c r="W297"/>
  <c r="V297"/>
  <c r="U297"/>
  <c r="T297"/>
  <c r="S297"/>
  <c r="R297"/>
  <c r="Q297"/>
  <c r="P297"/>
  <c r="O297"/>
  <c r="N297"/>
  <c r="M297"/>
  <c r="L297"/>
  <c r="K297"/>
  <c r="J297"/>
  <c r="I297"/>
  <c r="H297"/>
  <c r="G297"/>
  <c r="F297"/>
  <c r="E297"/>
  <c r="D297"/>
  <c r="X296"/>
  <c r="W296"/>
  <c r="V296"/>
  <c r="U296"/>
  <c r="T296"/>
  <c r="S296"/>
  <c r="R296"/>
  <c r="Q296"/>
  <c r="P296"/>
  <c r="O296"/>
  <c r="N296"/>
  <c r="M296"/>
  <c r="L296"/>
  <c r="K296"/>
  <c r="J296"/>
  <c r="I296"/>
  <c r="H296"/>
  <c r="G296"/>
  <c r="F296"/>
  <c r="E296"/>
  <c r="D296"/>
  <c r="X295"/>
  <c r="W295"/>
  <c r="V295"/>
  <c r="U295"/>
  <c r="T295"/>
  <c r="S295"/>
  <c r="R295"/>
  <c r="Q295"/>
  <c r="P295"/>
  <c r="O295"/>
  <c r="N295"/>
  <c r="M295"/>
  <c r="L295"/>
  <c r="K295"/>
  <c r="J295"/>
  <c r="I295"/>
  <c r="H295"/>
  <c r="G295"/>
  <c r="F295"/>
  <c r="E295"/>
  <c r="D295"/>
  <c r="X294"/>
  <c r="W294"/>
  <c r="V294"/>
  <c r="U294"/>
  <c r="T294"/>
  <c r="S294"/>
  <c r="R294"/>
  <c r="Q294"/>
  <c r="P294"/>
  <c r="O294"/>
  <c r="N294"/>
  <c r="M294"/>
  <c r="L294"/>
  <c r="K294"/>
  <c r="J294"/>
  <c r="I294"/>
  <c r="H294"/>
  <c r="G294"/>
  <c r="F294"/>
  <c r="E294"/>
  <c r="D294"/>
  <c r="X293"/>
  <c r="W293"/>
  <c r="V293"/>
  <c r="U293"/>
  <c r="T293"/>
  <c r="S293"/>
  <c r="R293"/>
  <c r="Q293"/>
  <c r="P293"/>
  <c r="O293"/>
  <c r="N293"/>
  <c r="M293"/>
  <c r="L293"/>
  <c r="K293"/>
  <c r="J293"/>
  <c r="I293"/>
  <c r="H293"/>
  <c r="G293"/>
  <c r="F293"/>
  <c r="E293"/>
  <c r="D293"/>
  <c r="X292"/>
  <c r="W292"/>
  <c r="V292"/>
  <c r="U292"/>
  <c r="T292"/>
  <c r="S292"/>
  <c r="R292"/>
  <c r="Q292"/>
  <c r="P292"/>
  <c r="O292"/>
  <c r="N292"/>
  <c r="M292"/>
  <c r="L292"/>
  <c r="K292"/>
  <c r="J292"/>
  <c r="I292"/>
  <c r="H292"/>
  <c r="G292"/>
  <c r="F292"/>
  <c r="E292"/>
  <c r="D292"/>
  <c r="X291"/>
  <c r="W291"/>
  <c r="V291"/>
  <c r="U291"/>
  <c r="T291"/>
  <c r="S291"/>
  <c r="R291"/>
  <c r="Q291"/>
  <c r="P291"/>
  <c r="O291"/>
  <c r="N291"/>
  <c r="M291"/>
  <c r="L291"/>
  <c r="K291"/>
  <c r="J291"/>
  <c r="I291"/>
  <c r="H291"/>
  <c r="G291"/>
  <c r="F291"/>
  <c r="E291"/>
  <c r="D291"/>
  <c r="X290"/>
  <c r="W290"/>
  <c r="V290"/>
  <c r="U290"/>
  <c r="T290"/>
  <c r="S290"/>
  <c r="R290"/>
  <c r="Q290"/>
  <c r="P290"/>
  <c r="O290"/>
  <c r="N290"/>
  <c r="M290"/>
  <c r="L290"/>
  <c r="K290"/>
  <c r="J290"/>
  <c r="I290"/>
  <c r="H290"/>
  <c r="G290"/>
  <c r="F290"/>
  <c r="E290"/>
  <c r="D290"/>
  <c r="X289"/>
  <c r="W289"/>
  <c r="V289"/>
  <c r="U289"/>
  <c r="T289"/>
  <c r="S289"/>
  <c r="R289"/>
  <c r="Q289"/>
  <c r="P289"/>
  <c r="O289"/>
  <c r="N289"/>
  <c r="M289"/>
  <c r="L289"/>
  <c r="K289"/>
  <c r="J289"/>
  <c r="I289"/>
  <c r="H289"/>
  <c r="G289"/>
  <c r="F289"/>
  <c r="E289"/>
  <c r="D289"/>
  <c r="X288"/>
  <c r="W288"/>
  <c r="V288"/>
  <c r="U288"/>
  <c r="T288"/>
  <c r="S288"/>
  <c r="R288"/>
  <c r="Q288"/>
  <c r="P288"/>
  <c r="O288"/>
  <c r="N288"/>
  <c r="M288"/>
  <c r="L288"/>
  <c r="K288"/>
  <c r="J288"/>
  <c r="I288"/>
  <c r="H288"/>
  <c r="G288"/>
  <c r="F288"/>
  <c r="E288"/>
  <c r="D288"/>
  <c r="X287"/>
  <c r="W287"/>
  <c r="V287"/>
  <c r="U287"/>
  <c r="T287"/>
  <c r="S287"/>
  <c r="R287"/>
  <c r="Q287"/>
  <c r="P287"/>
  <c r="O287"/>
  <c r="N287"/>
  <c r="M287"/>
  <c r="L287"/>
  <c r="K287"/>
  <c r="J287"/>
  <c r="I287"/>
  <c r="H287"/>
  <c r="G287"/>
  <c r="F287"/>
  <c r="E287"/>
  <c r="D287"/>
  <c r="X286"/>
  <c r="W286"/>
  <c r="V286"/>
  <c r="U286"/>
  <c r="T286"/>
  <c r="S286"/>
  <c r="R286"/>
  <c r="Q286"/>
  <c r="P286"/>
  <c r="O286"/>
  <c r="N286"/>
  <c r="M286"/>
  <c r="L286"/>
  <c r="K286"/>
  <c r="J286"/>
  <c r="I286"/>
  <c r="H286"/>
  <c r="G286"/>
  <c r="F286"/>
  <c r="E286"/>
  <c r="D286"/>
  <c r="X285"/>
  <c r="W285"/>
  <c r="V285"/>
  <c r="U285"/>
  <c r="T285"/>
  <c r="S285"/>
  <c r="R285"/>
  <c r="Q285"/>
  <c r="P285"/>
  <c r="O285"/>
  <c r="N285"/>
  <c r="M285"/>
  <c r="L285"/>
  <c r="K285"/>
  <c r="J285"/>
  <c r="I285"/>
  <c r="H285"/>
  <c r="G285"/>
  <c r="F285"/>
  <c r="E285"/>
  <c r="D285"/>
  <c r="X284"/>
  <c r="W284"/>
  <c r="V284"/>
  <c r="U284"/>
  <c r="T284"/>
  <c r="S284"/>
  <c r="R284"/>
  <c r="Q284"/>
  <c r="P284"/>
  <c r="O284"/>
  <c r="N284"/>
  <c r="M284"/>
  <c r="L284"/>
  <c r="K284"/>
  <c r="J284"/>
  <c r="I284"/>
  <c r="H284"/>
  <c r="G284"/>
  <c r="F284"/>
  <c r="E284"/>
  <c r="D284"/>
  <c r="X283"/>
  <c r="W283"/>
  <c r="V283"/>
  <c r="U283"/>
  <c r="T283"/>
  <c r="S283"/>
  <c r="R283"/>
  <c r="Q283"/>
  <c r="P283"/>
  <c r="O283"/>
  <c r="N283"/>
  <c r="M283"/>
  <c r="L283"/>
  <c r="K283"/>
  <c r="J283"/>
  <c r="I283"/>
  <c r="H283"/>
  <c r="G283"/>
  <c r="F283"/>
  <c r="E283"/>
  <c r="D283"/>
  <c r="X282"/>
  <c r="W282"/>
  <c r="V282"/>
  <c r="U282"/>
  <c r="T282"/>
  <c r="S282"/>
  <c r="R282"/>
  <c r="Q282"/>
  <c r="P282"/>
  <c r="O282"/>
  <c r="N282"/>
  <c r="M282"/>
  <c r="L282"/>
  <c r="K282"/>
  <c r="J282"/>
  <c r="I282"/>
  <c r="H282"/>
  <c r="G282"/>
  <c r="F282"/>
  <c r="E282"/>
  <c r="D282"/>
  <c r="X281"/>
  <c r="W281"/>
  <c r="V281"/>
  <c r="U281"/>
  <c r="T281"/>
  <c r="S281"/>
  <c r="R281"/>
  <c r="Q281"/>
  <c r="P281"/>
  <c r="O281"/>
  <c r="N281"/>
  <c r="M281"/>
  <c r="L281"/>
  <c r="K281"/>
  <c r="J281"/>
  <c r="I281"/>
  <c r="H281"/>
  <c r="G281"/>
  <c r="F281"/>
  <c r="E281"/>
  <c r="D281"/>
  <c r="X280"/>
  <c r="W280"/>
  <c r="V280"/>
  <c r="U280"/>
  <c r="T280"/>
  <c r="S280"/>
  <c r="R280"/>
  <c r="Q280"/>
  <c r="P280"/>
  <c r="O280"/>
  <c r="N280"/>
  <c r="M280"/>
  <c r="L280"/>
  <c r="K280"/>
  <c r="J280"/>
  <c r="I280"/>
  <c r="H280"/>
  <c r="G280"/>
  <c r="F280"/>
  <c r="E280"/>
  <c r="D280"/>
  <c r="X279"/>
  <c r="W279"/>
  <c r="V279"/>
  <c r="U279"/>
  <c r="T279"/>
  <c r="S279"/>
  <c r="R279"/>
  <c r="Q279"/>
  <c r="P279"/>
  <c r="O279"/>
  <c r="N279"/>
  <c r="M279"/>
  <c r="L279"/>
  <c r="K279"/>
  <c r="J279"/>
  <c r="I279"/>
  <c r="H279"/>
  <c r="G279"/>
  <c r="F279"/>
  <c r="E279"/>
  <c r="D279"/>
  <c r="X278"/>
  <c r="W278"/>
  <c r="V278"/>
  <c r="U278"/>
  <c r="T278"/>
  <c r="S278"/>
  <c r="R278"/>
  <c r="Q278"/>
  <c r="P278"/>
  <c r="O278"/>
  <c r="N278"/>
  <c r="M278"/>
  <c r="L278"/>
  <c r="K278"/>
  <c r="J278"/>
  <c r="I278"/>
  <c r="H278"/>
  <c r="G278"/>
  <c r="F278"/>
  <c r="E278"/>
  <c r="D278"/>
  <c r="X277"/>
  <c r="W277"/>
  <c r="V277"/>
  <c r="U277"/>
  <c r="T277"/>
  <c r="S277"/>
  <c r="R277"/>
  <c r="Q277"/>
  <c r="P277"/>
  <c r="O277"/>
  <c r="N277"/>
  <c r="M277"/>
  <c r="L277"/>
  <c r="K277"/>
  <c r="J277"/>
  <c r="I277"/>
  <c r="H277"/>
  <c r="G277"/>
  <c r="F277"/>
  <c r="E277"/>
  <c r="D277"/>
  <c r="X276"/>
  <c r="W276"/>
  <c r="V276"/>
  <c r="U276"/>
  <c r="T276"/>
  <c r="S276"/>
  <c r="R276"/>
  <c r="Q276"/>
  <c r="P276"/>
  <c r="O276"/>
  <c r="N276"/>
  <c r="M276"/>
  <c r="L276"/>
  <c r="K276"/>
  <c r="J276"/>
  <c r="I276"/>
  <c r="H276"/>
  <c r="G276"/>
  <c r="F276"/>
  <c r="E276"/>
  <c r="D276"/>
  <c r="X275"/>
  <c r="W275"/>
  <c r="V275"/>
  <c r="U275"/>
  <c r="T275"/>
  <c r="S275"/>
  <c r="R275"/>
  <c r="Q275"/>
  <c r="P275"/>
  <c r="O275"/>
  <c r="N275"/>
  <c r="M275"/>
  <c r="L275"/>
  <c r="K275"/>
  <c r="J275"/>
  <c r="I275"/>
  <c r="H275"/>
  <c r="G275"/>
  <c r="F275"/>
  <c r="E275"/>
  <c r="D275"/>
  <c r="X274"/>
  <c r="W274"/>
  <c r="V274"/>
  <c r="U274"/>
  <c r="T274"/>
  <c r="S274"/>
  <c r="R274"/>
  <c r="Q274"/>
  <c r="P274"/>
  <c r="O274"/>
  <c r="N274"/>
  <c r="M274"/>
  <c r="L274"/>
  <c r="K274"/>
  <c r="J274"/>
  <c r="I274"/>
  <c r="H274"/>
  <c r="G274"/>
  <c r="F274"/>
  <c r="E274"/>
  <c r="D274"/>
  <c r="X273"/>
  <c r="W273"/>
  <c r="V273"/>
  <c r="U273"/>
  <c r="T273"/>
  <c r="S273"/>
  <c r="R273"/>
  <c r="Q273"/>
  <c r="P273"/>
  <c r="O273"/>
  <c r="N273"/>
  <c r="M273"/>
  <c r="L273"/>
  <c r="K273"/>
  <c r="J273"/>
  <c r="I273"/>
  <c r="H273"/>
  <c r="G273"/>
  <c r="F273"/>
  <c r="E273"/>
  <c r="D273"/>
  <c r="X272"/>
  <c r="W272"/>
  <c r="V272"/>
  <c r="U272"/>
  <c r="T272"/>
  <c r="S272"/>
  <c r="R272"/>
  <c r="Q272"/>
  <c r="P272"/>
  <c r="O272"/>
  <c r="N272"/>
  <c r="M272"/>
  <c r="L272"/>
  <c r="K272"/>
  <c r="J272"/>
  <c r="I272"/>
  <c r="H272"/>
  <c r="G272"/>
  <c r="F272"/>
  <c r="E272"/>
  <c r="D272"/>
  <c r="X271"/>
  <c r="W271"/>
  <c r="V271"/>
  <c r="U271"/>
  <c r="T271"/>
  <c r="S271"/>
  <c r="R271"/>
  <c r="Q271"/>
  <c r="P271"/>
  <c r="O271"/>
  <c r="N271"/>
  <c r="M271"/>
  <c r="L271"/>
  <c r="K271"/>
  <c r="J271"/>
  <c r="I271"/>
  <c r="H271"/>
  <c r="G271"/>
  <c r="F271"/>
  <c r="E271"/>
  <c r="D271"/>
  <c r="X270"/>
  <c r="W270"/>
  <c r="V270"/>
  <c r="U270"/>
  <c r="T270"/>
  <c r="S270"/>
  <c r="R270"/>
  <c r="Q270"/>
  <c r="P270"/>
  <c r="O270"/>
  <c r="N270"/>
  <c r="M270"/>
  <c r="L270"/>
  <c r="K270"/>
  <c r="J270"/>
  <c r="I270"/>
  <c r="H270"/>
  <c r="G270"/>
  <c r="F270"/>
  <c r="E270"/>
  <c r="D270"/>
  <c r="X269"/>
  <c r="W269"/>
  <c r="V269"/>
  <c r="U269"/>
  <c r="T269"/>
  <c r="S269"/>
  <c r="R269"/>
  <c r="Q269"/>
  <c r="P269"/>
  <c r="O269"/>
  <c r="N269"/>
  <c r="M269"/>
  <c r="L269"/>
  <c r="K269"/>
  <c r="J269"/>
  <c r="I269"/>
  <c r="H269"/>
  <c r="G269"/>
  <c r="F269"/>
  <c r="E269"/>
  <c r="D269"/>
  <c r="X268"/>
  <c r="W268"/>
  <c r="V268"/>
  <c r="U268"/>
  <c r="T268"/>
  <c r="S268"/>
  <c r="R268"/>
  <c r="Q268"/>
  <c r="P268"/>
  <c r="O268"/>
  <c r="N268"/>
  <c r="M268"/>
  <c r="L268"/>
  <c r="K268"/>
  <c r="J268"/>
  <c r="I268"/>
  <c r="H268"/>
  <c r="G268"/>
  <c r="F268"/>
  <c r="E268"/>
  <c r="D268"/>
  <c r="X267"/>
  <c r="W267"/>
  <c r="V267"/>
  <c r="U267"/>
  <c r="T267"/>
  <c r="S267"/>
  <c r="R267"/>
  <c r="Q267"/>
  <c r="P267"/>
  <c r="O267"/>
  <c r="N267"/>
  <c r="M267"/>
  <c r="L267"/>
  <c r="K267"/>
  <c r="J267"/>
  <c r="I267"/>
  <c r="H267"/>
  <c r="G267"/>
  <c r="F267"/>
  <c r="E267"/>
  <c r="D267"/>
  <c r="E5"/>
  <c r="E4"/>
  <c r="E3"/>
  <c r="E2"/>
  <c r="C523" i="112"/>
  <c r="C522"/>
  <c r="C519"/>
  <c r="AI513"/>
  <c r="AH513"/>
  <c r="AG513"/>
  <c r="AF513"/>
  <c r="AE513"/>
  <c r="AD513"/>
  <c r="AC513"/>
  <c r="AB513"/>
  <c r="AA513"/>
  <c r="Z513"/>
  <c r="Y513"/>
  <c r="X513"/>
  <c r="W513"/>
  <c r="V513"/>
  <c r="U513"/>
  <c r="T513"/>
  <c r="S513"/>
  <c r="R513"/>
  <c r="Q513"/>
  <c r="P513"/>
  <c r="O513"/>
  <c r="N513"/>
  <c r="M513"/>
  <c r="L513"/>
  <c r="K513"/>
  <c r="J513"/>
  <c r="I513"/>
  <c r="H513"/>
  <c r="G513"/>
  <c r="F513"/>
  <c r="E513"/>
  <c r="D513"/>
  <c r="AI512"/>
  <c r="AH512"/>
  <c r="AG512"/>
  <c r="AF512"/>
  <c r="AE512"/>
  <c r="AD512"/>
  <c r="AC512"/>
  <c r="AB512"/>
  <c r="AA512"/>
  <c r="Z512"/>
  <c r="Y512"/>
  <c r="X512"/>
  <c r="W512"/>
  <c r="V512"/>
  <c r="U512"/>
  <c r="T512"/>
  <c r="S512"/>
  <c r="R512"/>
  <c r="Q512"/>
  <c r="P512"/>
  <c r="O512"/>
  <c r="N512"/>
  <c r="M512"/>
  <c r="L512"/>
  <c r="K512"/>
  <c r="J512"/>
  <c r="I512"/>
  <c r="H512"/>
  <c r="G512"/>
  <c r="F512"/>
  <c r="E512"/>
  <c r="D512"/>
  <c r="AI511"/>
  <c r="AH511"/>
  <c r="AG511"/>
  <c r="AF511"/>
  <c r="AE511"/>
  <c r="AD511"/>
  <c r="AC511"/>
  <c r="AB511"/>
  <c r="AA511"/>
  <c r="Z511"/>
  <c r="Y511"/>
  <c r="X511"/>
  <c r="W511"/>
  <c r="V511"/>
  <c r="U511"/>
  <c r="T511"/>
  <c r="S511"/>
  <c r="R511"/>
  <c r="Q511"/>
  <c r="P511"/>
  <c r="O511"/>
  <c r="N511"/>
  <c r="M511"/>
  <c r="L511"/>
  <c r="K511"/>
  <c r="J511"/>
  <c r="I511"/>
  <c r="H511"/>
  <c r="G511"/>
  <c r="F511"/>
  <c r="E511"/>
  <c r="D511"/>
  <c r="AI510"/>
  <c r="AH510"/>
  <c r="AG510"/>
  <c r="AF510"/>
  <c r="AE510"/>
  <c r="AD510"/>
  <c r="AC510"/>
  <c r="AB510"/>
  <c r="AA510"/>
  <c r="Z510"/>
  <c r="Y510"/>
  <c r="X510"/>
  <c r="W510"/>
  <c r="V510"/>
  <c r="U510"/>
  <c r="T510"/>
  <c r="S510"/>
  <c r="R510"/>
  <c r="Q510"/>
  <c r="P510"/>
  <c r="O510"/>
  <c r="N510"/>
  <c r="M510"/>
  <c r="L510"/>
  <c r="K510"/>
  <c r="J510"/>
  <c r="I510"/>
  <c r="H510"/>
  <c r="G510"/>
  <c r="F510"/>
  <c r="E510"/>
  <c r="D510"/>
  <c r="AI509"/>
  <c r="AH509"/>
  <c r="AG509"/>
  <c r="AF509"/>
  <c r="AE509"/>
  <c r="AD509"/>
  <c r="AC509"/>
  <c r="AB509"/>
  <c r="AA509"/>
  <c r="Z509"/>
  <c r="Y509"/>
  <c r="X509"/>
  <c r="W509"/>
  <c r="V509"/>
  <c r="U509"/>
  <c r="T509"/>
  <c r="S509"/>
  <c r="R509"/>
  <c r="Q509"/>
  <c r="P509"/>
  <c r="O509"/>
  <c r="N509"/>
  <c r="M509"/>
  <c r="L509"/>
  <c r="K509"/>
  <c r="J509"/>
  <c r="I509"/>
  <c r="H509"/>
  <c r="G509"/>
  <c r="F509"/>
  <c r="E509"/>
  <c r="D509"/>
  <c r="AI508"/>
  <c r="AH508"/>
  <c r="AG508"/>
  <c r="AF508"/>
  <c r="AE508"/>
  <c r="AD508"/>
  <c r="AC508"/>
  <c r="AB508"/>
  <c r="AA508"/>
  <c r="Z508"/>
  <c r="Y508"/>
  <c r="X508"/>
  <c r="W508"/>
  <c r="V508"/>
  <c r="U508"/>
  <c r="T508"/>
  <c r="S508"/>
  <c r="R508"/>
  <c r="Q508"/>
  <c r="P508"/>
  <c r="O508"/>
  <c r="N508"/>
  <c r="M508"/>
  <c r="L508"/>
  <c r="K508"/>
  <c r="J508"/>
  <c r="I508"/>
  <c r="H508"/>
  <c r="G508"/>
  <c r="F508"/>
  <c r="E508"/>
  <c r="D508"/>
  <c r="AI507"/>
  <c r="AH507"/>
  <c r="AG507"/>
  <c r="AF507"/>
  <c r="AE507"/>
  <c r="AD507"/>
  <c r="AC507"/>
  <c r="AB507"/>
  <c r="AA507"/>
  <c r="Z507"/>
  <c r="Y507"/>
  <c r="X507"/>
  <c r="W507"/>
  <c r="V507"/>
  <c r="U507"/>
  <c r="T507"/>
  <c r="S507"/>
  <c r="R507"/>
  <c r="Q507"/>
  <c r="P507"/>
  <c r="O507"/>
  <c r="N507"/>
  <c r="M507"/>
  <c r="L507"/>
  <c r="K507"/>
  <c r="J507"/>
  <c r="I507"/>
  <c r="H507"/>
  <c r="G507"/>
  <c r="F507"/>
  <c r="E507"/>
  <c r="D507"/>
  <c r="AI506"/>
  <c r="AH506"/>
  <c r="AG506"/>
  <c r="AF506"/>
  <c r="AE506"/>
  <c r="AD506"/>
  <c r="AC506"/>
  <c r="AB506"/>
  <c r="AA506"/>
  <c r="Z506"/>
  <c r="Y506"/>
  <c r="X506"/>
  <c r="W506"/>
  <c r="V506"/>
  <c r="U506"/>
  <c r="T506"/>
  <c r="S506"/>
  <c r="R506"/>
  <c r="Q506"/>
  <c r="P506"/>
  <c r="O506"/>
  <c r="N506"/>
  <c r="M506"/>
  <c r="L506"/>
  <c r="K506"/>
  <c r="J506"/>
  <c r="I506"/>
  <c r="H506"/>
  <c r="G506"/>
  <c r="F506"/>
  <c r="E506"/>
  <c r="D506"/>
  <c r="AI505"/>
  <c r="AH505"/>
  <c r="AG505"/>
  <c r="AF505"/>
  <c r="AE505"/>
  <c r="AD505"/>
  <c r="AC505"/>
  <c r="AB505"/>
  <c r="AA505"/>
  <c r="Z505"/>
  <c r="Y505"/>
  <c r="X505"/>
  <c r="W505"/>
  <c r="V505"/>
  <c r="U505"/>
  <c r="T505"/>
  <c r="S505"/>
  <c r="R505"/>
  <c r="Q505"/>
  <c r="P505"/>
  <c r="O505"/>
  <c r="N505"/>
  <c r="M505"/>
  <c r="L505"/>
  <c r="K505"/>
  <c r="J505"/>
  <c r="I505"/>
  <c r="H505"/>
  <c r="G505"/>
  <c r="F505"/>
  <c r="E505"/>
  <c r="D505"/>
  <c r="AI504"/>
  <c r="AH504"/>
  <c r="AG504"/>
  <c r="AF504"/>
  <c r="AE504"/>
  <c r="AD504"/>
  <c r="AC504"/>
  <c r="AB504"/>
  <c r="AA504"/>
  <c r="Z504"/>
  <c r="Y504"/>
  <c r="X504"/>
  <c r="W504"/>
  <c r="V504"/>
  <c r="U504"/>
  <c r="T504"/>
  <c r="S504"/>
  <c r="R504"/>
  <c r="Q504"/>
  <c r="P504"/>
  <c r="O504"/>
  <c r="N504"/>
  <c r="M504"/>
  <c r="L504"/>
  <c r="K504"/>
  <c r="J504"/>
  <c r="I504"/>
  <c r="H504"/>
  <c r="G504"/>
  <c r="F504"/>
  <c r="E504"/>
  <c r="D504"/>
  <c r="AI503"/>
  <c r="AH503"/>
  <c r="AG503"/>
  <c r="AF503"/>
  <c r="AE503"/>
  <c r="AD503"/>
  <c r="AC503"/>
  <c r="AB503"/>
  <c r="AA503"/>
  <c r="Z503"/>
  <c r="Y503"/>
  <c r="X503"/>
  <c r="W503"/>
  <c r="V503"/>
  <c r="U503"/>
  <c r="T503"/>
  <c r="S503"/>
  <c r="R503"/>
  <c r="Q503"/>
  <c r="P503"/>
  <c r="O503"/>
  <c r="N503"/>
  <c r="M503"/>
  <c r="L503"/>
  <c r="K503"/>
  <c r="J503"/>
  <c r="I503"/>
  <c r="H503"/>
  <c r="G503"/>
  <c r="F503"/>
  <c r="E503"/>
  <c r="D503"/>
  <c r="AI502"/>
  <c r="AH502"/>
  <c r="AG502"/>
  <c r="AF502"/>
  <c r="AE502"/>
  <c r="AD502"/>
  <c r="AC502"/>
  <c r="AB502"/>
  <c r="AA502"/>
  <c r="Z502"/>
  <c r="Y502"/>
  <c r="X502"/>
  <c r="W502"/>
  <c r="V502"/>
  <c r="U502"/>
  <c r="T502"/>
  <c r="S502"/>
  <c r="R502"/>
  <c r="Q502"/>
  <c r="P502"/>
  <c r="O502"/>
  <c r="N502"/>
  <c r="M502"/>
  <c r="L502"/>
  <c r="K502"/>
  <c r="J502"/>
  <c r="I502"/>
  <c r="H502"/>
  <c r="G502"/>
  <c r="F502"/>
  <c r="E502"/>
  <c r="D502"/>
  <c r="AI501"/>
  <c r="AH501"/>
  <c r="AG501"/>
  <c r="AF501"/>
  <c r="AE501"/>
  <c r="AD501"/>
  <c r="AC501"/>
  <c r="AB501"/>
  <c r="AA501"/>
  <c r="Z501"/>
  <c r="Y501"/>
  <c r="X501"/>
  <c r="W501"/>
  <c r="V501"/>
  <c r="U501"/>
  <c r="T501"/>
  <c r="S501"/>
  <c r="R501"/>
  <c r="Q501"/>
  <c r="P501"/>
  <c r="O501"/>
  <c r="N501"/>
  <c r="M501"/>
  <c r="L501"/>
  <c r="K501"/>
  <c r="J501"/>
  <c r="I501"/>
  <c r="H501"/>
  <c r="G501"/>
  <c r="F501"/>
  <c r="E501"/>
  <c r="D501"/>
  <c r="AI500"/>
  <c r="AH500"/>
  <c r="AG500"/>
  <c r="AF500"/>
  <c r="AE500"/>
  <c r="AD500"/>
  <c r="AC500"/>
  <c r="AB500"/>
  <c r="AA500"/>
  <c r="Z500"/>
  <c r="Y500"/>
  <c r="X500"/>
  <c r="W500"/>
  <c r="V500"/>
  <c r="U500"/>
  <c r="T500"/>
  <c r="S500"/>
  <c r="R500"/>
  <c r="Q500"/>
  <c r="P500"/>
  <c r="O500"/>
  <c r="N500"/>
  <c r="M500"/>
  <c r="L500"/>
  <c r="K500"/>
  <c r="J500"/>
  <c r="I500"/>
  <c r="H500"/>
  <c r="G500"/>
  <c r="F500"/>
  <c r="E500"/>
  <c r="D500"/>
  <c r="AI499"/>
  <c r="AH499"/>
  <c r="AG499"/>
  <c r="AF499"/>
  <c r="AE499"/>
  <c r="AD499"/>
  <c r="AC499"/>
  <c r="AB499"/>
  <c r="AA499"/>
  <c r="Z499"/>
  <c r="Y499"/>
  <c r="X499"/>
  <c r="W499"/>
  <c r="V499"/>
  <c r="U499"/>
  <c r="T499"/>
  <c r="S499"/>
  <c r="R499"/>
  <c r="Q499"/>
  <c r="P499"/>
  <c r="O499"/>
  <c r="N499"/>
  <c r="M499"/>
  <c r="L499"/>
  <c r="K499"/>
  <c r="J499"/>
  <c r="I499"/>
  <c r="H499"/>
  <c r="G499"/>
  <c r="F499"/>
  <c r="E499"/>
  <c r="D499"/>
  <c r="AI498"/>
  <c r="AH498"/>
  <c r="AG498"/>
  <c r="AF498"/>
  <c r="AE498"/>
  <c r="AD498"/>
  <c r="AC498"/>
  <c r="AB498"/>
  <c r="AA498"/>
  <c r="Z498"/>
  <c r="Y498"/>
  <c r="X498"/>
  <c r="W498"/>
  <c r="V498"/>
  <c r="U498"/>
  <c r="T498"/>
  <c r="S498"/>
  <c r="R498"/>
  <c r="Q498"/>
  <c r="P498"/>
  <c r="O498"/>
  <c r="N498"/>
  <c r="M498"/>
  <c r="L498"/>
  <c r="K498"/>
  <c r="J498"/>
  <c r="I498"/>
  <c r="H498"/>
  <c r="G498"/>
  <c r="F498"/>
  <c r="E498"/>
  <c r="D498"/>
  <c r="AI497"/>
  <c r="AH497"/>
  <c r="AG497"/>
  <c r="AF497"/>
  <c r="AE497"/>
  <c r="AD497"/>
  <c r="AC497"/>
  <c r="AB497"/>
  <c r="AA497"/>
  <c r="Z497"/>
  <c r="Y497"/>
  <c r="X497"/>
  <c r="W497"/>
  <c r="V497"/>
  <c r="U497"/>
  <c r="T497"/>
  <c r="S497"/>
  <c r="R497"/>
  <c r="Q497"/>
  <c r="P497"/>
  <c r="O497"/>
  <c r="N497"/>
  <c r="M497"/>
  <c r="L497"/>
  <c r="K497"/>
  <c r="J497"/>
  <c r="I497"/>
  <c r="H497"/>
  <c r="G497"/>
  <c r="F497"/>
  <c r="E497"/>
  <c r="D497"/>
  <c r="AI496"/>
  <c r="AH496"/>
  <c r="AG496"/>
  <c r="AF496"/>
  <c r="AE496"/>
  <c r="AD496"/>
  <c r="AC496"/>
  <c r="AB496"/>
  <c r="AA496"/>
  <c r="Z496"/>
  <c r="Y496"/>
  <c r="X496"/>
  <c r="W496"/>
  <c r="V496"/>
  <c r="U496"/>
  <c r="T496"/>
  <c r="S496"/>
  <c r="R496"/>
  <c r="Q496"/>
  <c r="P496"/>
  <c r="O496"/>
  <c r="N496"/>
  <c r="M496"/>
  <c r="L496"/>
  <c r="K496"/>
  <c r="J496"/>
  <c r="I496"/>
  <c r="H496"/>
  <c r="G496"/>
  <c r="F496"/>
  <c r="E496"/>
  <c r="D496"/>
  <c r="AI495"/>
  <c r="AH495"/>
  <c r="AG495"/>
  <c r="AF495"/>
  <c r="AE495"/>
  <c r="AD495"/>
  <c r="AC495"/>
  <c r="AB495"/>
  <c r="AA495"/>
  <c r="Z495"/>
  <c r="Y495"/>
  <c r="X495"/>
  <c r="W495"/>
  <c r="V495"/>
  <c r="U495"/>
  <c r="T495"/>
  <c r="S495"/>
  <c r="R495"/>
  <c r="Q495"/>
  <c r="P495"/>
  <c r="O495"/>
  <c r="N495"/>
  <c r="M495"/>
  <c r="L495"/>
  <c r="K495"/>
  <c r="J495"/>
  <c r="I495"/>
  <c r="H495"/>
  <c r="G495"/>
  <c r="F495"/>
  <c r="E495"/>
  <c r="D495"/>
  <c r="AI494"/>
  <c r="AH494"/>
  <c r="AG494"/>
  <c r="AF494"/>
  <c r="AE494"/>
  <c r="AD494"/>
  <c r="AC494"/>
  <c r="AB494"/>
  <c r="AA494"/>
  <c r="Z494"/>
  <c r="Y494"/>
  <c r="X494"/>
  <c r="W494"/>
  <c r="V494"/>
  <c r="U494"/>
  <c r="T494"/>
  <c r="S494"/>
  <c r="R494"/>
  <c r="Q494"/>
  <c r="P494"/>
  <c r="O494"/>
  <c r="N494"/>
  <c r="M494"/>
  <c r="L494"/>
  <c r="K494"/>
  <c r="J494"/>
  <c r="I494"/>
  <c r="H494"/>
  <c r="G494"/>
  <c r="F494"/>
  <c r="E494"/>
  <c r="D494"/>
  <c r="AI493"/>
  <c r="AH493"/>
  <c r="AG493"/>
  <c r="AF493"/>
  <c r="AE493"/>
  <c r="AD493"/>
  <c r="AC493"/>
  <c r="AB493"/>
  <c r="AA493"/>
  <c r="Z493"/>
  <c r="Y493"/>
  <c r="X493"/>
  <c r="W493"/>
  <c r="V493"/>
  <c r="U493"/>
  <c r="T493"/>
  <c r="S493"/>
  <c r="R493"/>
  <c r="Q493"/>
  <c r="P493"/>
  <c r="O493"/>
  <c r="N493"/>
  <c r="M493"/>
  <c r="L493"/>
  <c r="K493"/>
  <c r="J493"/>
  <c r="I493"/>
  <c r="H493"/>
  <c r="G493"/>
  <c r="F493"/>
  <c r="E493"/>
  <c r="D493"/>
  <c r="AI492"/>
  <c r="AH492"/>
  <c r="AG492"/>
  <c r="AF492"/>
  <c r="AE492"/>
  <c r="AD492"/>
  <c r="AC492"/>
  <c r="AB492"/>
  <c r="AA492"/>
  <c r="Z492"/>
  <c r="Y492"/>
  <c r="X492"/>
  <c r="W492"/>
  <c r="V492"/>
  <c r="U492"/>
  <c r="T492"/>
  <c r="S492"/>
  <c r="R492"/>
  <c r="Q492"/>
  <c r="P492"/>
  <c r="O492"/>
  <c r="N492"/>
  <c r="M492"/>
  <c r="L492"/>
  <c r="K492"/>
  <c r="J492"/>
  <c r="I492"/>
  <c r="H492"/>
  <c r="G492"/>
  <c r="F492"/>
  <c r="E492"/>
  <c r="D492"/>
  <c r="AI491"/>
  <c r="AH491"/>
  <c r="AG491"/>
  <c r="AF491"/>
  <c r="AE491"/>
  <c r="AD491"/>
  <c r="AC491"/>
  <c r="AB491"/>
  <c r="AA491"/>
  <c r="Z491"/>
  <c r="Y491"/>
  <c r="X491"/>
  <c r="W491"/>
  <c r="V491"/>
  <c r="U491"/>
  <c r="T491"/>
  <c r="S491"/>
  <c r="R491"/>
  <c r="Q491"/>
  <c r="P491"/>
  <c r="O491"/>
  <c r="N491"/>
  <c r="M491"/>
  <c r="L491"/>
  <c r="K491"/>
  <c r="J491"/>
  <c r="I491"/>
  <c r="H491"/>
  <c r="G491"/>
  <c r="F491"/>
  <c r="E491"/>
  <c r="D491"/>
  <c r="AI490"/>
  <c r="AH490"/>
  <c r="AG490"/>
  <c r="AF490"/>
  <c r="AE490"/>
  <c r="AD490"/>
  <c r="AC490"/>
  <c r="AB490"/>
  <c r="AA490"/>
  <c r="Z490"/>
  <c r="Y490"/>
  <c r="X490"/>
  <c r="W490"/>
  <c r="V490"/>
  <c r="U490"/>
  <c r="T490"/>
  <c r="S490"/>
  <c r="R490"/>
  <c r="Q490"/>
  <c r="P490"/>
  <c r="O490"/>
  <c r="N490"/>
  <c r="M490"/>
  <c r="L490"/>
  <c r="K490"/>
  <c r="J490"/>
  <c r="I490"/>
  <c r="H490"/>
  <c r="G490"/>
  <c r="F490"/>
  <c r="E490"/>
  <c r="D490"/>
  <c r="AI489"/>
  <c r="AH489"/>
  <c r="AG489"/>
  <c r="AF489"/>
  <c r="AE489"/>
  <c r="AD489"/>
  <c r="AC489"/>
  <c r="AB489"/>
  <c r="AA489"/>
  <c r="Z489"/>
  <c r="Y489"/>
  <c r="X489"/>
  <c r="W489"/>
  <c r="V489"/>
  <c r="U489"/>
  <c r="T489"/>
  <c r="S489"/>
  <c r="R489"/>
  <c r="Q489"/>
  <c r="P489"/>
  <c r="O489"/>
  <c r="N489"/>
  <c r="M489"/>
  <c r="L489"/>
  <c r="K489"/>
  <c r="J489"/>
  <c r="I489"/>
  <c r="H489"/>
  <c r="G489"/>
  <c r="F489"/>
  <c r="E489"/>
  <c r="D489"/>
  <c r="AI488"/>
  <c r="AH488"/>
  <c r="AG488"/>
  <c r="AF488"/>
  <c r="AE488"/>
  <c r="AD488"/>
  <c r="AC488"/>
  <c r="AB488"/>
  <c r="AA488"/>
  <c r="Z488"/>
  <c r="Y488"/>
  <c r="X488"/>
  <c r="W488"/>
  <c r="V488"/>
  <c r="U488"/>
  <c r="T488"/>
  <c r="S488"/>
  <c r="R488"/>
  <c r="Q488"/>
  <c r="P488"/>
  <c r="O488"/>
  <c r="N488"/>
  <c r="M488"/>
  <c r="L488"/>
  <c r="K488"/>
  <c r="J488"/>
  <c r="I488"/>
  <c r="H488"/>
  <c r="G488"/>
  <c r="F488"/>
  <c r="E488"/>
  <c r="D488"/>
  <c r="AI487"/>
  <c r="AH487"/>
  <c r="AG487"/>
  <c r="AF487"/>
  <c r="AE487"/>
  <c r="AD487"/>
  <c r="AC487"/>
  <c r="AB487"/>
  <c r="AA487"/>
  <c r="Z487"/>
  <c r="Y487"/>
  <c r="X487"/>
  <c r="W487"/>
  <c r="V487"/>
  <c r="U487"/>
  <c r="T487"/>
  <c r="S487"/>
  <c r="R487"/>
  <c r="Q487"/>
  <c r="P487"/>
  <c r="O487"/>
  <c r="N487"/>
  <c r="M487"/>
  <c r="L487"/>
  <c r="K487"/>
  <c r="J487"/>
  <c r="I487"/>
  <c r="H487"/>
  <c r="G487"/>
  <c r="F487"/>
  <c r="E487"/>
  <c r="D487"/>
  <c r="AI486"/>
  <c r="AH486"/>
  <c r="AG486"/>
  <c r="AF486"/>
  <c r="AE486"/>
  <c r="AD486"/>
  <c r="AC486"/>
  <c r="AB486"/>
  <c r="AA486"/>
  <c r="Z486"/>
  <c r="Y486"/>
  <c r="X486"/>
  <c r="W486"/>
  <c r="V486"/>
  <c r="U486"/>
  <c r="T486"/>
  <c r="S486"/>
  <c r="R486"/>
  <c r="Q486"/>
  <c r="P486"/>
  <c r="O486"/>
  <c r="N486"/>
  <c r="M486"/>
  <c r="L486"/>
  <c r="K486"/>
  <c r="J486"/>
  <c r="I486"/>
  <c r="H486"/>
  <c r="G486"/>
  <c r="F486"/>
  <c r="E486"/>
  <c r="D486"/>
  <c r="AI485"/>
  <c r="AH485"/>
  <c r="AG485"/>
  <c r="AF485"/>
  <c r="AE485"/>
  <c r="AD485"/>
  <c r="AC485"/>
  <c r="AB485"/>
  <c r="AA485"/>
  <c r="Z485"/>
  <c r="Y485"/>
  <c r="X485"/>
  <c r="W485"/>
  <c r="V485"/>
  <c r="U485"/>
  <c r="T485"/>
  <c r="S485"/>
  <c r="R485"/>
  <c r="Q485"/>
  <c r="P485"/>
  <c r="O485"/>
  <c r="N485"/>
  <c r="M485"/>
  <c r="L485"/>
  <c r="K485"/>
  <c r="J485"/>
  <c r="I485"/>
  <c r="H485"/>
  <c r="G485"/>
  <c r="F485"/>
  <c r="E485"/>
  <c r="D485"/>
  <c r="AI484"/>
  <c r="AH484"/>
  <c r="AG484"/>
  <c r="AF484"/>
  <c r="AE484"/>
  <c r="AD484"/>
  <c r="AC484"/>
  <c r="AB484"/>
  <c r="AA484"/>
  <c r="Z484"/>
  <c r="Y484"/>
  <c r="X484"/>
  <c r="W484"/>
  <c r="V484"/>
  <c r="U484"/>
  <c r="T484"/>
  <c r="S484"/>
  <c r="R484"/>
  <c r="Q484"/>
  <c r="P484"/>
  <c r="O484"/>
  <c r="N484"/>
  <c r="M484"/>
  <c r="L484"/>
  <c r="K484"/>
  <c r="J484"/>
  <c r="I484"/>
  <c r="H484"/>
  <c r="G484"/>
  <c r="F484"/>
  <c r="E484"/>
  <c r="D484"/>
  <c r="AI483"/>
  <c r="AH483"/>
  <c r="AG483"/>
  <c r="AF483"/>
  <c r="AE483"/>
  <c r="AD483"/>
  <c r="AC483"/>
  <c r="AB483"/>
  <c r="AA483"/>
  <c r="Z483"/>
  <c r="Y483"/>
  <c r="X483"/>
  <c r="W483"/>
  <c r="V483"/>
  <c r="U483"/>
  <c r="T483"/>
  <c r="S483"/>
  <c r="R483"/>
  <c r="Q483"/>
  <c r="P483"/>
  <c r="O483"/>
  <c r="N483"/>
  <c r="M483"/>
  <c r="L483"/>
  <c r="K483"/>
  <c r="J483"/>
  <c r="I483"/>
  <c r="H483"/>
  <c r="G483"/>
  <c r="F483"/>
  <c r="E483"/>
  <c r="D483"/>
  <c r="AI482"/>
  <c r="AH482"/>
  <c r="AG482"/>
  <c r="AF482"/>
  <c r="AE482"/>
  <c r="AD482"/>
  <c r="AC482"/>
  <c r="AB482"/>
  <c r="AA482"/>
  <c r="Z482"/>
  <c r="Y482"/>
  <c r="X482"/>
  <c r="W482"/>
  <c r="V482"/>
  <c r="U482"/>
  <c r="T482"/>
  <c r="S482"/>
  <c r="R482"/>
  <c r="Q482"/>
  <c r="P482"/>
  <c r="O482"/>
  <c r="N482"/>
  <c r="M482"/>
  <c r="L482"/>
  <c r="K482"/>
  <c r="J482"/>
  <c r="I482"/>
  <c r="H482"/>
  <c r="G482"/>
  <c r="F482"/>
  <c r="E482"/>
  <c r="D482"/>
  <c r="AI481"/>
  <c r="AH481"/>
  <c r="AG481"/>
  <c r="AF481"/>
  <c r="AE481"/>
  <c r="AD481"/>
  <c r="AC481"/>
  <c r="AB481"/>
  <c r="AA481"/>
  <c r="Z481"/>
  <c r="Y481"/>
  <c r="X481"/>
  <c r="W481"/>
  <c r="V481"/>
  <c r="U481"/>
  <c r="T481"/>
  <c r="S481"/>
  <c r="R481"/>
  <c r="Q481"/>
  <c r="P481"/>
  <c r="O481"/>
  <c r="N481"/>
  <c r="M481"/>
  <c r="L481"/>
  <c r="K481"/>
  <c r="J481"/>
  <c r="I481"/>
  <c r="H481"/>
  <c r="G481"/>
  <c r="F481"/>
  <c r="E481"/>
  <c r="D481"/>
  <c r="AI480"/>
  <c r="AH480"/>
  <c r="AG480"/>
  <c r="AF480"/>
  <c r="AE480"/>
  <c r="AD480"/>
  <c r="AC480"/>
  <c r="AB480"/>
  <c r="AA480"/>
  <c r="Z480"/>
  <c r="Y480"/>
  <c r="X480"/>
  <c r="W480"/>
  <c r="V480"/>
  <c r="U480"/>
  <c r="T480"/>
  <c r="S480"/>
  <c r="R480"/>
  <c r="Q480"/>
  <c r="P480"/>
  <c r="O480"/>
  <c r="N480"/>
  <c r="M480"/>
  <c r="L480"/>
  <c r="K480"/>
  <c r="J480"/>
  <c r="I480"/>
  <c r="H480"/>
  <c r="G480"/>
  <c r="F480"/>
  <c r="E480"/>
  <c r="D480"/>
  <c r="AI479"/>
  <c r="AH479"/>
  <c r="AG479"/>
  <c r="AF479"/>
  <c r="AE479"/>
  <c r="AD479"/>
  <c r="AC479"/>
  <c r="AB479"/>
  <c r="AA479"/>
  <c r="Z479"/>
  <c r="Y479"/>
  <c r="X479"/>
  <c r="W479"/>
  <c r="V479"/>
  <c r="U479"/>
  <c r="T479"/>
  <c r="S479"/>
  <c r="R479"/>
  <c r="Q479"/>
  <c r="P479"/>
  <c r="O479"/>
  <c r="N479"/>
  <c r="M479"/>
  <c r="L479"/>
  <c r="K479"/>
  <c r="J479"/>
  <c r="I479"/>
  <c r="H479"/>
  <c r="G479"/>
  <c r="F479"/>
  <c r="E479"/>
  <c r="D479"/>
  <c r="AI478"/>
  <c r="AH478"/>
  <c r="AG478"/>
  <c r="AF478"/>
  <c r="AE478"/>
  <c r="AD478"/>
  <c r="AC478"/>
  <c r="AB478"/>
  <c r="AA478"/>
  <c r="Z478"/>
  <c r="Y478"/>
  <c r="X478"/>
  <c r="W478"/>
  <c r="V478"/>
  <c r="U478"/>
  <c r="T478"/>
  <c r="S478"/>
  <c r="R478"/>
  <c r="Q478"/>
  <c r="P478"/>
  <c r="O478"/>
  <c r="N478"/>
  <c r="M478"/>
  <c r="L478"/>
  <c r="K478"/>
  <c r="J478"/>
  <c r="I478"/>
  <c r="H478"/>
  <c r="G478"/>
  <c r="F478"/>
  <c r="E478"/>
  <c r="D478"/>
  <c r="AI477"/>
  <c r="AH477"/>
  <c r="AG477"/>
  <c r="AF477"/>
  <c r="AE477"/>
  <c r="AD477"/>
  <c r="AC477"/>
  <c r="AB477"/>
  <c r="AA477"/>
  <c r="Z477"/>
  <c r="Y477"/>
  <c r="X477"/>
  <c r="W477"/>
  <c r="V477"/>
  <c r="U477"/>
  <c r="T477"/>
  <c r="S477"/>
  <c r="R477"/>
  <c r="Q477"/>
  <c r="P477"/>
  <c r="O477"/>
  <c r="N477"/>
  <c r="M477"/>
  <c r="L477"/>
  <c r="K477"/>
  <c r="J477"/>
  <c r="I477"/>
  <c r="H477"/>
  <c r="G477"/>
  <c r="F477"/>
  <c r="E477"/>
  <c r="D477"/>
  <c r="AI476"/>
  <c r="AH476"/>
  <c r="AG476"/>
  <c r="AF476"/>
  <c r="AE476"/>
  <c r="AD476"/>
  <c r="AC476"/>
  <c r="AB476"/>
  <c r="AA476"/>
  <c r="Z476"/>
  <c r="Y476"/>
  <c r="X476"/>
  <c r="W476"/>
  <c r="V476"/>
  <c r="U476"/>
  <c r="T476"/>
  <c r="S476"/>
  <c r="R476"/>
  <c r="Q476"/>
  <c r="P476"/>
  <c r="O476"/>
  <c r="N476"/>
  <c r="M476"/>
  <c r="L476"/>
  <c r="K476"/>
  <c r="J476"/>
  <c r="I476"/>
  <c r="H476"/>
  <c r="G476"/>
  <c r="F476"/>
  <c r="E476"/>
  <c r="D476"/>
  <c r="AI475"/>
  <c r="AH475"/>
  <c r="AG475"/>
  <c r="AF475"/>
  <c r="AE475"/>
  <c r="AD475"/>
  <c r="AC475"/>
  <c r="AB475"/>
  <c r="AA475"/>
  <c r="Z475"/>
  <c r="Y475"/>
  <c r="X475"/>
  <c r="W475"/>
  <c r="V475"/>
  <c r="U475"/>
  <c r="T475"/>
  <c r="S475"/>
  <c r="R475"/>
  <c r="Q475"/>
  <c r="P475"/>
  <c r="O475"/>
  <c r="N475"/>
  <c r="M475"/>
  <c r="L475"/>
  <c r="K475"/>
  <c r="J475"/>
  <c r="I475"/>
  <c r="H475"/>
  <c r="G475"/>
  <c r="F475"/>
  <c r="E475"/>
  <c r="D475"/>
  <c r="AI474"/>
  <c r="AH474"/>
  <c r="AG474"/>
  <c r="AF474"/>
  <c r="AE474"/>
  <c r="AD474"/>
  <c r="AC474"/>
  <c r="AB474"/>
  <c r="AA474"/>
  <c r="Z474"/>
  <c r="Y474"/>
  <c r="X474"/>
  <c r="W474"/>
  <c r="V474"/>
  <c r="U474"/>
  <c r="T474"/>
  <c r="S474"/>
  <c r="R474"/>
  <c r="Q474"/>
  <c r="P474"/>
  <c r="O474"/>
  <c r="N474"/>
  <c r="M474"/>
  <c r="L474"/>
  <c r="K474"/>
  <c r="J474"/>
  <c r="I474"/>
  <c r="H474"/>
  <c r="G474"/>
  <c r="F474"/>
  <c r="E474"/>
  <c r="D474"/>
  <c r="AI473"/>
  <c r="AH473"/>
  <c r="AG473"/>
  <c r="AF473"/>
  <c r="AE473"/>
  <c r="AD473"/>
  <c r="AC473"/>
  <c r="AB473"/>
  <c r="AA473"/>
  <c r="Z473"/>
  <c r="Y473"/>
  <c r="X473"/>
  <c r="W473"/>
  <c r="V473"/>
  <c r="U473"/>
  <c r="T473"/>
  <c r="S473"/>
  <c r="R473"/>
  <c r="Q473"/>
  <c r="P473"/>
  <c r="O473"/>
  <c r="N473"/>
  <c r="M473"/>
  <c r="L473"/>
  <c r="K473"/>
  <c r="J473"/>
  <c r="I473"/>
  <c r="H473"/>
  <c r="G473"/>
  <c r="F473"/>
  <c r="E473"/>
  <c r="D473"/>
  <c r="AI472"/>
  <c r="AH472"/>
  <c r="AG472"/>
  <c r="AF472"/>
  <c r="AE472"/>
  <c r="AD472"/>
  <c r="AC472"/>
  <c r="AB472"/>
  <c r="AA472"/>
  <c r="Z472"/>
  <c r="Y472"/>
  <c r="X472"/>
  <c r="W472"/>
  <c r="V472"/>
  <c r="U472"/>
  <c r="T472"/>
  <c r="S472"/>
  <c r="R472"/>
  <c r="Q472"/>
  <c r="P472"/>
  <c r="O472"/>
  <c r="N472"/>
  <c r="M472"/>
  <c r="L472"/>
  <c r="K472"/>
  <c r="J472"/>
  <c r="I472"/>
  <c r="H472"/>
  <c r="G472"/>
  <c r="F472"/>
  <c r="E472"/>
  <c r="D472"/>
  <c r="AI471"/>
  <c r="AH471"/>
  <c r="AG471"/>
  <c r="AF471"/>
  <c r="AE471"/>
  <c r="AD471"/>
  <c r="AC471"/>
  <c r="AB471"/>
  <c r="AA471"/>
  <c r="Z471"/>
  <c r="Y471"/>
  <c r="X471"/>
  <c r="W471"/>
  <c r="V471"/>
  <c r="U471"/>
  <c r="T471"/>
  <c r="S471"/>
  <c r="R471"/>
  <c r="Q471"/>
  <c r="P471"/>
  <c r="O471"/>
  <c r="N471"/>
  <c r="M471"/>
  <c r="L471"/>
  <c r="K471"/>
  <c r="J471"/>
  <c r="I471"/>
  <c r="H471"/>
  <c r="G471"/>
  <c r="F471"/>
  <c r="E471"/>
  <c r="D471"/>
  <c r="AI470"/>
  <c r="AH470"/>
  <c r="AG470"/>
  <c r="AF470"/>
  <c r="AE470"/>
  <c r="AD470"/>
  <c r="AC470"/>
  <c r="AB470"/>
  <c r="AA470"/>
  <c r="Z470"/>
  <c r="Y470"/>
  <c r="X470"/>
  <c r="W470"/>
  <c r="V470"/>
  <c r="U470"/>
  <c r="T470"/>
  <c r="S470"/>
  <c r="R470"/>
  <c r="Q470"/>
  <c r="P470"/>
  <c r="O470"/>
  <c r="N470"/>
  <c r="M470"/>
  <c r="L470"/>
  <c r="K470"/>
  <c r="J470"/>
  <c r="I470"/>
  <c r="H470"/>
  <c r="G470"/>
  <c r="F470"/>
  <c r="E470"/>
  <c r="D470"/>
  <c r="AI469"/>
  <c r="AH469"/>
  <c r="AG469"/>
  <c r="AF469"/>
  <c r="AE469"/>
  <c r="AD469"/>
  <c r="AC469"/>
  <c r="AB469"/>
  <c r="AA469"/>
  <c r="Z469"/>
  <c r="Y469"/>
  <c r="X469"/>
  <c r="W469"/>
  <c r="V469"/>
  <c r="U469"/>
  <c r="T469"/>
  <c r="S469"/>
  <c r="R469"/>
  <c r="Q469"/>
  <c r="P469"/>
  <c r="O469"/>
  <c r="N469"/>
  <c r="M469"/>
  <c r="L469"/>
  <c r="K469"/>
  <c r="J469"/>
  <c r="I469"/>
  <c r="H469"/>
  <c r="G469"/>
  <c r="F469"/>
  <c r="E469"/>
  <c r="D469"/>
  <c r="AI468"/>
  <c r="AH468"/>
  <c r="AG468"/>
  <c r="AF468"/>
  <c r="AE468"/>
  <c r="AD468"/>
  <c r="AC468"/>
  <c r="AB468"/>
  <c r="AA468"/>
  <c r="Z468"/>
  <c r="Y468"/>
  <c r="X468"/>
  <c r="W468"/>
  <c r="V468"/>
  <c r="U468"/>
  <c r="T468"/>
  <c r="S468"/>
  <c r="R468"/>
  <c r="Q468"/>
  <c r="P468"/>
  <c r="O468"/>
  <c r="N468"/>
  <c r="M468"/>
  <c r="L468"/>
  <c r="K468"/>
  <c r="J468"/>
  <c r="I468"/>
  <c r="H468"/>
  <c r="G468"/>
  <c r="F468"/>
  <c r="E468"/>
  <c r="D468"/>
  <c r="AI467"/>
  <c r="AH467"/>
  <c r="AG467"/>
  <c r="AF467"/>
  <c r="AE467"/>
  <c r="AD467"/>
  <c r="AC467"/>
  <c r="AB467"/>
  <c r="AA467"/>
  <c r="Z467"/>
  <c r="Y467"/>
  <c r="X467"/>
  <c r="W467"/>
  <c r="V467"/>
  <c r="U467"/>
  <c r="T467"/>
  <c r="S467"/>
  <c r="R467"/>
  <c r="Q467"/>
  <c r="P467"/>
  <c r="O467"/>
  <c r="N467"/>
  <c r="M467"/>
  <c r="L467"/>
  <c r="K467"/>
  <c r="J467"/>
  <c r="I467"/>
  <c r="H467"/>
  <c r="G467"/>
  <c r="F467"/>
  <c r="E467"/>
  <c r="D467"/>
  <c r="AI466"/>
  <c r="AH466"/>
  <c r="AG466"/>
  <c r="AF466"/>
  <c r="AE466"/>
  <c r="AD466"/>
  <c r="AC466"/>
  <c r="AB466"/>
  <c r="AA466"/>
  <c r="Z466"/>
  <c r="Y466"/>
  <c r="X466"/>
  <c r="W466"/>
  <c r="V466"/>
  <c r="U466"/>
  <c r="T466"/>
  <c r="S466"/>
  <c r="R466"/>
  <c r="Q466"/>
  <c r="P466"/>
  <c r="O466"/>
  <c r="N466"/>
  <c r="M466"/>
  <c r="L466"/>
  <c r="K466"/>
  <c r="J466"/>
  <c r="I466"/>
  <c r="H466"/>
  <c r="G466"/>
  <c r="F466"/>
  <c r="E466"/>
  <c r="D466"/>
  <c r="AI465"/>
  <c r="AH465"/>
  <c r="AG465"/>
  <c r="AF465"/>
  <c r="AE465"/>
  <c r="AD465"/>
  <c r="AC465"/>
  <c r="AB465"/>
  <c r="AA465"/>
  <c r="Z465"/>
  <c r="Y465"/>
  <c r="X465"/>
  <c r="W465"/>
  <c r="V465"/>
  <c r="U465"/>
  <c r="T465"/>
  <c r="S465"/>
  <c r="R465"/>
  <c r="Q465"/>
  <c r="P465"/>
  <c r="O465"/>
  <c r="N465"/>
  <c r="M465"/>
  <c r="L465"/>
  <c r="K465"/>
  <c r="J465"/>
  <c r="I465"/>
  <c r="H465"/>
  <c r="G465"/>
  <c r="F465"/>
  <c r="E465"/>
  <c r="D465"/>
  <c r="AI464"/>
  <c r="AH464"/>
  <c r="AG464"/>
  <c r="AF464"/>
  <c r="AE464"/>
  <c r="AD464"/>
  <c r="AC464"/>
  <c r="AB464"/>
  <c r="AA464"/>
  <c r="Z464"/>
  <c r="Y464"/>
  <c r="X464"/>
  <c r="W464"/>
  <c r="V464"/>
  <c r="U464"/>
  <c r="T464"/>
  <c r="S464"/>
  <c r="R464"/>
  <c r="Q464"/>
  <c r="P464"/>
  <c r="O464"/>
  <c r="N464"/>
  <c r="M464"/>
  <c r="L464"/>
  <c r="K464"/>
  <c r="J464"/>
  <c r="I464"/>
  <c r="H464"/>
  <c r="G464"/>
  <c r="F464"/>
  <c r="E464"/>
  <c r="D464"/>
  <c r="AI463"/>
  <c r="AH463"/>
  <c r="AG463"/>
  <c r="AF463"/>
  <c r="AE463"/>
  <c r="AD463"/>
  <c r="AC463"/>
  <c r="AB463"/>
  <c r="AA463"/>
  <c r="Z463"/>
  <c r="Y463"/>
  <c r="X463"/>
  <c r="W463"/>
  <c r="V463"/>
  <c r="U463"/>
  <c r="T463"/>
  <c r="S463"/>
  <c r="R463"/>
  <c r="Q463"/>
  <c r="P463"/>
  <c r="O463"/>
  <c r="N463"/>
  <c r="M463"/>
  <c r="L463"/>
  <c r="K463"/>
  <c r="J463"/>
  <c r="I463"/>
  <c r="H463"/>
  <c r="G463"/>
  <c r="F463"/>
  <c r="E463"/>
  <c r="D463"/>
  <c r="AI462"/>
  <c r="AH462"/>
  <c r="AG462"/>
  <c r="AF462"/>
  <c r="AE462"/>
  <c r="AD462"/>
  <c r="AC462"/>
  <c r="AB462"/>
  <c r="AA462"/>
  <c r="Z462"/>
  <c r="Y462"/>
  <c r="X462"/>
  <c r="W462"/>
  <c r="V462"/>
  <c r="U462"/>
  <c r="T462"/>
  <c r="S462"/>
  <c r="R462"/>
  <c r="Q462"/>
  <c r="P462"/>
  <c r="O462"/>
  <c r="N462"/>
  <c r="M462"/>
  <c r="L462"/>
  <c r="K462"/>
  <c r="J462"/>
  <c r="I462"/>
  <c r="H462"/>
  <c r="G462"/>
  <c r="F462"/>
  <c r="E462"/>
  <c r="D462"/>
  <c r="AI461"/>
  <c r="AH461"/>
  <c r="AG461"/>
  <c r="AF461"/>
  <c r="AE461"/>
  <c r="AD461"/>
  <c r="AC461"/>
  <c r="AB461"/>
  <c r="AA461"/>
  <c r="Z461"/>
  <c r="Y461"/>
  <c r="X461"/>
  <c r="W461"/>
  <c r="V461"/>
  <c r="U461"/>
  <c r="T461"/>
  <c r="S461"/>
  <c r="R461"/>
  <c r="Q461"/>
  <c r="P461"/>
  <c r="O461"/>
  <c r="N461"/>
  <c r="M461"/>
  <c r="L461"/>
  <c r="K461"/>
  <c r="J461"/>
  <c r="I461"/>
  <c r="H461"/>
  <c r="G461"/>
  <c r="F461"/>
  <c r="E461"/>
  <c r="D461"/>
  <c r="AI460"/>
  <c r="AH460"/>
  <c r="AG460"/>
  <c r="AF460"/>
  <c r="AE460"/>
  <c r="AD460"/>
  <c r="AC460"/>
  <c r="AB460"/>
  <c r="AA460"/>
  <c r="Z460"/>
  <c r="Y460"/>
  <c r="X460"/>
  <c r="W460"/>
  <c r="V460"/>
  <c r="U460"/>
  <c r="T460"/>
  <c r="S460"/>
  <c r="R460"/>
  <c r="Q460"/>
  <c r="P460"/>
  <c r="O460"/>
  <c r="N460"/>
  <c r="M460"/>
  <c r="L460"/>
  <c r="K460"/>
  <c r="J460"/>
  <c r="I460"/>
  <c r="H460"/>
  <c r="G460"/>
  <c r="F460"/>
  <c r="E460"/>
  <c r="D460"/>
  <c r="AI459"/>
  <c r="AH459"/>
  <c r="AG459"/>
  <c r="AF459"/>
  <c r="AE459"/>
  <c r="AD459"/>
  <c r="AC459"/>
  <c r="AB459"/>
  <c r="AA459"/>
  <c r="Z459"/>
  <c r="Y459"/>
  <c r="X459"/>
  <c r="W459"/>
  <c r="V459"/>
  <c r="U459"/>
  <c r="T459"/>
  <c r="S459"/>
  <c r="R459"/>
  <c r="Q459"/>
  <c r="P459"/>
  <c r="O459"/>
  <c r="N459"/>
  <c r="M459"/>
  <c r="L459"/>
  <c r="K459"/>
  <c r="J459"/>
  <c r="I459"/>
  <c r="H459"/>
  <c r="G459"/>
  <c r="F459"/>
  <c r="E459"/>
  <c r="D459"/>
  <c r="AI458"/>
  <c r="AH458"/>
  <c r="AG458"/>
  <c r="AF458"/>
  <c r="AE458"/>
  <c r="AD458"/>
  <c r="AC458"/>
  <c r="AB458"/>
  <c r="AA458"/>
  <c r="Z458"/>
  <c r="Y458"/>
  <c r="X458"/>
  <c r="W458"/>
  <c r="V458"/>
  <c r="U458"/>
  <c r="T458"/>
  <c r="S458"/>
  <c r="R458"/>
  <c r="Q458"/>
  <c r="P458"/>
  <c r="O458"/>
  <c r="N458"/>
  <c r="M458"/>
  <c r="L458"/>
  <c r="K458"/>
  <c r="J458"/>
  <c r="I458"/>
  <c r="H458"/>
  <c r="G458"/>
  <c r="F458"/>
  <c r="E458"/>
  <c r="D458"/>
  <c r="AI457"/>
  <c r="AH457"/>
  <c r="AG457"/>
  <c r="AF457"/>
  <c r="AE457"/>
  <c r="AD457"/>
  <c r="AC457"/>
  <c r="AB457"/>
  <c r="AA457"/>
  <c r="Z457"/>
  <c r="Y457"/>
  <c r="X457"/>
  <c r="W457"/>
  <c r="V457"/>
  <c r="U457"/>
  <c r="T457"/>
  <c r="S457"/>
  <c r="R457"/>
  <c r="Q457"/>
  <c r="P457"/>
  <c r="O457"/>
  <c r="N457"/>
  <c r="M457"/>
  <c r="L457"/>
  <c r="K457"/>
  <c r="J457"/>
  <c r="I457"/>
  <c r="H457"/>
  <c r="G457"/>
  <c r="F457"/>
  <c r="E457"/>
  <c r="D457"/>
  <c r="AI456"/>
  <c r="AH456"/>
  <c r="AG456"/>
  <c r="AF456"/>
  <c r="AE456"/>
  <c r="AD456"/>
  <c r="AC456"/>
  <c r="AB456"/>
  <c r="AA456"/>
  <c r="Z456"/>
  <c r="Y456"/>
  <c r="X456"/>
  <c r="W456"/>
  <c r="V456"/>
  <c r="U456"/>
  <c r="T456"/>
  <c r="S456"/>
  <c r="R456"/>
  <c r="Q456"/>
  <c r="P456"/>
  <c r="O456"/>
  <c r="N456"/>
  <c r="M456"/>
  <c r="L456"/>
  <c r="K456"/>
  <c r="J456"/>
  <c r="I456"/>
  <c r="H456"/>
  <c r="G456"/>
  <c r="F456"/>
  <c r="E456"/>
  <c r="D456"/>
  <c r="AI455"/>
  <c r="AH455"/>
  <c r="AG455"/>
  <c r="AF455"/>
  <c r="AE455"/>
  <c r="AD455"/>
  <c r="AC455"/>
  <c r="AB455"/>
  <c r="AA455"/>
  <c r="Z455"/>
  <c r="Y455"/>
  <c r="X455"/>
  <c r="W455"/>
  <c r="V455"/>
  <c r="U455"/>
  <c r="T455"/>
  <c r="S455"/>
  <c r="R455"/>
  <c r="Q455"/>
  <c r="P455"/>
  <c r="O455"/>
  <c r="N455"/>
  <c r="M455"/>
  <c r="L455"/>
  <c r="K455"/>
  <c r="J455"/>
  <c r="I455"/>
  <c r="H455"/>
  <c r="G455"/>
  <c r="F455"/>
  <c r="E455"/>
  <c r="D455"/>
  <c r="AI454"/>
  <c r="AH454"/>
  <c r="AG454"/>
  <c r="AF454"/>
  <c r="AE454"/>
  <c r="AD454"/>
  <c r="AC454"/>
  <c r="AB454"/>
  <c r="AA454"/>
  <c r="Z454"/>
  <c r="Y454"/>
  <c r="X454"/>
  <c r="W454"/>
  <c r="V454"/>
  <c r="U454"/>
  <c r="T454"/>
  <c r="S454"/>
  <c r="R454"/>
  <c r="Q454"/>
  <c r="P454"/>
  <c r="O454"/>
  <c r="N454"/>
  <c r="M454"/>
  <c r="L454"/>
  <c r="K454"/>
  <c r="J454"/>
  <c r="I454"/>
  <c r="H454"/>
  <c r="G454"/>
  <c r="F454"/>
  <c r="E454"/>
  <c r="D454"/>
  <c r="AI453"/>
  <c r="AH453"/>
  <c r="AG453"/>
  <c r="AF453"/>
  <c r="AE453"/>
  <c r="AD453"/>
  <c r="AC453"/>
  <c r="AB453"/>
  <c r="AA453"/>
  <c r="Z453"/>
  <c r="Y453"/>
  <c r="X453"/>
  <c r="W453"/>
  <c r="V453"/>
  <c r="U453"/>
  <c r="T453"/>
  <c r="S453"/>
  <c r="R453"/>
  <c r="Q453"/>
  <c r="P453"/>
  <c r="O453"/>
  <c r="N453"/>
  <c r="M453"/>
  <c r="L453"/>
  <c r="K453"/>
  <c r="J453"/>
  <c r="I453"/>
  <c r="H453"/>
  <c r="G453"/>
  <c r="F453"/>
  <c r="E453"/>
  <c r="D453"/>
  <c r="AI452"/>
  <c r="AH452"/>
  <c r="AG452"/>
  <c r="AF452"/>
  <c r="AE452"/>
  <c r="AD452"/>
  <c r="AC452"/>
  <c r="AB452"/>
  <c r="AA452"/>
  <c r="Z452"/>
  <c r="Y452"/>
  <c r="X452"/>
  <c r="W452"/>
  <c r="V452"/>
  <c r="U452"/>
  <c r="T452"/>
  <c r="S452"/>
  <c r="R452"/>
  <c r="Q452"/>
  <c r="P452"/>
  <c r="O452"/>
  <c r="N452"/>
  <c r="M452"/>
  <c r="L452"/>
  <c r="K452"/>
  <c r="J452"/>
  <c r="I452"/>
  <c r="H452"/>
  <c r="G452"/>
  <c r="F452"/>
  <c r="E452"/>
  <c r="D452"/>
  <c r="AI451"/>
  <c r="AH451"/>
  <c r="AG451"/>
  <c r="AF451"/>
  <c r="AE451"/>
  <c r="AD451"/>
  <c r="AC451"/>
  <c r="AB451"/>
  <c r="AA451"/>
  <c r="Z451"/>
  <c r="Y451"/>
  <c r="X451"/>
  <c r="W451"/>
  <c r="V451"/>
  <c r="U451"/>
  <c r="T451"/>
  <c r="S451"/>
  <c r="R451"/>
  <c r="Q451"/>
  <c r="P451"/>
  <c r="O451"/>
  <c r="N451"/>
  <c r="M451"/>
  <c r="L451"/>
  <c r="K451"/>
  <c r="J451"/>
  <c r="I451"/>
  <c r="H451"/>
  <c r="G451"/>
  <c r="F451"/>
  <c r="E451"/>
  <c r="D451"/>
  <c r="AI450"/>
  <c r="AH450"/>
  <c r="AG450"/>
  <c r="AF450"/>
  <c r="AE450"/>
  <c r="AD450"/>
  <c r="AC450"/>
  <c r="AB450"/>
  <c r="AA450"/>
  <c r="Z450"/>
  <c r="Y450"/>
  <c r="X450"/>
  <c r="W450"/>
  <c r="V450"/>
  <c r="U450"/>
  <c r="T450"/>
  <c r="S450"/>
  <c r="R450"/>
  <c r="Q450"/>
  <c r="P450"/>
  <c r="O450"/>
  <c r="N450"/>
  <c r="M450"/>
  <c r="L450"/>
  <c r="K450"/>
  <c r="J450"/>
  <c r="I450"/>
  <c r="H450"/>
  <c r="G450"/>
  <c r="F450"/>
  <c r="E450"/>
  <c r="D450"/>
  <c r="AI449"/>
  <c r="AH449"/>
  <c r="AG449"/>
  <c r="AF449"/>
  <c r="AE449"/>
  <c r="AD449"/>
  <c r="AC449"/>
  <c r="AB449"/>
  <c r="AA449"/>
  <c r="Z449"/>
  <c r="Y449"/>
  <c r="X449"/>
  <c r="W449"/>
  <c r="V449"/>
  <c r="U449"/>
  <c r="T449"/>
  <c r="S449"/>
  <c r="R449"/>
  <c r="Q449"/>
  <c r="P449"/>
  <c r="O449"/>
  <c r="N449"/>
  <c r="M449"/>
  <c r="L449"/>
  <c r="K449"/>
  <c r="J449"/>
  <c r="I449"/>
  <c r="H449"/>
  <c r="G449"/>
  <c r="F449"/>
  <c r="E449"/>
  <c r="D449"/>
  <c r="AI448"/>
  <c r="AH448"/>
  <c r="AG448"/>
  <c r="AF448"/>
  <c r="AE448"/>
  <c r="AD448"/>
  <c r="AC448"/>
  <c r="AB448"/>
  <c r="AA448"/>
  <c r="Z448"/>
  <c r="Y448"/>
  <c r="X448"/>
  <c r="W448"/>
  <c r="V448"/>
  <c r="U448"/>
  <c r="T448"/>
  <c r="S448"/>
  <c r="R448"/>
  <c r="Q448"/>
  <c r="P448"/>
  <c r="O448"/>
  <c r="N448"/>
  <c r="M448"/>
  <c r="L448"/>
  <c r="K448"/>
  <c r="J448"/>
  <c r="I448"/>
  <c r="H448"/>
  <c r="G448"/>
  <c r="F448"/>
  <c r="E448"/>
  <c r="D448"/>
  <c r="AI447"/>
  <c r="AH447"/>
  <c r="AG447"/>
  <c r="AF447"/>
  <c r="AE447"/>
  <c r="AD447"/>
  <c r="AC447"/>
  <c r="AB447"/>
  <c r="AA447"/>
  <c r="Z447"/>
  <c r="Y447"/>
  <c r="X447"/>
  <c r="W447"/>
  <c r="V447"/>
  <c r="U447"/>
  <c r="T447"/>
  <c r="S447"/>
  <c r="R447"/>
  <c r="Q447"/>
  <c r="P447"/>
  <c r="O447"/>
  <c r="N447"/>
  <c r="M447"/>
  <c r="L447"/>
  <c r="K447"/>
  <c r="J447"/>
  <c r="I447"/>
  <c r="H447"/>
  <c r="G447"/>
  <c r="F447"/>
  <c r="E447"/>
  <c r="D447"/>
  <c r="AI446"/>
  <c r="AH446"/>
  <c r="AG446"/>
  <c r="AF446"/>
  <c r="AE446"/>
  <c r="AD446"/>
  <c r="AC446"/>
  <c r="AB446"/>
  <c r="AA446"/>
  <c r="Z446"/>
  <c r="Y446"/>
  <c r="X446"/>
  <c r="W446"/>
  <c r="V446"/>
  <c r="U446"/>
  <c r="T446"/>
  <c r="S446"/>
  <c r="R446"/>
  <c r="Q446"/>
  <c r="P446"/>
  <c r="O446"/>
  <c r="N446"/>
  <c r="M446"/>
  <c r="L446"/>
  <c r="K446"/>
  <c r="J446"/>
  <c r="I446"/>
  <c r="H446"/>
  <c r="G446"/>
  <c r="F446"/>
  <c r="E446"/>
  <c r="D446"/>
  <c r="AI445"/>
  <c r="AH445"/>
  <c r="AG445"/>
  <c r="AF445"/>
  <c r="AE445"/>
  <c r="AD445"/>
  <c r="AC445"/>
  <c r="AB445"/>
  <c r="AA445"/>
  <c r="Z445"/>
  <c r="Y445"/>
  <c r="X445"/>
  <c r="W445"/>
  <c r="V445"/>
  <c r="U445"/>
  <c r="T445"/>
  <c r="S445"/>
  <c r="R445"/>
  <c r="Q445"/>
  <c r="P445"/>
  <c r="O445"/>
  <c r="N445"/>
  <c r="M445"/>
  <c r="L445"/>
  <c r="K445"/>
  <c r="J445"/>
  <c r="I445"/>
  <c r="H445"/>
  <c r="G445"/>
  <c r="F445"/>
  <c r="E445"/>
  <c r="D445"/>
  <c r="AI444"/>
  <c r="AH444"/>
  <c r="AG444"/>
  <c r="AF444"/>
  <c r="AE444"/>
  <c r="AD444"/>
  <c r="AC444"/>
  <c r="AB444"/>
  <c r="AA444"/>
  <c r="Z444"/>
  <c r="Y444"/>
  <c r="X444"/>
  <c r="W444"/>
  <c r="V444"/>
  <c r="U444"/>
  <c r="T444"/>
  <c r="S444"/>
  <c r="R444"/>
  <c r="Q444"/>
  <c r="P444"/>
  <c r="O444"/>
  <c r="N444"/>
  <c r="M444"/>
  <c r="L444"/>
  <c r="K444"/>
  <c r="J444"/>
  <c r="I444"/>
  <c r="H444"/>
  <c r="G444"/>
  <c r="F444"/>
  <c r="E444"/>
  <c r="D444"/>
  <c r="AI443"/>
  <c r="AH443"/>
  <c r="AG443"/>
  <c r="AF443"/>
  <c r="AE443"/>
  <c r="AD443"/>
  <c r="AC443"/>
  <c r="AB443"/>
  <c r="AA443"/>
  <c r="Z443"/>
  <c r="Y443"/>
  <c r="X443"/>
  <c r="W443"/>
  <c r="V443"/>
  <c r="U443"/>
  <c r="T443"/>
  <c r="S443"/>
  <c r="R443"/>
  <c r="Q443"/>
  <c r="P443"/>
  <c r="O443"/>
  <c r="N443"/>
  <c r="M443"/>
  <c r="L443"/>
  <c r="K443"/>
  <c r="J443"/>
  <c r="I443"/>
  <c r="H443"/>
  <c r="G443"/>
  <c r="F443"/>
  <c r="E443"/>
  <c r="D443"/>
  <c r="AI442"/>
  <c r="AH442"/>
  <c r="AG442"/>
  <c r="AF442"/>
  <c r="AE442"/>
  <c r="AD442"/>
  <c r="AC442"/>
  <c r="AB442"/>
  <c r="AA442"/>
  <c r="Z442"/>
  <c r="Y442"/>
  <c r="X442"/>
  <c r="W442"/>
  <c r="V442"/>
  <c r="U442"/>
  <c r="T442"/>
  <c r="S442"/>
  <c r="R442"/>
  <c r="Q442"/>
  <c r="P442"/>
  <c r="O442"/>
  <c r="N442"/>
  <c r="M442"/>
  <c r="L442"/>
  <c r="K442"/>
  <c r="J442"/>
  <c r="I442"/>
  <c r="H442"/>
  <c r="G442"/>
  <c r="F442"/>
  <c r="E442"/>
  <c r="D442"/>
  <c r="AI441"/>
  <c r="AH441"/>
  <c r="AG441"/>
  <c r="AF441"/>
  <c r="AE441"/>
  <c r="AD441"/>
  <c r="AC441"/>
  <c r="AB441"/>
  <c r="AA441"/>
  <c r="Z441"/>
  <c r="Y441"/>
  <c r="X441"/>
  <c r="W441"/>
  <c r="V441"/>
  <c r="U441"/>
  <c r="T441"/>
  <c r="S441"/>
  <c r="R441"/>
  <c r="Q441"/>
  <c r="P441"/>
  <c r="O441"/>
  <c r="N441"/>
  <c r="M441"/>
  <c r="L441"/>
  <c r="K441"/>
  <c r="J441"/>
  <c r="I441"/>
  <c r="H441"/>
  <c r="G441"/>
  <c r="F441"/>
  <c r="E441"/>
  <c r="D441"/>
  <c r="AI440"/>
  <c r="AH440"/>
  <c r="AG440"/>
  <c r="AF440"/>
  <c r="AE440"/>
  <c r="AD440"/>
  <c r="AC440"/>
  <c r="AB440"/>
  <c r="AA440"/>
  <c r="Z440"/>
  <c r="Y440"/>
  <c r="X440"/>
  <c r="W440"/>
  <c r="V440"/>
  <c r="U440"/>
  <c r="T440"/>
  <c r="S440"/>
  <c r="R440"/>
  <c r="Q440"/>
  <c r="P440"/>
  <c r="O440"/>
  <c r="N440"/>
  <c r="M440"/>
  <c r="L440"/>
  <c r="K440"/>
  <c r="J440"/>
  <c r="I440"/>
  <c r="H440"/>
  <c r="G440"/>
  <c r="F440"/>
  <c r="E440"/>
  <c r="D440"/>
  <c r="AI439"/>
  <c r="AH439"/>
  <c r="AG439"/>
  <c r="AF439"/>
  <c r="AE439"/>
  <c r="AD439"/>
  <c r="AC439"/>
  <c r="AB439"/>
  <c r="AA439"/>
  <c r="Z439"/>
  <c r="Y439"/>
  <c r="X439"/>
  <c r="W439"/>
  <c r="V439"/>
  <c r="U439"/>
  <c r="T439"/>
  <c r="S439"/>
  <c r="R439"/>
  <c r="Q439"/>
  <c r="P439"/>
  <c r="O439"/>
  <c r="N439"/>
  <c r="M439"/>
  <c r="L439"/>
  <c r="K439"/>
  <c r="J439"/>
  <c r="I439"/>
  <c r="H439"/>
  <c r="G439"/>
  <c r="F439"/>
  <c r="E439"/>
  <c r="D439"/>
  <c r="AI438"/>
  <c r="AH438"/>
  <c r="AG438"/>
  <c r="AF438"/>
  <c r="AE438"/>
  <c r="AD438"/>
  <c r="AC438"/>
  <c r="AB438"/>
  <c r="AA438"/>
  <c r="Z438"/>
  <c r="Y438"/>
  <c r="X438"/>
  <c r="W438"/>
  <c r="V438"/>
  <c r="U438"/>
  <c r="T438"/>
  <c r="S438"/>
  <c r="R438"/>
  <c r="Q438"/>
  <c r="P438"/>
  <c r="O438"/>
  <c r="N438"/>
  <c r="M438"/>
  <c r="L438"/>
  <c r="K438"/>
  <c r="J438"/>
  <c r="I438"/>
  <c r="H438"/>
  <c r="G438"/>
  <c r="F438"/>
  <c r="E438"/>
  <c r="D438"/>
  <c r="AI437"/>
  <c r="AH437"/>
  <c r="AG437"/>
  <c r="AF437"/>
  <c r="AE437"/>
  <c r="AD437"/>
  <c r="AC437"/>
  <c r="AB437"/>
  <c r="AA437"/>
  <c r="Z437"/>
  <c r="Y437"/>
  <c r="X437"/>
  <c r="W437"/>
  <c r="V437"/>
  <c r="U437"/>
  <c r="T437"/>
  <c r="S437"/>
  <c r="R437"/>
  <c r="Q437"/>
  <c r="P437"/>
  <c r="O437"/>
  <c r="N437"/>
  <c r="M437"/>
  <c r="L437"/>
  <c r="K437"/>
  <c r="J437"/>
  <c r="I437"/>
  <c r="H437"/>
  <c r="G437"/>
  <c r="F437"/>
  <c r="E437"/>
  <c r="D437"/>
  <c r="AI436"/>
  <c r="O132" i="122" s="1"/>
  <c r="AH436" i="112"/>
  <c r="N132" i="122" s="1"/>
  <c r="AG436" i="112"/>
  <c r="M132" i="122" s="1"/>
  <c r="AF436" i="112"/>
  <c r="L132" i="122" s="1"/>
  <c r="AE436" i="112"/>
  <c r="K132" i="122" s="1"/>
  <c r="AD436" i="112"/>
  <c r="J132" i="122" s="1"/>
  <c r="AC436" i="112"/>
  <c r="I132" i="122" s="1"/>
  <c r="AB436" i="112"/>
  <c r="H132" i="122" s="1"/>
  <c r="AA436" i="112"/>
  <c r="G132" i="122" s="1"/>
  <c r="Z436" i="112"/>
  <c r="F132" i="122" s="1"/>
  <c r="Y436" i="112"/>
  <c r="E132" i="122" s="1"/>
  <c r="X436" i="112"/>
  <c r="D132" i="122" s="1"/>
  <c r="W436" i="112"/>
  <c r="V436"/>
  <c r="U436"/>
  <c r="T436"/>
  <c r="S436"/>
  <c r="R436"/>
  <c r="Q436"/>
  <c r="P436"/>
  <c r="O436"/>
  <c r="N436"/>
  <c r="M436"/>
  <c r="L436"/>
  <c r="K436"/>
  <c r="J436"/>
  <c r="I436"/>
  <c r="H436"/>
  <c r="G436"/>
  <c r="F436"/>
  <c r="E436"/>
  <c r="D436"/>
  <c r="AI435"/>
  <c r="AH435"/>
  <c r="AG435"/>
  <c r="AF435"/>
  <c r="AE435"/>
  <c r="AD435"/>
  <c r="AC435"/>
  <c r="AB435"/>
  <c r="AA435"/>
  <c r="Z435"/>
  <c r="Y435"/>
  <c r="X435"/>
  <c r="W435"/>
  <c r="V435"/>
  <c r="U435"/>
  <c r="T435"/>
  <c r="S435"/>
  <c r="R435"/>
  <c r="Q435"/>
  <c r="P435"/>
  <c r="O435"/>
  <c r="N435"/>
  <c r="M435"/>
  <c r="L435"/>
  <c r="K435"/>
  <c r="J435"/>
  <c r="I435"/>
  <c r="H435"/>
  <c r="G435"/>
  <c r="F435"/>
  <c r="E435"/>
  <c r="D435"/>
  <c r="AI434"/>
  <c r="AH434"/>
  <c r="AG434"/>
  <c r="AF434"/>
  <c r="AE434"/>
  <c r="AD434"/>
  <c r="AC434"/>
  <c r="AB434"/>
  <c r="AA434"/>
  <c r="Z434"/>
  <c r="Y434"/>
  <c r="X434"/>
  <c r="W434"/>
  <c r="V434"/>
  <c r="U434"/>
  <c r="T434"/>
  <c r="S434"/>
  <c r="R434"/>
  <c r="Q434"/>
  <c r="P434"/>
  <c r="O434"/>
  <c r="N434"/>
  <c r="M434"/>
  <c r="L434"/>
  <c r="K434"/>
  <c r="J434"/>
  <c r="I434"/>
  <c r="H434"/>
  <c r="G434"/>
  <c r="F434"/>
  <c r="E434"/>
  <c r="D434"/>
  <c r="AI433"/>
  <c r="AH433"/>
  <c r="AG433"/>
  <c r="AF433"/>
  <c r="AE433"/>
  <c r="AD433"/>
  <c r="AC433"/>
  <c r="AB433"/>
  <c r="AA433"/>
  <c r="Z433"/>
  <c r="Y433"/>
  <c r="X433"/>
  <c r="W433"/>
  <c r="V433"/>
  <c r="U433"/>
  <c r="T433"/>
  <c r="S433"/>
  <c r="R433"/>
  <c r="Q433"/>
  <c r="P433"/>
  <c r="O433"/>
  <c r="N433"/>
  <c r="M433"/>
  <c r="L433"/>
  <c r="K433"/>
  <c r="J433"/>
  <c r="I433"/>
  <c r="H433"/>
  <c r="G433"/>
  <c r="F433"/>
  <c r="E433"/>
  <c r="D433"/>
  <c r="AI432"/>
  <c r="AH432"/>
  <c r="AG432"/>
  <c r="AF432"/>
  <c r="AE432"/>
  <c r="AD432"/>
  <c r="AC432"/>
  <c r="AB432"/>
  <c r="AA432"/>
  <c r="Z432"/>
  <c r="Y432"/>
  <c r="X432"/>
  <c r="W432"/>
  <c r="V432"/>
  <c r="U432"/>
  <c r="T432"/>
  <c r="S432"/>
  <c r="R432"/>
  <c r="Q432"/>
  <c r="P432"/>
  <c r="O432"/>
  <c r="N432"/>
  <c r="M432"/>
  <c r="L432"/>
  <c r="K432"/>
  <c r="J432"/>
  <c r="I432"/>
  <c r="H432"/>
  <c r="G432"/>
  <c r="F432"/>
  <c r="E432"/>
  <c r="D432"/>
  <c r="AI431"/>
  <c r="AH431"/>
  <c r="AG431"/>
  <c r="AF431"/>
  <c r="AE431"/>
  <c r="AD431"/>
  <c r="AC431"/>
  <c r="AB431"/>
  <c r="AA431"/>
  <c r="Z431"/>
  <c r="Y431"/>
  <c r="X431"/>
  <c r="W431"/>
  <c r="V431"/>
  <c r="U431"/>
  <c r="T431"/>
  <c r="S431"/>
  <c r="R431"/>
  <c r="Q431"/>
  <c r="P431"/>
  <c r="O431"/>
  <c r="N431"/>
  <c r="M431"/>
  <c r="L431"/>
  <c r="K431"/>
  <c r="J431"/>
  <c r="I431"/>
  <c r="H431"/>
  <c r="G431"/>
  <c r="F431"/>
  <c r="E431"/>
  <c r="D431"/>
  <c r="AI430"/>
  <c r="AH430"/>
  <c r="AG430"/>
  <c r="AF430"/>
  <c r="AE430"/>
  <c r="AD430"/>
  <c r="AC430"/>
  <c r="AB430"/>
  <c r="AA430"/>
  <c r="Z430"/>
  <c r="Y430"/>
  <c r="X430"/>
  <c r="W430"/>
  <c r="V430"/>
  <c r="U430"/>
  <c r="T430"/>
  <c r="S430"/>
  <c r="R430"/>
  <c r="Q430"/>
  <c r="P430"/>
  <c r="O430"/>
  <c r="N430"/>
  <c r="M430"/>
  <c r="L430"/>
  <c r="K430"/>
  <c r="J430"/>
  <c r="I430"/>
  <c r="H430"/>
  <c r="G430"/>
  <c r="F430"/>
  <c r="E430"/>
  <c r="D430"/>
  <c r="AI429"/>
  <c r="AH429"/>
  <c r="AG429"/>
  <c r="AF429"/>
  <c r="AE429"/>
  <c r="AD429"/>
  <c r="AC429"/>
  <c r="AB429"/>
  <c r="AA429"/>
  <c r="Z429"/>
  <c r="Y429"/>
  <c r="X429"/>
  <c r="W429"/>
  <c r="V429"/>
  <c r="U429"/>
  <c r="T429"/>
  <c r="S429"/>
  <c r="R429"/>
  <c r="Q429"/>
  <c r="P429"/>
  <c r="O429"/>
  <c r="N429"/>
  <c r="M429"/>
  <c r="L429"/>
  <c r="K429"/>
  <c r="J429"/>
  <c r="I429"/>
  <c r="H429"/>
  <c r="G429"/>
  <c r="F429"/>
  <c r="E429"/>
  <c r="D429"/>
  <c r="AI428"/>
  <c r="AH428"/>
  <c r="AG428"/>
  <c r="AF428"/>
  <c r="AE428"/>
  <c r="AD428"/>
  <c r="AC428"/>
  <c r="AB428"/>
  <c r="AA428"/>
  <c r="Z428"/>
  <c r="Y428"/>
  <c r="X428"/>
  <c r="W428"/>
  <c r="V428"/>
  <c r="U428"/>
  <c r="T428"/>
  <c r="S428"/>
  <c r="R428"/>
  <c r="Q428"/>
  <c r="P428"/>
  <c r="O428"/>
  <c r="N428"/>
  <c r="M428"/>
  <c r="L428"/>
  <c r="K428"/>
  <c r="J428"/>
  <c r="I428"/>
  <c r="H428"/>
  <c r="G428"/>
  <c r="F428"/>
  <c r="E428"/>
  <c r="D428"/>
  <c r="AI427"/>
  <c r="AH427"/>
  <c r="AG427"/>
  <c r="AF427"/>
  <c r="AE427"/>
  <c r="AD427"/>
  <c r="AC427"/>
  <c r="AB427"/>
  <c r="AA427"/>
  <c r="Z427"/>
  <c r="Y427"/>
  <c r="X427"/>
  <c r="W427"/>
  <c r="V427"/>
  <c r="U427"/>
  <c r="T427"/>
  <c r="S427"/>
  <c r="R427"/>
  <c r="Q427"/>
  <c r="P427"/>
  <c r="O427"/>
  <c r="N427"/>
  <c r="M427"/>
  <c r="L427"/>
  <c r="K427"/>
  <c r="J427"/>
  <c r="I427"/>
  <c r="H427"/>
  <c r="G427"/>
  <c r="F427"/>
  <c r="E427"/>
  <c r="D427"/>
  <c r="AI426"/>
  <c r="AH426"/>
  <c r="AG426"/>
  <c r="AF426"/>
  <c r="AE426"/>
  <c r="AD426"/>
  <c r="AC426"/>
  <c r="AB426"/>
  <c r="AA426"/>
  <c r="Z426"/>
  <c r="Y426"/>
  <c r="X426"/>
  <c r="W426"/>
  <c r="V426"/>
  <c r="U426"/>
  <c r="T426"/>
  <c r="S426"/>
  <c r="R426"/>
  <c r="Q426"/>
  <c r="P426"/>
  <c r="O426"/>
  <c r="N426"/>
  <c r="M426"/>
  <c r="L426"/>
  <c r="K426"/>
  <c r="J426"/>
  <c r="I426"/>
  <c r="H426"/>
  <c r="G426"/>
  <c r="F426"/>
  <c r="E426"/>
  <c r="D426"/>
  <c r="AI425"/>
  <c r="AH425"/>
  <c r="AG425"/>
  <c r="AF425"/>
  <c r="AE425"/>
  <c r="AD425"/>
  <c r="AC425"/>
  <c r="AB425"/>
  <c r="AA425"/>
  <c r="Z425"/>
  <c r="Y425"/>
  <c r="X425"/>
  <c r="W425"/>
  <c r="V425"/>
  <c r="U425"/>
  <c r="T425"/>
  <c r="S425"/>
  <c r="R425"/>
  <c r="Q425"/>
  <c r="P425"/>
  <c r="O425"/>
  <c r="N425"/>
  <c r="M425"/>
  <c r="L425"/>
  <c r="K425"/>
  <c r="J425"/>
  <c r="I425"/>
  <c r="H425"/>
  <c r="G425"/>
  <c r="F425"/>
  <c r="E425"/>
  <c r="D425"/>
  <c r="AI424"/>
  <c r="AH424"/>
  <c r="AG424"/>
  <c r="AF424"/>
  <c r="AE424"/>
  <c r="AD424"/>
  <c r="AC424"/>
  <c r="AB424"/>
  <c r="AA424"/>
  <c r="Z424"/>
  <c r="Y424"/>
  <c r="X424"/>
  <c r="W424"/>
  <c r="V424"/>
  <c r="U424"/>
  <c r="T424"/>
  <c r="S424"/>
  <c r="R424"/>
  <c r="Q424"/>
  <c r="P424"/>
  <c r="O424"/>
  <c r="N424"/>
  <c r="M424"/>
  <c r="L424"/>
  <c r="K424"/>
  <c r="J424"/>
  <c r="I424"/>
  <c r="H424"/>
  <c r="G424"/>
  <c r="F424"/>
  <c r="E424"/>
  <c r="D424"/>
  <c r="AI423"/>
  <c r="AH423"/>
  <c r="AG423"/>
  <c r="AF423"/>
  <c r="AE423"/>
  <c r="AD423"/>
  <c r="AC423"/>
  <c r="AB423"/>
  <c r="AA423"/>
  <c r="Z423"/>
  <c r="Y423"/>
  <c r="X423"/>
  <c r="W423"/>
  <c r="V423"/>
  <c r="U423"/>
  <c r="T423"/>
  <c r="S423"/>
  <c r="R423"/>
  <c r="Q423"/>
  <c r="P423"/>
  <c r="O423"/>
  <c r="N423"/>
  <c r="M423"/>
  <c r="L423"/>
  <c r="K423"/>
  <c r="J423"/>
  <c r="I423"/>
  <c r="H423"/>
  <c r="G423"/>
  <c r="F423"/>
  <c r="E423"/>
  <c r="D423"/>
  <c r="AI422"/>
  <c r="AH422"/>
  <c r="AG422"/>
  <c r="AF422"/>
  <c r="AE422"/>
  <c r="AD422"/>
  <c r="AC422"/>
  <c r="AB422"/>
  <c r="AA422"/>
  <c r="Z422"/>
  <c r="Y422"/>
  <c r="X422"/>
  <c r="W422"/>
  <c r="V422"/>
  <c r="U422"/>
  <c r="T422"/>
  <c r="S422"/>
  <c r="R422"/>
  <c r="Q422"/>
  <c r="P422"/>
  <c r="O422"/>
  <c r="N422"/>
  <c r="M422"/>
  <c r="L422"/>
  <c r="K422"/>
  <c r="J422"/>
  <c r="I422"/>
  <c r="H422"/>
  <c r="G422"/>
  <c r="F422"/>
  <c r="E422"/>
  <c r="D422"/>
  <c r="AI421"/>
  <c r="AH421"/>
  <c r="AG421"/>
  <c r="AF421"/>
  <c r="AE421"/>
  <c r="AD421"/>
  <c r="AC421"/>
  <c r="AB421"/>
  <c r="AA421"/>
  <c r="Z421"/>
  <c r="Y421"/>
  <c r="X421"/>
  <c r="W421"/>
  <c r="V421"/>
  <c r="U421"/>
  <c r="T421"/>
  <c r="S421"/>
  <c r="R421"/>
  <c r="Q421"/>
  <c r="P421"/>
  <c r="O421"/>
  <c r="N421"/>
  <c r="M421"/>
  <c r="L421"/>
  <c r="K421"/>
  <c r="J421"/>
  <c r="I421"/>
  <c r="H421"/>
  <c r="G421"/>
  <c r="F421"/>
  <c r="E421"/>
  <c r="D421"/>
  <c r="AI420"/>
  <c r="AH420"/>
  <c r="AG420"/>
  <c r="AF420"/>
  <c r="AE420"/>
  <c r="AD420"/>
  <c r="AC420"/>
  <c r="AB420"/>
  <c r="AA420"/>
  <c r="Z420"/>
  <c r="Y420"/>
  <c r="X420"/>
  <c r="W420"/>
  <c r="V420"/>
  <c r="U420"/>
  <c r="T420"/>
  <c r="S420"/>
  <c r="R420"/>
  <c r="Q420"/>
  <c r="P420"/>
  <c r="O420"/>
  <c r="N420"/>
  <c r="M420"/>
  <c r="L420"/>
  <c r="K420"/>
  <c r="J420"/>
  <c r="I420"/>
  <c r="H420"/>
  <c r="G420"/>
  <c r="F420"/>
  <c r="E420"/>
  <c r="D420"/>
  <c r="AI419"/>
  <c r="AH419"/>
  <c r="AG419"/>
  <c r="AF419"/>
  <c r="AE419"/>
  <c r="AD419"/>
  <c r="AC419"/>
  <c r="AB419"/>
  <c r="AA419"/>
  <c r="Z419"/>
  <c r="Y419"/>
  <c r="X419"/>
  <c r="W419"/>
  <c r="V419"/>
  <c r="U419"/>
  <c r="T419"/>
  <c r="S419"/>
  <c r="R419"/>
  <c r="Q419"/>
  <c r="P419"/>
  <c r="O419"/>
  <c r="N419"/>
  <c r="M419"/>
  <c r="L419"/>
  <c r="K419"/>
  <c r="J419"/>
  <c r="I419"/>
  <c r="H419"/>
  <c r="G419"/>
  <c r="F419"/>
  <c r="E419"/>
  <c r="D419"/>
  <c r="AI418"/>
  <c r="AH418"/>
  <c r="AG418"/>
  <c r="AF418"/>
  <c r="AE418"/>
  <c r="AD418"/>
  <c r="AC418"/>
  <c r="AB418"/>
  <c r="AA418"/>
  <c r="Z418"/>
  <c r="Y418"/>
  <c r="X418"/>
  <c r="W418"/>
  <c r="V418"/>
  <c r="U418"/>
  <c r="T418"/>
  <c r="S418"/>
  <c r="R418"/>
  <c r="Q418"/>
  <c r="P418"/>
  <c r="O418"/>
  <c r="N418"/>
  <c r="M418"/>
  <c r="L418"/>
  <c r="K418"/>
  <c r="J418"/>
  <c r="I418"/>
  <c r="H418"/>
  <c r="G418"/>
  <c r="F418"/>
  <c r="E418"/>
  <c r="D418"/>
  <c r="AI417"/>
  <c r="AH417"/>
  <c r="AG417"/>
  <c r="AF417"/>
  <c r="AE417"/>
  <c r="AD417"/>
  <c r="AC417"/>
  <c r="AB417"/>
  <c r="AA417"/>
  <c r="Z417"/>
  <c r="Y417"/>
  <c r="X417"/>
  <c r="W417"/>
  <c r="V417"/>
  <c r="U417"/>
  <c r="T417"/>
  <c r="S417"/>
  <c r="R417"/>
  <c r="Q417"/>
  <c r="P417"/>
  <c r="O417"/>
  <c r="N417"/>
  <c r="M417"/>
  <c r="L417"/>
  <c r="K417"/>
  <c r="J417"/>
  <c r="I417"/>
  <c r="H417"/>
  <c r="G417"/>
  <c r="F417"/>
  <c r="E417"/>
  <c r="D417"/>
  <c r="AI416"/>
  <c r="AH416"/>
  <c r="AG416"/>
  <c r="AF416"/>
  <c r="AE416"/>
  <c r="AD416"/>
  <c r="AC416"/>
  <c r="AB416"/>
  <c r="AA416"/>
  <c r="Z416"/>
  <c r="Y416"/>
  <c r="X416"/>
  <c r="W416"/>
  <c r="V416"/>
  <c r="U416"/>
  <c r="T416"/>
  <c r="S416"/>
  <c r="R416"/>
  <c r="Q416"/>
  <c r="P416"/>
  <c r="O416"/>
  <c r="N416"/>
  <c r="M416"/>
  <c r="L416"/>
  <c r="K416"/>
  <c r="J416"/>
  <c r="I416"/>
  <c r="H416"/>
  <c r="G416"/>
  <c r="F416"/>
  <c r="E416"/>
  <c r="D416"/>
  <c r="AI415"/>
  <c r="AH415"/>
  <c r="AG415"/>
  <c r="AF415"/>
  <c r="AE415"/>
  <c r="AD415"/>
  <c r="AC415"/>
  <c r="AB415"/>
  <c r="AA415"/>
  <c r="Z415"/>
  <c r="Y415"/>
  <c r="X415"/>
  <c r="W415"/>
  <c r="V415"/>
  <c r="U415"/>
  <c r="T415"/>
  <c r="S415"/>
  <c r="R415"/>
  <c r="Q415"/>
  <c r="P415"/>
  <c r="O415"/>
  <c r="N415"/>
  <c r="M415"/>
  <c r="L415"/>
  <c r="K415"/>
  <c r="J415"/>
  <c r="I415"/>
  <c r="H415"/>
  <c r="G415"/>
  <c r="F415"/>
  <c r="E415"/>
  <c r="D415"/>
  <c r="AI414"/>
  <c r="AH414"/>
  <c r="AG414"/>
  <c r="AF414"/>
  <c r="AE414"/>
  <c r="AD414"/>
  <c r="AC414"/>
  <c r="AB414"/>
  <c r="AA414"/>
  <c r="Z414"/>
  <c r="Y414"/>
  <c r="X414"/>
  <c r="W414"/>
  <c r="V414"/>
  <c r="U414"/>
  <c r="T414"/>
  <c r="S414"/>
  <c r="R414"/>
  <c r="Q414"/>
  <c r="P414"/>
  <c r="O414"/>
  <c r="N414"/>
  <c r="M414"/>
  <c r="L414"/>
  <c r="K414"/>
  <c r="J414"/>
  <c r="I414"/>
  <c r="H414"/>
  <c r="G414"/>
  <c r="F414"/>
  <c r="E414"/>
  <c r="D414"/>
  <c r="AI413"/>
  <c r="AH413"/>
  <c r="AG413"/>
  <c r="AF413"/>
  <c r="AE413"/>
  <c r="AD413"/>
  <c r="AC413"/>
  <c r="AB413"/>
  <c r="AA413"/>
  <c r="Z413"/>
  <c r="Y413"/>
  <c r="X413"/>
  <c r="W413"/>
  <c r="V413"/>
  <c r="U413"/>
  <c r="T413"/>
  <c r="S413"/>
  <c r="R413"/>
  <c r="Q413"/>
  <c r="P413"/>
  <c r="O413"/>
  <c r="N413"/>
  <c r="M413"/>
  <c r="L413"/>
  <c r="K413"/>
  <c r="J413"/>
  <c r="I413"/>
  <c r="H413"/>
  <c r="G413"/>
  <c r="F413"/>
  <c r="E413"/>
  <c r="D413"/>
  <c r="AI412"/>
  <c r="AH412"/>
  <c r="AG412"/>
  <c r="AF412"/>
  <c r="AE412"/>
  <c r="AD412"/>
  <c r="AC412"/>
  <c r="AB412"/>
  <c r="AA412"/>
  <c r="Z412"/>
  <c r="Y412"/>
  <c r="X412"/>
  <c r="W412"/>
  <c r="V412"/>
  <c r="U412"/>
  <c r="T412"/>
  <c r="S412"/>
  <c r="R412"/>
  <c r="Q412"/>
  <c r="P412"/>
  <c r="O412"/>
  <c r="N412"/>
  <c r="M412"/>
  <c r="L412"/>
  <c r="K412"/>
  <c r="J412"/>
  <c r="I412"/>
  <c r="H412"/>
  <c r="G412"/>
  <c r="F412"/>
  <c r="E412"/>
  <c r="D412"/>
  <c r="AI411"/>
  <c r="AH411"/>
  <c r="AG411"/>
  <c r="AF411"/>
  <c r="AE411"/>
  <c r="AD411"/>
  <c r="AC411"/>
  <c r="AB411"/>
  <c r="AA411"/>
  <c r="Z411"/>
  <c r="Y411"/>
  <c r="X411"/>
  <c r="W411"/>
  <c r="V411"/>
  <c r="U411"/>
  <c r="T411"/>
  <c r="S411"/>
  <c r="R411"/>
  <c r="Q411"/>
  <c r="P411"/>
  <c r="O411"/>
  <c r="N411"/>
  <c r="M411"/>
  <c r="L411"/>
  <c r="K411"/>
  <c r="J411"/>
  <c r="I411"/>
  <c r="H411"/>
  <c r="G411"/>
  <c r="F411"/>
  <c r="E411"/>
  <c r="D411"/>
  <c r="AI410"/>
  <c r="AH410"/>
  <c r="AG410"/>
  <c r="AF410"/>
  <c r="AE410"/>
  <c r="AD410"/>
  <c r="AC410"/>
  <c r="AB410"/>
  <c r="AA410"/>
  <c r="Z410"/>
  <c r="Y410"/>
  <c r="X410"/>
  <c r="W410"/>
  <c r="V410"/>
  <c r="U410"/>
  <c r="T410"/>
  <c r="S410"/>
  <c r="R410"/>
  <c r="Q410"/>
  <c r="P410"/>
  <c r="O410"/>
  <c r="N410"/>
  <c r="M410"/>
  <c r="L410"/>
  <c r="K410"/>
  <c r="J410"/>
  <c r="I410"/>
  <c r="H410"/>
  <c r="G410"/>
  <c r="F410"/>
  <c r="E410"/>
  <c r="D410"/>
  <c r="AI409"/>
  <c r="AH409"/>
  <c r="AG409"/>
  <c r="AF409"/>
  <c r="AE409"/>
  <c r="AD409"/>
  <c r="AC409"/>
  <c r="AB409"/>
  <c r="AA409"/>
  <c r="Z409"/>
  <c r="Y409"/>
  <c r="X409"/>
  <c r="W409"/>
  <c r="V409"/>
  <c r="U409"/>
  <c r="T409"/>
  <c r="S409"/>
  <c r="R409"/>
  <c r="Q409"/>
  <c r="P409"/>
  <c r="O409"/>
  <c r="N409"/>
  <c r="M409"/>
  <c r="L409"/>
  <c r="K409"/>
  <c r="J409"/>
  <c r="I409"/>
  <c r="H409"/>
  <c r="G409"/>
  <c r="F409"/>
  <c r="E409"/>
  <c r="D409"/>
  <c r="AI408"/>
  <c r="AH408"/>
  <c r="AG408"/>
  <c r="AF408"/>
  <c r="AE408"/>
  <c r="AD408"/>
  <c r="AC408"/>
  <c r="AB408"/>
  <c r="AA408"/>
  <c r="Z408"/>
  <c r="Y408"/>
  <c r="X408"/>
  <c r="W408"/>
  <c r="V408"/>
  <c r="U408"/>
  <c r="T408"/>
  <c r="S408"/>
  <c r="R408"/>
  <c r="Q408"/>
  <c r="P408"/>
  <c r="O408"/>
  <c r="N408"/>
  <c r="M408"/>
  <c r="L408"/>
  <c r="K408"/>
  <c r="J408"/>
  <c r="I408"/>
  <c r="H408"/>
  <c r="G408"/>
  <c r="F408"/>
  <c r="E408"/>
  <c r="D408"/>
  <c r="AI407"/>
  <c r="AH407"/>
  <c r="AG407"/>
  <c r="AF407"/>
  <c r="AE407"/>
  <c r="AD407"/>
  <c r="AC407"/>
  <c r="AB407"/>
  <c r="AA407"/>
  <c r="Z407"/>
  <c r="Y407"/>
  <c r="X407"/>
  <c r="W407"/>
  <c r="V407"/>
  <c r="U407"/>
  <c r="T407"/>
  <c r="S407"/>
  <c r="R407"/>
  <c r="Q407"/>
  <c r="P407"/>
  <c r="O407"/>
  <c r="N407"/>
  <c r="M407"/>
  <c r="L407"/>
  <c r="K407"/>
  <c r="J407"/>
  <c r="I407"/>
  <c r="H407"/>
  <c r="G407"/>
  <c r="F407"/>
  <c r="E407"/>
  <c r="D407"/>
  <c r="AI406"/>
  <c r="AH406"/>
  <c r="AG406"/>
  <c r="AF406"/>
  <c r="AE406"/>
  <c r="AD406"/>
  <c r="AC406"/>
  <c r="AB406"/>
  <c r="AA406"/>
  <c r="Z406"/>
  <c r="Y406"/>
  <c r="X406"/>
  <c r="W406"/>
  <c r="V406"/>
  <c r="U406"/>
  <c r="T406"/>
  <c r="S406"/>
  <c r="R406"/>
  <c r="Q406"/>
  <c r="P406"/>
  <c r="O406"/>
  <c r="N406"/>
  <c r="M406"/>
  <c r="L406"/>
  <c r="K406"/>
  <c r="J406"/>
  <c r="I406"/>
  <c r="H406"/>
  <c r="G406"/>
  <c r="F406"/>
  <c r="E406"/>
  <c r="D406"/>
  <c r="AI405"/>
  <c r="AH405"/>
  <c r="AG405"/>
  <c r="AF405"/>
  <c r="AE405"/>
  <c r="AD405"/>
  <c r="AC405"/>
  <c r="AB405"/>
  <c r="AA405"/>
  <c r="Z405"/>
  <c r="Y405"/>
  <c r="X405"/>
  <c r="W405"/>
  <c r="V405"/>
  <c r="U405"/>
  <c r="T405"/>
  <c r="S405"/>
  <c r="R405"/>
  <c r="Q405"/>
  <c r="P405"/>
  <c r="O405"/>
  <c r="N405"/>
  <c r="M405"/>
  <c r="L405"/>
  <c r="K405"/>
  <c r="J405"/>
  <c r="I405"/>
  <c r="H405"/>
  <c r="G405"/>
  <c r="F405"/>
  <c r="E405"/>
  <c r="D405"/>
  <c r="AI404"/>
  <c r="AH404"/>
  <c r="AG404"/>
  <c r="AF404"/>
  <c r="AE404"/>
  <c r="AD404"/>
  <c r="AC404"/>
  <c r="AB404"/>
  <c r="AA404"/>
  <c r="Z404"/>
  <c r="Y404"/>
  <c r="X404"/>
  <c r="W404"/>
  <c r="V404"/>
  <c r="U404"/>
  <c r="T404"/>
  <c r="S404"/>
  <c r="R404"/>
  <c r="Q404"/>
  <c r="P404"/>
  <c r="O404"/>
  <c r="N404"/>
  <c r="M404"/>
  <c r="L404"/>
  <c r="K404"/>
  <c r="J404"/>
  <c r="I404"/>
  <c r="H404"/>
  <c r="G404"/>
  <c r="F404"/>
  <c r="E404"/>
  <c r="D404"/>
  <c r="AI403"/>
  <c r="AH403"/>
  <c r="AG403"/>
  <c r="AF403"/>
  <c r="AE403"/>
  <c r="AD403"/>
  <c r="AC403"/>
  <c r="AB403"/>
  <c r="AA403"/>
  <c r="Z403"/>
  <c r="Y403"/>
  <c r="X403"/>
  <c r="W403"/>
  <c r="V403"/>
  <c r="U403"/>
  <c r="T403"/>
  <c r="S403"/>
  <c r="R403"/>
  <c r="Q403"/>
  <c r="P403"/>
  <c r="O403"/>
  <c r="N403"/>
  <c r="M403"/>
  <c r="L403"/>
  <c r="K403"/>
  <c r="J403"/>
  <c r="I403"/>
  <c r="H403"/>
  <c r="G403"/>
  <c r="F403"/>
  <c r="E403"/>
  <c r="D403"/>
  <c r="AI402"/>
  <c r="AH402"/>
  <c r="AG402"/>
  <c r="AF402"/>
  <c r="AE402"/>
  <c r="AD402"/>
  <c r="AC402"/>
  <c r="AB402"/>
  <c r="AA402"/>
  <c r="Z402"/>
  <c r="Y402"/>
  <c r="X402"/>
  <c r="W402"/>
  <c r="V402"/>
  <c r="U402"/>
  <c r="T402"/>
  <c r="S402"/>
  <c r="R402"/>
  <c r="Q402"/>
  <c r="P402"/>
  <c r="O402"/>
  <c r="N402"/>
  <c r="M402"/>
  <c r="L402"/>
  <c r="K402"/>
  <c r="J402"/>
  <c r="I402"/>
  <c r="H402"/>
  <c r="G402"/>
  <c r="F402"/>
  <c r="E402"/>
  <c r="D402"/>
  <c r="AI401"/>
  <c r="AH401"/>
  <c r="AG401"/>
  <c r="AF401"/>
  <c r="AE401"/>
  <c r="AD401"/>
  <c r="AC401"/>
  <c r="AB401"/>
  <c r="AA401"/>
  <c r="Z401"/>
  <c r="Y401"/>
  <c r="X401"/>
  <c r="W401"/>
  <c r="V401"/>
  <c r="U401"/>
  <c r="T401"/>
  <c r="S401"/>
  <c r="R401"/>
  <c r="Q401"/>
  <c r="P401"/>
  <c r="O401"/>
  <c r="N401"/>
  <c r="M401"/>
  <c r="L401"/>
  <c r="K401"/>
  <c r="J401"/>
  <c r="I401"/>
  <c r="H401"/>
  <c r="G401"/>
  <c r="F401"/>
  <c r="E401"/>
  <c r="D401"/>
  <c r="AI400"/>
  <c r="AH400"/>
  <c r="AG400"/>
  <c r="AF400"/>
  <c r="AE400"/>
  <c r="AD400"/>
  <c r="AC400"/>
  <c r="AB400"/>
  <c r="AA400"/>
  <c r="Z400"/>
  <c r="Y400"/>
  <c r="X400"/>
  <c r="W400"/>
  <c r="V400"/>
  <c r="U400"/>
  <c r="T400"/>
  <c r="S400"/>
  <c r="R400"/>
  <c r="Q400"/>
  <c r="P400"/>
  <c r="O400"/>
  <c r="N400"/>
  <c r="M400"/>
  <c r="L400"/>
  <c r="K400"/>
  <c r="J400"/>
  <c r="I400"/>
  <c r="H400"/>
  <c r="G400"/>
  <c r="F400"/>
  <c r="E400"/>
  <c r="D400"/>
  <c r="AI399"/>
  <c r="AH399"/>
  <c r="AG399"/>
  <c r="AF399"/>
  <c r="AE399"/>
  <c r="AD399"/>
  <c r="AC399"/>
  <c r="AB399"/>
  <c r="AA399"/>
  <c r="Z399"/>
  <c r="Y399"/>
  <c r="X399"/>
  <c r="W399"/>
  <c r="V399"/>
  <c r="U399"/>
  <c r="T399"/>
  <c r="S399"/>
  <c r="R399"/>
  <c r="Q399"/>
  <c r="P399"/>
  <c r="O399"/>
  <c r="N399"/>
  <c r="M399"/>
  <c r="L399"/>
  <c r="K399"/>
  <c r="J399"/>
  <c r="I399"/>
  <c r="H399"/>
  <c r="G399"/>
  <c r="F399"/>
  <c r="E399"/>
  <c r="D399"/>
  <c r="AI398"/>
  <c r="AH398"/>
  <c r="AG398"/>
  <c r="AF398"/>
  <c r="AE398"/>
  <c r="AD398"/>
  <c r="AC398"/>
  <c r="AB398"/>
  <c r="AA398"/>
  <c r="Z398"/>
  <c r="Y398"/>
  <c r="X398"/>
  <c r="W398"/>
  <c r="V398"/>
  <c r="U398"/>
  <c r="T398"/>
  <c r="S398"/>
  <c r="R398"/>
  <c r="Q398"/>
  <c r="P398"/>
  <c r="O398"/>
  <c r="N398"/>
  <c r="M398"/>
  <c r="L398"/>
  <c r="K398"/>
  <c r="J398"/>
  <c r="I398"/>
  <c r="H398"/>
  <c r="G398"/>
  <c r="F398"/>
  <c r="E398"/>
  <c r="D398"/>
  <c r="AI397"/>
  <c r="AH397"/>
  <c r="AG397"/>
  <c r="AF397"/>
  <c r="AE397"/>
  <c r="AD397"/>
  <c r="AC397"/>
  <c r="AB397"/>
  <c r="AA397"/>
  <c r="Z397"/>
  <c r="Y397"/>
  <c r="X397"/>
  <c r="W397"/>
  <c r="V397"/>
  <c r="U397"/>
  <c r="T397"/>
  <c r="S397"/>
  <c r="R397"/>
  <c r="Q397"/>
  <c r="P397"/>
  <c r="O397"/>
  <c r="N397"/>
  <c r="M397"/>
  <c r="L397"/>
  <c r="K397"/>
  <c r="J397"/>
  <c r="I397"/>
  <c r="H397"/>
  <c r="G397"/>
  <c r="F397"/>
  <c r="E397"/>
  <c r="D397"/>
  <c r="AI396"/>
  <c r="AH396"/>
  <c r="AG396"/>
  <c r="AF396"/>
  <c r="AE396"/>
  <c r="AD396"/>
  <c r="AC396"/>
  <c r="AB396"/>
  <c r="AA396"/>
  <c r="Z396"/>
  <c r="Y396"/>
  <c r="X396"/>
  <c r="W396"/>
  <c r="V396"/>
  <c r="U396"/>
  <c r="T396"/>
  <c r="S396"/>
  <c r="R396"/>
  <c r="Q396"/>
  <c r="P396"/>
  <c r="O396"/>
  <c r="N396"/>
  <c r="M396"/>
  <c r="L396"/>
  <c r="K396"/>
  <c r="J396"/>
  <c r="I396"/>
  <c r="H396"/>
  <c r="G396"/>
  <c r="F396"/>
  <c r="E396"/>
  <c r="D396"/>
  <c r="AI395"/>
  <c r="AH395"/>
  <c r="AG395"/>
  <c r="AF395"/>
  <c r="AE395"/>
  <c r="AD395"/>
  <c r="AC395"/>
  <c r="AB395"/>
  <c r="AA395"/>
  <c r="Z395"/>
  <c r="Y395"/>
  <c r="X395"/>
  <c r="W395"/>
  <c r="V395"/>
  <c r="U395"/>
  <c r="T395"/>
  <c r="S395"/>
  <c r="R395"/>
  <c r="Q395"/>
  <c r="P395"/>
  <c r="O395"/>
  <c r="N395"/>
  <c r="M395"/>
  <c r="L395"/>
  <c r="K395"/>
  <c r="J395"/>
  <c r="I395"/>
  <c r="H395"/>
  <c r="G395"/>
  <c r="F395"/>
  <c r="E395"/>
  <c r="D395"/>
  <c r="AI394"/>
  <c r="AH394"/>
  <c r="AG394"/>
  <c r="AF394"/>
  <c r="AE394"/>
  <c r="AD394"/>
  <c r="AC394"/>
  <c r="AB394"/>
  <c r="AA394"/>
  <c r="Z394"/>
  <c r="Y394"/>
  <c r="X394"/>
  <c r="W394"/>
  <c r="V394"/>
  <c r="U394"/>
  <c r="T394"/>
  <c r="S394"/>
  <c r="R394"/>
  <c r="Q394"/>
  <c r="P394"/>
  <c r="O394"/>
  <c r="N394"/>
  <c r="M394"/>
  <c r="L394"/>
  <c r="K394"/>
  <c r="J394"/>
  <c r="I394"/>
  <c r="H394"/>
  <c r="G394"/>
  <c r="F394"/>
  <c r="E394"/>
  <c r="D394"/>
  <c r="AI393"/>
  <c r="AH393"/>
  <c r="AG393"/>
  <c r="AF393"/>
  <c r="AE393"/>
  <c r="AD393"/>
  <c r="AC393"/>
  <c r="AB393"/>
  <c r="AA393"/>
  <c r="Z393"/>
  <c r="Y393"/>
  <c r="X393"/>
  <c r="W393"/>
  <c r="V393"/>
  <c r="U393"/>
  <c r="T393"/>
  <c r="S393"/>
  <c r="R393"/>
  <c r="Q393"/>
  <c r="P393"/>
  <c r="O393"/>
  <c r="N393"/>
  <c r="M393"/>
  <c r="L393"/>
  <c r="K393"/>
  <c r="J393"/>
  <c r="I393"/>
  <c r="H393"/>
  <c r="G393"/>
  <c r="F393"/>
  <c r="E393"/>
  <c r="D393"/>
  <c r="AI392"/>
  <c r="AH392"/>
  <c r="AG392"/>
  <c r="AF392"/>
  <c r="AE392"/>
  <c r="AD392"/>
  <c r="AC392"/>
  <c r="AB392"/>
  <c r="AA392"/>
  <c r="Z392"/>
  <c r="Y392"/>
  <c r="X392"/>
  <c r="W392"/>
  <c r="V392"/>
  <c r="U392"/>
  <c r="T392"/>
  <c r="S392"/>
  <c r="R392"/>
  <c r="Q392"/>
  <c r="P392"/>
  <c r="O392"/>
  <c r="N392"/>
  <c r="M392"/>
  <c r="L392"/>
  <c r="K392"/>
  <c r="J392"/>
  <c r="I392"/>
  <c r="H392"/>
  <c r="G392"/>
  <c r="F392"/>
  <c r="E392"/>
  <c r="D392"/>
  <c r="AI391"/>
  <c r="AH391"/>
  <c r="AG391"/>
  <c r="AF391"/>
  <c r="AE391"/>
  <c r="AD391"/>
  <c r="AC391"/>
  <c r="AB391"/>
  <c r="AA391"/>
  <c r="Z391"/>
  <c r="Y391"/>
  <c r="X391"/>
  <c r="W391"/>
  <c r="V391"/>
  <c r="U391"/>
  <c r="T391"/>
  <c r="S391"/>
  <c r="R391"/>
  <c r="Q391"/>
  <c r="P391"/>
  <c r="O391"/>
  <c r="N391"/>
  <c r="M391"/>
  <c r="L391"/>
  <c r="K391"/>
  <c r="J391"/>
  <c r="I391"/>
  <c r="H391"/>
  <c r="G391"/>
  <c r="F391"/>
  <c r="E391"/>
  <c r="D391"/>
  <c r="AI390"/>
  <c r="AH390"/>
  <c r="C521" s="1"/>
  <c r="AG390"/>
  <c r="AF390"/>
  <c r="AE390"/>
  <c r="AD390"/>
  <c r="AC390"/>
  <c r="AB390"/>
  <c r="AA390"/>
  <c r="Z390"/>
  <c r="Y390"/>
  <c r="X390"/>
  <c r="W390"/>
  <c r="V390"/>
  <c r="U390"/>
  <c r="T390"/>
  <c r="S390"/>
  <c r="R390"/>
  <c r="Q390"/>
  <c r="P390"/>
  <c r="O390"/>
  <c r="N390"/>
  <c r="M390"/>
  <c r="L390"/>
  <c r="K390"/>
  <c r="J390"/>
  <c r="I390"/>
  <c r="H390"/>
  <c r="G390"/>
  <c r="F390"/>
  <c r="E390"/>
  <c r="D390"/>
  <c r="AI389"/>
  <c r="AH389"/>
  <c r="AG389"/>
  <c r="AF389"/>
  <c r="AE389"/>
  <c r="AD389"/>
  <c r="AC389"/>
  <c r="AB389"/>
  <c r="AA389"/>
  <c r="Z389"/>
  <c r="Y389"/>
  <c r="X389"/>
  <c r="W389"/>
  <c r="V389"/>
  <c r="U389"/>
  <c r="T389"/>
  <c r="S389"/>
  <c r="R389"/>
  <c r="Q389"/>
  <c r="P389"/>
  <c r="O389"/>
  <c r="N389"/>
  <c r="M389"/>
  <c r="L389"/>
  <c r="K389"/>
  <c r="J389"/>
  <c r="I389"/>
  <c r="H389"/>
  <c r="G389"/>
  <c r="F389"/>
  <c r="E389"/>
  <c r="D389"/>
  <c r="AI388"/>
  <c r="AH388"/>
  <c r="AG388"/>
  <c r="AF388"/>
  <c r="AE388"/>
  <c r="AD388"/>
  <c r="AC388"/>
  <c r="AB388"/>
  <c r="AA388"/>
  <c r="Z388"/>
  <c r="Y388"/>
  <c r="X388"/>
  <c r="W388"/>
  <c r="V388"/>
  <c r="U388"/>
  <c r="T388"/>
  <c r="S388"/>
  <c r="R388"/>
  <c r="Q388"/>
  <c r="P388"/>
  <c r="O388"/>
  <c r="N388"/>
  <c r="M388"/>
  <c r="L388"/>
  <c r="K388"/>
  <c r="J388"/>
  <c r="I388"/>
  <c r="H388"/>
  <c r="G388"/>
  <c r="F388"/>
  <c r="E388"/>
  <c r="D388"/>
  <c r="AI387"/>
  <c r="AH387"/>
  <c r="AG387"/>
  <c r="AF387"/>
  <c r="AE387"/>
  <c r="AD387"/>
  <c r="AC387"/>
  <c r="AB387"/>
  <c r="AA387"/>
  <c r="Z387"/>
  <c r="Y387"/>
  <c r="X387"/>
  <c r="W387"/>
  <c r="V387"/>
  <c r="U387"/>
  <c r="T387"/>
  <c r="S387"/>
  <c r="R387"/>
  <c r="Q387"/>
  <c r="P387"/>
  <c r="O387"/>
  <c r="N387"/>
  <c r="M387"/>
  <c r="L387"/>
  <c r="K387"/>
  <c r="J387"/>
  <c r="I387"/>
  <c r="H387"/>
  <c r="G387"/>
  <c r="F387"/>
  <c r="E387"/>
  <c r="D387"/>
  <c r="AI386"/>
  <c r="AH386"/>
  <c r="AG386"/>
  <c r="AF386"/>
  <c r="AE386"/>
  <c r="AD386"/>
  <c r="AC386"/>
  <c r="AB386"/>
  <c r="AA386"/>
  <c r="Z386"/>
  <c r="Y386"/>
  <c r="X386"/>
  <c r="W386"/>
  <c r="V386"/>
  <c r="U386"/>
  <c r="T386"/>
  <c r="S386"/>
  <c r="R386"/>
  <c r="Q386"/>
  <c r="P386"/>
  <c r="O386"/>
  <c r="N386"/>
  <c r="M386"/>
  <c r="L386"/>
  <c r="K386"/>
  <c r="J386"/>
  <c r="I386"/>
  <c r="H386"/>
  <c r="G386"/>
  <c r="F386"/>
  <c r="E386"/>
  <c r="D386"/>
  <c r="AI385"/>
  <c r="AH385"/>
  <c r="AG385"/>
  <c r="AF385"/>
  <c r="AE385"/>
  <c r="AD385"/>
  <c r="AC385"/>
  <c r="AB385"/>
  <c r="AA385"/>
  <c r="Z385"/>
  <c r="Y385"/>
  <c r="X385"/>
  <c r="W385"/>
  <c r="V385"/>
  <c r="U385"/>
  <c r="T385"/>
  <c r="S385"/>
  <c r="R385"/>
  <c r="Q385"/>
  <c r="P385"/>
  <c r="O385"/>
  <c r="N385"/>
  <c r="M385"/>
  <c r="L385"/>
  <c r="K385"/>
  <c r="J385"/>
  <c r="I385"/>
  <c r="H385"/>
  <c r="G385"/>
  <c r="F385"/>
  <c r="E385"/>
  <c r="D385"/>
  <c r="AI384"/>
  <c r="AH384"/>
  <c r="AG384"/>
  <c r="AF384"/>
  <c r="AE384"/>
  <c r="AD384"/>
  <c r="AC384"/>
  <c r="AB384"/>
  <c r="AA384"/>
  <c r="Z384"/>
  <c r="Y384"/>
  <c r="X384"/>
  <c r="W384"/>
  <c r="V384"/>
  <c r="U384"/>
  <c r="T384"/>
  <c r="S384"/>
  <c r="R384"/>
  <c r="Q384"/>
  <c r="P384"/>
  <c r="O384"/>
  <c r="N384"/>
  <c r="M384"/>
  <c r="L384"/>
  <c r="K384"/>
  <c r="J384"/>
  <c r="I384"/>
  <c r="H384"/>
  <c r="G384"/>
  <c r="F384"/>
  <c r="E384"/>
  <c r="D384"/>
  <c r="AI383"/>
  <c r="AH383"/>
  <c r="AG383"/>
  <c r="AF383"/>
  <c r="AE383"/>
  <c r="AD383"/>
  <c r="AC383"/>
  <c r="AB383"/>
  <c r="AA383"/>
  <c r="Z383"/>
  <c r="Y383"/>
  <c r="X383"/>
  <c r="W383"/>
  <c r="V383"/>
  <c r="U383"/>
  <c r="T383"/>
  <c r="S383"/>
  <c r="R383"/>
  <c r="Q383"/>
  <c r="P383"/>
  <c r="O383"/>
  <c r="N383"/>
  <c r="M383"/>
  <c r="L383"/>
  <c r="K383"/>
  <c r="J383"/>
  <c r="I383"/>
  <c r="H383"/>
  <c r="G383"/>
  <c r="F383"/>
  <c r="E383"/>
  <c r="D383"/>
  <c r="AI382"/>
  <c r="AH382"/>
  <c r="AG382"/>
  <c r="AF382"/>
  <c r="AE382"/>
  <c r="AD382"/>
  <c r="AC382"/>
  <c r="AB382"/>
  <c r="AA382"/>
  <c r="Z382"/>
  <c r="Y382"/>
  <c r="X382"/>
  <c r="W382"/>
  <c r="V382"/>
  <c r="U382"/>
  <c r="T382"/>
  <c r="S382"/>
  <c r="R382"/>
  <c r="Q382"/>
  <c r="P382"/>
  <c r="O382"/>
  <c r="N382"/>
  <c r="M382"/>
  <c r="L382"/>
  <c r="K382"/>
  <c r="J382"/>
  <c r="I382"/>
  <c r="H382"/>
  <c r="G382"/>
  <c r="F382"/>
  <c r="E382"/>
  <c r="D382"/>
  <c r="AI381"/>
  <c r="AH381"/>
  <c r="AG381"/>
  <c r="AF381"/>
  <c r="AE381"/>
  <c r="AD381"/>
  <c r="AC381"/>
  <c r="AB381"/>
  <c r="AA381"/>
  <c r="Z381"/>
  <c r="Y381"/>
  <c r="X381"/>
  <c r="W381"/>
  <c r="V381"/>
  <c r="U381"/>
  <c r="T381"/>
  <c r="S381"/>
  <c r="R381"/>
  <c r="Q381"/>
  <c r="P381"/>
  <c r="O381"/>
  <c r="N381"/>
  <c r="M381"/>
  <c r="L381"/>
  <c r="K381"/>
  <c r="J381"/>
  <c r="I381"/>
  <c r="H381"/>
  <c r="G381"/>
  <c r="F381"/>
  <c r="E381"/>
  <c r="D381"/>
  <c r="AI380"/>
  <c r="AH380"/>
  <c r="AG380"/>
  <c r="AF380"/>
  <c r="AE380"/>
  <c r="AD380"/>
  <c r="AC380"/>
  <c r="AB380"/>
  <c r="AA380"/>
  <c r="Z380"/>
  <c r="Y380"/>
  <c r="X380"/>
  <c r="W380"/>
  <c r="V380"/>
  <c r="U380"/>
  <c r="T380"/>
  <c r="S380"/>
  <c r="R380"/>
  <c r="Q380"/>
  <c r="P380"/>
  <c r="O380"/>
  <c r="N380"/>
  <c r="M380"/>
  <c r="L380"/>
  <c r="K380"/>
  <c r="J380"/>
  <c r="I380"/>
  <c r="H380"/>
  <c r="G380"/>
  <c r="F380"/>
  <c r="E380"/>
  <c r="D380"/>
  <c r="AI379"/>
  <c r="AH379"/>
  <c r="AG379"/>
  <c r="AF379"/>
  <c r="AE379"/>
  <c r="AD379"/>
  <c r="AC379"/>
  <c r="AB379"/>
  <c r="AA379"/>
  <c r="Z379"/>
  <c r="Y379"/>
  <c r="X379"/>
  <c r="W379"/>
  <c r="V379"/>
  <c r="U379"/>
  <c r="T379"/>
  <c r="S379"/>
  <c r="R379"/>
  <c r="Q379"/>
  <c r="P379"/>
  <c r="O379"/>
  <c r="N379"/>
  <c r="M379"/>
  <c r="L379"/>
  <c r="K379"/>
  <c r="J379"/>
  <c r="I379"/>
  <c r="H379"/>
  <c r="G379"/>
  <c r="F379"/>
  <c r="E379"/>
  <c r="D379"/>
  <c r="AI378"/>
  <c r="AH378"/>
  <c r="AG378"/>
  <c r="AF378"/>
  <c r="AE378"/>
  <c r="AD378"/>
  <c r="AC378"/>
  <c r="AB378"/>
  <c r="AA378"/>
  <c r="Z378"/>
  <c r="Y378"/>
  <c r="X378"/>
  <c r="W378"/>
  <c r="V378"/>
  <c r="U378"/>
  <c r="T378"/>
  <c r="S378"/>
  <c r="R378"/>
  <c r="Q378"/>
  <c r="P378"/>
  <c r="O378"/>
  <c r="N378"/>
  <c r="M378"/>
  <c r="L378"/>
  <c r="K378"/>
  <c r="J378"/>
  <c r="I378"/>
  <c r="H378"/>
  <c r="G378"/>
  <c r="F378"/>
  <c r="E378"/>
  <c r="D378"/>
  <c r="AI377"/>
  <c r="AH377"/>
  <c r="AG377"/>
  <c r="AF377"/>
  <c r="AE377"/>
  <c r="AD377"/>
  <c r="AC377"/>
  <c r="AB377"/>
  <c r="AA377"/>
  <c r="Z377"/>
  <c r="Y377"/>
  <c r="X377"/>
  <c r="W377"/>
  <c r="V377"/>
  <c r="U377"/>
  <c r="T377"/>
  <c r="S377"/>
  <c r="R377"/>
  <c r="Q377"/>
  <c r="P377"/>
  <c r="O377"/>
  <c r="N377"/>
  <c r="M377"/>
  <c r="L377"/>
  <c r="K377"/>
  <c r="J377"/>
  <c r="I377"/>
  <c r="H377"/>
  <c r="G377"/>
  <c r="F377"/>
  <c r="E377"/>
  <c r="D377"/>
  <c r="AI376"/>
  <c r="AH376"/>
  <c r="AG376"/>
  <c r="AF376"/>
  <c r="AE376"/>
  <c r="AD376"/>
  <c r="AC376"/>
  <c r="AB376"/>
  <c r="AA376"/>
  <c r="Z376"/>
  <c r="Y376"/>
  <c r="X376"/>
  <c r="W376"/>
  <c r="V376"/>
  <c r="U376"/>
  <c r="T376"/>
  <c r="S376"/>
  <c r="R376"/>
  <c r="Q376"/>
  <c r="P376"/>
  <c r="O376"/>
  <c r="N376"/>
  <c r="M376"/>
  <c r="L376"/>
  <c r="K376"/>
  <c r="J376"/>
  <c r="I376"/>
  <c r="H376"/>
  <c r="G376"/>
  <c r="F376"/>
  <c r="E376"/>
  <c r="D376"/>
  <c r="AI375"/>
  <c r="AH375"/>
  <c r="AG375"/>
  <c r="AF375"/>
  <c r="AE375"/>
  <c r="AD375"/>
  <c r="AC375"/>
  <c r="AB375"/>
  <c r="AA375"/>
  <c r="Z375"/>
  <c r="Y375"/>
  <c r="X375"/>
  <c r="W375"/>
  <c r="V375"/>
  <c r="U375"/>
  <c r="T375"/>
  <c r="S375"/>
  <c r="R375"/>
  <c r="Q375"/>
  <c r="P375"/>
  <c r="O375"/>
  <c r="N375"/>
  <c r="M375"/>
  <c r="L375"/>
  <c r="K375"/>
  <c r="J375"/>
  <c r="I375"/>
  <c r="H375"/>
  <c r="G375"/>
  <c r="F375"/>
  <c r="E375"/>
  <c r="D375"/>
  <c r="AI374"/>
  <c r="AH374"/>
  <c r="AG374"/>
  <c r="AF374"/>
  <c r="AE374"/>
  <c r="AD374"/>
  <c r="AC374"/>
  <c r="AB374"/>
  <c r="AA374"/>
  <c r="Z374"/>
  <c r="Y374"/>
  <c r="X374"/>
  <c r="W374"/>
  <c r="V374"/>
  <c r="U374"/>
  <c r="T374"/>
  <c r="S374"/>
  <c r="R374"/>
  <c r="Q374"/>
  <c r="P374"/>
  <c r="O374"/>
  <c r="N374"/>
  <c r="M374"/>
  <c r="L374"/>
  <c r="K374"/>
  <c r="J374"/>
  <c r="I374"/>
  <c r="H374"/>
  <c r="G374"/>
  <c r="F374"/>
  <c r="E374"/>
  <c r="D374"/>
  <c r="AI373"/>
  <c r="AH373"/>
  <c r="AG373"/>
  <c r="AF373"/>
  <c r="AE373"/>
  <c r="AD373"/>
  <c r="AC373"/>
  <c r="AB373"/>
  <c r="AA373"/>
  <c r="Z373"/>
  <c r="Y373"/>
  <c r="X373"/>
  <c r="W373"/>
  <c r="V373"/>
  <c r="U373"/>
  <c r="T373"/>
  <c r="S373"/>
  <c r="R373"/>
  <c r="Q373"/>
  <c r="P373"/>
  <c r="O373"/>
  <c r="N373"/>
  <c r="M373"/>
  <c r="L373"/>
  <c r="K373"/>
  <c r="J373"/>
  <c r="I373"/>
  <c r="H373"/>
  <c r="G373"/>
  <c r="F373"/>
  <c r="E373"/>
  <c r="D373"/>
  <c r="AI372"/>
  <c r="AH372"/>
  <c r="AG372"/>
  <c r="AF372"/>
  <c r="AE372"/>
  <c r="AD372"/>
  <c r="AC372"/>
  <c r="AB372"/>
  <c r="AA372"/>
  <c r="Z372"/>
  <c r="Y372"/>
  <c r="X372"/>
  <c r="W372"/>
  <c r="V372"/>
  <c r="U372"/>
  <c r="T372"/>
  <c r="S372"/>
  <c r="R372"/>
  <c r="Q372"/>
  <c r="P372"/>
  <c r="O372"/>
  <c r="N372"/>
  <c r="M372"/>
  <c r="L372"/>
  <c r="K372"/>
  <c r="J372"/>
  <c r="I372"/>
  <c r="H372"/>
  <c r="G372"/>
  <c r="F372"/>
  <c r="E372"/>
  <c r="D372"/>
  <c r="AI371"/>
  <c r="AH371"/>
  <c r="AG371"/>
  <c r="AF371"/>
  <c r="AE371"/>
  <c r="AD371"/>
  <c r="AC371"/>
  <c r="AB371"/>
  <c r="AA371"/>
  <c r="Z371"/>
  <c r="Y371"/>
  <c r="X371"/>
  <c r="W371"/>
  <c r="V371"/>
  <c r="U371"/>
  <c r="T371"/>
  <c r="S371"/>
  <c r="R371"/>
  <c r="Q371"/>
  <c r="P371"/>
  <c r="O371"/>
  <c r="N371"/>
  <c r="M371"/>
  <c r="L371"/>
  <c r="K371"/>
  <c r="J371"/>
  <c r="I371"/>
  <c r="H371"/>
  <c r="G371"/>
  <c r="F371"/>
  <c r="E371"/>
  <c r="D371"/>
  <c r="AI370"/>
  <c r="AH370"/>
  <c r="AG370"/>
  <c r="AF370"/>
  <c r="AE370"/>
  <c r="AD370"/>
  <c r="AC370"/>
  <c r="AB370"/>
  <c r="AA370"/>
  <c r="Z370"/>
  <c r="Y370"/>
  <c r="X370"/>
  <c r="W370"/>
  <c r="V370"/>
  <c r="U370"/>
  <c r="T370"/>
  <c r="S370"/>
  <c r="R370"/>
  <c r="Q370"/>
  <c r="P370"/>
  <c r="O370"/>
  <c r="N370"/>
  <c r="M370"/>
  <c r="L370"/>
  <c r="K370"/>
  <c r="J370"/>
  <c r="I370"/>
  <c r="H370"/>
  <c r="G370"/>
  <c r="F370"/>
  <c r="E370"/>
  <c r="D370"/>
  <c r="AI369"/>
  <c r="AH369"/>
  <c r="AG369"/>
  <c r="AF369"/>
  <c r="AE369"/>
  <c r="AD369"/>
  <c r="AC369"/>
  <c r="AB369"/>
  <c r="AA369"/>
  <c r="Z369"/>
  <c r="Y369"/>
  <c r="X369"/>
  <c r="W369"/>
  <c r="V369"/>
  <c r="U369"/>
  <c r="T369"/>
  <c r="S369"/>
  <c r="R369"/>
  <c r="Q369"/>
  <c r="P369"/>
  <c r="O369"/>
  <c r="N369"/>
  <c r="M369"/>
  <c r="L369"/>
  <c r="K369"/>
  <c r="J369"/>
  <c r="I369"/>
  <c r="H369"/>
  <c r="G369"/>
  <c r="F369"/>
  <c r="E369"/>
  <c r="D369"/>
  <c r="AI368"/>
  <c r="AH368"/>
  <c r="AG368"/>
  <c r="AF368"/>
  <c r="AE368"/>
  <c r="AD368"/>
  <c r="AC368"/>
  <c r="AB368"/>
  <c r="AA368"/>
  <c r="Z368"/>
  <c r="Y368"/>
  <c r="X368"/>
  <c r="W368"/>
  <c r="V368"/>
  <c r="U368"/>
  <c r="T368"/>
  <c r="S368"/>
  <c r="R368"/>
  <c r="Q368"/>
  <c r="P368"/>
  <c r="O368"/>
  <c r="N368"/>
  <c r="M368"/>
  <c r="L368"/>
  <c r="K368"/>
  <c r="J368"/>
  <c r="I368"/>
  <c r="H368"/>
  <c r="G368"/>
  <c r="F368"/>
  <c r="E368"/>
  <c r="D368"/>
  <c r="AI367"/>
  <c r="AH367"/>
  <c r="AG367"/>
  <c r="AF367"/>
  <c r="AE367"/>
  <c r="AD367"/>
  <c r="AC367"/>
  <c r="AB367"/>
  <c r="AA367"/>
  <c r="Z367"/>
  <c r="Y367"/>
  <c r="X367"/>
  <c r="W367"/>
  <c r="V367"/>
  <c r="U367"/>
  <c r="T367"/>
  <c r="S367"/>
  <c r="R367"/>
  <c r="Q367"/>
  <c r="P367"/>
  <c r="O367"/>
  <c r="N367"/>
  <c r="M367"/>
  <c r="L367"/>
  <c r="K367"/>
  <c r="J367"/>
  <c r="I367"/>
  <c r="H367"/>
  <c r="G367"/>
  <c r="F367"/>
  <c r="E367"/>
  <c r="D367"/>
  <c r="AI366"/>
  <c r="AH366"/>
  <c r="AG366"/>
  <c r="AF366"/>
  <c r="AE366"/>
  <c r="AD366"/>
  <c r="AC366"/>
  <c r="AB366"/>
  <c r="AA366"/>
  <c r="Z366"/>
  <c r="Y366"/>
  <c r="X366"/>
  <c r="W366"/>
  <c r="V366"/>
  <c r="U366"/>
  <c r="T366"/>
  <c r="S366"/>
  <c r="R366"/>
  <c r="Q366"/>
  <c r="P366"/>
  <c r="O366"/>
  <c r="N366"/>
  <c r="M366"/>
  <c r="L366"/>
  <c r="K366"/>
  <c r="J366"/>
  <c r="I366"/>
  <c r="H366"/>
  <c r="G366"/>
  <c r="F366"/>
  <c r="E366"/>
  <c r="D366"/>
  <c r="AI365"/>
  <c r="AH365"/>
  <c r="AG365"/>
  <c r="AF365"/>
  <c r="AE365"/>
  <c r="AD365"/>
  <c r="AC365"/>
  <c r="AB365"/>
  <c r="AA365"/>
  <c r="Z365"/>
  <c r="Y365"/>
  <c r="X365"/>
  <c r="W365"/>
  <c r="V365"/>
  <c r="U365"/>
  <c r="T365"/>
  <c r="S365"/>
  <c r="R365"/>
  <c r="Q365"/>
  <c r="P365"/>
  <c r="O365"/>
  <c r="N365"/>
  <c r="M365"/>
  <c r="L365"/>
  <c r="K365"/>
  <c r="J365"/>
  <c r="I365"/>
  <c r="H365"/>
  <c r="G365"/>
  <c r="F365"/>
  <c r="E365"/>
  <c r="D365"/>
  <c r="AI364"/>
  <c r="AH364"/>
  <c r="AG364"/>
  <c r="AF364"/>
  <c r="AE364"/>
  <c r="AD364"/>
  <c r="AC364"/>
  <c r="AB364"/>
  <c r="AA364"/>
  <c r="Z364"/>
  <c r="Y364"/>
  <c r="X364"/>
  <c r="W364"/>
  <c r="V364"/>
  <c r="U364"/>
  <c r="T364"/>
  <c r="S364"/>
  <c r="R364"/>
  <c r="Q364"/>
  <c r="P364"/>
  <c r="O364"/>
  <c r="N364"/>
  <c r="M364"/>
  <c r="L364"/>
  <c r="K364"/>
  <c r="J364"/>
  <c r="I364"/>
  <c r="H364"/>
  <c r="G364"/>
  <c r="F364"/>
  <c r="E364"/>
  <c r="D364"/>
  <c r="AI363"/>
  <c r="AH363"/>
  <c r="AG363"/>
  <c r="AF363"/>
  <c r="AE363"/>
  <c r="AD363"/>
  <c r="AC363"/>
  <c r="AB363"/>
  <c r="AA363"/>
  <c r="Z363"/>
  <c r="Y363"/>
  <c r="X363"/>
  <c r="W363"/>
  <c r="V363"/>
  <c r="U363"/>
  <c r="T363"/>
  <c r="S363"/>
  <c r="R363"/>
  <c r="Q363"/>
  <c r="P363"/>
  <c r="O363"/>
  <c r="N363"/>
  <c r="M363"/>
  <c r="L363"/>
  <c r="K363"/>
  <c r="J363"/>
  <c r="I363"/>
  <c r="H363"/>
  <c r="G363"/>
  <c r="F363"/>
  <c r="E363"/>
  <c r="D363"/>
  <c r="AI362"/>
  <c r="AH362"/>
  <c r="AG362"/>
  <c r="AF362"/>
  <c r="AE362"/>
  <c r="AD362"/>
  <c r="AC362"/>
  <c r="AB362"/>
  <c r="AA362"/>
  <c r="Z362"/>
  <c r="Y362"/>
  <c r="X362"/>
  <c r="W362"/>
  <c r="V362"/>
  <c r="U362"/>
  <c r="T362"/>
  <c r="S362"/>
  <c r="R362"/>
  <c r="Q362"/>
  <c r="P362"/>
  <c r="O362"/>
  <c r="N362"/>
  <c r="M362"/>
  <c r="L362"/>
  <c r="K362"/>
  <c r="J362"/>
  <c r="I362"/>
  <c r="H362"/>
  <c r="G362"/>
  <c r="F362"/>
  <c r="E362"/>
  <c r="D362"/>
  <c r="AI361"/>
  <c r="AH361"/>
  <c r="AG361"/>
  <c r="AF361"/>
  <c r="AE361"/>
  <c r="AD361"/>
  <c r="AC361"/>
  <c r="AB361"/>
  <c r="AA361"/>
  <c r="Z361"/>
  <c r="Y361"/>
  <c r="X361"/>
  <c r="W361"/>
  <c r="V361"/>
  <c r="U361"/>
  <c r="T361"/>
  <c r="S361"/>
  <c r="R361"/>
  <c r="Q361"/>
  <c r="P361"/>
  <c r="O361"/>
  <c r="N361"/>
  <c r="M361"/>
  <c r="L361"/>
  <c r="K361"/>
  <c r="J361"/>
  <c r="I361"/>
  <c r="H361"/>
  <c r="G361"/>
  <c r="F361"/>
  <c r="E361"/>
  <c r="D361"/>
  <c r="AI360"/>
  <c r="AH360"/>
  <c r="AG360"/>
  <c r="AF360"/>
  <c r="AE360"/>
  <c r="AD360"/>
  <c r="AC360"/>
  <c r="AB360"/>
  <c r="AA360"/>
  <c r="Z360"/>
  <c r="Y360"/>
  <c r="X360"/>
  <c r="W360"/>
  <c r="V360"/>
  <c r="U360"/>
  <c r="T360"/>
  <c r="S360"/>
  <c r="R360"/>
  <c r="Q360"/>
  <c r="P360"/>
  <c r="O360"/>
  <c r="N360"/>
  <c r="M360"/>
  <c r="L360"/>
  <c r="K360"/>
  <c r="J360"/>
  <c r="I360"/>
  <c r="H360"/>
  <c r="G360"/>
  <c r="F360"/>
  <c r="E360"/>
  <c r="D360"/>
  <c r="AI359"/>
  <c r="AH359"/>
  <c r="AG359"/>
  <c r="AF359"/>
  <c r="AE359"/>
  <c r="AD359"/>
  <c r="AC359"/>
  <c r="AB359"/>
  <c r="AA359"/>
  <c r="Z359"/>
  <c r="Y359"/>
  <c r="X359"/>
  <c r="W359"/>
  <c r="V359"/>
  <c r="U359"/>
  <c r="T359"/>
  <c r="S359"/>
  <c r="R359"/>
  <c r="Q359"/>
  <c r="P359"/>
  <c r="O359"/>
  <c r="N359"/>
  <c r="M359"/>
  <c r="L359"/>
  <c r="K359"/>
  <c r="J359"/>
  <c r="I359"/>
  <c r="H359"/>
  <c r="G359"/>
  <c r="F359"/>
  <c r="E359"/>
  <c r="D359"/>
  <c r="AI358"/>
  <c r="AH358"/>
  <c r="AG358"/>
  <c r="AF358"/>
  <c r="AE358"/>
  <c r="AD358"/>
  <c r="AC358"/>
  <c r="AB358"/>
  <c r="AA358"/>
  <c r="Z358"/>
  <c r="Y358"/>
  <c r="X358"/>
  <c r="W358"/>
  <c r="V358"/>
  <c r="U358"/>
  <c r="T358"/>
  <c r="S358"/>
  <c r="R358"/>
  <c r="Q358"/>
  <c r="P358"/>
  <c r="O358"/>
  <c r="N358"/>
  <c r="M358"/>
  <c r="L358"/>
  <c r="K358"/>
  <c r="J358"/>
  <c r="I358"/>
  <c r="H358"/>
  <c r="G358"/>
  <c r="F358"/>
  <c r="E358"/>
  <c r="D358"/>
  <c r="AI357"/>
  <c r="AH357"/>
  <c r="AG357"/>
  <c r="AF357"/>
  <c r="AE357"/>
  <c r="AD357"/>
  <c r="AC357"/>
  <c r="AB357"/>
  <c r="AA357"/>
  <c r="Z357"/>
  <c r="Y357"/>
  <c r="X357"/>
  <c r="W357"/>
  <c r="V357"/>
  <c r="U357"/>
  <c r="T357"/>
  <c r="S357"/>
  <c r="R357"/>
  <c r="Q357"/>
  <c r="P357"/>
  <c r="O357"/>
  <c r="N357"/>
  <c r="M357"/>
  <c r="L357"/>
  <c r="K357"/>
  <c r="J357"/>
  <c r="I357"/>
  <c r="H357"/>
  <c r="G357"/>
  <c r="F357"/>
  <c r="E357"/>
  <c r="D357"/>
  <c r="AI356"/>
  <c r="AH356"/>
  <c r="AG356"/>
  <c r="AF356"/>
  <c r="AE356"/>
  <c r="AD356"/>
  <c r="AC356"/>
  <c r="AB356"/>
  <c r="AA356"/>
  <c r="Z356"/>
  <c r="Y356"/>
  <c r="X356"/>
  <c r="W356"/>
  <c r="V356"/>
  <c r="U356"/>
  <c r="T356"/>
  <c r="S356"/>
  <c r="R356"/>
  <c r="Q356"/>
  <c r="P356"/>
  <c r="O356"/>
  <c r="N356"/>
  <c r="M356"/>
  <c r="L356"/>
  <c r="K356"/>
  <c r="J356"/>
  <c r="I356"/>
  <c r="H356"/>
  <c r="G356"/>
  <c r="F356"/>
  <c r="E356"/>
  <c r="D356"/>
  <c r="AI355"/>
  <c r="AH355"/>
  <c r="AG355"/>
  <c r="AF355"/>
  <c r="AE355"/>
  <c r="AD355"/>
  <c r="AC355"/>
  <c r="AB355"/>
  <c r="AA355"/>
  <c r="Z355"/>
  <c r="Y355"/>
  <c r="X355"/>
  <c r="W355"/>
  <c r="V355"/>
  <c r="U355"/>
  <c r="T355"/>
  <c r="S355"/>
  <c r="R355"/>
  <c r="Q355"/>
  <c r="P355"/>
  <c r="O355"/>
  <c r="N355"/>
  <c r="M355"/>
  <c r="L355"/>
  <c r="K355"/>
  <c r="J355"/>
  <c r="I355"/>
  <c r="H355"/>
  <c r="G355"/>
  <c r="F355"/>
  <c r="E355"/>
  <c r="D355"/>
  <c r="AI354"/>
  <c r="AH354"/>
  <c r="AG354"/>
  <c r="AF354"/>
  <c r="AE354"/>
  <c r="AD354"/>
  <c r="AC354"/>
  <c r="AB354"/>
  <c r="AA354"/>
  <c r="Z354"/>
  <c r="Y354"/>
  <c r="X354"/>
  <c r="W354"/>
  <c r="V354"/>
  <c r="U354"/>
  <c r="T354"/>
  <c r="S354"/>
  <c r="R354"/>
  <c r="Q354"/>
  <c r="P354"/>
  <c r="O354"/>
  <c r="N354"/>
  <c r="M354"/>
  <c r="L354"/>
  <c r="K354"/>
  <c r="J354"/>
  <c r="I354"/>
  <c r="H354"/>
  <c r="G354"/>
  <c r="F354"/>
  <c r="E354"/>
  <c r="D354"/>
  <c r="AI353"/>
  <c r="AH353"/>
  <c r="AG353"/>
  <c r="AF353"/>
  <c r="AE353"/>
  <c r="AD353"/>
  <c r="AC353"/>
  <c r="AB353"/>
  <c r="AA353"/>
  <c r="Z353"/>
  <c r="Y353"/>
  <c r="X353"/>
  <c r="W353"/>
  <c r="V353"/>
  <c r="U353"/>
  <c r="T353"/>
  <c r="S353"/>
  <c r="R353"/>
  <c r="Q353"/>
  <c r="P353"/>
  <c r="O353"/>
  <c r="N353"/>
  <c r="M353"/>
  <c r="L353"/>
  <c r="K353"/>
  <c r="J353"/>
  <c r="I353"/>
  <c r="H353"/>
  <c r="G353"/>
  <c r="F353"/>
  <c r="E353"/>
  <c r="D353"/>
  <c r="AI352"/>
  <c r="AH352"/>
  <c r="C520" s="1"/>
  <c r="AG352"/>
  <c r="AF352"/>
  <c r="AE352"/>
  <c r="AD352"/>
  <c r="AC352"/>
  <c r="AB352"/>
  <c r="AA352"/>
  <c r="Z352"/>
  <c r="Y352"/>
  <c r="X352"/>
  <c r="W352"/>
  <c r="V352"/>
  <c r="U352"/>
  <c r="T352"/>
  <c r="S352"/>
  <c r="R352"/>
  <c r="Q352"/>
  <c r="P352"/>
  <c r="O352"/>
  <c r="N352"/>
  <c r="M352"/>
  <c r="L352"/>
  <c r="K352"/>
  <c r="J352"/>
  <c r="I352"/>
  <c r="H352"/>
  <c r="G352"/>
  <c r="F352"/>
  <c r="E352"/>
  <c r="D352"/>
  <c r="AI351"/>
  <c r="AH351"/>
  <c r="AG351"/>
  <c r="AF351"/>
  <c r="AE351"/>
  <c r="AD351"/>
  <c r="AC351"/>
  <c r="AB351"/>
  <c r="AA351"/>
  <c r="Z351"/>
  <c r="Y351"/>
  <c r="X351"/>
  <c r="W351"/>
  <c r="V351"/>
  <c r="U351"/>
  <c r="T351"/>
  <c r="S351"/>
  <c r="R351"/>
  <c r="Q351"/>
  <c r="P351"/>
  <c r="O351"/>
  <c r="N351"/>
  <c r="M351"/>
  <c r="L351"/>
  <c r="K351"/>
  <c r="J351"/>
  <c r="I351"/>
  <c r="H351"/>
  <c r="G351"/>
  <c r="F351"/>
  <c r="E351"/>
  <c r="D351"/>
  <c r="AI350"/>
  <c r="AH350"/>
  <c r="AG350"/>
  <c r="AF350"/>
  <c r="AE350"/>
  <c r="AD350"/>
  <c r="AC350"/>
  <c r="AB350"/>
  <c r="AA350"/>
  <c r="Z350"/>
  <c r="Y350"/>
  <c r="X350"/>
  <c r="W350"/>
  <c r="V350"/>
  <c r="U350"/>
  <c r="T350"/>
  <c r="S350"/>
  <c r="R350"/>
  <c r="Q350"/>
  <c r="P350"/>
  <c r="O350"/>
  <c r="N350"/>
  <c r="M350"/>
  <c r="L350"/>
  <c r="K350"/>
  <c r="J350"/>
  <c r="I350"/>
  <c r="H350"/>
  <c r="G350"/>
  <c r="F350"/>
  <c r="E350"/>
  <c r="D350"/>
  <c r="AI349"/>
  <c r="AH349"/>
  <c r="AG349"/>
  <c r="AF349"/>
  <c r="AE349"/>
  <c r="AD349"/>
  <c r="AC349"/>
  <c r="AB349"/>
  <c r="AA349"/>
  <c r="Z349"/>
  <c r="Y349"/>
  <c r="X349"/>
  <c r="W349"/>
  <c r="V349"/>
  <c r="U349"/>
  <c r="T349"/>
  <c r="S349"/>
  <c r="R349"/>
  <c r="Q349"/>
  <c r="P349"/>
  <c r="O349"/>
  <c r="N349"/>
  <c r="M349"/>
  <c r="L349"/>
  <c r="K349"/>
  <c r="J349"/>
  <c r="I349"/>
  <c r="H349"/>
  <c r="G349"/>
  <c r="F349"/>
  <c r="E349"/>
  <c r="D349"/>
  <c r="AI348"/>
  <c r="AH348"/>
  <c r="AG348"/>
  <c r="AF348"/>
  <c r="AE348"/>
  <c r="AD348"/>
  <c r="AC348"/>
  <c r="AB348"/>
  <c r="AA348"/>
  <c r="Z348"/>
  <c r="Y348"/>
  <c r="X348"/>
  <c r="W348"/>
  <c r="V348"/>
  <c r="U348"/>
  <c r="T348"/>
  <c r="S348"/>
  <c r="R348"/>
  <c r="Q348"/>
  <c r="P348"/>
  <c r="O348"/>
  <c r="N348"/>
  <c r="M348"/>
  <c r="L348"/>
  <c r="K348"/>
  <c r="J348"/>
  <c r="I348"/>
  <c r="H348"/>
  <c r="G348"/>
  <c r="F348"/>
  <c r="E348"/>
  <c r="D348"/>
  <c r="AI347"/>
  <c r="AH347"/>
  <c r="AG347"/>
  <c r="AF347"/>
  <c r="AE347"/>
  <c r="AD347"/>
  <c r="AC347"/>
  <c r="AB347"/>
  <c r="AA347"/>
  <c r="Z347"/>
  <c r="Y347"/>
  <c r="X347"/>
  <c r="W347"/>
  <c r="V347"/>
  <c r="U347"/>
  <c r="T347"/>
  <c r="S347"/>
  <c r="R347"/>
  <c r="Q347"/>
  <c r="P347"/>
  <c r="O347"/>
  <c r="N347"/>
  <c r="M347"/>
  <c r="L347"/>
  <c r="K347"/>
  <c r="J347"/>
  <c r="I347"/>
  <c r="H347"/>
  <c r="G347"/>
  <c r="F347"/>
  <c r="E347"/>
  <c r="D347"/>
  <c r="AI346"/>
  <c r="AH346"/>
  <c r="AG346"/>
  <c r="AF346"/>
  <c r="AE346"/>
  <c r="AD346"/>
  <c r="AC346"/>
  <c r="AB346"/>
  <c r="AA346"/>
  <c r="Z346"/>
  <c r="Y346"/>
  <c r="X346"/>
  <c r="W346"/>
  <c r="V346"/>
  <c r="U346"/>
  <c r="T346"/>
  <c r="S346"/>
  <c r="R346"/>
  <c r="Q346"/>
  <c r="P346"/>
  <c r="O346"/>
  <c r="N346"/>
  <c r="M346"/>
  <c r="L346"/>
  <c r="K346"/>
  <c r="J346"/>
  <c r="I346"/>
  <c r="H346"/>
  <c r="G346"/>
  <c r="F346"/>
  <c r="E346"/>
  <c r="D346"/>
  <c r="AI345"/>
  <c r="AH345"/>
  <c r="AG345"/>
  <c r="AF345"/>
  <c r="AE345"/>
  <c r="AD345"/>
  <c r="AC345"/>
  <c r="AB345"/>
  <c r="AA345"/>
  <c r="Z345"/>
  <c r="Y345"/>
  <c r="X345"/>
  <c r="W345"/>
  <c r="V345"/>
  <c r="U345"/>
  <c r="T345"/>
  <c r="S345"/>
  <c r="R345"/>
  <c r="Q345"/>
  <c r="P345"/>
  <c r="O345"/>
  <c r="N345"/>
  <c r="M345"/>
  <c r="L345"/>
  <c r="K345"/>
  <c r="J345"/>
  <c r="I345"/>
  <c r="H345"/>
  <c r="G345"/>
  <c r="F345"/>
  <c r="E345"/>
  <c r="D345"/>
  <c r="AI344"/>
  <c r="AH344"/>
  <c r="AG344"/>
  <c r="AF344"/>
  <c r="AE344"/>
  <c r="AD344"/>
  <c r="AC344"/>
  <c r="AB344"/>
  <c r="AA344"/>
  <c r="Z344"/>
  <c r="Y344"/>
  <c r="X344"/>
  <c r="W344"/>
  <c r="V344"/>
  <c r="U344"/>
  <c r="T344"/>
  <c r="S344"/>
  <c r="R344"/>
  <c r="Q344"/>
  <c r="P344"/>
  <c r="O344"/>
  <c r="N344"/>
  <c r="M344"/>
  <c r="L344"/>
  <c r="K344"/>
  <c r="J344"/>
  <c r="I344"/>
  <c r="H344"/>
  <c r="G344"/>
  <c r="F344"/>
  <c r="E344"/>
  <c r="D344"/>
  <c r="AI343"/>
  <c r="AH343"/>
  <c r="AG343"/>
  <c r="AF343"/>
  <c r="AE343"/>
  <c r="AD343"/>
  <c r="AC343"/>
  <c r="AB343"/>
  <c r="AA343"/>
  <c r="Z343"/>
  <c r="Y343"/>
  <c r="X343"/>
  <c r="W343"/>
  <c r="V343"/>
  <c r="U343"/>
  <c r="T343"/>
  <c r="S343"/>
  <c r="R343"/>
  <c r="Q343"/>
  <c r="P343"/>
  <c r="O343"/>
  <c r="N343"/>
  <c r="M343"/>
  <c r="L343"/>
  <c r="K343"/>
  <c r="J343"/>
  <c r="I343"/>
  <c r="H343"/>
  <c r="G343"/>
  <c r="F343"/>
  <c r="E343"/>
  <c r="D343"/>
  <c r="AI342"/>
  <c r="AH342"/>
  <c r="AG342"/>
  <c r="AF342"/>
  <c r="AE342"/>
  <c r="AD342"/>
  <c r="AC342"/>
  <c r="AB342"/>
  <c r="AA342"/>
  <c r="Z342"/>
  <c r="Y342"/>
  <c r="X342"/>
  <c r="W342"/>
  <c r="V342"/>
  <c r="U342"/>
  <c r="T342"/>
  <c r="S342"/>
  <c r="R342"/>
  <c r="Q342"/>
  <c r="P342"/>
  <c r="O342"/>
  <c r="N342"/>
  <c r="M342"/>
  <c r="L342"/>
  <c r="K342"/>
  <c r="J342"/>
  <c r="I342"/>
  <c r="H342"/>
  <c r="G342"/>
  <c r="F342"/>
  <c r="E342"/>
  <c r="D342"/>
  <c r="AI341"/>
  <c r="AH341"/>
  <c r="AG341"/>
  <c r="AF341"/>
  <c r="AE341"/>
  <c r="AD341"/>
  <c r="AC341"/>
  <c r="AB341"/>
  <c r="AA341"/>
  <c r="Z341"/>
  <c r="Y341"/>
  <c r="X341"/>
  <c r="W341"/>
  <c r="V341"/>
  <c r="U341"/>
  <c r="T341"/>
  <c r="S341"/>
  <c r="R341"/>
  <c r="Q341"/>
  <c r="P341"/>
  <c r="O341"/>
  <c r="N341"/>
  <c r="M341"/>
  <c r="L341"/>
  <c r="K341"/>
  <c r="J341"/>
  <c r="I341"/>
  <c r="H341"/>
  <c r="G341"/>
  <c r="F341"/>
  <c r="E341"/>
  <c r="D341"/>
  <c r="AI340"/>
  <c r="AH340"/>
  <c r="AG340"/>
  <c r="AF340"/>
  <c r="AE340"/>
  <c r="AD340"/>
  <c r="AC340"/>
  <c r="AB340"/>
  <c r="AA340"/>
  <c r="Z340"/>
  <c r="Y340"/>
  <c r="X340"/>
  <c r="W340"/>
  <c r="V340"/>
  <c r="U340"/>
  <c r="T340"/>
  <c r="S340"/>
  <c r="R340"/>
  <c r="Q340"/>
  <c r="P340"/>
  <c r="O340"/>
  <c r="N340"/>
  <c r="M340"/>
  <c r="L340"/>
  <c r="K340"/>
  <c r="J340"/>
  <c r="I340"/>
  <c r="H340"/>
  <c r="G340"/>
  <c r="F340"/>
  <c r="E340"/>
  <c r="D340"/>
  <c r="AI339"/>
  <c r="AH339"/>
  <c r="AG339"/>
  <c r="AF339"/>
  <c r="AE339"/>
  <c r="AD339"/>
  <c r="AC339"/>
  <c r="AB339"/>
  <c r="AA339"/>
  <c r="Z339"/>
  <c r="Y339"/>
  <c r="X339"/>
  <c r="W339"/>
  <c r="V339"/>
  <c r="U339"/>
  <c r="T339"/>
  <c r="S339"/>
  <c r="R339"/>
  <c r="Q339"/>
  <c r="P339"/>
  <c r="O339"/>
  <c r="N339"/>
  <c r="M339"/>
  <c r="L339"/>
  <c r="K339"/>
  <c r="J339"/>
  <c r="I339"/>
  <c r="H339"/>
  <c r="G339"/>
  <c r="F339"/>
  <c r="E339"/>
  <c r="D339"/>
  <c r="AI338"/>
  <c r="AH338"/>
  <c r="AG338"/>
  <c r="AF338"/>
  <c r="AE338"/>
  <c r="AD338"/>
  <c r="AC338"/>
  <c r="AB338"/>
  <c r="AA338"/>
  <c r="Z338"/>
  <c r="Y338"/>
  <c r="X338"/>
  <c r="W338"/>
  <c r="V338"/>
  <c r="U338"/>
  <c r="T338"/>
  <c r="S338"/>
  <c r="R338"/>
  <c r="Q338"/>
  <c r="P338"/>
  <c r="O338"/>
  <c r="N338"/>
  <c r="M338"/>
  <c r="L338"/>
  <c r="K338"/>
  <c r="J338"/>
  <c r="I338"/>
  <c r="H338"/>
  <c r="G338"/>
  <c r="F338"/>
  <c r="E338"/>
  <c r="D338"/>
  <c r="AI337"/>
  <c r="AH337"/>
  <c r="AG337"/>
  <c r="AF337"/>
  <c r="AE337"/>
  <c r="AD337"/>
  <c r="AC337"/>
  <c r="AB337"/>
  <c r="AA337"/>
  <c r="Z337"/>
  <c r="Y337"/>
  <c r="X337"/>
  <c r="W337"/>
  <c r="V337"/>
  <c r="U337"/>
  <c r="T337"/>
  <c r="S337"/>
  <c r="R337"/>
  <c r="Q337"/>
  <c r="P337"/>
  <c r="O337"/>
  <c r="N337"/>
  <c r="M337"/>
  <c r="L337"/>
  <c r="K337"/>
  <c r="J337"/>
  <c r="I337"/>
  <c r="H337"/>
  <c r="G337"/>
  <c r="F337"/>
  <c r="E337"/>
  <c r="D337"/>
  <c r="AI336"/>
  <c r="AH336"/>
  <c r="AG336"/>
  <c r="AF336"/>
  <c r="AE336"/>
  <c r="AD336"/>
  <c r="AC336"/>
  <c r="AB336"/>
  <c r="AA336"/>
  <c r="Z336"/>
  <c r="Y336"/>
  <c r="X336"/>
  <c r="W336"/>
  <c r="V336"/>
  <c r="U336"/>
  <c r="T336"/>
  <c r="S336"/>
  <c r="R336"/>
  <c r="Q336"/>
  <c r="P336"/>
  <c r="O336"/>
  <c r="N336"/>
  <c r="M336"/>
  <c r="L336"/>
  <c r="K336"/>
  <c r="J336"/>
  <c r="I336"/>
  <c r="H336"/>
  <c r="G336"/>
  <c r="F336"/>
  <c r="E336"/>
  <c r="D336"/>
  <c r="AI335"/>
  <c r="AH335"/>
  <c r="AG335"/>
  <c r="AF335"/>
  <c r="AE335"/>
  <c r="AD335"/>
  <c r="AC335"/>
  <c r="AB335"/>
  <c r="AA335"/>
  <c r="Z335"/>
  <c r="Y335"/>
  <c r="X335"/>
  <c r="W335"/>
  <c r="V335"/>
  <c r="U335"/>
  <c r="T335"/>
  <c r="S335"/>
  <c r="R335"/>
  <c r="Q335"/>
  <c r="P335"/>
  <c r="O335"/>
  <c r="N335"/>
  <c r="M335"/>
  <c r="L335"/>
  <c r="K335"/>
  <c r="J335"/>
  <c r="I335"/>
  <c r="H335"/>
  <c r="G335"/>
  <c r="F335"/>
  <c r="E335"/>
  <c r="D335"/>
  <c r="AI334"/>
  <c r="AH334"/>
  <c r="AG334"/>
  <c r="AF334"/>
  <c r="AE334"/>
  <c r="AD334"/>
  <c r="AC334"/>
  <c r="AB334"/>
  <c r="AA334"/>
  <c r="Z334"/>
  <c r="Y334"/>
  <c r="X334"/>
  <c r="W334"/>
  <c r="V334"/>
  <c r="U334"/>
  <c r="T334"/>
  <c r="S334"/>
  <c r="R334"/>
  <c r="Q334"/>
  <c r="P334"/>
  <c r="O334"/>
  <c r="N334"/>
  <c r="M334"/>
  <c r="L334"/>
  <c r="K334"/>
  <c r="J334"/>
  <c r="I334"/>
  <c r="H334"/>
  <c r="G334"/>
  <c r="F334"/>
  <c r="E334"/>
  <c r="D334"/>
  <c r="AI333"/>
  <c r="AH333"/>
  <c r="AG333"/>
  <c r="AF333"/>
  <c r="AE333"/>
  <c r="AD333"/>
  <c r="AC333"/>
  <c r="AB333"/>
  <c r="AA333"/>
  <c r="Z333"/>
  <c r="Y333"/>
  <c r="X333"/>
  <c r="W333"/>
  <c r="V333"/>
  <c r="U333"/>
  <c r="T333"/>
  <c r="S333"/>
  <c r="R333"/>
  <c r="Q333"/>
  <c r="P333"/>
  <c r="O333"/>
  <c r="N333"/>
  <c r="M333"/>
  <c r="L333"/>
  <c r="K333"/>
  <c r="J333"/>
  <c r="I333"/>
  <c r="H333"/>
  <c r="G333"/>
  <c r="F333"/>
  <c r="E333"/>
  <c r="D333"/>
  <c r="AI332"/>
  <c r="AH332"/>
  <c r="AG332"/>
  <c r="AF332"/>
  <c r="AE332"/>
  <c r="AD332"/>
  <c r="AC332"/>
  <c r="AB332"/>
  <c r="AA332"/>
  <c r="Z332"/>
  <c r="Y332"/>
  <c r="X332"/>
  <c r="W332"/>
  <c r="V332"/>
  <c r="U332"/>
  <c r="T332"/>
  <c r="S332"/>
  <c r="R332"/>
  <c r="Q332"/>
  <c r="P332"/>
  <c r="O332"/>
  <c r="N332"/>
  <c r="M332"/>
  <c r="L332"/>
  <c r="K332"/>
  <c r="J332"/>
  <c r="I332"/>
  <c r="H332"/>
  <c r="G332"/>
  <c r="F332"/>
  <c r="E332"/>
  <c r="D332"/>
  <c r="AI331"/>
  <c r="AH331"/>
  <c r="AG331"/>
  <c r="AF331"/>
  <c r="AE331"/>
  <c r="AD331"/>
  <c r="AC331"/>
  <c r="AB331"/>
  <c r="AA331"/>
  <c r="Z331"/>
  <c r="Y331"/>
  <c r="X331"/>
  <c r="W331"/>
  <c r="V331"/>
  <c r="U331"/>
  <c r="T331"/>
  <c r="S331"/>
  <c r="R331"/>
  <c r="Q331"/>
  <c r="P331"/>
  <c r="O331"/>
  <c r="N331"/>
  <c r="M331"/>
  <c r="L331"/>
  <c r="K331"/>
  <c r="J331"/>
  <c r="I331"/>
  <c r="H331"/>
  <c r="G331"/>
  <c r="F331"/>
  <c r="E331"/>
  <c r="D331"/>
  <c r="AI330"/>
  <c r="AH330"/>
  <c r="AG330"/>
  <c r="AF330"/>
  <c r="AE330"/>
  <c r="AD330"/>
  <c r="AC330"/>
  <c r="AB330"/>
  <c r="AA330"/>
  <c r="Z330"/>
  <c r="Y330"/>
  <c r="X330"/>
  <c r="W330"/>
  <c r="V330"/>
  <c r="U330"/>
  <c r="T330"/>
  <c r="S330"/>
  <c r="R330"/>
  <c r="Q330"/>
  <c r="P330"/>
  <c r="O330"/>
  <c r="N330"/>
  <c r="M330"/>
  <c r="L330"/>
  <c r="K330"/>
  <c r="J330"/>
  <c r="I330"/>
  <c r="H330"/>
  <c r="G330"/>
  <c r="F330"/>
  <c r="E330"/>
  <c r="D330"/>
  <c r="AI329"/>
  <c r="AH329"/>
  <c r="AG329"/>
  <c r="AF329"/>
  <c r="AE329"/>
  <c r="AD329"/>
  <c r="AC329"/>
  <c r="AB329"/>
  <c r="AA329"/>
  <c r="Z329"/>
  <c r="Y329"/>
  <c r="X329"/>
  <c r="W329"/>
  <c r="V329"/>
  <c r="U329"/>
  <c r="T329"/>
  <c r="S329"/>
  <c r="R329"/>
  <c r="Q329"/>
  <c r="P329"/>
  <c r="O329"/>
  <c r="N329"/>
  <c r="M329"/>
  <c r="L329"/>
  <c r="K329"/>
  <c r="J329"/>
  <c r="I329"/>
  <c r="H329"/>
  <c r="G329"/>
  <c r="F329"/>
  <c r="E329"/>
  <c r="D329"/>
  <c r="AI328"/>
  <c r="AH328"/>
  <c r="AG328"/>
  <c r="AF328"/>
  <c r="AE328"/>
  <c r="AD328"/>
  <c r="AC328"/>
  <c r="AB328"/>
  <c r="AA328"/>
  <c r="Z328"/>
  <c r="Y328"/>
  <c r="X328"/>
  <c r="W328"/>
  <c r="V328"/>
  <c r="U328"/>
  <c r="T328"/>
  <c r="S328"/>
  <c r="R328"/>
  <c r="Q328"/>
  <c r="P328"/>
  <c r="O328"/>
  <c r="N328"/>
  <c r="M328"/>
  <c r="L328"/>
  <c r="K328"/>
  <c r="J328"/>
  <c r="I328"/>
  <c r="H328"/>
  <c r="G328"/>
  <c r="F328"/>
  <c r="E328"/>
  <c r="D328"/>
  <c r="AI327"/>
  <c r="AH327"/>
  <c r="AG327"/>
  <c r="AF327"/>
  <c r="AE327"/>
  <c r="AD327"/>
  <c r="AC327"/>
  <c r="AB327"/>
  <c r="AA327"/>
  <c r="Z327"/>
  <c r="Y327"/>
  <c r="X327"/>
  <c r="W327"/>
  <c r="V327"/>
  <c r="U327"/>
  <c r="T327"/>
  <c r="S327"/>
  <c r="R327"/>
  <c r="Q327"/>
  <c r="P327"/>
  <c r="O327"/>
  <c r="N327"/>
  <c r="M327"/>
  <c r="L327"/>
  <c r="K327"/>
  <c r="J327"/>
  <c r="I327"/>
  <c r="H327"/>
  <c r="G327"/>
  <c r="F327"/>
  <c r="E327"/>
  <c r="D327"/>
  <c r="AI326"/>
  <c r="AH326"/>
  <c r="AG326"/>
  <c r="AF326"/>
  <c r="AE326"/>
  <c r="AD326"/>
  <c r="AC326"/>
  <c r="AB326"/>
  <c r="AA326"/>
  <c r="Z326"/>
  <c r="Y326"/>
  <c r="X326"/>
  <c r="W326"/>
  <c r="V326"/>
  <c r="U326"/>
  <c r="T326"/>
  <c r="S326"/>
  <c r="R326"/>
  <c r="Q326"/>
  <c r="P326"/>
  <c r="O326"/>
  <c r="N326"/>
  <c r="M326"/>
  <c r="L326"/>
  <c r="K326"/>
  <c r="J326"/>
  <c r="I326"/>
  <c r="H326"/>
  <c r="G326"/>
  <c r="F326"/>
  <c r="E326"/>
  <c r="D326"/>
  <c r="AI325"/>
  <c r="AH325"/>
  <c r="AG325"/>
  <c r="AF325"/>
  <c r="AE325"/>
  <c r="AD325"/>
  <c r="AC325"/>
  <c r="AB325"/>
  <c r="AA325"/>
  <c r="Z325"/>
  <c r="Y325"/>
  <c r="X325"/>
  <c r="W325"/>
  <c r="V325"/>
  <c r="U325"/>
  <c r="T325"/>
  <c r="S325"/>
  <c r="R325"/>
  <c r="Q325"/>
  <c r="P325"/>
  <c r="O325"/>
  <c r="N325"/>
  <c r="M325"/>
  <c r="L325"/>
  <c r="K325"/>
  <c r="J325"/>
  <c r="I325"/>
  <c r="H325"/>
  <c r="G325"/>
  <c r="F325"/>
  <c r="E325"/>
  <c r="D325"/>
  <c r="AI324"/>
  <c r="AH324"/>
  <c r="AG324"/>
  <c r="AF324"/>
  <c r="AE324"/>
  <c r="AD324"/>
  <c r="AC324"/>
  <c r="AB324"/>
  <c r="AA324"/>
  <c r="Z324"/>
  <c r="Y324"/>
  <c r="X324"/>
  <c r="W324"/>
  <c r="V324"/>
  <c r="U324"/>
  <c r="T324"/>
  <c r="S324"/>
  <c r="R324"/>
  <c r="Q324"/>
  <c r="P324"/>
  <c r="O324"/>
  <c r="N324"/>
  <c r="M324"/>
  <c r="L324"/>
  <c r="K324"/>
  <c r="J324"/>
  <c r="I324"/>
  <c r="H324"/>
  <c r="G324"/>
  <c r="F324"/>
  <c r="E324"/>
  <c r="D324"/>
  <c r="AI323"/>
  <c r="AH323"/>
  <c r="AG323"/>
  <c r="AF323"/>
  <c r="AE323"/>
  <c r="AD323"/>
  <c r="AC323"/>
  <c r="AB323"/>
  <c r="AA323"/>
  <c r="Z323"/>
  <c r="Y323"/>
  <c r="X323"/>
  <c r="W323"/>
  <c r="V323"/>
  <c r="U323"/>
  <c r="T323"/>
  <c r="S323"/>
  <c r="R323"/>
  <c r="Q323"/>
  <c r="P323"/>
  <c r="O323"/>
  <c r="N323"/>
  <c r="M323"/>
  <c r="L323"/>
  <c r="K323"/>
  <c r="J323"/>
  <c r="I323"/>
  <c r="H323"/>
  <c r="G323"/>
  <c r="F323"/>
  <c r="E323"/>
  <c r="D323"/>
  <c r="AI322"/>
  <c r="AH322"/>
  <c r="AG322"/>
  <c r="AF322"/>
  <c r="AE322"/>
  <c r="AD322"/>
  <c r="AC322"/>
  <c r="AB322"/>
  <c r="AA322"/>
  <c r="Z322"/>
  <c r="Y322"/>
  <c r="X322"/>
  <c r="W322"/>
  <c r="V322"/>
  <c r="U322"/>
  <c r="T322"/>
  <c r="S322"/>
  <c r="R322"/>
  <c r="Q322"/>
  <c r="P322"/>
  <c r="O322"/>
  <c r="N322"/>
  <c r="M322"/>
  <c r="L322"/>
  <c r="K322"/>
  <c r="J322"/>
  <c r="I322"/>
  <c r="H322"/>
  <c r="G322"/>
  <c r="F322"/>
  <c r="E322"/>
  <c r="D322"/>
  <c r="AI321"/>
  <c r="AH321"/>
  <c r="AG321"/>
  <c r="AF321"/>
  <c r="AE321"/>
  <c r="AD321"/>
  <c r="AC321"/>
  <c r="AB321"/>
  <c r="AA321"/>
  <c r="Z321"/>
  <c r="Y321"/>
  <c r="X321"/>
  <c r="W321"/>
  <c r="V321"/>
  <c r="U321"/>
  <c r="T321"/>
  <c r="S321"/>
  <c r="R321"/>
  <c r="Q321"/>
  <c r="P321"/>
  <c r="O321"/>
  <c r="N321"/>
  <c r="M321"/>
  <c r="L321"/>
  <c r="K321"/>
  <c r="J321"/>
  <c r="I321"/>
  <c r="H321"/>
  <c r="G321"/>
  <c r="F321"/>
  <c r="E321"/>
  <c r="D321"/>
  <c r="AI320"/>
  <c r="AH320"/>
  <c r="AG320"/>
  <c r="AF320"/>
  <c r="AE320"/>
  <c r="AD320"/>
  <c r="AC320"/>
  <c r="AB320"/>
  <c r="AA320"/>
  <c r="Z320"/>
  <c r="Y320"/>
  <c r="X320"/>
  <c r="W320"/>
  <c r="V320"/>
  <c r="U320"/>
  <c r="T320"/>
  <c r="S320"/>
  <c r="R320"/>
  <c r="Q320"/>
  <c r="P320"/>
  <c r="O320"/>
  <c r="N320"/>
  <c r="M320"/>
  <c r="L320"/>
  <c r="K320"/>
  <c r="J320"/>
  <c r="I320"/>
  <c r="H320"/>
  <c r="G320"/>
  <c r="F320"/>
  <c r="E320"/>
  <c r="D320"/>
  <c r="AI319"/>
  <c r="AH319"/>
  <c r="AG319"/>
  <c r="AF319"/>
  <c r="AE319"/>
  <c r="AD319"/>
  <c r="AC319"/>
  <c r="AB319"/>
  <c r="AA319"/>
  <c r="Z319"/>
  <c r="Y319"/>
  <c r="X319"/>
  <c r="W319"/>
  <c r="V319"/>
  <c r="U319"/>
  <c r="T319"/>
  <c r="S319"/>
  <c r="R319"/>
  <c r="Q319"/>
  <c r="P319"/>
  <c r="O319"/>
  <c r="N319"/>
  <c r="M319"/>
  <c r="L319"/>
  <c r="K319"/>
  <c r="J319"/>
  <c r="I319"/>
  <c r="H319"/>
  <c r="G319"/>
  <c r="F319"/>
  <c r="E319"/>
  <c r="D319"/>
  <c r="AI318"/>
  <c r="AH318"/>
  <c r="AG318"/>
  <c r="AF318"/>
  <c r="AE318"/>
  <c r="AD318"/>
  <c r="AC318"/>
  <c r="AB318"/>
  <c r="AA318"/>
  <c r="Z318"/>
  <c r="Y318"/>
  <c r="X318"/>
  <c r="W318"/>
  <c r="V318"/>
  <c r="U318"/>
  <c r="T318"/>
  <c r="S318"/>
  <c r="R318"/>
  <c r="Q318"/>
  <c r="P318"/>
  <c r="O318"/>
  <c r="N318"/>
  <c r="M318"/>
  <c r="L318"/>
  <c r="K318"/>
  <c r="J318"/>
  <c r="I318"/>
  <c r="H318"/>
  <c r="G318"/>
  <c r="F318"/>
  <c r="E318"/>
  <c r="D318"/>
  <c r="AI317"/>
  <c r="AH317"/>
  <c r="AG317"/>
  <c r="AF317"/>
  <c r="AE317"/>
  <c r="AD317"/>
  <c r="AC317"/>
  <c r="AB317"/>
  <c r="AA317"/>
  <c r="Z317"/>
  <c r="Y317"/>
  <c r="X317"/>
  <c r="W317"/>
  <c r="V317"/>
  <c r="U317"/>
  <c r="T317"/>
  <c r="S317"/>
  <c r="R317"/>
  <c r="Q317"/>
  <c r="P317"/>
  <c r="O317"/>
  <c r="N317"/>
  <c r="M317"/>
  <c r="L317"/>
  <c r="K317"/>
  <c r="J317"/>
  <c r="I317"/>
  <c r="H317"/>
  <c r="G317"/>
  <c r="F317"/>
  <c r="E317"/>
  <c r="D317"/>
  <c r="AI316"/>
  <c r="AH316"/>
  <c r="AG316"/>
  <c r="AF316"/>
  <c r="AE316"/>
  <c r="AD316"/>
  <c r="AC316"/>
  <c r="AB316"/>
  <c r="AA316"/>
  <c r="Z316"/>
  <c r="Y316"/>
  <c r="X316"/>
  <c r="W316"/>
  <c r="V316"/>
  <c r="U316"/>
  <c r="T316"/>
  <c r="S316"/>
  <c r="R316"/>
  <c r="Q316"/>
  <c r="P316"/>
  <c r="O316"/>
  <c r="N316"/>
  <c r="M316"/>
  <c r="L316"/>
  <c r="K316"/>
  <c r="J316"/>
  <c r="I316"/>
  <c r="H316"/>
  <c r="G316"/>
  <c r="F316"/>
  <c r="E316"/>
  <c r="D316"/>
  <c r="AI315"/>
  <c r="AH315"/>
  <c r="AG315"/>
  <c r="AF315"/>
  <c r="AE315"/>
  <c r="AD315"/>
  <c r="AC315"/>
  <c r="AB315"/>
  <c r="AA315"/>
  <c r="Z315"/>
  <c r="Y315"/>
  <c r="X315"/>
  <c r="W315"/>
  <c r="V315"/>
  <c r="U315"/>
  <c r="T315"/>
  <c r="S315"/>
  <c r="R315"/>
  <c r="Q315"/>
  <c r="P315"/>
  <c r="O315"/>
  <c r="N315"/>
  <c r="M315"/>
  <c r="L315"/>
  <c r="K315"/>
  <c r="J315"/>
  <c r="I315"/>
  <c r="H315"/>
  <c r="G315"/>
  <c r="F315"/>
  <c r="E315"/>
  <c r="D315"/>
  <c r="AI314"/>
  <c r="AH314"/>
  <c r="AG314"/>
  <c r="AF314"/>
  <c r="AE314"/>
  <c r="AD314"/>
  <c r="AC314"/>
  <c r="AB314"/>
  <c r="AA314"/>
  <c r="Z314"/>
  <c r="Y314"/>
  <c r="X314"/>
  <c r="W314"/>
  <c r="V314"/>
  <c r="U314"/>
  <c r="T314"/>
  <c r="S314"/>
  <c r="R314"/>
  <c r="Q314"/>
  <c r="P314"/>
  <c r="O314"/>
  <c r="N314"/>
  <c r="M314"/>
  <c r="L314"/>
  <c r="K314"/>
  <c r="J314"/>
  <c r="I314"/>
  <c r="H314"/>
  <c r="G314"/>
  <c r="F314"/>
  <c r="E314"/>
  <c r="D314"/>
  <c r="AI313"/>
  <c r="AH313"/>
  <c r="AG313"/>
  <c r="AF313"/>
  <c r="AE313"/>
  <c r="AD313"/>
  <c r="AC313"/>
  <c r="AB313"/>
  <c r="AA313"/>
  <c r="Z313"/>
  <c r="Y313"/>
  <c r="X313"/>
  <c r="W313"/>
  <c r="V313"/>
  <c r="U313"/>
  <c r="T313"/>
  <c r="S313"/>
  <c r="R313"/>
  <c r="Q313"/>
  <c r="P313"/>
  <c r="O313"/>
  <c r="N313"/>
  <c r="M313"/>
  <c r="L313"/>
  <c r="K313"/>
  <c r="J313"/>
  <c r="I313"/>
  <c r="H313"/>
  <c r="G313"/>
  <c r="F313"/>
  <c r="E313"/>
  <c r="D313"/>
  <c r="AI312"/>
  <c r="AH312"/>
  <c r="AG312"/>
  <c r="AF312"/>
  <c r="AE312"/>
  <c r="AD312"/>
  <c r="AC312"/>
  <c r="AB312"/>
  <c r="AA312"/>
  <c r="Z312"/>
  <c r="Y312"/>
  <c r="X312"/>
  <c r="W312"/>
  <c r="V312"/>
  <c r="U312"/>
  <c r="T312"/>
  <c r="S312"/>
  <c r="R312"/>
  <c r="Q312"/>
  <c r="P312"/>
  <c r="O312"/>
  <c r="N312"/>
  <c r="M312"/>
  <c r="L312"/>
  <c r="K312"/>
  <c r="J312"/>
  <c r="I312"/>
  <c r="H312"/>
  <c r="G312"/>
  <c r="F312"/>
  <c r="E312"/>
  <c r="D312"/>
  <c r="AI311"/>
  <c r="AH311"/>
  <c r="AG311"/>
  <c r="AF311"/>
  <c r="AE311"/>
  <c r="AD311"/>
  <c r="AC311"/>
  <c r="AB311"/>
  <c r="AA311"/>
  <c r="Z311"/>
  <c r="Y311"/>
  <c r="X311"/>
  <c r="W311"/>
  <c r="V311"/>
  <c r="U311"/>
  <c r="T311"/>
  <c r="S311"/>
  <c r="R311"/>
  <c r="Q311"/>
  <c r="P311"/>
  <c r="O311"/>
  <c r="N311"/>
  <c r="M311"/>
  <c r="L311"/>
  <c r="K311"/>
  <c r="J311"/>
  <c r="I311"/>
  <c r="H311"/>
  <c r="G311"/>
  <c r="F311"/>
  <c r="E311"/>
  <c r="D311"/>
  <c r="AI310"/>
  <c r="AH310"/>
  <c r="AG310"/>
  <c r="AF310"/>
  <c r="AE310"/>
  <c r="AD310"/>
  <c r="AC310"/>
  <c r="AB310"/>
  <c r="AA310"/>
  <c r="Z310"/>
  <c r="Y310"/>
  <c r="X310"/>
  <c r="W310"/>
  <c r="V310"/>
  <c r="U310"/>
  <c r="T310"/>
  <c r="S310"/>
  <c r="R310"/>
  <c r="Q310"/>
  <c r="P310"/>
  <c r="O310"/>
  <c r="N310"/>
  <c r="M310"/>
  <c r="L310"/>
  <c r="K310"/>
  <c r="J310"/>
  <c r="I310"/>
  <c r="H310"/>
  <c r="G310"/>
  <c r="F310"/>
  <c r="E310"/>
  <c r="D310"/>
  <c r="AI309"/>
  <c r="AH309"/>
  <c r="AG309"/>
  <c r="AF309"/>
  <c r="AE309"/>
  <c r="AD309"/>
  <c r="AC309"/>
  <c r="AB309"/>
  <c r="AA309"/>
  <c r="Z309"/>
  <c r="Y309"/>
  <c r="X309"/>
  <c r="W309"/>
  <c r="V309"/>
  <c r="U309"/>
  <c r="T309"/>
  <c r="S309"/>
  <c r="R309"/>
  <c r="Q309"/>
  <c r="P309"/>
  <c r="O309"/>
  <c r="N309"/>
  <c r="M309"/>
  <c r="L309"/>
  <c r="K309"/>
  <c r="J309"/>
  <c r="I309"/>
  <c r="H309"/>
  <c r="G309"/>
  <c r="F309"/>
  <c r="E309"/>
  <c r="D309"/>
  <c r="AI308"/>
  <c r="AH308"/>
  <c r="AG308"/>
  <c r="AF308"/>
  <c r="AE308"/>
  <c r="AD308"/>
  <c r="AC308"/>
  <c r="AB308"/>
  <c r="AA308"/>
  <c r="Z308"/>
  <c r="Y308"/>
  <c r="X308"/>
  <c r="W308"/>
  <c r="V308"/>
  <c r="U308"/>
  <c r="T308"/>
  <c r="S308"/>
  <c r="R308"/>
  <c r="Q308"/>
  <c r="P308"/>
  <c r="O308"/>
  <c r="N308"/>
  <c r="M308"/>
  <c r="L308"/>
  <c r="K308"/>
  <c r="J308"/>
  <c r="I308"/>
  <c r="H308"/>
  <c r="G308"/>
  <c r="F308"/>
  <c r="E308"/>
  <c r="D308"/>
  <c r="AI307"/>
  <c r="AH307"/>
  <c r="AG307"/>
  <c r="AF307"/>
  <c r="AE307"/>
  <c r="AD307"/>
  <c r="AC307"/>
  <c r="AB307"/>
  <c r="AA307"/>
  <c r="Z307"/>
  <c r="Y307"/>
  <c r="X307"/>
  <c r="W307"/>
  <c r="V307"/>
  <c r="U307"/>
  <c r="T307"/>
  <c r="S307"/>
  <c r="R307"/>
  <c r="Q307"/>
  <c r="P307"/>
  <c r="O307"/>
  <c r="N307"/>
  <c r="M307"/>
  <c r="L307"/>
  <c r="K307"/>
  <c r="J307"/>
  <c r="I307"/>
  <c r="H307"/>
  <c r="G307"/>
  <c r="F307"/>
  <c r="E307"/>
  <c r="D307"/>
  <c r="AI306"/>
  <c r="AH306"/>
  <c r="AG306"/>
  <c r="AF306"/>
  <c r="AE306"/>
  <c r="AD306"/>
  <c r="AC306"/>
  <c r="AB306"/>
  <c r="AA306"/>
  <c r="Z306"/>
  <c r="Y306"/>
  <c r="X306"/>
  <c r="W306"/>
  <c r="V306"/>
  <c r="U306"/>
  <c r="T306"/>
  <c r="S306"/>
  <c r="R306"/>
  <c r="Q306"/>
  <c r="P306"/>
  <c r="O306"/>
  <c r="N306"/>
  <c r="M306"/>
  <c r="L306"/>
  <c r="K306"/>
  <c r="J306"/>
  <c r="I306"/>
  <c r="H306"/>
  <c r="G306"/>
  <c r="F306"/>
  <c r="E306"/>
  <c r="D306"/>
  <c r="AI305"/>
  <c r="AH305"/>
  <c r="AG305"/>
  <c r="AF305"/>
  <c r="AE305"/>
  <c r="AD305"/>
  <c r="AC305"/>
  <c r="AB305"/>
  <c r="AA305"/>
  <c r="Z305"/>
  <c r="Y305"/>
  <c r="X305"/>
  <c r="W305"/>
  <c r="V305"/>
  <c r="U305"/>
  <c r="T305"/>
  <c r="S305"/>
  <c r="R305"/>
  <c r="Q305"/>
  <c r="P305"/>
  <c r="O305"/>
  <c r="N305"/>
  <c r="M305"/>
  <c r="L305"/>
  <c r="K305"/>
  <c r="J305"/>
  <c r="I305"/>
  <c r="H305"/>
  <c r="G305"/>
  <c r="F305"/>
  <c r="E305"/>
  <c r="D305"/>
  <c r="AI304"/>
  <c r="AH304"/>
  <c r="AG304"/>
  <c r="AF304"/>
  <c r="AE304"/>
  <c r="AD304"/>
  <c r="AC304"/>
  <c r="AB304"/>
  <c r="AA304"/>
  <c r="Z304"/>
  <c r="Y304"/>
  <c r="X304"/>
  <c r="W304"/>
  <c r="V304"/>
  <c r="U304"/>
  <c r="T304"/>
  <c r="S304"/>
  <c r="R304"/>
  <c r="Q304"/>
  <c r="P304"/>
  <c r="O304"/>
  <c r="N304"/>
  <c r="M304"/>
  <c r="L304"/>
  <c r="K304"/>
  <c r="J304"/>
  <c r="I304"/>
  <c r="H304"/>
  <c r="G304"/>
  <c r="F304"/>
  <c r="E304"/>
  <c r="D304"/>
  <c r="AI303"/>
  <c r="AH303"/>
  <c r="AG303"/>
  <c r="AF303"/>
  <c r="AE303"/>
  <c r="AD303"/>
  <c r="AC303"/>
  <c r="AB303"/>
  <c r="AA303"/>
  <c r="Z303"/>
  <c r="Y303"/>
  <c r="X303"/>
  <c r="W303"/>
  <c r="V303"/>
  <c r="U303"/>
  <c r="T303"/>
  <c r="S303"/>
  <c r="R303"/>
  <c r="Q303"/>
  <c r="P303"/>
  <c r="O303"/>
  <c r="N303"/>
  <c r="M303"/>
  <c r="L303"/>
  <c r="K303"/>
  <c r="J303"/>
  <c r="I303"/>
  <c r="H303"/>
  <c r="G303"/>
  <c r="F303"/>
  <c r="E303"/>
  <c r="D303"/>
  <c r="AI302"/>
  <c r="AH302"/>
  <c r="AG302"/>
  <c r="AF302"/>
  <c r="AE302"/>
  <c r="AD302"/>
  <c r="AC302"/>
  <c r="AB302"/>
  <c r="AA302"/>
  <c r="Z302"/>
  <c r="Y302"/>
  <c r="X302"/>
  <c r="W302"/>
  <c r="V302"/>
  <c r="U302"/>
  <c r="T302"/>
  <c r="S302"/>
  <c r="R302"/>
  <c r="Q302"/>
  <c r="P302"/>
  <c r="O302"/>
  <c r="N302"/>
  <c r="M302"/>
  <c r="L302"/>
  <c r="K302"/>
  <c r="J302"/>
  <c r="I302"/>
  <c r="H302"/>
  <c r="G302"/>
  <c r="F302"/>
  <c r="E302"/>
  <c r="D302"/>
  <c r="AI301"/>
  <c r="AH301"/>
  <c r="AG301"/>
  <c r="AF301"/>
  <c r="AE301"/>
  <c r="AD301"/>
  <c r="AC301"/>
  <c r="AB301"/>
  <c r="AA301"/>
  <c r="Z301"/>
  <c r="Y301"/>
  <c r="X301"/>
  <c r="W301"/>
  <c r="V301"/>
  <c r="U301"/>
  <c r="T301"/>
  <c r="S301"/>
  <c r="R301"/>
  <c r="Q301"/>
  <c r="P301"/>
  <c r="O301"/>
  <c r="N301"/>
  <c r="M301"/>
  <c r="L301"/>
  <c r="K301"/>
  <c r="J301"/>
  <c r="I301"/>
  <c r="H301"/>
  <c r="G301"/>
  <c r="F301"/>
  <c r="E301"/>
  <c r="D301"/>
  <c r="AI300"/>
  <c r="AH300"/>
  <c r="AG300"/>
  <c r="AF300"/>
  <c r="AE300"/>
  <c r="AD300"/>
  <c r="AC300"/>
  <c r="AB300"/>
  <c r="AA300"/>
  <c r="Z300"/>
  <c r="Y300"/>
  <c r="X300"/>
  <c r="W300"/>
  <c r="V300"/>
  <c r="U300"/>
  <c r="T300"/>
  <c r="S300"/>
  <c r="R300"/>
  <c r="Q300"/>
  <c r="P300"/>
  <c r="O300"/>
  <c r="N300"/>
  <c r="M300"/>
  <c r="L300"/>
  <c r="K300"/>
  <c r="J300"/>
  <c r="I300"/>
  <c r="H300"/>
  <c r="G300"/>
  <c r="F300"/>
  <c r="E300"/>
  <c r="D300"/>
  <c r="AI299"/>
  <c r="AH299"/>
  <c r="AG299"/>
  <c r="AF299"/>
  <c r="AE299"/>
  <c r="AD299"/>
  <c r="AC299"/>
  <c r="AB299"/>
  <c r="AA299"/>
  <c r="Z299"/>
  <c r="Y299"/>
  <c r="X299"/>
  <c r="W299"/>
  <c r="V299"/>
  <c r="U299"/>
  <c r="T299"/>
  <c r="S299"/>
  <c r="R299"/>
  <c r="Q299"/>
  <c r="P299"/>
  <c r="O299"/>
  <c r="N299"/>
  <c r="M299"/>
  <c r="L299"/>
  <c r="K299"/>
  <c r="J299"/>
  <c r="I299"/>
  <c r="H299"/>
  <c r="G299"/>
  <c r="F299"/>
  <c r="E299"/>
  <c r="D299"/>
  <c r="AI298"/>
  <c r="AH298"/>
  <c r="AG298"/>
  <c r="AF298"/>
  <c r="AE298"/>
  <c r="AD298"/>
  <c r="AC298"/>
  <c r="AB298"/>
  <c r="AA298"/>
  <c r="Z298"/>
  <c r="Y298"/>
  <c r="X298"/>
  <c r="W298"/>
  <c r="V298"/>
  <c r="U298"/>
  <c r="T298"/>
  <c r="S298"/>
  <c r="R298"/>
  <c r="Q298"/>
  <c r="P298"/>
  <c r="O298"/>
  <c r="N298"/>
  <c r="M298"/>
  <c r="L298"/>
  <c r="K298"/>
  <c r="J298"/>
  <c r="I298"/>
  <c r="H298"/>
  <c r="G298"/>
  <c r="F298"/>
  <c r="E298"/>
  <c r="D298"/>
  <c r="AI297"/>
  <c r="AH297"/>
  <c r="AG297"/>
  <c r="AF297"/>
  <c r="AE297"/>
  <c r="AD297"/>
  <c r="AC297"/>
  <c r="AB297"/>
  <c r="AA297"/>
  <c r="Z297"/>
  <c r="Y297"/>
  <c r="X297"/>
  <c r="W297"/>
  <c r="V297"/>
  <c r="U297"/>
  <c r="T297"/>
  <c r="S297"/>
  <c r="R297"/>
  <c r="Q297"/>
  <c r="P297"/>
  <c r="O297"/>
  <c r="N297"/>
  <c r="M297"/>
  <c r="L297"/>
  <c r="K297"/>
  <c r="J297"/>
  <c r="I297"/>
  <c r="H297"/>
  <c r="G297"/>
  <c r="F297"/>
  <c r="E297"/>
  <c r="D297"/>
  <c r="AI296"/>
  <c r="AH296"/>
  <c r="AG296"/>
  <c r="AF296"/>
  <c r="AE296"/>
  <c r="AD296"/>
  <c r="AC296"/>
  <c r="AB296"/>
  <c r="AA296"/>
  <c r="Z296"/>
  <c r="Y296"/>
  <c r="X296"/>
  <c r="W296"/>
  <c r="V296"/>
  <c r="U296"/>
  <c r="T296"/>
  <c r="S296"/>
  <c r="R296"/>
  <c r="Q296"/>
  <c r="P296"/>
  <c r="O296"/>
  <c r="N296"/>
  <c r="M296"/>
  <c r="L296"/>
  <c r="K296"/>
  <c r="J296"/>
  <c r="I296"/>
  <c r="H296"/>
  <c r="G296"/>
  <c r="F296"/>
  <c r="E296"/>
  <c r="D296"/>
  <c r="AI295"/>
  <c r="AH295"/>
  <c r="AG295"/>
  <c r="AF295"/>
  <c r="AE295"/>
  <c r="AD295"/>
  <c r="AC295"/>
  <c r="AB295"/>
  <c r="AA295"/>
  <c r="Z295"/>
  <c r="Y295"/>
  <c r="X295"/>
  <c r="W295"/>
  <c r="V295"/>
  <c r="U295"/>
  <c r="T295"/>
  <c r="S295"/>
  <c r="R295"/>
  <c r="Q295"/>
  <c r="P295"/>
  <c r="O295"/>
  <c r="N295"/>
  <c r="M295"/>
  <c r="L295"/>
  <c r="K295"/>
  <c r="J295"/>
  <c r="I295"/>
  <c r="H295"/>
  <c r="G295"/>
  <c r="F295"/>
  <c r="E295"/>
  <c r="D295"/>
  <c r="AI294"/>
  <c r="AH294"/>
  <c r="AG294"/>
  <c r="AF294"/>
  <c r="AE294"/>
  <c r="AD294"/>
  <c r="AC294"/>
  <c r="AB294"/>
  <c r="AA294"/>
  <c r="Z294"/>
  <c r="Y294"/>
  <c r="X294"/>
  <c r="W294"/>
  <c r="V294"/>
  <c r="U294"/>
  <c r="T294"/>
  <c r="S294"/>
  <c r="R294"/>
  <c r="Q294"/>
  <c r="P294"/>
  <c r="O294"/>
  <c r="N294"/>
  <c r="M294"/>
  <c r="L294"/>
  <c r="K294"/>
  <c r="J294"/>
  <c r="I294"/>
  <c r="H294"/>
  <c r="G294"/>
  <c r="F294"/>
  <c r="E294"/>
  <c r="D294"/>
  <c r="AI293"/>
  <c r="AH293"/>
  <c r="AG293"/>
  <c r="AF293"/>
  <c r="AE293"/>
  <c r="AD293"/>
  <c r="AC293"/>
  <c r="AB293"/>
  <c r="AA293"/>
  <c r="Z293"/>
  <c r="Y293"/>
  <c r="X293"/>
  <c r="W293"/>
  <c r="V293"/>
  <c r="U293"/>
  <c r="T293"/>
  <c r="S293"/>
  <c r="R293"/>
  <c r="Q293"/>
  <c r="P293"/>
  <c r="O293"/>
  <c r="N293"/>
  <c r="M293"/>
  <c r="L293"/>
  <c r="K293"/>
  <c r="J293"/>
  <c r="I293"/>
  <c r="H293"/>
  <c r="G293"/>
  <c r="F293"/>
  <c r="E293"/>
  <c r="D293"/>
  <c r="AI292"/>
  <c r="AH292"/>
  <c r="AG292"/>
  <c r="AF292"/>
  <c r="AE292"/>
  <c r="AD292"/>
  <c r="AC292"/>
  <c r="AB292"/>
  <c r="AA292"/>
  <c r="Z292"/>
  <c r="Y292"/>
  <c r="X292"/>
  <c r="W292"/>
  <c r="V292"/>
  <c r="U292"/>
  <c r="T292"/>
  <c r="S292"/>
  <c r="R292"/>
  <c r="Q292"/>
  <c r="P292"/>
  <c r="O292"/>
  <c r="N292"/>
  <c r="M292"/>
  <c r="L292"/>
  <c r="K292"/>
  <c r="J292"/>
  <c r="I292"/>
  <c r="H292"/>
  <c r="G292"/>
  <c r="F292"/>
  <c r="E292"/>
  <c r="D292"/>
  <c r="AI291"/>
  <c r="AH291"/>
  <c r="AG291"/>
  <c r="AF291"/>
  <c r="AE291"/>
  <c r="AD291"/>
  <c r="AC291"/>
  <c r="AB291"/>
  <c r="AA291"/>
  <c r="Z291"/>
  <c r="Y291"/>
  <c r="X291"/>
  <c r="W291"/>
  <c r="V291"/>
  <c r="U291"/>
  <c r="T291"/>
  <c r="S291"/>
  <c r="R291"/>
  <c r="Q291"/>
  <c r="P291"/>
  <c r="O291"/>
  <c r="N291"/>
  <c r="M291"/>
  <c r="L291"/>
  <c r="K291"/>
  <c r="J291"/>
  <c r="I291"/>
  <c r="H291"/>
  <c r="G291"/>
  <c r="F291"/>
  <c r="E291"/>
  <c r="D291"/>
  <c r="AI290"/>
  <c r="AH290"/>
  <c r="AG290"/>
  <c r="AF290"/>
  <c r="AE290"/>
  <c r="AD290"/>
  <c r="AC290"/>
  <c r="AB290"/>
  <c r="AA290"/>
  <c r="Z290"/>
  <c r="Y290"/>
  <c r="X290"/>
  <c r="W290"/>
  <c r="V290"/>
  <c r="U290"/>
  <c r="T290"/>
  <c r="S290"/>
  <c r="R290"/>
  <c r="Q290"/>
  <c r="P290"/>
  <c r="O290"/>
  <c r="N290"/>
  <c r="M290"/>
  <c r="L290"/>
  <c r="K290"/>
  <c r="J290"/>
  <c r="I290"/>
  <c r="H290"/>
  <c r="G290"/>
  <c r="F290"/>
  <c r="E290"/>
  <c r="D290"/>
  <c r="AI289"/>
  <c r="AH289"/>
  <c r="AG289"/>
  <c r="AF289"/>
  <c r="AE289"/>
  <c r="AD289"/>
  <c r="AC289"/>
  <c r="AB289"/>
  <c r="AA289"/>
  <c r="Z289"/>
  <c r="Y289"/>
  <c r="X289"/>
  <c r="W289"/>
  <c r="V289"/>
  <c r="U289"/>
  <c r="T289"/>
  <c r="S289"/>
  <c r="R289"/>
  <c r="Q289"/>
  <c r="P289"/>
  <c r="O289"/>
  <c r="N289"/>
  <c r="M289"/>
  <c r="L289"/>
  <c r="K289"/>
  <c r="J289"/>
  <c r="I289"/>
  <c r="H289"/>
  <c r="G289"/>
  <c r="F289"/>
  <c r="E289"/>
  <c r="D289"/>
  <c r="AI288"/>
  <c r="AH288"/>
  <c r="AG288"/>
  <c r="AF288"/>
  <c r="AE288"/>
  <c r="AD288"/>
  <c r="AC288"/>
  <c r="AB288"/>
  <c r="AA288"/>
  <c r="Z288"/>
  <c r="Y288"/>
  <c r="X288"/>
  <c r="W288"/>
  <c r="V288"/>
  <c r="U288"/>
  <c r="T288"/>
  <c r="S288"/>
  <c r="R288"/>
  <c r="Q288"/>
  <c r="P288"/>
  <c r="O288"/>
  <c r="N288"/>
  <c r="M288"/>
  <c r="L288"/>
  <c r="K288"/>
  <c r="J288"/>
  <c r="I288"/>
  <c r="H288"/>
  <c r="G288"/>
  <c r="F288"/>
  <c r="E288"/>
  <c r="D288"/>
  <c r="AI287"/>
  <c r="AH287"/>
  <c r="AG287"/>
  <c r="AF287"/>
  <c r="AE287"/>
  <c r="AD287"/>
  <c r="AC287"/>
  <c r="AB287"/>
  <c r="AA287"/>
  <c r="Z287"/>
  <c r="Y287"/>
  <c r="X287"/>
  <c r="W287"/>
  <c r="V287"/>
  <c r="U287"/>
  <c r="T287"/>
  <c r="S287"/>
  <c r="R287"/>
  <c r="Q287"/>
  <c r="P287"/>
  <c r="O287"/>
  <c r="N287"/>
  <c r="M287"/>
  <c r="L287"/>
  <c r="K287"/>
  <c r="J287"/>
  <c r="I287"/>
  <c r="H287"/>
  <c r="G287"/>
  <c r="F287"/>
  <c r="E287"/>
  <c r="D287"/>
  <c r="AI286"/>
  <c r="AH286"/>
  <c r="AG286"/>
  <c r="AF286"/>
  <c r="AE286"/>
  <c r="AD286"/>
  <c r="AC286"/>
  <c r="AB286"/>
  <c r="AA286"/>
  <c r="Z286"/>
  <c r="Y286"/>
  <c r="X286"/>
  <c r="W286"/>
  <c r="V286"/>
  <c r="U286"/>
  <c r="T286"/>
  <c r="S286"/>
  <c r="R286"/>
  <c r="Q286"/>
  <c r="P286"/>
  <c r="O286"/>
  <c r="N286"/>
  <c r="M286"/>
  <c r="L286"/>
  <c r="K286"/>
  <c r="J286"/>
  <c r="I286"/>
  <c r="H286"/>
  <c r="G286"/>
  <c r="F286"/>
  <c r="E286"/>
  <c r="D286"/>
  <c r="AI285"/>
  <c r="AH285"/>
  <c r="AG285"/>
  <c r="AF285"/>
  <c r="AE285"/>
  <c r="AD285"/>
  <c r="AC285"/>
  <c r="AB285"/>
  <c r="AA285"/>
  <c r="Z285"/>
  <c r="Y285"/>
  <c r="X285"/>
  <c r="W285"/>
  <c r="V285"/>
  <c r="U285"/>
  <c r="T285"/>
  <c r="S285"/>
  <c r="R285"/>
  <c r="Q285"/>
  <c r="P285"/>
  <c r="O285"/>
  <c r="N285"/>
  <c r="M285"/>
  <c r="L285"/>
  <c r="K285"/>
  <c r="J285"/>
  <c r="I285"/>
  <c r="H285"/>
  <c r="G285"/>
  <c r="F285"/>
  <c r="E285"/>
  <c r="D285"/>
  <c r="AI284"/>
  <c r="AH284"/>
  <c r="AG284"/>
  <c r="AF284"/>
  <c r="AE284"/>
  <c r="AD284"/>
  <c r="AC284"/>
  <c r="AB284"/>
  <c r="AA284"/>
  <c r="Z284"/>
  <c r="Y284"/>
  <c r="X284"/>
  <c r="W284"/>
  <c r="V284"/>
  <c r="U284"/>
  <c r="T284"/>
  <c r="S284"/>
  <c r="R284"/>
  <c r="Q284"/>
  <c r="P284"/>
  <c r="O284"/>
  <c r="N284"/>
  <c r="M284"/>
  <c r="L284"/>
  <c r="K284"/>
  <c r="J284"/>
  <c r="I284"/>
  <c r="H284"/>
  <c r="G284"/>
  <c r="F284"/>
  <c r="E284"/>
  <c r="D284"/>
  <c r="AI283"/>
  <c r="AH283"/>
  <c r="AG283"/>
  <c r="AF283"/>
  <c r="AE283"/>
  <c r="AD283"/>
  <c r="AC283"/>
  <c r="AB283"/>
  <c r="AA283"/>
  <c r="Z283"/>
  <c r="Y283"/>
  <c r="X283"/>
  <c r="W283"/>
  <c r="V283"/>
  <c r="U283"/>
  <c r="T283"/>
  <c r="S283"/>
  <c r="R283"/>
  <c r="Q283"/>
  <c r="P283"/>
  <c r="O283"/>
  <c r="N283"/>
  <c r="M283"/>
  <c r="L283"/>
  <c r="K283"/>
  <c r="J283"/>
  <c r="I283"/>
  <c r="H283"/>
  <c r="G283"/>
  <c r="F283"/>
  <c r="E283"/>
  <c r="D283"/>
  <c r="AI282"/>
  <c r="AH282"/>
  <c r="AG282"/>
  <c r="AF282"/>
  <c r="AE282"/>
  <c r="AD282"/>
  <c r="AC282"/>
  <c r="AB282"/>
  <c r="AA282"/>
  <c r="Z282"/>
  <c r="Y282"/>
  <c r="X282"/>
  <c r="W282"/>
  <c r="V282"/>
  <c r="U282"/>
  <c r="T282"/>
  <c r="S282"/>
  <c r="R282"/>
  <c r="Q282"/>
  <c r="P282"/>
  <c r="O282"/>
  <c r="N282"/>
  <c r="M282"/>
  <c r="L282"/>
  <c r="K282"/>
  <c r="J282"/>
  <c r="I282"/>
  <c r="H282"/>
  <c r="G282"/>
  <c r="F282"/>
  <c r="E282"/>
  <c r="D282"/>
  <c r="AI281"/>
  <c r="AH281"/>
  <c r="AG281"/>
  <c r="AF281"/>
  <c r="AE281"/>
  <c r="AD281"/>
  <c r="AC281"/>
  <c r="AB281"/>
  <c r="AA281"/>
  <c r="Z281"/>
  <c r="Y281"/>
  <c r="X281"/>
  <c r="W281"/>
  <c r="V281"/>
  <c r="U281"/>
  <c r="T281"/>
  <c r="S281"/>
  <c r="R281"/>
  <c r="Q281"/>
  <c r="P281"/>
  <c r="O281"/>
  <c r="N281"/>
  <c r="M281"/>
  <c r="L281"/>
  <c r="K281"/>
  <c r="J281"/>
  <c r="I281"/>
  <c r="H281"/>
  <c r="G281"/>
  <c r="F281"/>
  <c r="E281"/>
  <c r="D281"/>
  <c r="AI280"/>
  <c r="AH280"/>
  <c r="AG280"/>
  <c r="AF280"/>
  <c r="AE280"/>
  <c r="AD280"/>
  <c r="AC280"/>
  <c r="AB280"/>
  <c r="AA280"/>
  <c r="Z280"/>
  <c r="Y280"/>
  <c r="X280"/>
  <c r="W280"/>
  <c r="V280"/>
  <c r="U280"/>
  <c r="T280"/>
  <c r="S280"/>
  <c r="R280"/>
  <c r="Q280"/>
  <c r="P280"/>
  <c r="O280"/>
  <c r="N280"/>
  <c r="M280"/>
  <c r="L280"/>
  <c r="K280"/>
  <c r="J280"/>
  <c r="I280"/>
  <c r="H280"/>
  <c r="G280"/>
  <c r="F280"/>
  <c r="E280"/>
  <c r="D280"/>
  <c r="AI279"/>
  <c r="AH279"/>
  <c r="AG279"/>
  <c r="AF279"/>
  <c r="AE279"/>
  <c r="AD279"/>
  <c r="AC279"/>
  <c r="AB279"/>
  <c r="AA279"/>
  <c r="Z279"/>
  <c r="Y279"/>
  <c r="X279"/>
  <c r="W279"/>
  <c r="V279"/>
  <c r="U279"/>
  <c r="T279"/>
  <c r="S279"/>
  <c r="R279"/>
  <c r="Q279"/>
  <c r="P279"/>
  <c r="O279"/>
  <c r="N279"/>
  <c r="M279"/>
  <c r="L279"/>
  <c r="K279"/>
  <c r="J279"/>
  <c r="I279"/>
  <c r="H279"/>
  <c r="G279"/>
  <c r="F279"/>
  <c r="E279"/>
  <c r="D279"/>
  <c r="AI278"/>
  <c r="AH278"/>
  <c r="AG278"/>
  <c r="AF278"/>
  <c r="AE278"/>
  <c r="AD278"/>
  <c r="AC278"/>
  <c r="AB278"/>
  <c r="AA278"/>
  <c r="Z278"/>
  <c r="Y278"/>
  <c r="X278"/>
  <c r="W278"/>
  <c r="V278"/>
  <c r="U278"/>
  <c r="T278"/>
  <c r="S278"/>
  <c r="R278"/>
  <c r="Q278"/>
  <c r="P278"/>
  <c r="O278"/>
  <c r="N278"/>
  <c r="M278"/>
  <c r="L278"/>
  <c r="K278"/>
  <c r="J278"/>
  <c r="I278"/>
  <c r="H278"/>
  <c r="G278"/>
  <c r="F278"/>
  <c r="E278"/>
  <c r="D278"/>
  <c r="AI277"/>
  <c r="AH277"/>
  <c r="AG277"/>
  <c r="AF277"/>
  <c r="AE277"/>
  <c r="AD277"/>
  <c r="AC277"/>
  <c r="AB277"/>
  <c r="AA277"/>
  <c r="Z277"/>
  <c r="Y277"/>
  <c r="X277"/>
  <c r="W277"/>
  <c r="V277"/>
  <c r="U277"/>
  <c r="T277"/>
  <c r="S277"/>
  <c r="R277"/>
  <c r="Q277"/>
  <c r="P277"/>
  <c r="O277"/>
  <c r="N277"/>
  <c r="M277"/>
  <c r="L277"/>
  <c r="K277"/>
  <c r="J277"/>
  <c r="I277"/>
  <c r="H277"/>
  <c r="G277"/>
  <c r="F277"/>
  <c r="E277"/>
  <c r="D277"/>
  <c r="AI276"/>
  <c r="AH276"/>
  <c r="AG276"/>
  <c r="AF276"/>
  <c r="AE276"/>
  <c r="AD276"/>
  <c r="AC276"/>
  <c r="AB276"/>
  <c r="AA276"/>
  <c r="Z276"/>
  <c r="Y276"/>
  <c r="X276"/>
  <c r="W276"/>
  <c r="V276"/>
  <c r="U276"/>
  <c r="T276"/>
  <c r="S276"/>
  <c r="R276"/>
  <c r="Q276"/>
  <c r="P276"/>
  <c r="O276"/>
  <c r="N276"/>
  <c r="M276"/>
  <c r="L276"/>
  <c r="K276"/>
  <c r="J276"/>
  <c r="I276"/>
  <c r="H276"/>
  <c r="G276"/>
  <c r="F276"/>
  <c r="E276"/>
  <c r="D276"/>
  <c r="AI275"/>
  <c r="AH275"/>
  <c r="AG275"/>
  <c r="AF275"/>
  <c r="AE275"/>
  <c r="AD275"/>
  <c r="AC275"/>
  <c r="AB275"/>
  <c r="AA275"/>
  <c r="Z275"/>
  <c r="Y275"/>
  <c r="X275"/>
  <c r="W275"/>
  <c r="V275"/>
  <c r="U275"/>
  <c r="T275"/>
  <c r="S275"/>
  <c r="R275"/>
  <c r="Q275"/>
  <c r="P275"/>
  <c r="O275"/>
  <c r="N275"/>
  <c r="M275"/>
  <c r="L275"/>
  <c r="K275"/>
  <c r="J275"/>
  <c r="I275"/>
  <c r="H275"/>
  <c r="G275"/>
  <c r="F275"/>
  <c r="E275"/>
  <c r="D275"/>
  <c r="AI274"/>
  <c r="AH274"/>
  <c r="AG274"/>
  <c r="AF274"/>
  <c r="AE274"/>
  <c r="AD274"/>
  <c r="AC274"/>
  <c r="AB274"/>
  <c r="AA274"/>
  <c r="Z274"/>
  <c r="Y274"/>
  <c r="X274"/>
  <c r="W274"/>
  <c r="V274"/>
  <c r="U274"/>
  <c r="T274"/>
  <c r="S274"/>
  <c r="R274"/>
  <c r="Q274"/>
  <c r="P274"/>
  <c r="O274"/>
  <c r="N274"/>
  <c r="M274"/>
  <c r="L274"/>
  <c r="K274"/>
  <c r="J274"/>
  <c r="I274"/>
  <c r="H274"/>
  <c r="G274"/>
  <c r="F274"/>
  <c r="E274"/>
  <c r="D274"/>
  <c r="AI273"/>
  <c r="AH273"/>
  <c r="AG273"/>
  <c r="AF273"/>
  <c r="AE273"/>
  <c r="AD273"/>
  <c r="AC273"/>
  <c r="AB273"/>
  <c r="AA273"/>
  <c r="Z273"/>
  <c r="Y273"/>
  <c r="X273"/>
  <c r="W273"/>
  <c r="V273"/>
  <c r="U273"/>
  <c r="T273"/>
  <c r="S273"/>
  <c r="R273"/>
  <c r="Q273"/>
  <c r="P273"/>
  <c r="O273"/>
  <c r="N273"/>
  <c r="M273"/>
  <c r="L273"/>
  <c r="K273"/>
  <c r="J273"/>
  <c r="I273"/>
  <c r="H273"/>
  <c r="G273"/>
  <c r="F273"/>
  <c r="E273"/>
  <c r="D273"/>
  <c r="AI272"/>
  <c r="AH272"/>
  <c r="AG272"/>
  <c r="AF272"/>
  <c r="AE272"/>
  <c r="AD272"/>
  <c r="AC272"/>
  <c r="AB272"/>
  <c r="AA272"/>
  <c r="Z272"/>
  <c r="Y272"/>
  <c r="X272"/>
  <c r="W272"/>
  <c r="V272"/>
  <c r="U272"/>
  <c r="T272"/>
  <c r="S272"/>
  <c r="R272"/>
  <c r="Q272"/>
  <c r="P272"/>
  <c r="O272"/>
  <c r="N272"/>
  <c r="M272"/>
  <c r="L272"/>
  <c r="K272"/>
  <c r="J272"/>
  <c r="I272"/>
  <c r="H272"/>
  <c r="G272"/>
  <c r="F272"/>
  <c r="E272"/>
  <c r="D272"/>
  <c r="AI271"/>
  <c r="AH271"/>
  <c r="AG271"/>
  <c r="AF271"/>
  <c r="AE271"/>
  <c r="AD271"/>
  <c r="AC271"/>
  <c r="AB271"/>
  <c r="AA271"/>
  <c r="Z271"/>
  <c r="Y271"/>
  <c r="X271"/>
  <c r="W271"/>
  <c r="V271"/>
  <c r="U271"/>
  <c r="T271"/>
  <c r="S271"/>
  <c r="R271"/>
  <c r="Q271"/>
  <c r="P271"/>
  <c r="O271"/>
  <c r="N271"/>
  <c r="M271"/>
  <c r="L271"/>
  <c r="K271"/>
  <c r="J271"/>
  <c r="I271"/>
  <c r="H271"/>
  <c r="G271"/>
  <c r="F271"/>
  <c r="E271"/>
  <c r="D271"/>
  <c r="AI270"/>
  <c r="AH270"/>
  <c r="AG270"/>
  <c r="AF270"/>
  <c r="AE270"/>
  <c r="AD270"/>
  <c r="AC270"/>
  <c r="AB270"/>
  <c r="AA270"/>
  <c r="Z270"/>
  <c r="Y270"/>
  <c r="X270"/>
  <c r="W270"/>
  <c r="V270"/>
  <c r="U270"/>
  <c r="T270"/>
  <c r="S270"/>
  <c r="R270"/>
  <c r="Q270"/>
  <c r="P270"/>
  <c r="O270"/>
  <c r="N270"/>
  <c r="M270"/>
  <c r="L270"/>
  <c r="K270"/>
  <c r="J270"/>
  <c r="I270"/>
  <c r="H270"/>
  <c r="G270"/>
  <c r="F270"/>
  <c r="E270"/>
  <c r="D270"/>
  <c r="AI269"/>
  <c r="AH269"/>
  <c r="AG269"/>
  <c r="AF269"/>
  <c r="AE269"/>
  <c r="AD269"/>
  <c r="AC269"/>
  <c r="AB269"/>
  <c r="AA269"/>
  <c r="Z269"/>
  <c r="Y269"/>
  <c r="X269"/>
  <c r="W269"/>
  <c r="V269"/>
  <c r="U269"/>
  <c r="T269"/>
  <c r="S269"/>
  <c r="R269"/>
  <c r="Q269"/>
  <c r="P269"/>
  <c r="O269"/>
  <c r="N269"/>
  <c r="M269"/>
  <c r="L269"/>
  <c r="K269"/>
  <c r="J269"/>
  <c r="I269"/>
  <c r="H269"/>
  <c r="G269"/>
  <c r="F269"/>
  <c r="E269"/>
  <c r="D269"/>
  <c r="AI268"/>
  <c r="AH268"/>
  <c r="AG268"/>
  <c r="AF268"/>
  <c r="AE268"/>
  <c r="AD268"/>
  <c r="AC268"/>
  <c r="AB268"/>
  <c r="AA268"/>
  <c r="Z268"/>
  <c r="Y268"/>
  <c r="X268"/>
  <c r="W268"/>
  <c r="V268"/>
  <c r="U268"/>
  <c r="T268"/>
  <c r="S268"/>
  <c r="R268"/>
  <c r="Q268"/>
  <c r="P268"/>
  <c r="O268"/>
  <c r="N268"/>
  <c r="M268"/>
  <c r="L268"/>
  <c r="K268"/>
  <c r="J268"/>
  <c r="I268"/>
  <c r="H268"/>
  <c r="G268"/>
  <c r="F268"/>
  <c r="E268"/>
  <c r="D268"/>
  <c r="E5"/>
  <c r="E4"/>
  <c r="E3"/>
  <c r="E2"/>
  <c r="G28" i="80"/>
  <c r="F28"/>
  <c r="E28"/>
  <c r="D28"/>
  <c r="C28"/>
  <c r="G27"/>
  <c r="F27"/>
  <c r="E27"/>
  <c r="D27"/>
  <c r="C27"/>
  <c r="G26"/>
  <c r="F26"/>
  <c r="E26"/>
  <c r="D26"/>
  <c r="C26"/>
  <c r="G25"/>
  <c r="F25"/>
  <c r="E25"/>
  <c r="D25"/>
  <c r="C25"/>
  <c r="G24"/>
  <c r="F24"/>
  <c r="E24"/>
  <c r="D24"/>
  <c r="C24"/>
  <c r="G23"/>
  <c r="F23"/>
  <c r="E23"/>
  <c r="D23"/>
  <c r="C23"/>
  <c r="G22"/>
  <c r="F22"/>
  <c r="E22"/>
  <c r="D22"/>
  <c r="C22"/>
  <c r="G21"/>
  <c r="F21"/>
  <c r="E21"/>
  <c r="D21"/>
  <c r="C21"/>
  <c r="G20"/>
  <c r="F20"/>
  <c r="D20"/>
  <c r="C20"/>
  <c r="G19"/>
  <c r="F19"/>
  <c r="E19"/>
  <c r="D19"/>
  <c r="C19"/>
  <c r="G18"/>
  <c r="F18"/>
  <c r="E18"/>
  <c r="D18"/>
  <c r="C18"/>
  <c r="G17"/>
  <c r="F17"/>
  <c r="E17"/>
  <c r="D17"/>
  <c r="C17"/>
  <c r="G16"/>
  <c r="F16"/>
  <c r="E16"/>
  <c r="D16"/>
  <c r="C16"/>
  <c r="E5"/>
  <c r="E4"/>
  <c r="E3"/>
  <c r="E2"/>
  <c r="C108" i="3"/>
  <c r="C107"/>
  <c r="C106"/>
  <c r="R48"/>
  <c r="R44"/>
  <c r="R43"/>
  <c r="C43"/>
  <c r="R42"/>
  <c r="C42"/>
  <c r="R41"/>
  <c r="C41"/>
  <c r="R40"/>
  <c r="C40"/>
  <c r="R39"/>
  <c r="C39"/>
  <c r="R38"/>
  <c r="C38"/>
  <c r="R37"/>
  <c r="C37"/>
  <c r="R36"/>
  <c r="C36"/>
  <c r="R35"/>
  <c r="C35"/>
  <c r="R34"/>
  <c r="C34"/>
  <c r="R33"/>
  <c r="C33"/>
  <c r="R32"/>
  <c r="C32"/>
  <c r="R31"/>
  <c r="C31"/>
  <c r="R30"/>
  <c r="C30"/>
  <c r="R29"/>
  <c r="C29"/>
  <c r="R28"/>
  <c r="C28"/>
  <c r="R27"/>
  <c r="C27"/>
  <c r="R26"/>
  <c r="C26"/>
  <c r="R25"/>
  <c r="C25"/>
  <c r="R24"/>
  <c r="C24"/>
  <c r="R23"/>
  <c r="C23"/>
  <c r="R22"/>
  <c r="C22"/>
  <c r="R21"/>
  <c r="C21"/>
  <c r="R20"/>
  <c r="C20"/>
  <c r="D5"/>
  <c r="D4"/>
  <c r="D3"/>
  <c r="D2"/>
  <c r="C11" i="20"/>
  <c r="B142" i="84"/>
  <c r="B140"/>
  <c r="B138"/>
  <c r="B136"/>
  <c r="B134"/>
  <c r="B132"/>
  <c r="B130"/>
  <c r="B128"/>
  <c r="B126"/>
  <c r="B124"/>
  <c r="P90" i="40" l="1"/>
  <c r="P71" i="32"/>
  <c r="P89" i="79"/>
  <c r="P90" s="1"/>
  <c r="P77" i="82"/>
  <c r="P78" s="1"/>
  <c r="P75" i="81"/>
  <c r="P76" s="1"/>
  <c r="P76" i="38"/>
  <c r="P77" i="83"/>
  <c r="P78" s="1"/>
  <c r="P90" i="34"/>
  <c r="P91" s="1"/>
  <c r="C104" i="3"/>
  <c r="P94" i="122"/>
  <c r="P95" s="1"/>
  <c r="Q89" i="41"/>
  <c r="H74" i="82"/>
  <c r="L74"/>
  <c r="P74"/>
  <c r="F74"/>
  <c r="N74"/>
  <c r="G74"/>
  <c r="K74"/>
  <c r="O74"/>
  <c r="J74"/>
  <c r="E74"/>
  <c r="I74"/>
  <c r="M74"/>
  <c r="D74"/>
  <c r="H70" i="84"/>
  <c r="L70"/>
  <c r="E70"/>
  <c r="G86" i="79"/>
  <c r="K86"/>
  <c r="O86"/>
  <c r="F91" i="122"/>
  <c r="J91"/>
  <c r="N91"/>
  <c r="J70" i="84"/>
  <c r="I86" i="79"/>
  <c r="D86"/>
  <c r="L91" i="122"/>
  <c r="G70" i="84"/>
  <c r="K70"/>
  <c r="O70"/>
  <c r="F86" i="79"/>
  <c r="J86"/>
  <c r="N86"/>
  <c r="E91" i="122"/>
  <c r="I91"/>
  <c r="M91"/>
  <c r="D91"/>
  <c r="D70" i="84"/>
  <c r="F70"/>
  <c r="N70"/>
  <c r="E86" i="79"/>
  <c r="M86"/>
  <c r="H91" i="122"/>
  <c r="P91"/>
  <c r="I70" i="84"/>
  <c r="M70"/>
  <c r="H86" i="79"/>
  <c r="L86"/>
  <c r="P86"/>
  <c r="P129" s="1"/>
  <c r="G91" i="122"/>
  <c r="K91"/>
  <c r="O91"/>
  <c r="H74" i="83"/>
  <c r="L74"/>
  <c r="P74"/>
  <c r="J74"/>
  <c r="G74"/>
  <c r="K74"/>
  <c r="O74"/>
  <c r="F74"/>
  <c r="N74"/>
  <c r="E74"/>
  <c r="I74"/>
  <c r="M74"/>
  <c r="D74"/>
  <c r="G72" i="81"/>
  <c r="K72"/>
  <c r="O72"/>
  <c r="F72"/>
  <c r="J72"/>
  <c r="N72"/>
  <c r="E72"/>
  <c r="I72"/>
  <c r="M72"/>
  <c r="D72"/>
  <c r="H72"/>
  <c r="L72"/>
  <c r="P72"/>
  <c r="C103" i="3"/>
  <c r="C102" s="1"/>
  <c r="C101" s="1"/>
  <c r="C100" s="1"/>
  <c r="C99" s="1"/>
  <c r="C98" s="1"/>
  <c r="C97" s="1"/>
  <c r="C96" s="1"/>
  <c r="C95" s="1"/>
  <c r="C94" s="1"/>
  <c r="C93" s="1"/>
  <c r="C92" s="1"/>
  <c r="C91" s="1"/>
  <c r="C90" s="1"/>
  <c r="C89" s="1"/>
  <c r="C88" s="1"/>
  <c r="C87" s="1"/>
  <c r="C86" s="1"/>
  <c r="C85" s="1"/>
  <c r="C84" s="1"/>
  <c r="C83" s="1"/>
  <c r="C82" s="1"/>
  <c r="C81" s="1"/>
  <c r="C80" s="1"/>
  <c r="C79" s="1"/>
  <c r="C123" i="84"/>
  <c r="B123"/>
  <c r="B121"/>
  <c r="C120"/>
  <c r="B120"/>
  <c r="C119"/>
  <c r="B119"/>
  <c r="C118"/>
  <c r="B118"/>
  <c r="B116"/>
  <c r="C115"/>
  <c r="B115"/>
  <c r="B113"/>
  <c r="C112"/>
  <c r="B112"/>
  <c r="C111"/>
  <c r="B111"/>
  <c r="C110"/>
  <c r="B110"/>
  <c r="O108"/>
  <c r="N108"/>
  <c r="M108"/>
  <c r="L108"/>
  <c r="K108"/>
  <c r="J108"/>
  <c r="I108"/>
  <c r="H108"/>
  <c r="G108"/>
  <c r="F108"/>
  <c r="E108"/>
  <c r="D108"/>
  <c r="O107"/>
  <c r="N107"/>
  <c r="M107"/>
  <c r="L107"/>
  <c r="K107"/>
  <c r="J107"/>
  <c r="I107"/>
  <c r="H107"/>
  <c r="G107"/>
  <c r="F107"/>
  <c r="E107"/>
  <c r="D107"/>
  <c r="B95"/>
  <c r="B93"/>
  <c r="B91"/>
  <c r="B89"/>
  <c r="B87"/>
  <c r="B85"/>
  <c r="B83"/>
  <c r="B81"/>
  <c r="B80"/>
  <c r="B79"/>
  <c r="B78"/>
  <c r="B77"/>
  <c r="B76"/>
  <c r="O73"/>
  <c r="N73"/>
  <c r="M73"/>
  <c r="L73"/>
  <c r="K73"/>
  <c r="J73"/>
  <c r="I73"/>
  <c r="H73"/>
  <c r="G73"/>
  <c r="F73"/>
  <c r="E73"/>
  <c r="D73"/>
  <c r="N72"/>
  <c r="M72"/>
  <c r="L72"/>
  <c r="K72"/>
  <c r="J72"/>
  <c r="I72"/>
  <c r="H72"/>
  <c r="G72"/>
  <c r="F72"/>
  <c r="E72"/>
  <c r="D72"/>
  <c r="O66"/>
  <c r="N66"/>
  <c r="M66"/>
  <c r="L66"/>
  <c r="K66"/>
  <c r="J66"/>
  <c r="I66"/>
  <c r="H66"/>
  <c r="G66"/>
  <c r="F66"/>
  <c r="E66"/>
  <c r="D66"/>
  <c r="P75" i="38" l="1"/>
  <c r="P77" s="1"/>
  <c r="P70" i="32"/>
  <c r="P72" s="1"/>
  <c r="Q88" i="41"/>
  <c r="Q90" s="1"/>
  <c r="P80" i="83"/>
  <c r="P97" i="34"/>
  <c r="P93"/>
  <c r="P106"/>
  <c r="P108"/>
  <c r="P98"/>
  <c r="P100"/>
  <c r="AG151" i="35" s="1"/>
  <c r="P104" i="34"/>
  <c r="AG168" i="35" s="1"/>
  <c r="P95" i="34"/>
  <c r="P96"/>
  <c r="P94"/>
  <c r="P102"/>
  <c r="AG134" i="35" s="1"/>
  <c r="P81" i="82"/>
  <c r="P80"/>
  <c r="P125" i="122"/>
  <c r="O70" i="113" s="1"/>
  <c r="P126" i="122"/>
  <c r="O97" i="113" s="1"/>
  <c r="P124" i="122"/>
  <c r="P146" i="82"/>
  <c r="P125"/>
  <c r="P117"/>
  <c r="P126"/>
  <c r="P116"/>
  <c r="P122"/>
  <c r="P123" s="1"/>
  <c r="P131"/>
  <c r="P132" s="1"/>
  <c r="P82"/>
  <c r="P115"/>
  <c r="P83"/>
  <c r="P127"/>
  <c r="P118"/>
  <c r="P87"/>
  <c r="P104" s="1"/>
  <c r="O80" i="113" s="1"/>
  <c r="P89" i="82"/>
  <c r="P103" s="1"/>
  <c r="O53" i="113" s="1"/>
  <c r="P119" i="82"/>
  <c r="P128"/>
  <c r="P95"/>
  <c r="P97"/>
  <c r="P136"/>
  <c r="P91"/>
  <c r="P85"/>
  <c r="P142"/>
  <c r="P93"/>
  <c r="P105" s="1"/>
  <c r="O107" i="113" s="1"/>
  <c r="P84" i="82"/>
  <c r="P105" i="79"/>
  <c r="P117" s="1"/>
  <c r="O108" i="113" s="1"/>
  <c r="P156" i="79"/>
  <c r="P137"/>
  <c r="P127"/>
  <c r="P95"/>
  <c r="P99"/>
  <c r="P116" s="1"/>
  <c r="O81" i="113" s="1"/>
  <c r="P140" i="79"/>
  <c r="P97"/>
  <c r="P134"/>
  <c r="P94"/>
  <c r="P103"/>
  <c r="P133"/>
  <c r="P92"/>
  <c r="P93"/>
  <c r="P145"/>
  <c r="P146" s="1"/>
  <c r="P96"/>
  <c r="P160"/>
  <c r="P130"/>
  <c r="P109"/>
  <c r="P101"/>
  <c r="P115" s="1"/>
  <c r="O54" i="113" s="1"/>
  <c r="P138" i="79"/>
  <c r="P150"/>
  <c r="P107"/>
  <c r="P128"/>
  <c r="P141"/>
  <c r="P142"/>
  <c r="P139"/>
  <c r="P119" i="81"/>
  <c r="P79"/>
  <c r="P123"/>
  <c r="P85"/>
  <c r="P102" s="1"/>
  <c r="O82" i="113" s="1"/>
  <c r="P122" i="81"/>
  <c r="P121"/>
  <c r="P124"/>
  <c r="P95"/>
  <c r="P113"/>
  <c r="P114" s="1"/>
  <c r="P91"/>
  <c r="P103" s="1"/>
  <c r="O109" i="113" s="1"/>
  <c r="P127" i="81"/>
  <c r="P128" s="1"/>
  <c r="P116"/>
  <c r="P117" s="1"/>
  <c r="P142"/>
  <c r="P120"/>
  <c r="P87"/>
  <c r="P101" s="1"/>
  <c r="O55" i="113" s="1"/>
  <c r="P89" i="81"/>
  <c r="P132"/>
  <c r="P80"/>
  <c r="P93"/>
  <c r="P138"/>
  <c r="P78"/>
  <c r="P81"/>
  <c r="P83"/>
  <c r="P82"/>
  <c r="P127" i="83"/>
  <c r="P147"/>
  <c r="P118"/>
  <c r="P95"/>
  <c r="P117"/>
  <c r="P132"/>
  <c r="P133" s="1"/>
  <c r="P83"/>
  <c r="P121"/>
  <c r="P122" s="1"/>
  <c r="P128"/>
  <c r="P115"/>
  <c r="P82"/>
  <c r="P116"/>
  <c r="P97"/>
  <c r="P125"/>
  <c r="P81"/>
  <c r="P129"/>
  <c r="P87"/>
  <c r="P104" s="1"/>
  <c r="O84" i="113" s="1"/>
  <c r="P124" i="83"/>
  <c r="P126"/>
  <c r="P85"/>
  <c r="P89"/>
  <c r="P103" s="1"/>
  <c r="O57" i="113" s="1"/>
  <c r="P84" i="83"/>
  <c r="P137"/>
  <c r="P91"/>
  <c r="P143"/>
  <c r="P93"/>
  <c r="P105" s="1"/>
  <c r="O111" i="113" s="1"/>
  <c r="P101" i="122"/>
  <c r="P140" s="1"/>
  <c r="O43" i="113"/>
  <c r="P112" i="122"/>
  <c r="P151" s="1"/>
  <c r="P102"/>
  <c r="P141" s="1"/>
  <c r="P106"/>
  <c r="P114"/>
  <c r="P108"/>
  <c r="P155"/>
  <c r="P110"/>
  <c r="P116"/>
  <c r="P99"/>
  <c r="P138" s="1"/>
  <c r="P100"/>
  <c r="P139" s="1"/>
  <c r="P98"/>
  <c r="P137" s="1"/>
  <c r="P97"/>
  <c r="P136" s="1"/>
  <c r="P104"/>
  <c r="P143" s="1"/>
  <c r="P127"/>
  <c r="O125" i="113" s="1"/>
  <c r="P128" i="122"/>
  <c r="P118"/>
  <c r="C78" i="3"/>
  <c r="C77" s="1"/>
  <c r="C76" s="1"/>
  <c r="C75" s="1"/>
  <c r="C74" s="1"/>
  <c r="C73" s="1"/>
  <c r="C72" s="1"/>
  <c r="C71" s="1"/>
  <c r="C70" s="1"/>
  <c r="C69" s="1"/>
  <c r="C68" s="1"/>
  <c r="C67" s="1"/>
  <c r="C66" s="1"/>
  <c r="C65" s="1"/>
  <c r="C64" s="1"/>
  <c r="C63" s="1"/>
  <c r="C62" s="1"/>
  <c r="C61" s="1"/>
  <c r="C60" s="1"/>
  <c r="C59" s="1"/>
  <c r="C58" s="1"/>
  <c r="C57" s="1"/>
  <c r="C56" s="1"/>
  <c r="C55" s="1"/>
  <c r="C54" s="1"/>
  <c r="P89" i="40"/>
  <c r="E74" i="84"/>
  <c r="G74"/>
  <c r="I74"/>
  <c r="K74"/>
  <c r="K115" s="1"/>
  <c r="K116" s="1"/>
  <c r="M74"/>
  <c r="M119" s="1"/>
  <c r="O74"/>
  <c r="O115" s="1"/>
  <c r="O116" s="1"/>
  <c r="D74"/>
  <c r="D123" s="1"/>
  <c r="F74"/>
  <c r="H74"/>
  <c r="J74"/>
  <c r="L74"/>
  <c r="L91" s="1"/>
  <c r="N74"/>
  <c r="E119"/>
  <c r="E123"/>
  <c r="G123"/>
  <c r="F123" s="1"/>
  <c r="I123"/>
  <c r="H123" s="1"/>
  <c r="K123"/>
  <c r="J123" s="1"/>
  <c r="M123"/>
  <c r="L123" s="1"/>
  <c r="M138"/>
  <c r="O123"/>
  <c r="N123" s="1"/>
  <c r="M115"/>
  <c r="O49"/>
  <c r="N49"/>
  <c r="L49"/>
  <c r="J49"/>
  <c r="H49"/>
  <c r="G49"/>
  <c r="F49"/>
  <c r="E49"/>
  <c r="O35"/>
  <c r="O124" s="1"/>
  <c r="N35"/>
  <c r="M35"/>
  <c r="L35"/>
  <c r="K35"/>
  <c r="J35"/>
  <c r="I35"/>
  <c r="H35"/>
  <c r="G35"/>
  <c r="F35"/>
  <c r="E35"/>
  <c r="E79" s="1"/>
  <c r="D35"/>
  <c r="M32"/>
  <c r="K32"/>
  <c r="I32"/>
  <c r="G32"/>
  <c r="D32"/>
  <c r="O31"/>
  <c r="N31"/>
  <c r="L31"/>
  <c r="J31"/>
  <c r="H31"/>
  <c r="F31"/>
  <c r="O30"/>
  <c r="N30"/>
  <c r="L30"/>
  <c r="J30"/>
  <c r="H30"/>
  <c r="H32" s="1"/>
  <c r="F30"/>
  <c r="O29"/>
  <c r="O32" s="1"/>
  <c r="N29"/>
  <c r="N32" s="1"/>
  <c r="L29"/>
  <c r="L32" s="1"/>
  <c r="J29"/>
  <c r="J32" s="1"/>
  <c r="H29"/>
  <c r="F29"/>
  <c r="F32" s="1"/>
  <c r="E29"/>
  <c r="E32" s="1"/>
  <c r="M27"/>
  <c r="L27"/>
  <c r="K27"/>
  <c r="H27"/>
  <c r="G27"/>
  <c r="E27"/>
  <c r="E77" s="1"/>
  <c r="D27"/>
  <c r="O26"/>
  <c r="O27" s="1"/>
  <c r="N26"/>
  <c r="N27" s="1"/>
  <c r="L26"/>
  <c r="J26"/>
  <c r="I26"/>
  <c r="I27" s="1"/>
  <c r="H26"/>
  <c r="F26"/>
  <c r="F27" s="1"/>
  <c r="M24"/>
  <c r="K24"/>
  <c r="J24"/>
  <c r="I24"/>
  <c r="G24"/>
  <c r="D24"/>
  <c r="O23"/>
  <c r="O24" s="1"/>
  <c r="N23"/>
  <c r="L23"/>
  <c r="J23"/>
  <c r="H23"/>
  <c r="F23"/>
  <c r="E23"/>
  <c r="O22"/>
  <c r="N22"/>
  <c r="N24" s="1"/>
  <c r="L22"/>
  <c r="L24" s="1"/>
  <c r="J22"/>
  <c r="H22"/>
  <c r="H24" s="1"/>
  <c r="F22"/>
  <c r="F24" s="1"/>
  <c r="E22"/>
  <c r="E24" s="1"/>
  <c r="E5"/>
  <c r="E4"/>
  <c r="E3"/>
  <c r="E2"/>
  <c r="B151" i="83"/>
  <c r="B149"/>
  <c r="B147"/>
  <c r="B145"/>
  <c r="B143"/>
  <c r="B141"/>
  <c r="B139"/>
  <c r="B137"/>
  <c r="B135"/>
  <c r="B133"/>
  <c r="C132"/>
  <c r="B132"/>
  <c r="B130"/>
  <c r="C129"/>
  <c r="B129"/>
  <c r="C128"/>
  <c r="B128"/>
  <c r="C127"/>
  <c r="B127"/>
  <c r="C126"/>
  <c r="B126"/>
  <c r="C125"/>
  <c r="B125"/>
  <c r="C124"/>
  <c r="B124"/>
  <c r="B122"/>
  <c r="C121"/>
  <c r="B121"/>
  <c r="B119"/>
  <c r="C118"/>
  <c r="B118"/>
  <c r="C117"/>
  <c r="B117"/>
  <c r="M91" i="84" l="1"/>
  <c r="M111"/>
  <c r="L111" s="1"/>
  <c r="M120"/>
  <c r="P110" i="34"/>
  <c r="O37" i="84"/>
  <c r="O126" s="1"/>
  <c r="I41"/>
  <c r="I47" s="1"/>
  <c r="M37"/>
  <c r="M80" s="1"/>
  <c r="L77"/>
  <c r="K111"/>
  <c r="J111" s="1"/>
  <c r="Q101" i="41"/>
  <c r="AG140" i="35" s="1"/>
  <c r="Q94" i="41"/>
  <c r="Q92"/>
  <c r="Q117" s="1"/>
  <c r="Q103"/>
  <c r="AG174" i="35" s="1"/>
  <c r="Q95" i="41"/>
  <c r="Q96"/>
  <c r="Q107"/>
  <c r="Q97"/>
  <c r="Q99"/>
  <c r="AG157" i="35" s="1"/>
  <c r="Q93" i="41"/>
  <c r="Q105"/>
  <c r="P90" i="38"/>
  <c r="AG167" i="35" s="1"/>
  <c r="P79" i="38"/>
  <c r="P86"/>
  <c r="AG150" i="35" s="1"/>
  <c r="P80" i="38"/>
  <c r="P83"/>
  <c r="P81"/>
  <c r="P94"/>
  <c r="P82"/>
  <c r="P88"/>
  <c r="AG133" i="35" s="1"/>
  <c r="P84" i="38"/>
  <c r="P92"/>
  <c r="P89" i="32"/>
  <c r="P79"/>
  <c r="P76"/>
  <c r="P83"/>
  <c r="AG137" i="35" s="1"/>
  <c r="P74" i="32"/>
  <c r="P77"/>
  <c r="P87"/>
  <c r="P81"/>
  <c r="AG154" i="35" s="1"/>
  <c r="P75" i="32"/>
  <c r="P78"/>
  <c r="P85"/>
  <c r="AG171" i="35" s="1"/>
  <c r="O77" i="84"/>
  <c r="O119"/>
  <c r="N119" s="1"/>
  <c r="D119"/>
  <c r="P118" i="34"/>
  <c r="AG117" i="35"/>
  <c r="N64" i="84"/>
  <c r="N65"/>
  <c r="N41"/>
  <c r="O64"/>
  <c r="O65"/>
  <c r="E64"/>
  <c r="E65"/>
  <c r="E76"/>
  <c r="E103" s="1"/>
  <c r="L65"/>
  <c r="L64"/>
  <c r="L41"/>
  <c r="H65"/>
  <c r="H64"/>
  <c r="H41"/>
  <c r="H51" s="1"/>
  <c r="H53" s="1"/>
  <c r="I62"/>
  <c r="F64"/>
  <c r="F65"/>
  <c r="K64"/>
  <c r="K65"/>
  <c r="I65"/>
  <c r="I64"/>
  <c r="M64"/>
  <c r="M65"/>
  <c r="F37"/>
  <c r="F80" s="1"/>
  <c r="N37"/>
  <c r="N80" s="1"/>
  <c r="G76"/>
  <c r="G102" s="1"/>
  <c r="E37"/>
  <c r="E80" s="1"/>
  <c r="I37"/>
  <c r="I80" s="1"/>
  <c r="M41"/>
  <c r="J27"/>
  <c r="J41" s="1"/>
  <c r="J83" s="1"/>
  <c r="J100" s="1"/>
  <c r="N124"/>
  <c r="M124" s="1"/>
  <c r="L124" s="1"/>
  <c r="K124" s="1"/>
  <c r="J124" s="1"/>
  <c r="I124" s="1"/>
  <c r="H124" s="1"/>
  <c r="G124" s="1"/>
  <c r="F124" s="1"/>
  <c r="E124" s="1"/>
  <c r="D124" s="1"/>
  <c r="H37"/>
  <c r="H80" s="1"/>
  <c r="L37"/>
  <c r="L80" s="1"/>
  <c r="M78"/>
  <c r="L78"/>
  <c r="G64"/>
  <c r="G65"/>
  <c r="J65"/>
  <c r="J64"/>
  <c r="G51"/>
  <c r="J76"/>
  <c r="J103" s="1"/>
  <c r="I77"/>
  <c r="D41"/>
  <c r="D51" s="1"/>
  <c r="G37"/>
  <c r="K37"/>
  <c r="K80" s="1"/>
  <c r="G41"/>
  <c r="K41"/>
  <c r="K83" s="1"/>
  <c r="K100" s="1"/>
  <c r="G111"/>
  <c r="N76"/>
  <c r="N102" s="1"/>
  <c r="M77"/>
  <c r="E91"/>
  <c r="G120"/>
  <c r="G118"/>
  <c r="G83"/>
  <c r="G100" s="1"/>
  <c r="O78"/>
  <c r="O112"/>
  <c r="G91"/>
  <c r="J115"/>
  <c r="J116" s="1"/>
  <c r="G112"/>
  <c r="G113" s="1"/>
  <c r="G149" s="1"/>
  <c r="P91" i="40"/>
  <c r="P108" s="1"/>
  <c r="O120" i="84"/>
  <c r="O118"/>
  <c r="O111"/>
  <c r="G79"/>
  <c r="O76"/>
  <c r="O102" s="1"/>
  <c r="G119"/>
  <c r="G115"/>
  <c r="G80"/>
  <c r="G78"/>
  <c r="O79"/>
  <c r="G77"/>
  <c r="P147" i="122"/>
  <c r="P153" s="1"/>
  <c r="P165" s="1"/>
  <c r="O91" i="84"/>
  <c r="P145" i="122"/>
  <c r="P149" s="1"/>
  <c r="P163" s="1"/>
  <c r="P99" i="82"/>
  <c r="P119" i="79"/>
  <c r="P118"/>
  <c r="O136" i="113" s="1"/>
  <c r="P104" i="81"/>
  <c r="O137" i="113" s="1"/>
  <c r="P105" i="81"/>
  <c r="P154"/>
  <c r="P153"/>
  <c r="AI137" i="113" s="1"/>
  <c r="P106" i="83"/>
  <c r="O139" i="113" s="1"/>
  <c r="P107" i="83"/>
  <c r="P107" i="82"/>
  <c r="P106"/>
  <c r="O135" i="113" s="1"/>
  <c r="P99" i="83"/>
  <c r="P119"/>
  <c r="P125" i="81"/>
  <c r="P134" s="1"/>
  <c r="P144" s="1"/>
  <c r="P146" s="1"/>
  <c r="P143" i="79"/>
  <c r="P130" i="83"/>
  <c r="P97" i="81"/>
  <c r="P111" i="79"/>
  <c r="P135"/>
  <c r="P131"/>
  <c r="P120" i="82"/>
  <c r="P129"/>
  <c r="D37" i="84"/>
  <c r="D126" s="1"/>
  <c r="D76"/>
  <c r="D103" s="1"/>
  <c r="D65"/>
  <c r="D64"/>
  <c r="P167" i="122"/>
  <c r="P166"/>
  <c r="AI125" i="113" s="1"/>
  <c r="P120" i="122"/>
  <c r="K78" i="84"/>
  <c r="O138"/>
  <c r="N78"/>
  <c r="N111"/>
  <c r="N77"/>
  <c r="F119"/>
  <c r="F79"/>
  <c r="M118"/>
  <c r="M121" s="1"/>
  <c r="M79"/>
  <c r="F76"/>
  <c r="F102" s="1"/>
  <c r="E120"/>
  <c r="N91"/>
  <c r="M112"/>
  <c r="E78"/>
  <c r="M76"/>
  <c r="M102" s="1"/>
  <c r="E115"/>
  <c r="E116" s="1"/>
  <c r="F120"/>
  <c r="K118"/>
  <c r="D91"/>
  <c r="N79"/>
  <c r="D77"/>
  <c r="L119"/>
  <c r="F78"/>
  <c r="K77"/>
  <c r="L76"/>
  <c r="L102" s="1"/>
  <c r="F112"/>
  <c r="L79"/>
  <c r="I119"/>
  <c r="H119" s="1"/>
  <c r="D78"/>
  <c r="N120"/>
  <c r="F111"/>
  <c r="E111" s="1"/>
  <c r="D111" s="1"/>
  <c r="F91"/>
  <c r="D79"/>
  <c r="F77"/>
  <c r="K76"/>
  <c r="K103" s="1"/>
  <c r="I111"/>
  <c r="H111" s="1"/>
  <c r="K79"/>
  <c r="H91"/>
  <c r="H79"/>
  <c r="H78"/>
  <c r="H76"/>
  <c r="H103" s="1"/>
  <c r="K120"/>
  <c r="J120" s="1"/>
  <c r="I112"/>
  <c r="J91"/>
  <c r="J79"/>
  <c r="I138"/>
  <c r="K112"/>
  <c r="I91"/>
  <c r="J78"/>
  <c r="I120"/>
  <c r="H77"/>
  <c r="I118"/>
  <c r="K119"/>
  <c r="J119" s="1"/>
  <c r="I78"/>
  <c r="I76"/>
  <c r="I103" s="1"/>
  <c r="K91"/>
  <c r="I79"/>
  <c r="L120"/>
  <c r="H120"/>
  <c r="D120"/>
  <c r="N115"/>
  <c r="N116" s="1"/>
  <c r="J118"/>
  <c r="F115"/>
  <c r="F116" s="1"/>
  <c r="G116"/>
  <c r="H112"/>
  <c r="O103"/>
  <c r="N138"/>
  <c r="H138"/>
  <c r="L118"/>
  <c r="D115"/>
  <c r="D116" s="1"/>
  <c r="J112"/>
  <c r="I115"/>
  <c r="E112"/>
  <c r="N118"/>
  <c r="F118"/>
  <c r="L115"/>
  <c r="L116" s="1"/>
  <c r="M116"/>
  <c r="L112"/>
  <c r="L138"/>
  <c r="H118"/>
  <c r="N112"/>
  <c r="J102"/>
  <c r="C116" i="83"/>
  <c r="B116"/>
  <c r="C115"/>
  <c r="B115"/>
  <c r="C114"/>
  <c r="B114"/>
  <c r="O112"/>
  <c r="N112"/>
  <c r="M112"/>
  <c r="L112"/>
  <c r="K112"/>
  <c r="J112"/>
  <c r="I112"/>
  <c r="H112"/>
  <c r="G112"/>
  <c r="F112"/>
  <c r="E112"/>
  <c r="D112"/>
  <c r="O111"/>
  <c r="N111"/>
  <c r="M111"/>
  <c r="L111"/>
  <c r="K111"/>
  <c r="J111"/>
  <c r="I111"/>
  <c r="H111"/>
  <c r="G111"/>
  <c r="F111"/>
  <c r="E111"/>
  <c r="D111"/>
  <c r="B99"/>
  <c r="B97"/>
  <c r="B95"/>
  <c r="M113" i="84" l="1"/>
  <c r="L113"/>
  <c r="L149" s="1"/>
  <c r="P91" i="32"/>
  <c r="I83" i="84"/>
  <c r="I100" s="1"/>
  <c r="O121"/>
  <c r="I51"/>
  <c r="I53" s="1"/>
  <c r="I43"/>
  <c r="I61" s="1"/>
  <c r="I63"/>
  <c r="I89"/>
  <c r="I101" s="1"/>
  <c r="N126"/>
  <c r="M126" s="1"/>
  <c r="L126" s="1"/>
  <c r="K126" s="1"/>
  <c r="I93"/>
  <c r="I95" s="1"/>
  <c r="I39"/>
  <c r="O80"/>
  <c r="K113"/>
  <c r="K149" s="1"/>
  <c r="I113"/>
  <c r="I149" s="1"/>
  <c r="E102"/>
  <c r="O113"/>
  <c r="G103"/>
  <c r="J113"/>
  <c r="AG120" i="35"/>
  <c r="P99" i="32"/>
  <c r="AG116" i="35"/>
  <c r="P104" i="38"/>
  <c r="N103" i="84"/>
  <c r="P106" i="40"/>
  <c r="P110" s="1"/>
  <c r="P104"/>
  <c r="AG170" i="35" s="1"/>
  <c r="P97" i="40"/>
  <c r="P96" i="38"/>
  <c r="Q109" i="41"/>
  <c r="H47" i="84"/>
  <c r="H62"/>
  <c r="H39"/>
  <c r="H43"/>
  <c r="L62"/>
  <c r="L47"/>
  <c r="L39"/>
  <c r="L43"/>
  <c r="N62"/>
  <c r="N43"/>
  <c r="N47"/>
  <c r="N39"/>
  <c r="F41"/>
  <c r="G47"/>
  <c r="G62"/>
  <c r="G43"/>
  <c r="G39"/>
  <c r="M62"/>
  <c r="M51"/>
  <c r="M43"/>
  <c r="M83"/>
  <c r="M100" s="1"/>
  <c r="M47"/>
  <c r="M39"/>
  <c r="H83"/>
  <c r="H100" s="1"/>
  <c r="J51"/>
  <c r="L51"/>
  <c r="J37"/>
  <c r="J80" s="1"/>
  <c r="F103"/>
  <c r="J77"/>
  <c r="L83"/>
  <c r="L100" s="1"/>
  <c r="N83"/>
  <c r="N100" s="1"/>
  <c r="D43"/>
  <c r="D85" s="1"/>
  <c r="D99" s="1"/>
  <c r="G53"/>
  <c r="G93"/>
  <c r="J47"/>
  <c r="J62"/>
  <c r="J39"/>
  <c r="J43"/>
  <c r="K62"/>
  <c r="K51"/>
  <c r="K43"/>
  <c r="K47"/>
  <c r="K39"/>
  <c r="H93"/>
  <c r="H95" s="1"/>
  <c r="G121"/>
  <c r="N51"/>
  <c r="P100" i="40"/>
  <c r="AG153" i="35" s="1"/>
  <c r="P94" i="40"/>
  <c r="P95"/>
  <c r="P96"/>
  <c r="P98"/>
  <c r="P93"/>
  <c r="P118" s="1"/>
  <c r="P102"/>
  <c r="AG136" i="35" s="1"/>
  <c r="P164" i="122"/>
  <c r="P171" i="79"/>
  <c r="AI136" i="113" s="1"/>
  <c r="P172" i="79"/>
  <c r="P148"/>
  <c r="P152"/>
  <c r="P158" i="82"/>
  <c r="P157"/>
  <c r="AI135" i="113" s="1"/>
  <c r="P138" i="82"/>
  <c r="P134"/>
  <c r="P140" i="81"/>
  <c r="P152" s="1"/>
  <c r="AI109" i="113" s="1"/>
  <c r="P151" i="81"/>
  <c r="AI82" i="113" s="1"/>
  <c r="P136" i="81"/>
  <c r="P150" s="1"/>
  <c r="AI55" i="113" s="1"/>
  <c r="P159" i="83"/>
  <c r="P158"/>
  <c r="AI139" i="113" s="1"/>
  <c r="P139" i="83"/>
  <c r="P135"/>
  <c r="P130" i="81"/>
  <c r="D80" i="84"/>
  <c r="D39"/>
  <c r="D128" s="1"/>
  <c r="D53"/>
  <c r="D83"/>
  <c r="D100" s="1"/>
  <c r="D62"/>
  <c r="O41"/>
  <c r="H102"/>
  <c r="D102"/>
  <c r="N121"/>
  <c r="K102"/>
  <c r="M103"/>
  <c r="L103"/>
  <c r="H121"/>
  <c r="N113"/>
  <c r="I121"/>
  <c r="F113"/>
  <c r="F149" s="1"/>
  <c r="H113"/>
  <c r="H149" s="1"/>
  <c r="J121"/>
  <c r="I102"/>
  <c r="K121"/>
  <c r="L121"/>
  <c r="K138"/>
  <c r="E118"/>
  <c r="F121"/>
  <c r="D112"/>
  <c r="D113" s="1"/>
  <c r="E113"/>
  <c r="H115"/>
  <c r="H116" s="1"/>
  <c r="I116"/>
  <c r="J149"/>
  <c r="G138"/>
  <c r="O149"/>
  <c r="O150"/>
  <c r="M149"/>
  <c r="B93" i="83"/>
  <c r="B89"/>
  <c r="B87"/>
  <c r="B85"/>
  <c r="B84"/>
  <c r="B83"/>
  <c r="B82"/>
  <c r="B81"/>
  <c r="B80"/>
  <c r="O77"/>
  <c r="N77"/>
  <c r="M77"/>
  <c r="L77"/>
  <c r="K77"/>
  <c r="J77"/>
  <c r="I77"/>
  <c r="H77"/>
  <c r="G77"/>
  <c r="F77"/>
  <c r="E77"/>
  <c r="D77"/>
  <c r="O76"/>
  <c r="N76"/>
  <c r="M76"/>
  <c r="L76"/>
  <c r="K76"/>
  <c r="J76"/>
  <c r="I76"/>
  <c r="H76"/>
  <c r="G76"/>
  <c r="F76"/>
  <c r="E76"/>
  <c r="D76"/>
  <c r="O70"/>
  <c r="N70"/>
  <c r="M70"/>
  <c r="L70"/>
  <c r="K70"/>
  <c r="J70"/>
  <c r="I70"/>
  <c r="H70"/>
  <c r="G70"/>
  <c r="F70"/>
  <c r="E70"/>
  <c r="D70"/>
  <c r="J126" i="84" l="1"/>
  <c r="I126" s="1"/>
  <c r="H126" s="1"/>
  <c r="G126" s="1"/>
  <c r="F126" s="1"/>
  <c r="E126" s="1"/>
  <c r="I85"/>
  <c r="I99" s="1"/>
  <c r="I128"/>
  <c r="I81"/>
  <c r="D61"/>
  <c r="G95"/>
  <c r="O62"/>
  <c r="O43"/>
  <c r="O47"/>
  <c r="O39"/>
  <c r="O83"/>
  <c r="O100" s="1"/>
  <c r="O51"/>
  <c r="K63"/>
  <c r="K89"/>
  <c r="K101" s="1"/>
  <c r="J61"/>
  <c r="J85"/>
  <c r="J99" s="1"/>
  <c r="M61"/>
  <c r="M85"/>
  <c r="M99" s="1"/>
  <c r="G61"/>
  <c r="G85"/>
  <c r="G99" s="1"/>
  <c r="N128"/>
  <c r="N81"/>
  <c r="L61"/>
  <c r="L85"/>
  <c r="L99" s="1"/>
  <c r="N53"/>
  <c r="N93"/>
  <c r="N95" s="1"/>
  <c r="K128"/>
  <c r="K130" s="1"/>
  <c r="K81"/>
  <c r="J63"/>
  <c r="J89"/>
  <c r="J101" s="1"/>
  <c r="J53"/>
  <c r="J93"/>
  <c r="J95" s="1"/>
  <c r="G81"/>
  <c r="G128"/>
  <c r="G130" s="1"/>
  <c r="G140" s="1"/>
  <c r="E41"/>
  <c r="F47"/>
  <c r="F62"/>
  <c r="F43"/>
  <c r="F39"/>
  <c r="F83"/>
  <c r="F100" s="1"/>
  <c r="F51"/>
  <c r="H63"/>
  <c r="H89"/>
  <c r="H101" s="1"/>
  <c r="K53"/>
  <c r="K93"/>
  <c r="K95" s="1"/>
  <c r="L53"/>
  <c r="L93"/>
  <c r="L95" s="1"/>
  <c r="M63"/>
  <c r="M89"/>
  <c r="M101" s="1"/>
  <c r="G63"/>
  <c r="G89"/>
  <c r="G101" s="1"/>
  <c r="N61"/>
  <c r="N85"/>
  <c r="N99" s="1"/>
  <c r="L63"/>
  <c r="L89"/>
  <c r="L101" s="1"/>
  <c r="K61"/>
  <c r="K85"/>
  <c r="K99" s="1"/>
  <c r="J128"/>
  <c r="J81"/>
  <c r="M128"/>
  <c r="M130" s="1"/>
  <c r="M132" s="1"/>
  <c r="M81"/>
  <c r="M53"/>
  <c r="M93"/>
  <c r="N63"/>
  <c r="N89"/>
  <c r="N101" s="1"/>
  <c r="L128"/>
  <c r="L130" s="1"/>
  <c r="L81"/>
  <c r="H128"/>
  <c r="H130" s="1"/>
  <c r="H132" s="1"/>
  <c r="H81"/>
  <c r="J130"/>
  <c r="J132" s="1"/>
  <c r="H61"/>
  <c r="H85"/>
  <c r="H99" s="1"/>
  <c r="AG119" i="35"/>
  <c r="N150" i="84"/>
  <c r="M150" s="1"/>
  <c r="L150" s="1"/>
  <c r="K150" s="1"/>
  <c r="J150" s="1"/>
  <c r="I150" s="1"/>
  <c r="P140" i="82"/>
  <c r="P154" s="1"/>
  <c r="AI53" i="113" s="1"/>
  <c r="P144" i="82"/>
  <c r="P156" s="1"/>
  <c r="AI107" i="113" s="1"/>
  <c r="P155" i="82"/>
  <c r="AI80" i="113" s="1"/>
  <c r="P148" i="82"/>
  <c r="P150" s="1"/>
  <c r="P156" i="83"/>
  <c r="AI84" i="113" s="1"/>
  <c r="P141" i="83"/>
  <c r="P155" s="1"/>
  <c r="AI57" i="113" s="1"/>
  <c r="P145" i="83"/>
  <c r="P157" s="1"/>
  <c r="AI111" i="113" s="1"/>
  <c r="P149" i="83"/>
  <c r="P151" s="1"/>
  <c r="P162" i="79"/>
  <c r="P164" s="1"/>
  <c r="P169"/>
  <c r="AI81" i="113" s="1"/>
  <c r="P158" i="79"/>
  <c r="P170" s="1"/>
  <c r="AI108" i="113" s="1"/>
  <c r="P154" i="79"/>
  <c r="P168" s="1"/>
  <c r="AI54" i="113" s="1"/>
  <c r="D81" i="84"/>
  <c r="D93"/>
  <c r="D95" s="1"/>
  <c r="N130"/>
  <c r="N140" s="1"/>
  <c r="AI97" i="113"/>
  <c r="AI43"/>
  <c r="AI70"/>
  <c r="P157" i="122"/>
  <c r="P159" s="1"/>
  <c r="I130" i="84"/>
  <c r="I140" s="1"/>
  <c r="N149"/>
  <c r="H150"/>
  <c r="G150" s="1"/>
  <c r="F150" s="1"/>
  <c r="E150" s="1"/>
  <c r="D78" i="83"/>
  <c r="D126" s="1"/>
  <c r="F78"/>
  <c r="F125" s="1"/>
  <c r="H78"/>
  <c r="H128" s="1"/>
  <c r="J78"/>
  <c r="J126" s="1"/>
  <c r="L78"/>
  <c r="L128" s="1"/>
  <c r="N78"/>
  <c r="N127" s="1"/>
  <c r="E78"/>
  <c r="E127" s="1"/>
  <c r="G78"/>
  <c r="I78"/>
  <c r="K78"/>
  <c r="M78"/>
  <c r="M116" s="1"/>
  <c r="O78"/>
  <c r="F132"/>
  <c r="H121"/>
  <c r="H122" s="1"/>
  <c r="H117"/>
  <c r="H132"/>
  <c r="J128"/>
  <c r="J127"/>
  <c r="J124"/>
  <c r="J121"/>
  <c r="J122" s="1"/>
  <c r="J147"/>
  <c r="J132"/>
  <c r="J115"/>
  <c r="J95"/>
  <c r="L132"/>
  <c r="N132"/>
  <c r="F138" i="84"/>
  <c r="D150"/>
  <c r="D149"/>
  <c r="D118"/>
  <c r="D121" s="1"/>
  <c r="D130" s="1"/>
  <c r="E121"/>
  <c r="J138"/>
  <c r="E132" i="83"/>
  <c r="E118"/>
  <c r="G147"/>
  <c r="G132"/>
  <c r="G118"/>
  <c r="G127"/>
  <c r="G126"/>
  <c r="G125"/>
  <c r="G121"/>
  <c r="G122" s="1"/>
  <c r="G117"/>
  <c r="G115"/>
  <c r="G95"/>
  <c r="I132"/>
  <c r="K132"/>
  <c r="M132"/>
  <c r="O147"/>
  <c r="O132"/>
  <c r="O133" s="1"/>
  <c r="O129"/>
  <c r="O117"/>
  <c r="O116"/>
  <c r="O127"/>
  <c r="O126"/>
  <c r="O125"/>
  <c r="O121"/>
  <c r="O122" s="1"/>
  <c r="O118"/>
  <c r="O95"/>
  <c r="E149" i="84"/>
  <c r="O39" i="83"/>
  <c r="O83" s="1"/>
  <c r="N39"/>
  <c r="M39"/>
  <c r="L39"/>
  <c r="K39"/>
  <c r="J39"/>
  <c r="J83" s="1"/>
  <c r="I39"/>
  <c r="H39"/>
  <c r="G39"/>
  <c r="G83" s="1"/>
  <c r="F39"/>
  <c r="E39"/>
  <c r="D39"/>
  <c r="O36"/>
  <c r="N36"/>
  <c r="M36"/>
  <c r="L36"/>
  <c r="K36"/>
  <c r="J36"/>
  <c r="I36"/>
  <c r="H36"/>
  <c r="E36"/>
  <c r="E82" s="1"/>
  <c r="D36"/>
  <c r="H35"/>
  <c r="G35"/>
  <c r="G129" s="1"/>
  <c r="F35"/>
  <c r="F36" s="1"/>
  <c r="E35"/>
  <c r="O28"/>
  <c r="O81" s="1"/>
  <c r="N28"/>
  <c r="M28"/>
  <c r="L28"/>
  <c r="K28"/>
  <c r="J28"/>
  <c r="J81" s="1"/>
  <c r="I28"/>
  <c r="H28"/>
  <c r="G28"/>
  <c r="G81" s="1"/>
  <c r="F28"/>
  <c r="E28"/>
  <c r="D28"/>
  <c r="E27"/>
  <c r="O25"/>
  <c r="O41" s="1"/>
  <c r="O84" s="1"/>
  <c r="N25"/>
  <c r="M25"/>
  <c r="J25"/>
  <c r="I25"/>
  <c r="F25"/>
  <c r="E25"/>
  <c r="J24"/>
  <c r="L23"/>
  <c r="F23"/>
  <c r="N22"/>
  <c r="M22"/>
  <c r="L22"/>
  <c r="L25" s="1"/>
  <c r="K22"/>
  <c r="K25" s="1"/>
  <c r="J22"/>
  <c r="I22"/>
  <c r="H22"/>
  <c r="G22"/>
  <c r="G25" s="1"/>
  <c r="F22"/>
  <c r="E22"/>
  <c r="D22"/>
  <c r="D25" s="1"/>
  <c r="E5"/>
  <c r="E4"/>
  <c r="E3"/>
  <c r="E2"/>
  <c r="B150" i="82"/>
  <c r="B148"/>
  <c r="B146"/>
  <c r="B144"/>
  <c r="B142"/>
  <c r="B140"/>
  <c r="B138"/>
  <c r="B136"/>
  <c r="B134"/>
  <c r="B132"/>
  <c r="C131"/>
  <c r="B131"/>
  <c r="B129"/>
  <c r="C128"/>
  <c r="B128"/>
  <c r="C127"/>
  <c r="B127"/>
  <c r="C126"/>
  <c r="B126"/>
  <c r="C125"/>
  <c r="B125"/>
  <c r="B123"/>
  <c r="C122"/>
  <c r="B122"/>
  <c r="H95" i="83" l="1"/>
  <c r="M147"/>
  <c r="M140" i="84"/>
  <c r="I45" i="83"/>
  <c r="I55" s="1"/>
  <c r="I57" s="1"/>
  <c r="J41"/>
  <c r="J84" s="1"/>
  <c r="N41"/>
  <c r="N84" s="1"/>
  <c r="E41"/>
  <c r="E84" s="1"/>
  <c r="M45"/>
  <c r="M66" s="1"/>
  <c r="J147" i="84"/>
  <c r="M82" i="83"/>
  <c r="E83"/>
  <c r="M83"/>
  <c r="N82"/>
  <c r="M147" i="84"/>
  <c r="M126" i="83"/>
  <c r="E121"/>
  <c r="E147"/>
  <c r="N125"/>
  <c r="J125"/>
  <c r="H129"/>
  <c r="E117"/>
  <c r="M95" i="84"/>
  <c r="L132"/>
  <c r="L140"/>
  <c r="L147"/>
  <c r="K140"/>
  <c r="K147"/>
  <c r="K132"/>
  <c r="F61"/>
  <c r="F85"/>
  <c r="F99" s="1"/>
  <c r="O128"/>
  <c r="O130" s="1"/>
  <c r="O81"/>
  <c r="F128"/>
  <c r="F130" s="1"/>
  <c r="F132" s="1"/>
  <c r="F81"/>
  <c r="E47"/>
  <c r="E62"/>
  <c r="E43"/>
  <c r="E39"/>
  <c r="E83"/>
  <c r="E100" s="1"/>
  <c r="E51"/>
  <c r="F63"/>
  <c r="F89"/>
  <c r="F101" s="1"/>
  <c r="O53"/>
  <c r="O93"/>
  <c r="O95" s="1"/>
  <c r="O61"/>
  <c r="O85"/>
  <c r="O99" s="1"/>
  <c r="F53"/>
  <c r="F93"/>
  <c r="F95" s="1"/>
  <c r="O63"/>
  <c r="O89"/>
  <c r="O101" s="1"/>
  <c r="J140"/>
  <c r="G69" i="83"/>
  <c r="G68"/>
  <c r="G80"/>
  <c r="G107" s="1"/>
  <c r="K68"/>
  <c r="K69"/>
  <c r="K45"/>
  <c r="K87" s="1"/>
  <c r="K104" s="1"/>
  <c r="I47"/>
  <c r="I65" s="1"/>
  <c r="D45"/>
  <c r="D87" s="1"/>
  <c r="D104" s="1"/>
  <c r="D68"/>
  <c r="D69"/>
  <c r="L68"/>
  <c r="L69"/>
  <c r="L45"/>
  <c r="L87" s="1"/>
  <c r="L104" s="1"/>
  <c r="F41"/>
  <c r="F84" s="1"/>
  <c r="F68"/>
  <c r="F69"/>
  <c r="N68"/>
  <c r="N69"/>
  <c r="E45"/>
  <c r="E87" s="1"/>
  <c r="E104" s="1"/>
  <c r="E69"/>
  <c r="E68"/>
  <c r="M69"/>
  <c r="M68"/>
  <c r="I41"/>
  <c r="I84" s="1"/>
  <c r="D41"/>
  <c r="D84" s="1"/>
  <c r="L41"/>
  <c r="E81"/>
  <c r="E80"/>
  <c r="E107" s="1"/>
  <c r="H25"/>
  <c r="G36"/>
  <c r="G82" s="1"/>
  <c r="K41"/>
  <c r="K84" s="1"/>
  <c r="M125"/>
  <c r="E95"/>
  <c r="H116"/>
  <c r="H127"/>
  <c r="J69"/>
  <c r="J68"/>
  <c r="I69"/>
  <c r="I68"/>
  <c r="M41"/>
  <c r="M84" s="1"/>
  <c r="G116"/>
  <c r="F45"/>
  <c r="F87" s="1"/>
  <c r="F104" s="1"/>
  <c r="J45"/>
  <c r="N45"/>
  <c r="F80"/>
  <c r="F106" s="1"/>
  <c r="M118"/>
  <c r="M117"/>
  <c r="E126"/>
  <c r="H126"/>
  <c r="F127"/>
  <c r="O45"/>
  <c r="O68"/>
  <c r="O69"/>
  <c r="O80"/>
  <c r="O106" s="1"/>
  <c r="N132" i="84"/>
  <c r="N147"/>
  <c r="I147"/>
  <c r="I132"/>
  <c r="N133" i="83"/>
  <c r="M133" s="1"/>
  <c r="L133" s="1"/>
  <c r="K133" s="1"/>
  <c r="J133" s="1"/>
  <c r="I133" s="1"/>
  <c r="H133" s="1"/>
  <c r="G133" s="1"/>
  <c r="F133" s="1"/>
  <c r="E133" s="1"/>
  <c r="H140" i="84"/>
  <c r="J82" i="83"/>
  <c r="J80"/>
  <c r="J106" s="1"/>
  <c r="O115"/>
  <c r="O119" s="1"/>
  <c r="O124"/>
  <c r="O128"/>
  <c r="K121"/>
  <c r="K122" s="1"/>
  <c r="G124"/>
  <c r="G128"/>
  <c r="O82"/>
  <c r="N81"/>
  <c r="H147" i="84"/>
  <c r="J129" i="83"/>
  <c r="J117"/>
  <c r="I124"/>
  <c r="F82"/>
  <c r="K118"/>
  <c r="J118" s="1"/>
  <c r="N83"/>
  <c r="N118"/>
  <c r="F118"/>
  <c r="F124"/>
  <c r="N87"/>
  <c r="N104" s="1"/>
  <c r="H82"/>
  <c r="K81"/>
  <c r="M115"/>
  <c r="M124"/>
  <c r="M128"/>
  <c r="K116"/>
  <c r="J116" s="1"/>
  <c r="K127"/>
  <c r="E116"/>
  <c r="E125"/>
  <c r="E129"/>
  <c r="F83"/>
  <c r="H81"/>
  <c r="K80"/>
  <c r="K106" s="1"/>
  <c r="N117"/>
  <c r="N147"/>
  <c r="H118"/>
  <c r="H147"/>
  <c r="H125"/>
  <c r="F121"/>
  <c r="F122" s="1"/>
  <c r="F81"/>
  <c r="N129"/>
  <c r="K83"/>
  <c r="M81"/>
  <c r="N80"/>
  <c r="N106" s="1"/>
  <c r="M95"/>
  <c r="M121"/>
  <c r="M122" s="1"/>
  <c r="M127"/>
  <c r="M129"/>
  <c r="K115"/>
  <c r="K126"/>
  <c r="E115"/>
  <c r="E124"/>
  <c r="E128"/>
  <c r="H83"/>
  <c r="K82"/>
  <c r="M80"/>
  <c r="M106" s="1"/>
  <c r="N95"/>
  <c r="N126"/>
  <c r="H115"/>
  <c r="H124"/>
  <c r="F128"/>
  <c r="I128"/>
  <c r="L121"/>
  <c r="L122" s="1"/>
  <c r="D116"/>
  <c r="D129"/>
  <c r="D125"/>
  <c r="L84"/>
  <c r="I83"/>
  <c r="L82"/>
  <c r="D82"/>
  <c r="I81"/>
  <c r="L80"/>
  <c r="L106" s="1"/>
  <c r="D80"/>
  <c r="D106" s="1"/>
  <c r="L95"/>
  <c r="L127"/>
  <c r="K95"/>
  <c r="K117"/>
  <c r="K125"/>
  <c r="K129"/>
  <c r="I95"/>
  <c r="I117"/>
  <c r="I126"/>
  <c r="I129"/>
  <c r="F117"/>
  <c r="F129"/>
  <c r="N116"/>
  <c r="N124"/>
  <c r="N128"/>
  <c r="L116"/>
  <c r="L147"/>
  <c r="L125"/>
  <c r="F115"/>
  <c r="F147"/>
  <c r="F126"/>
  <c r="D95"/>
  <c r="D118"/>
  <c r="D121"/>
  <c r="D122" s="1"/>
  <c r="D127"/>
  <c r="I115"/>
  <c r="I121"/>
  <c r="I122" s="1"/>
  <c r="I127"/>
  <c r="L129"/>
  <c r="L118"/>
  <c r="L126"/>
  <c r="D115"/>
  <c r="D132"/>
  <c r="D133" s="1"/>
  <c r="D124"/>
  <c r="D128"/>
  <c r="L117"/>
  <c r="K124"/>
  <c r="K128"/>
  <c r="K147"/>
  <c r="I116"/>
  <c r="I125"/>
  <c r="I118"/>
  <c r="I147"/>
  <c r="F116"/>
  <c r="L83"/>
  <c r="D83"/>
  <c r="I82"/>
  <c r="L81"/>
  <c r="D81"/>
  <c r="I80"/>
  <c r="I107" s="1"/>
  <c r="N115"/>
  <c r="N121"/>
  <c r="N122" s="1"/>
  <c r="L115"/>
  <c r="L124"/>
  <c r="F95"/>
  <c r="D117"/>
  <c r="D147"/>
  <c r="G132" i="84"/>
  <c r="G147"/>
  <c r="D147"/>
  <c r="E138"/>
  <c r="E122" i="83"/>
  <c r="B120" i="82"/>
  <c r="C119"/>
  <c r="B119"/>
  <c r="C118"/>
  <c r="B118"/>
  <c r="C117"/>
  <c r="B117"/>
  <c r="C116"/>
  <c r="B116"/>
  <c r="C115"/>
  <c r="B115"/>
  <c r="C114"/>
  <c r="B114"/>
  <c r="O112"/>
  <c r="N112"/>
  <c r="M112"/>
  <c r="L112"/>
  <c r="K112"/>
  <c r="J112"/>
  <c r="I112"/>
  <c r="H112"/>
  <c r="G112"/>
  <c r="F112"/>
  <c r="E112"/>
  <c r="D112"/>
  <c r="O111"/>
  <c r="N111"/>
  <c r="M111"/>
  <c r="L111"/>
  <c r="K111"/>
  <c r="J111"/>
  <c r="I111"/>
  <c r="H111"/>
  <c r="G111"/>
  <c r="F111"/>
  <c r="E111"/>
  <c r="D111"/>
  <c r="B99"/>
  <c r="B97"/>
  <c r="B95"/>
  <c r="B93"/>
  <c r="B89"/>
  <c r="B87"/>
  <c r="B85"/>
  <c r="B84"/>
  <c r="B83"/>
  <c r="B82"/>
  <c r="B81"/>
  <c r="B80"/>
  <c r="O77"/>
  <c r="N77"/>
  <c r="M77"/>
  <c r="L77"/>
  <c r="K77"/>
  <c r="J77"/>
  <c r="I77"/>
  <c r="H77"/>
  <c r="G77"/>
  <c r="F77"/>
  <c r="E77"/>
  <c r="D77"/>
  <c r="O76"/>
  <c r="N76"/>
  <c r="M76"/>
  <c r="L76"/>
  <c r="K76"/>
  <c r="J76"/>
  <c r="I76"/>
  <c r="H76"/>
  <c r="G76"/>
  <c r="F76"/>
  <c r="E76"/>
  <c r="D76"/>
  <c r="O70"/>
  <c r="N70"/>
  <c r="M70"/>
  <c r="L70"/>
  <c r="K70"/>
  <c r="J70"/>
  <c r="I70"/>
  <c r="H70"/>
  <c r="G70"/>
  <c r="F70"/>
  <c r="E70"/>
  <c r="D70"/>
  <c r="O53"/>
  <c r="F147" i="84" l="1"/>
  <c r="I89" i="83"/>
  <c r="I103" s="1"/>
  <c r="M55"/>
  <c r="M57" s="1"/>
  <c r="I87"/>
  <c r="I104" s="1"/>
  <c r="M87"/>
  <c r="M104" s="1"/>
  <c r="M47"/>
  <c r="M65" s="1"/>
  <c r="I66"/>
  <c r="G41"/>
  <c r="G84" s="1"/>
  <c r="I43"/>
  <c r="I137" s="1"/>
  <c r="M43"/>
  <c r="M85" s="1"/>
  <c r="I85"/>
  <c r="F107"/>
  <c r="G106"/>
  <c r="E106"/>
  <c r="J130"/>
  <c r="E63" i="84"/>
  <c r="E89"/>
  <c r="E101" s="1"/>
  <c r="O140"/>
  <c r="O147"/>
  <c r="O132"/>
  <c r="O146" s="1"/>
  <c r="E53"/>
  <c r="E93"/>
  <c r="E95" s="1"/>
  <c r="E61"/>
  <c r="E85"/>
  <c r="E99" s="1"/>
  <c r="E128"/>
  <c r="E130" s="1"/>
  <c r="E81"/>
  <c r="F140"/>
  <c r="F142" s="1"/>
  <c r="J66" i="83"/>
  <c r="J55"/>
  <c r="J47"/>
  <c r="J43"/>
  <c r="J87"/>
  <c r="J104" s="1"/>
  <c r="M97"/>
  <c r="L66"/>
  <c r="L55"/>
  <c r="L47"/>
  <c r="L43"/>
  <c r="N66"/>
  <c r="N55"/>
  <c r="N47"/>
  <c r="N43"/>
  <c r="H68"/>
  <c r="H69"/>
  <c r="H80"/>
  <c r="H45"/>
  <c r="K66"/>
  <c r="K55"/>
  <c r="K47"/>
  <c r="K43"/>
  <c r="I97"/>
  <c r="H41"/>
  <c r="H84" s="1"/>
  <c r="F66"/>
  <c r="F55"/>
  <c r="F47"/>
  <c r="F43"/>
  <c r="E66"/>
  <c r="E55"/>
  <c r="E43"/>
  <c r="E47"/>
  <c r="D66"/>
  <c r="D55"/>
  <c r="D47"/>
  <c r="D89" s="1"/>
  <c r="D103" s="1"/>
  <c r="D43"/>
  <c r="G45"/>
  <c r="O55" i="82"/>
  <c r="O57" s="1"/>
  <c r="O107" i="83"/>
  <c r="O55"/>
  <c r="O66"/>
  <c r="O47"/>
  <c r="O43"/>
  <c r="O87"/>
  <c r="O104" s="1"/>
  <c r="N146" i="84"/>
  <c r="M146" s="1"/>
  <c r="L146" s="1"/>
  <c r="K146" s="1"/>
  <c r="J146" s="1"/>
  <c r="M107" i="83"/>
  <c r="D107"/>
  <c r="M130"/>
  <c r="I146" i="84"/>
  <c r="H146" s="1"/>
  <c r="O130" i="83"/>
  <c r="O135" s="1"/>
  <c r="K107"/>
  <c r="I106"/>
  <c r="J107"/>
  <c r="J119"/>
  <c r="O159"/>
  <c r="H142" i="84"/>
  <c r="G142" s="1"/>
  <c r="I130" i="83"/>
  <c r="H130" s="1"/>
  <c r="G130" s="1"/>
  <c r="N130"/>
  <c r="N107"/>
  <c r="L107"/>
  <c r="D119"/>
  <c r="D158" s="1"/>
  <c r="F130"/>
  <c r="E130" s="1"/>
  <c r="N119"/>
  <c r="N158" s="1"/>
  <c r="F119"/>
  <c r="F158" s="1"/>
  <c r="O158"/>
  <c r="L130"/>
  <c r="G146" i="84"/>
  <c r="F146" s="1"/>
  <c r="K130" i="83"/>
  <c r="D130"/>
  <c r="E78" i="82"/>
  <c r="E95" s="1"/>
  <c r="G78"/>
  <c r="G95" s="1"/>
  <c r="I78"/>
  <c r="I95" s="1"/>
  <c r="K78"/>
  <c r="K95" s="1"/>
  <c r="M78"/>
  <c r="M95" s="1"/>
  <c r="O78"/>
  <c r="O95" s="1"/>
  <c r="D78"/>
  <c r="D126" s="1"/>
  <c r="F78"/>
  <c r="F122" s="1"/>
  <c r="H78"/>
  <c r="H131" s="1"/>
  <c r="J78"/>
  <c r="J127" s="1"/>
  <c r="L78"/>
  <c r="L146" s="1"/>
  <c r="N78"/>
  <c r="N126" s="1"/>
  <c r="M119" i="83"/>
  <c r="I119"/>
  <c r="D138" i="84"/>
  <c r="D140" s="1"/>
  <c r="E119" i="83"/>
  <c r="J95" i="82"/>
  <c r="N95"/>
  <c r="O45"/>
  <c r="O66" s="1"/>
  <c r="N45"/>
  <c r="M45"/>
  <c r="L45"/>
  <c r="K45"/>
  <c r="J45"/>
  <c r="I45"/>
  <c r="H45"/>
  <c r="G45"/>
  <c r="F45"/>
  <c r="F87" s="1"/>
  <c r="F104" s="1"/>
  <c r="E45"/>
  <c r="D45"/>
  <c r="O39"/>
  <c r="N39"/>
  <c r="M39"/>
  <c r="L39"/>
  <c r="K39"/>
  <c r="K83" s="1"/>
  <c r="J39"/>
  <c r="I39"/>
  <c r="H39"/>
  <c r="G39"/>
  <c r="F39"/>
  <c r="E39"/>
  <c r="D39"/>
  <c r="O36"/>
  <c r="N36"/>
  <c r="N82" s="1"/>
  <c r="M36"/>
  <c r="L36"/>
  <c r="K36"/>
  <c r="J36"/>
  <c r="I36"/>
  <c r="H36"/>
  <c r="G36"/>
  <c r="F36"/>
  <c r="F82" s="1"/>
  <c r="E36"/>
  <c r="D36"/>
  <c r="O30"/>
  <c r="N30"/>
  <c r="M30"/>
  <c r="L30"/>
  <c r="K30"/>
  <c r="J30"/>
  <c r="I30"/>
  <c r="H30"/>
  <c r="G30"/>
  <c r="F30"/>
  <c r="E30"/>
  <c r="D30"/>
  <c r="O27"/>
  <c r="N27"/>
  <c r="M27"/>
  <c r="L27"/>
  <c r="K27"/>
  <c r="J27"/>
  <c r="J41" s="1"/>
  <c r="I27"/>
  <c r="I41" s="1"/>
  <c r="H27"/>
  <c r="G27"/>
  <c r="F27"/>
  <c r="E27"/>
  <c r="D27"/>
  <c r="E5"/>
  <c r="E4"/>
  <c r="E3"/>
  <c r="E2"/>
  <c r="G125" l="1"/>
  <c r="M89" i="83"/>
  <c r="M103" s="1"/>
  <c r="M137"/>
  <c r="M139" s="1"/>
  <c r="J135"/>
  <c r="G43" i="82"/>
  <c r="G85" s="1"/>
  <c r="K43"/>
  <c r="K85" s="1"/>
  <c r="O43"/>
  <c r="O136" s="1"/>
  <c r="E43"/>
  <c r="E85" s="1"/>
  <c r="I43"/>
  <c r="M43"/>
  <c r="M85" s="1"/>
  <c r="D43"/>
  <c r="D85" s="1"/>
  <c r="L43"/>
  <c r="L136" s="1"/>
  <c r="M118"/>
  <c r="N119"/>
  <c r="O118"/>
  <c r="E131"/>
  <c r="E116"/>
  <c r="K81"/>
  <c r="K122"/>
  <c r="G87"/>
  <c r="G104" s="1"/>
  <c r="H82"/>
  <c r="J82"/>
  <c r="G116"/>
  <c r="O126"/>
  <c r="E132" i="84"/>
  <c r="D132" s="1"/>
  <c r="D146" s="1"/>
  <c r="O142" s="1"/>
  <c r="N142" s="1"/>
  <c r="M142" s="1"/>
  <c r="L142" s="1"/>
  <c r="K142" s="1"/>
  <c r="J142" s="1"/>
  <c r="I142" s="1"/>
  <c r="E147"/>
  <c r="E140"/>
  <c r="E142" s="1"/>
  <c r="D142" s="1"/>
  <c r="G66" i="83"/>
  <c r="G55"/>
  <c r="G47"/>
  <c r="G43"/>
  <c r="G87"/>
  <c r="G104" s="1"/>
  <c r="K137"/>
  <c r="K85"/>
  <c r="N57"/>
  <c r="N97"/>
  <c r="N99" s="1"/>
  <c r="M99" s="1"/>
  <c r="L57"/>
  <c r="L97"/>
  <c r="D57"/>
  <c r="D97"/>
  <c r="D99" s="1"/>
  <c r="E57"/>
  <c r="E97"/>
  <c r="F57"/>
  <c r="F97"/>
  <c r="H107"/>
  <c r="H106"/>
  <c r="N65"/>
  <c r="N89"/>
  <c r="N103" s="1"/>
  <c r="L65"/>
  <c r="L89"/>
  <c r="L103" s="1"/>
  <c r="J57"/>
  <c r="J97"/>
  <c r="E137"/>
  <c r="E139" s="1"/>
  <c r="E85"/>
  <c r="F65"/>
  <c r="F89"/>
  <c r="F103" s="1"/>
  <c r="K57"/>
  <c r="K97"/>
  <c r="H66"/>
  <c r="H55"/>
  <c r="H87"/>
  <c r="H104" s="1"/>
  <c r="H47"/>
  <c r="H43"/>
  <c r="N137"/>
  <c r="N139" s="1"/>
  <c r="N149" s="1"/>
  <c r="N85"/>
  <c r="L137"/>
  <c r="L85"/>
  <c r="J65"/>
  <c r="J89"/>
  <c r="J103" s="1"/>
  <c r="D85"/>
  <c r="D137"/>
  <c r="D139" s="1"/>
  <c r="E65"/>
  <c r="D65" s="1"/>
  <c r="E89"/>
  <c r="E103" s="1"/>
  <c r="F137"/>
  <c r="F139" s="1"/>
  <c r="F149" s="1"/>
  <c r="F85"/>
  <c r="K65"/>
  <c r="K89"/>
  <c r="K103" s="1"/>
  <c r="J85"/>
  <c r="J137"/>
  <c r="F68" i="82"/>
  <c r="F69"/>
  <c r="N68"/>
  <c r="N69"/>
  <c r="J55"/>
  <c r="J66"/>
  <c r="E69"/>
  <c r="E68"/>
  <c r="M69"/>
  <c r="M68"/>
  <c r="E66"/>
  <c r="E55"/>
  <c r="E57" s="1"/>
  <c r="I66"/>
  <c r="I55"/>
  <c r="I57" s="1"/>
  <c r="M66"/>
  <c r="M55"/>
  <c r="M57" s="1"/>
  <c r="D69"/>
  <c r="D68"/>
  <c r="H69"/>
  <c r="H68"/>
  <c r="L69"/>
  <c r="L68"/>
  <c r="D55"/>
  <c r="D57" s="1"/>
  <c r="D66"/>
  <c r="H66"/>
  <c r="H55"/>
  <c r="H57" s="1"/>
  <c r="L55"/>
  <c r="L57" s="1"/>
  <c r="L66"/>
  <c r="F43"/>
  <c r="F136" s="1"/>
  <c r="E136" s="1"/>
  <c r="N43"/>
  <c r="N136" s="1"/>
  <c r="F47"/>
  <c r="F65" s="1"/>
  <c r="J47"/>
  <c r="J65" s="1"/>
  <c r="E41"/>
  <c r="E84" s="1"/>
  <c r="M41"/>
  <c r="M84" s="1"/>
  <c r="E47"/>
  <c r="E65" s="1"/>
  <c r="I47"/>
  <c r="I65" s="1"/>
  <c r="M47"/>
  <c r="D41"/>
  <c r="D84" s="1"/>
  <c r="H41"/>
  <c r="L41"/>
  <c r="L84" s="1"/>
  <c r="H43"/>
  <c r="H136" s="1"/>
  <c r="G136" s="1"/>
  <c r="D47"/>
  <c r="D89" s="1"/>
  <c r="D103" s="1"/>
  <c r="H47"/>
  <c r="H65" s="1"/>
  <c r="L47"/>
  <c r="L65" s="1"/>
  <c r="F95"/>
  <c r="F80"/>
  <c r="F107" s="1"/>
  <c r="L117"/>
  <c r="D122"/>
  <c r="D123" s="1"/>
  <c r="J69"/>
  <c r="J68"/>
  <c r="F55"/>
  <c r="F57" s="1"/>
  <c r="F66"/>
  <c r="N55"/>
  <c r="N57" s="1"/>
  <c r="N66"/>
  <c r="I68"/>
  <c r="I69"/>
  <c r="G69"/>
  <c r="G68"/>
  <c r="K69"/>
  <c r="K68"/>
  <c r="O69"/>
  <c r="O68"/>
  <c r="G66"/>
  <c r="G55"/>
  <c r="G57" s="1"/>
  <c r="K66"/>
  <c r="K55"/>
  <c r="F41"/>
  <c r="F84" s="1"/>
  <c r="N41"/>
  <c r="N84" s="1"/>
  <c r="J43"/>
  <c r="J136" s="1"/>
  <c r="I136" s="1"/>
  <c r="N47"/>
  <c r="N65" s="1"/>
  <c r="G41"/>
  <c r="G84" s="1"/>
  <c r="K41"/>
  <c r="K84" s="1"/>
  <c r="O41"/>
  <c r="O84" s="1"/>
  <c r="G47"/>
  <c r="G65" s="1"/>
  <c r="K47"/>
  <c r="O47"/>
  <c r="O65" s="1"/>
  <c r="N87"/>
  <c r="N104" s="1"/>
  <c r="N80"/>
  <c r="N106" s="1"/>
  <c r="K128"/>
  <c r="N117"/>
  <c r="O80"/>
  <c r="O107" s="1"/>
  <c r="N122"/>
  <c r="N123" s="1"/>
  <c r="D115"/>
  <c r="H146"/>
  <c r="H97"/>
  <c r="F146"/>
  <c r="O137" i="83"/>
  <c r="O139" s="1"/>
  <c r="O85"/>
  <c r="O57"/>
  <c r="O97"/>
  <c r="O99" s="1"/>
  <c r="O65"/>
  <c r="O89"/>
  <c r="O103" s="1"/>
  <c r="J158"/>
  <c r="F135"/>
  <c r="G117" i="82"/>
  <c r="G122"/>
  <c r="O87"/>
  <c r="O104" s="1"/>
  <c r="J81"/>
  <c r="J146"/>
  <c r="O117"/>
  <c r="G83"/>
  <c r="J80"/>
  <c r="J106" s="1"/>
  <c r="O127"/>
  <c r="G128"/>
  <c r="F119"/>
  <c r="F117"/>
  <c r="N146"/>
  <c r="J122"/>
  <c r="D125"/>
  <c r="D159" i="83"/>
  <c r="O89" i="82"/>
  <c r="O103" s="1"/>
  <c r="O131"/>
  <c r="O132" s="1"/>
  <c r="I127"/>
  <c r="G146"/>
  <c r="L118"/>
  <c r="D117"/>
  <c r="D97"/>
  <c r="J83"/>
  <c r="L127"/>
  <c r="J128"/>
  <c r="M97"/>
  <c r="M99" s="1"/>
  <c r="E89"/>
  <c r="E103" s="1"/>
  <c r="M81"/>
  <c r="H119"/>
  <c r="N159" i="83"/>
  <c r="O119" i="82"/>
  <c r="G118"/>
  <c r="O116"/>
  <c r="O115"/>
  <c r="H95"/>
  <c r="J87"/>
  <c r="J104" s="1"/>
  <c r="O83"/>
  <c r="E83"/>
  <c r="G81"/>
  <c r="H80"/>
  <c r="H106" s="1"/>
  <c r="O122"/>
  <c r="O123" s="1"/>
  <c r="O128"/>
  <c r="M126"/>
  <c r="G126"/>
  <c r="G131"/>
  <c r="J117"/>
  <c r="J116"/>
  <c r="O82"/>
  <c r="G80"/>
  <c r="G107" s="1"/>
  <c r="N135" i="83"/>
  <c r="J125" i="82"/>
  <c r="J126"/>
  <c r="H127"/>
  <c r="D135" i="83"/>
  <c r="H84" i="82"/>
  <c r="M131"/>
  <c r="E127"/>
  <c r="G119"/>
  <c r="E118"/>
  <c r="M116"/>
  <c r="O97"/>
  <c r="O99" s="1"/>
  <c r="E97"/>
  <c r="H87"/>
  <c r="H104" s="1"/>
  <c r="J84"/>
  <c r="M83"/>
  <c r="O81"/>
  <c r="E81"/>
  <c r="O125"/>
  <c r="O146"/>
  <c r="M127"/>
  <c r="G127"/>
  <c r="E126"/>
  <c r="J119"/>
  <c r="J118"/>
  <c r="H117"/>
  <c r="J89"/>
  <c r="J103" s="1"/>
  <c r="G82"/>
  <c r="J131"/>
  <c r="H128"/>
  <c r="I126"/>
  <c r="I131"/>
  <c r="L119"/>
  <c r="D119"/>
  <c r="D116"/>
  <c r="L85"/>
  <c r="I84"/>
  <c r="D83"/>
  <c r="L81"/>
  <c r="I80"/>
  <c r="I106" s="1"/>
  <c r="L126"/>
  <c r="L128"/>
  <c r="D131"/>
  <c r="D132" s="1"/>
  <c r="I119"/>
  <c r="I118"/>
  <c r="I117"/>
  <c r="I116"/>
  <c r="I125"/>
  <c r="I146"/>
  <c r="D118"/>
  <c r="L122"/>
  <c r="L125"/>
  <c r="D136"/>
  <c r="D128"/>
  <c r="D146"/>
  <c r="I97"/>
  <c r="I99" s="1"/>
  <c r="L95"/>
  <c r="D95"/>
  <c r="I89"/>
  <c r="I103" s="1"/>
  <c r="L87"/>
  <c r="L104" s="1"/>
  <c r="D87"/>
  <c r="D104" s="1"/>
  <c r="I85"/>
  <c r="I83"/>
  <c r="L82"/>
  <c r="D82"/>
  <c r="I81"/>
  <c r="L80"/>
  <c r="L107" s="1"/>
  <c r="D80"/>
  <c r="D107" s="1"/>
  <c r="I122"/>
  <c r="I128"/>
  <c r="L116"/>
  <c r="L97"/>
  <c r="L89"/>
  <c r="L103" s="1"/>
  <c r="I87"/>
  <c r="I104" s="1"/>
  <c r="L83"/>
  <c r="I82"/>
  <c r="D81"/>
  <c r="L131"/>
  <c r="D127"/>
  <c r="K119"/>
  <c r="K117"/>
  <c r="F89"/>
  <c r="F103" s="1"/>
  <c r="K87"/>
  <c r="K104" s="1"/>
  <c r="F83"/>
  <c r="K82"/>
  <c r="F81"/>
  <c r="K80"/>
  <c r="K106" s="1"/>
  <c r="F131"/>
  <c r="F128"/>
  <c r="M119"/>
  <c r="E119"/>
  <c r="M117"/>
  <c r="E117"/>
  <c r="M125"/>
  <c r="M146"/>
  <c r="K126"/>
  <c r="K131"/>
  <c r="E125"/>
  <c r="E146"/>
  <c r="N118"/>
  <c r="F118"/>
  <c r="N116"/>
  <c r="F116"/>
  <c r="H89"/>
  <c r="H103" s="1"/>
  <c r="M87"/>
  <c r="M104" s="1"/>
  <c r="E87"/>
  <c r="E104" s="1"/>
  <c r="H83"/>
  <c r="M82"/>
  <c r="E82"/>
  <c r="H81"/>
  <c r="M80"/>
  <c r="M107" s="1"/>
  <c r="E80"/>
  <c r="E107" s="1"/>
  <c r="N131"/>
  <c r="N132" s="1"/>
  <c r="N127"/>
  <c r="H126"/>
  <c r="H125"/>
  <c r="F126"/>
  <c r="F127"/>
  <c r="K127"/>
  <c r="N83"/>
  <c r="N81"/>
  <c r="N128"/>
  <c r="K118"/>
  <c r="K116"/>
  <c r="M122"/>
  <c r="M128"/>
  <c r="K125"/>
  <c r="K146"/>
  <c r="E122"/>
  <c r="E128"/>
  <c r="H118"/>
  <c r="H116"/>
  <c r="N97"/>
  <c r="N99" s="1"/>
  <c r="F97"/>
  <c r="N125"/>
  <c r="H122"/>
  <c r="F125"/>
  <c r="E99"/>
  <c r="N115"/>
  <c r="E159" i="83"/>
  <c r="E158"/>
  <c r="E135"/>
  <c r="H119"/>
  <c r="I159"/>
  <c r="I158"/>
  <c r="I135"/>
  <c r="L119"/>
  <c r="M159"/>
  <c r="M158"/>
  <c r="M135"/>
  <c r="B146" i="81"/>
  <c r="B144"/>
  <c r="B142"/>
  <c r="B140"/>
  <c r="B138"/>
  <c r="B136"/>
  <c r="B134"/>
  <c r="B132"/>
  <c r="L99" i="83" l="1"/>
  <c r="K99"/>
  <c r="N89" i="82"/>
  <c r="N103" s="1"/>
  <c r="M136"/>
  <c r="F106"/>
  <c r="N85"/>
  <c r="H85"/>
  <c r="O85"/>
  <c r="K136"/>
  <c r="N107"/>
  <c r="D129"/>
  <c r="D99"/>
  <c r="E146" i="84"/>
  <c r="H57" i="83"/>
  <c r="H97"/>
  <c r="G57"/>
  <c r="G97"/>
  <c r="H65"/>
  <c r="H89"/>
  <c r="H103" s="1"/>
  <c r="G65"/>
  <c r="G89"/>
  <c r="G103" s="1"/>
  <c r="J99"/>
  <c r="I99" s="1"/>
  <c r="H85"/>
  <c r="H137"/>
  <c r="G137"/>
  <c r="G85"/>
  <c r="J57" i="82"/>
  <c r="J97"/>
  <c r="J99" s="1"/>
  <c r="K57"/>
  <c r="K97"/>
  <c r="K99" s="1"/>
  <c r="K65"/>
  <c r="K89"/>
  <c r="K103" s="1"/>
  <c r="F99"/>
  <c r="J85"/>
  <c r="O106"/>
  <c r="G89"/>
  <c r="G103" s="1"/>
  <c r="G97"/>
  <c r="G99" s="1"/>
  <c r="D65"/>
  <c r="M65"/>
  <c r="M89"/>
  <c r="M103" s="1"/>
  <c r="F85"/>
  <c r="H99"/>
  <c r="D120"/>
  <c r="D138" s="1"/>
  <c r="F156" i="83"/>
  <c r="J107" i="82"/>
  <c r="G129"/>
  <c r="G106"/>
  <c r="M106"/>
  <c r="M129"/>
  <c r="O149" i="83"/>
  <c r="O141"/>
  <c r="O156"/>
  <c r="K107" i="82"/>
  <c r="F141" i="83"/>
  <c r="L106" i="82"/>
  <c r="J129"/>
  <c r="H107"/>
  <c r="F129"/>
  <c r="M132"/>
  <c r="I107"/>
  <c r="H129"/>
  <c r="L129"/>
  <c r="O129"/>
  <c r="N156" i="83"/>
  <c r="O120" i="82"/>
  <c r="O158" s="1"/>
  <c r="L99"/>
  <c r="N141" i="83"/>
  <c r="D106" i="82"/>
  <c r="L132"/>
  <c r="K132" s="1"/>
  <c r="J132" s="1"/>
  <c r="I132" s="1"/>
  <c r="H132" s="1"/>
  <c r="G132" s="1"/>
  <c r="F132" s="1"/>
  <c r="E132" s="1"/>
  <c r="K129"/>
  <c r="I129"/>
  <c r="E106"/>
  <c r="N129"/>
  <c r="D149" i="83"/>
  <c r="D141"/>
  <c r="M123" i="82"/>
  <c r="L123" s="1"/>
  <c r="K123" s="1"/>
  <c r="J123" s="1"/>
  <c r="I123" s="1"/>
  <c r="H123" s="1"/>
  <c r="G123" s="1"/>
  <c r="F123" s="1"/>
  <c r="E123" s="1"/>
  <c r="E129"/>
  <c r="M115"/>
  <c r="N120"/>
  <c r="L139" i="83"/>
  <c r="M141"/>
  <c r="M156"/>
  <c r="M149"/>
  <c r="K119"/>
  <c r="L159"/>
  <c r="L158"/>
  <c r="L135"/>
  <c r="G119"/>
  <c r="H158"/>
  <c r="H135"/>
  <c r="H159"/>
  <c r="E141"/>
  <c r="E156"/>
  <c r="D156" s="1"/>
  <c r="E149"/>
  <c r="B130" i="81"/>
  <c r="B128"/>
  <c r="C127"/>
  <c r="B127"/>
  <c r="B125"/>
  <c r="C124"/>
  <c r="B124"/>
  <c r="C123"/>
  <c r="B123"/>
  <c r="C122"/>
  <c r="B122"/>
  <c r="C121"/>
  <c r="B121"/>
  <c r="C120"/>
  <c r="B120"/>
  <c r="C119"/>
  <c r="B119"/>
  <c r="B117"/>
  <c r="C116"/>
  <c r="B116"/>
  <c r="B114"/>
  <c r="C113"/>
  <c r="B113"/>
  <c r="C112"/>
  <c r="B112"/>
  <c r="O110"/>
  <c r="N110"/>
  <c r="M110"/>
  <c r="L110"/>
  <c r="K110"/>
  <c r="J110"/>
  <c r="I110"/>
  <c r="H110"/>
  <c r="G110"/>
  <c r="F110"/>
  <c r="E110"/>
  <c r="D110"/>
  <c r="O109"/>
  <c r="N109"/>
  <c r="M109"/>
  <c r="L109"/>
  <c r="K109"/>
  <c r="J109"/>
  <c r="I109"/>
  <c r="H109"/>
  <c r="G109"/>
  <c r="F109"/>
  <c r="E109"/>
  <c r="D109"/>
  <c r="B97"/>
  <c r="B95"/>
  <c r="B93"/>
  <c r="B91"/>
  <c r="B89"/>
  <c r="B87"/>
  <c r="B85"/>
  <c r="B83"/>
  <c r="B82"/>
  <c r="B81"/>
  <c r="B80"/>
  <c r="B79"/>
  <c r="B78"/>
  <c r="O75"/>
  <c r="N75"/>
  <c r="M75"/>
  <c r="L75"/>
  <c r="K75"/>
  <c r="J75"/>
  <c r="I75"/>
  <c r="H75"/>
  <c r="G75"/>
  <c r="F75"/>
  <c r="E75"/>
  <c r="D75"/>
  <c r="O74"/>
  <c r="N74"/>
  <c r="M74"/>
  <c r="L74"/>
  <c r="K74"/>
  <c r="J74"/>
  <c r="I74"/>
  <c r="H74"/>
  <c r="G74"/>
  <c r="F74"/>
  <c r="E74"/>
  <c r="D74"/>
  <c r="O68"/>
  <c r="N68"/>
  <c r="M68"/>
  <c r="L68"/>
  <c r="K68"/>
  <c r="J68"/>
  <c r="I68"/>
  <c r="H68"/>
  <c r="G68"/>
  <c r="F68"/>
  <c r="E68"/>
  <c r="D68"/>
  <c r="D64"/>
  <c r="D53"/>
  <c r="D55" s="1"/>
  <c r="D45"/>
  <c r="D63" s="1"/>
  <c r="O43"/>
  <c r="N43"/>
  <c r="N64" s="1"/>
  <c r="M43"/>
  <c r="L43"/>
  <c r="L64" s="1"/>
  <c r="K43"/>
  <c r="K64" s="1"/>
  <c r="J43"/>
  <c r="J53" s="1"/>
  <c r="J55" s="1"/>
  <c r="I43"/>
  <c r="H43"/>
  <c r="H64" s="1"/>
  <c r="G43"/>
  <c r="G64" s="1"/>
  <c r="F43"/>
  <c r="F64" s="1"/>
  <c r="E43"/>
  <c r="O37"/>
  <c r="N37"/>
  <c r="M37"/>
  <c r="L37"/>
  <c r="K37"/>
  <c r="J37"/>
  <c r="I37"/>
  <c r="H37"/>
  <c r="G37"/>
  <c r="F37"/>
  <c r="E37"/>
  <c r="D37"/>
  <c r="O25"/>
  <c r="N25"/>
  <c r="M25"/>
  <c r="L25"/>
  <c r="K25"/>
  <c r="I25"/>
  <c r="H25"/>
  <c r="G25"/>
  <c r="F25"/>
  <c r="E25"/>
  <c r="D25"/>
  <c r="J24"/>
  <c r="J25" s="1"/>
  <c r="O22"/>
  <c r="O67" s="1"/>
  <c r="N22"/>
  <c r="N39" s="1"/>
  <c r="M22"/>
  <c r="L22"/>
  <c r="L67" s="1"/>
  <c r="K22"/>
  <c r="K67" s="1"/>
  <c r="J22"/>
  <c r="I22"/>
  <c r="H22"/>
  <c r="H67" s="1"/>
  <c r="G22"/>
  <c r="G67" s="1"/>
  <c r="F22"/>
  <c r="F39" s="1"/>
  <c r="E22"/>
  <c r="D22"/>
  <c r="D67" s="1"/>
  <c r="E5"/>
  <c r="E4"/>
  <c r="E3"/>
  <c r="E2"/>
  <c r="B164" i="79"/>
  <c r="B162"/>
  <c r="B160"/>
  <c r="B158"/>
  <c r="B156"/>
  <c r="B154"/>
  <c r="B152"/>
  <c r="B150"/>
  <c r="B148"/>
  <c r="B146"/>
  <c r="C145"/>
  <c r="B145"/>
  <c r="B143"/>
  <c r="C142"/>
  <c r="B142"/>
  <c r="C141"/>
  <c r="B141"/>
  <c r="C140"/>
  <c r="B140"/>
  <c r="C139"/>
  <c r="B139"/>
  <c r="C138"/>
  <c r="B138"/>
  <c r="C137"/>
  <c r="B137"/>
  <c r="B135"/>
  <c r="C134"/>
  <c r="B134"/>
  <c r="C133"/>
  <c r="B133"/>
  <c r="B131"/>
  <c r="C130"/>
  <c r="B130"/>
  <c r="C129"/>
  <c r="B129"/>
  <c r="C128"/>
  <c r="B128"/>
  <c r="C127"/>
  <c r="B127"/>
  <c r="C126"/>
  <c r="B126"/>
  <c r="O124"/>
  <c r="N124"/>
  <c r="M124"/>
  <c r="L124"/>
  <c r="K124"/>
  <c r="J124"/>
  <c r="I124"/>
  <c r="H124"/>
  <c r="G124"/>
  <c r="F124"/>
  <c r="E124"/>
  <c r="D124"/>
  <c r="O123"/>
  <c r="N123"/>
  <c r="M123"/>
  <c r="L123"/>
  <c r="K123"/>
  <c r="J123"/>
  <c r="I123"/>
  <c r="H123"/>
  <c r="G123"/>
  <c r="F123"/>
  <c r="E123"/>
  <c r="D123"/>
  <c r="B111"/>
  <c r="B109"/>
  <c r="B107"/>
  <c r="B105"/>
  <c r="B101"/>
  <c r="B99"/>
  <c r="B97"/>
  <c r="B96"/>
  <c r="B95"/>
  <c r="B94"/>
  <c r="B93"/>
  <c r="B92"/>
  <c r="O89"/>
  <c r="N89"/>
  <c r="M89"/>
  <c r="L89"/>
  <c r="K89"/>
  <c r="J89"/>
  <c r="I89"/>
  <c r="H89"/>
  <c r="G89"/>
  <c r="F89"/>
  <c r="E89"/>
  <c r="D89"/>
  <c r="O88"/>
  <c r="N88"/>
  <c r="M88"/>
  <c r="L88"/>
  <c r="K88"/>
  <c r="J88"/>
  <c r="I88"/>
  <c r="H88"/>
  <c r="G88"/>
  <c r="F88"/>
  <c r="E88"/>
  <c r="D88"/>
  <c r="O82"/>
  <c r="N82"/>
  <c r="M82"/>
  <c r="L82"/>
  <c r="K82"/>
  <c r="J82"/>
  <c r="I82"/>
  <c r="H82"/>
  <c r="G82"/>
  <c r="F82"/>
  <c r="E82"/>
  <c r="D82"/>
  <c r="O78"/>
  <c r="N78"/>
  <c r="M78"/>
  <c r="L78"/>
  <c r="K78"/>
  <c r="J78"/>
  <c r="I78"/>
  <c r="H78"/>
  <c r="G78"/>
  <c r="F78"/>
  <c r="E78"/>
  <c r="D78"/>
  <c r="O67"/>
  <c r="O69" s="1"/>
  <c r="N67"/>
  <c r="N69" s="1"/>
  <c r="M67"/>
  <c r="M69" s="1"/>
  <c r="L67"/>
  <c r="L69" s="1"/>
  <c r="K67"/>
  <c r="K69" s="1"/>
  <c r="J67"/>
  <c r="J69" s="1"/>
  <c r="I67"/>
  <c r="I69" s="1"/>
  <c r="H67"/>
  <c r="H69" s="1"/>
  <c r="G67"/>
  <c r="G69" s="1"/>
  <c r="F67"/>
  <c r="F69" s="1"/>
  <c r="E67"/>
  <c r="E69" s="1"/>
  <c r="D67"/>
  <c r="D69" s="1"/>
  <c r="O59"/>
  <c r="O77" s="1"/>
  <c r="N59"/>
  <c r="N77" s="1"/>
  <c r="M59"/>
  <c r="M77" s="1"/>
  <c r="L59"/>
  <c r="L77" s="1"/>
  <c r="K59"/>
  <c r="K77" s="1"/>
  <c r="J59"/>
  <c r="J77" s="1"/>
  <c r="I59"/>
  <c r="I77" s="1"/>
  <c r="H59"/>
  <c r="H77" s="1"/>
  <c r="G59"/>
  <c r="G77" s="1"/>
  <c r="F59"/>
  <c r="F77" s="1"/>
  <c r="E59"/>
  <c r="E77" s="1"/>
  <c r="D59"/>
  <c r="D77" s="1"/>
  <c r="O51"/>
  <c r="N51"/>
  <c r="M51"/>
  <c r="L51"/>
  <c r="K51"/>
  <c r="J51"/>
  <c r="I51"/>
  <c r="H51"/>
  <c r="G51"/>
  <c r="F51"/>
  <c r="E51"/>
  <c r="D51"/>
  <c r="O29"/>
  <c r="N29"/>
  <c r="M29"/>
  <c r="L29"/>
  <c r="K29"/>
  <c r="J29"/>
  <c r="I29"/>
  <c r="H29"/>
  <c r="H55" s="1"/>
  <c r="G29"/>
  <c r="F29"/>
  <c r="E29"/>
  <c r="D29"/>
  <c r="D55" s="1"/>
  <c r="J25"/>
  <c r="J80" s="1"/>
  <c r="I25"/>
  <c r="I81" s="1"/>
  <c r="H25"/>
  <c r="H81" s="1"/>
  <c r="G25"/>
  <c r="G81" s="1"/>
  <c r="F25"/>
  <c r="F81" s="1"/>
  <c r="E25"/>
  <c r="E81" s="1"/>
  <c r="D25"/>
  <c r="D81" s="1"/>
  <c r="O24"/>
  <c r="N24"/>
  <c r="M24"/>
  <c r="M25" s="1"/>
  <c r="L24"/>
  <c r="K24"/>
  <c r="E5"/>
  <c r="E4"/>
  <c r="E3"/>
  <c r="E2"/>
  <c r="D39" i="81" l="1"/>
  <c r="H39"/>
  <c r="H41"/>
  <c r="J39"/>
  <c r="G41"/>
  <c r="G55" i="79"/>
  <c r="H99" i="83"/>
  <c r="G99" s="1"/>
  <c r="F99" s="1"/>
  <c r="E99" s="1"/>
  <c r="E39" i="81"/>
  <c r="M39"/>
  <c r="I41"/>
  <c r="G39"/>
  <c r="L39"/>
  <c r="D41"/>
  <c r="L41"/>
  <c r="J66"/>
  <c r="N67"/>
  <c r="F67"/>
  <c r="I39"/>
  <c r="E41"/>
  <c r="M41"/>
  <c r="N66"/>
  <c r="K39"/>
  <c r="O39"/>
  <c r="K41"/>
  <c r="F66"/>
  <c r="J67"/>
  <c r="J55" i="79"/>
  <c r="E55"/>
  <c r="I55"/>
  <c r="F55"/>
  <c r="D140" i="82"/>
  <c r="O157"/>
  <c r="D158"/>
  <c r="D134"/>
  <c r="D157"/>
  <c r="J45" i="81"/>
  <c r="J63" s="1"/>
  <c r="F53"/>
  <c r="F55" s="1"/>
  <c r="N53"/>
  <c r="N55" s="1"/>
  <c r="J64"/>
  <c r="E45"/>
  <c r="E63" s="1"/>
  <c r="M45"/>
  <c r="M63" s="1"/>
  <c r="I53"/>
  <c r="I55" s="1"/>
  <c r="E64"/>
  <c r="M64"/>
  <c r="M66"/>
  <c r="I67"/>
  <c r="F41"/>
  <c r="J41"/>
  <c r="N41"/>
  <c r="H45"/>
  <c r="H63" s="1"/>
  <c r="L45"/>
  <c r="L63" s="1"/>
  <c r="H53"/>
  <c r="H55" s="1"/>
  <c r="L53"/>
  <c r="L55" s="1"/>
  <c r="D66"/>
  <c r="H66"/>
  <c r="L66"/>
  <c r="F45"/>
  <c r="F63" s="1"/>
  <c r="N45"/>
  <c r="N63" s="1"/>
  <c r="I45"/>
  <c r="I63" s="1"/>
  <c r="E53"/>
  <c r="E55" s="1"/>
  <c r="M53"/>
  <c r="M55" s="1"/>
  <c r="I64"/>
  <c r="E66"/>
  <c r="I66"/>
  <c r="E67"/>
  <c r="M67"/>
  <c r="O41"/>
  <c r="G45"/>
  <c r="G63" s="1"/>
  <c r="K45"/>
  <c r="K63" s="1"/>
  <c r="O45"/>
  <c r="O63" s="1"/>
  <c r="G53"/>
  <c r="G55" s="1"/>
  <c r="K53"/>
  <c r="K55" s="1"/>
  <c r="O53"/>
  <c r="O55" s="1"/>
  <c r="O64"/>
  <c r="G66"/>
  <c r="K66"/>
  <c r="O66"/>
  <c r="M80" i="79"/>
  <c r="M81"/>
  <c r="M55"/>
  <c r="N25"/>
  <c r="N53" s="1"/>
  <c r="F53"/>
  <c r="J53"/>
  <c r="F80"/>
  <c r="J81"/>
  <c r="E53"/>
  <c r="M53"/>
  <c r="E80"/>
  <c r="I80"/>
  <c r="L25"/>
  <c r="D53"/>
  <c r="H53"/>
  <c r="D80"/>
  <c r="H80"/>
  <c r="I53"/>
  <c r="K25"/>
  <c r="K55" s="1"/>
  <c r="O25"/>
  <c r="G53"/>
  <c r="G80"/>
  <c r="O138" i="82"/>
  <c r="O140" s="1"/>
  <c r="O155" i="83"/>
  <c r="N155"/>
  <c r="M155" s="1"/>
  <c r="O134" i="82"/>
  <c r="J76" i="81"/>
  <c r="J132" s="1"/>
  <c r="F76"/>
  <c r="F93" s="1"/>
  <c r="N76"/>
  <c r="N123" s="1"/>
  <c r="D76"/>
  <c r="H76"/>
  <c r="H116" s="1"/>
  <c r="H117" s="1"/>
  <c r="L76"/>
  <c r="L132" s="1"/>
  <c r="G76"/>
  <c r="K76"/>
  <c r="K116" s="1"/>
  <c r="K117" s="1"/>
  <c r="L115" i="82"/>
  <c r="K115" s="1"/>
  <c r="M120"/>
  <c r="O90" i="79"/>
  <c r="O130" s="1"/>
  <c r="O76" i="81"/>
  <c r="O127" s="1"/>
  <c r="O128" s="1"/>
  <c r="G159" i="83"/>
  <c r="F159" s="1"/>
  <c r="G158"/>
  <c r="G135"/>
  <c r="K159"/>
  <c r="J159" s="1"/>
  <c r="K158"/>
  <c r="K135"/>
  <c r="K139"/>
  <c r="L156"/>
  <c r="L141"/>
  <c r="L155" s="1"/>
  <c r="L149"/>
  <c r="D155" i="82"/>
  <c r="D148"/>
  <c r="N138"/>
  <c r="N134"/>
  <c r="N158"/>
  <c r="N157"/>
  <c r="E76" i="81"/>
  <c r="E127" s="1"/>
  <c r="E128" s="1"/>
  <c r="I76"/>
  <c r="M76"/>
  <c r="M127" s="1"/>
  <c r="M128" s="1"/>
  <c r="B159" i="122"/>
  <c r="B157"/>
  <c r="B155"/>
  <c r="G132" i="81" l="1"/>
  <c r="D132"/>
  <c r="G119"/>
  <c r="D121"/>
  <c r="K123"/>
  <c r="D85"/>
  <c r="D102" s="1"/>
  <c r="I127"/>
  <c r="I128" s="1"/>
  <c r="I79"/>
  <c r="J124"/>
  <c r="K124"/>
  <c r="K119"/>
  <c r="O121"/>
  <c r="J93"/>
  <c r="D93"/>
  <c r="O120"/>
  <c r="D124"/>
  <c r="D116"/>
  <c r="D117" s="1"/>
  <c r="E122"/>
  <c r="N121"/>
  <c r="E123"/>
  <c r="E121"/>
  <c r="E116"/>
  <c r="E117" s="1"/>
  <c r="D119"/>
  <c r="N132"/>
  <c r="O81" i="79"/>
  <c r="O80"/>
  <c r="L81"/>
  <c r="L80"/>
  <c r="K81"/>
  <c r="K80"/>
  <c r="O53"/>
  <c r="O96" s="1"/>
  <c r="L55"/>
  <c r="L53"/>
  <c r="O55"/>
  <c r="O150" s="1"/>
  <c r="K53"/>
  <c r="N81"/>
  <c r="N80"/>
  <c r="N55"/>
  <c r="O148" i="82"/>
  <c r="O155"/>
  <c r="D127" i="81"/>
  <c r="D128" s="1"/>
  <c r="M122"/>
  <c r="K142"/>
  <c r="D122"/>
  <c r="N119"/>
  <c r="D83"/>
  <c r="M121"/>
  <c r="D123"/>
  <c r="D120"/>
  <c r="N93"/>
  <c r="F123"/>
  <c r="G124"/>
  <c r="K120"/>
  <c r="E119"/>
  <c r="K132"/>
  <c r="N122"/>
  <c r="N120"/>
  <c r="N116"/>
  <c r="N117" s="1"/>
  <c r="O139" i="79"/>
  <c r="K127" i="81"/>
  <c r="K128" s="1"/>
  <c r="G116"/>
  <c r="G117" s="1"/>
  <c r="L124"/>
  <c r="N127"/>
  <c r="N128" s="1"/>
  <c r="E124"/>
  <c r="K122"/>
  <c r="K121"/>
  <c r="E120"/>
  <c r="N124"/>
  <c r="L116"/>
  <c r="L117" s="1"/>
  <c r="O128" i="79"/>
  <c r="G127" i="81"/>
  <c r="G128" s="1"/>
  <c r="J127"/>
  <c r="J128" s="1"/>
  <c r="L127"/>
  <c r="L128" s="1"/>
  <c r="G123"/>
  <c r="O81"/>
  <c r="N81" s="1"/>
  <c r="O142"/>
  <c r="L122"/>
  <c r="F121"/>
  <c r="J120"/>
  <c r="O82"/>
  <c r="N82" s="1"/>
  <c r="J122"/>
  <c r="O124"/>
  <c r="G120"/>
  <c r="O87"/>
  <c r="O101" s="1"/>
  <c r="G142"/>
  <c r="L120"/>
  <c r="F119"/>
  <c r="J116"/>
  <c r="J117" s="1"/>
  <c r="O83"/>
  <c r="N83" s="1"/>
  <c r="F132"/>
  <c r="L93"/>
  <c r="K93" s="1"/>
  <c r="H121"/>
  <c r="H132"/>
  <c r="O140" i="79"/>
  <c r="O93"/>
  <c r="F127" i="81"/>
  <c r="F128" s="1"/>
  <c r="M123"/>
  <c r="O122"/>
  <c r="G121"/>
  <c r="M119"/>
  <c r="O116"/>
  <c r="O117" s="1"/>
  <c r="O93"/>
  <c r="O78"/>
  <c r="O104" s="1"/>
  <c r="O109" i="79"/>
  <c r="F124" i="81"/>
  <c r="J123"/>
  <c r="F122"/>
  <c r="J121"/>
  <c r="F120"/>
  <c r="J119"/>
  <c r="F116"/>
  <c r="F117" s="1"/>
  <c r="O95"/>
  <c r="O85"/>
  <c r="O102" s="1"/>
  <c r="J79"/>
  <c r="O141" i="79"/>
  <c r="O137"/>
  <c r="O95"/>
  <c r="H93" i="81"/>
  <c r="O94" i="79"/>
  <c r="H123" i="81"/>
  <c r="H119"/>
  <c r="O129" i="79"/>
  <c r="H127" i="81"/>
  <c r="H128" s="1"/>
  <c r="M124"/>
  <c r="O123"/>
  <c r="G122"/>
  <c r="M120"/>
  <c r="O119"/>
  <c r="O79"/>
  <c r="N79" s="1"/>
  <c r="M79" s="1"/>
  <c r="L79" s="1"/>
  <c r="K79" s="1"/>
  <c r="O154" i="82"/>
  <c r="O132" i="81"/>
  <c r="H124"/>
  <c r="L123"/>
  <c r="H122"/>
  <c r="L121"/>
  <c r="H120"/>
  <c r="L119"/>
  <c r="O113"/>
  <c r="O80"/>
  <c r="N80" s="1"/>
  <c r="O138" i="79"/>
  <c r="O127"/>
  <c r="M116" i="81"/>
  <c r="M117" s="1"/>
  <c r="M81"/>
  <c r="L81" s="1"/>
  <c r="K81" s="1"/>
  <c r="J81" s="1"/>
  <c r="I81" s="1"/>
  <c r="H81" s="1"/>
  <c r="G81" s="1"/>
  <c r="F81" s="1"/>
  <c r="E81" s="1"/>
  <c r="D81" s="1"/>
  <c r="M132"/>
  <c r="M82"/>
  <c r="L82" s="1"/>
  <c r="K82" s="1"/>
  <c r="J82" s="1"/>
  <c r="O142" i="79"/>
  <c r="O99"/>
  <c r="O116" s="1"/>
  <c r="E132" i="81"/>
  <c r="G93"/>
  <c r="N78"/>
  <c r="N140" i="82"/>
  <c r="N154" s="1"/>
  <c r="N155"/>
  <c r="N148"/>
  <c r="N142" i="81"/>
  <c r="J142"/>
  <c r="F142"/>
  <c r="N95"/>
  <c r="N85"/>
  <c r="L120" i="82"/>
  <c r="M158"/>
  <c r="M157"/>
  <c r="M138"/>
  <c r="M134"/>
  <c r="N87" i="81"/>
  <c r="J139" i="83"/>
  <c r="K141"/>
  <c r="K155" s="1"/>
  <c r="K156"/>
  <c r="K149"/>
  <c r="M113" i="81"/>
  <c r="N90" i="79"/>
  <c r="N130" s="1"/>
  <c r="O160"/>
  <c r="O145"/>
  <c r="O146" s="1"/>
  <c r="O134"/>
  <c r="O133"/>
  <c r="O107"/>
  <c r="J115" i="82"/>
  <c r="K120"/>
  <c r="I132" i="81"/>
  <c r="I93"/>
  <c r="I82"/>
  <c r="H82" s="1"/>
  <c r="G82" s="1"/>
  <c r="F82" s="1"/>
  <c r="E82" s="1"/>
  <c r="D82" s="1"/>
  <c r="H79"/>
  <c r="G79" s="1"/>
  <c r="F79" s="1"/>
  <c r="E79" s="1"/>
  <c r="D79" s="1"/>
  <c r="I124"/>
  <c r="I123"/>
  <c r="I122"/>
  <c r="I121"/>
  <c r="I120"/>
  <c r="I119"/>
  <c r="I116"/>
  <c r="I117" s="1"/>
  <c r="M142"/>
  <c r="I142"/>
  <c r="E142"/>
  <c r="M93"/>
  <c r="E93"/>
  <c r="M83"/>
  <c r="L83" s="1"/>
  <c r="K83" s="1"/>
  <c r="J83" s="1"/>
  <c r="I83" s="1"/>
  <c r="H83" s="1"/>
  <c r="G83" s="1"/>
  <c r="F83" s="1"/>
  <c r="E83" s="1"/>
  <c r="M80"/>
  <c r="L80" s="1"/>
  <c r="K80" s="1"/>
  <c r="J80" s="1"/>
  <c r="I80" s="1"/>
  <c r="H80" s="1"/>
  <c r="G80" s="1"/>
  <c r="F80" s="1"/>
  <c r="E80" s="1"/>
  <c r="D80" s="1"/>
  <c r="O92" i="79"/>
  <c r="B153" i="122"/>
  <c r="B151"/>
  <c r="B149"/>
  <c r="B147"/>
  <c r="O97" i="79" l="1"/>
  <c r="O105" i="81"/>
  <c r="N125"/>
  <c r="D125"/>
  <c r="G125"/>
  <c r="E125"/>
  <c r="O131" i="79"/>
  <c r="O172" s="1"/>
  <c r="F125" i="81"/>
  <c r="O97"/>
  <c r="K125"/>
  <c r="O125"/>
  <c r="J125"/>
  <c r="H125"/>
  <c r="L125"/>
  <c r="O143" i="79"/>
  <c r="M125" i="81"/>
  <c r="N95" i="79"/>
  <c r="N93"/>
  <c r="N94"/>
  <c r="I125" i="81"/>
  <c r="N96" i="79"/>
  <c r="O111"/>
  <c r="N113" i="81"/>
  <c r="N114" s="1"/>
  <c r="N130" s="1"/>
  <c r="O114"/>
  <c r="O135" i="79"/>
  <c r="N92"/>
  <c r="O119"/>
  <c r="O118"/>
  <c r="H142" i="81"/>
  <c r="K158" i="82"/>
  <c r="K157"/>
  <c r="K138"/>
  <c r="K134"/>
  <c r="N160" i="79"/>
  <c r="L138" i="82"/>
  <c r="L134"/>
  <c r="L158"/>
  <c r="L157"/>
  <c r="M85" i="81"/>
  <c r="N102"/>
  <c r="M95"/>
  <c r="N97"/>
  <c r="D142"/>
  <c r="L142"/>
  <c r="I115" i="82"/>
  <c r="J120"/>
  <c r="M90" i="79"/>
  <c r="M130" s="1"/>
  <c r="N99"/>
  <c r="N116" s="1"/>
  <c r="N127"/>
  <c r="N139"/>
  <c r="N97"/>
  <c r="N133"/>
  <c r="N134"/>
  <c r="N145"/>
  <c r="N146" s="1"/>
  <c r="N142"/>
  <c r="N129"/>
  <c r="N107"/>
  <c r="N128"/>
  <c r="N138"/>
  <c r="N140"/>
  <c r="N150"/>
  <c r="N137"/>
  <c r="N141"/>
  <c r="L113" i="81"/>
  <c r="M114"/>
  <c r="I139" i="83"/>
  <c r="J156"/>
  <c r="J141"/>
  <c r="J155" s="1"/>
  <c r="J149"/>
  <c r="M87" i="81"/>
  <c r="N101"/>
  <c r="M155" i="82"/>
  <c r="M140"/>
  <c r="M154" s="1"/>
  <c r="M148"/>
  <c r="M78" i="81"/>
  <c r="N105"/>
  <c r="N104"/>
  <c r="N109" i="79"/>
  <c r="M94" l="1"/>
  <c r="M96"/>
  <c r="M93"/>
  <c r="M95"/>
  <c r="O171"/>
  <c r="N154" i="81"/>
  <c r="O148" i="79"/>
  <c r="O130" i="81"/>
  <c r="N134"/>
  <c r="N144" s="1"/>
  <c r="N153"/>
  <c r="O152" i="79"/>
  <c r="O154" s="1"/>
  <c r="N135"/>
  <c r="N143"/>
  <c r="O154" i="81"/>
  <c r="O153"/>
  <c r="O134"/>
  <c r="M130"/>
  <c r="M109" i="79"/>
  <c r="N111"/>
  <c r="L87" i="81"/>
  <c r="M101"/>
  <c r="H139" i="83"/>
  <c r="I141"/>
  <c r="I155" s="1"/>
  <c r="I156"/>
  <c r="I149"/>
  <c r="K113" i="81"/>
  <c r="L114"/>
  <c r="J138" i="82"/>
  <c r="J134"/>
  <c r="J158"/>
  <c r="J157"/>
  <c r="M160" i="79"/>
  <c r="K155" i="82"/>
  <c r="K140"/>
  <c r="K148"/>
  <c r="M134" i="81"/>
  <c r="L78"/>
  <c r="M105"/>
  <c r="M104"/>
  <c r="M154"/>
  <c r="M153"/>
  <c r="L90" i="79"/>
  <c r="L95" s="1"/>
  <c r="M150"/>
  <c r="M134"/>
  <c r="M133"/>
  <c r="M107"/>
  <c r="M97"/>
  <c r="M145"/>
  <c r="M146" s="1"/>
  <c r="M101"/>
  <c r="M142"/>
  <c r="M129"/>
  <c r="M99"/>
  <c r="M116" s="1"/>
  <c r="M127"/>
  <c r="M128"/>
  <c r="M137"/>
  <c r="M138"/>
  <c r="M139"/>
  <c r="M140"/>
  <c r="M141"/>
  <c r="H115" i="82"/>
  <c r="G115" s="1"/>
  <c r="I120"/>
  <c r="L95" i="81"/>
  <c r="M97"/>
  <c r="L85"/>
  <c r="M102"/>
  <c r="L140" i="82"/>
  <c r="L154" s="1"/>
  <c r="K154" s="1"/>
  <c r="L155"/>
  <c r="L148"/>
  <c r="M92" i="79"/>
  <c r="N119"/>
  <c r="N118"/>
  <c r="N131"/>
  <c r="B120" i="122"/>
  <c r="B118"/>
  <c r="B116"/>
  <c r="B114"/>
  <c r="B112"/>
  <c r="B110"/>
  <c r="B108"/>
  <c r="B104"/>
  <c r="B106"/>
  <c r="N136" i="81" l="1"/>
  <c r="N151"/>
  <c r="O162" i="79"/>
  <c r="L130"/>
  <c r="O144" i="81"/>
  <c r="O136"/>
  <c r="O151"/>
  <c r="N152" i="79"/>
  <c r="N172"/>
  <c r="N171"/>
  <c r="N148"/>
  <c r="L92"/>
  <c r="M119"/>
  <c r="M118"/>
  <c r="K85" i="81"/>
  <c r="L102"/>
  <c r="K95"/>
  <c r="L97"/>
  <c r="F115" i="82"/>
  <c r="G120"/>
  <c r="K90" i="79"/>
  <c r="L140"/>
  <c r="L129"/>
  <c r="L99"/>
  <c r="L116" s="1"/>
  <c r="L137"/>
  <c r="L141"/>
  <c r="L107"/>
  <c r="L150"/>
  <c r="L128"/>
  <c r="L138"/>
  <c r="L142"/>
  <c r="L97"/>
  <c r="L133"/>
  <c r="L134"/>
  <c r="L145"/>
  <c r="L146" s="1"/>
  <c r="L127"/>
  <c r="L139"/>
  <c r="L154" i="81"/>
  <c r="L153"/>
  <c r="L130"/>
  <c r="H120" i="82"/>
  <c r="I158"/>
  <c r="I157"/>
  <c r="I138"/>
  <c r="I134"/>
  <c r="L101" i="79"/>
  <c r="M115"/>
  <c r="K78" i="81"/>
  <c r="L105"/>
  <c r="L104"/>
  <c r="L134"/>
  <c r="M151"/>
  <c r="M136"/>
  <c r="M144"/>
  <c r="L160" i="79"/>
  <c r="J140" i="82"/>
  <c r="J155"/>
  <c r="J148"/>
  <c r="J113" i="81"/>
  <c r="K114"/>
  <c r="G139" i="83"/>
  <c r="H156"/>
  <c r="H141"/>
  <c r="H155" s="1"/>
  <c r="H149"/>
  <c r="K87" i="81"/>
  <c r="L101"/>
  <c r="L109" i="79"/>
  <c r="M111"/>
  <c r="K95"/>
  <c r="L94"/>
  <c r="L93"/>
  <c r="J154" i="82"/>
  <c r="L96" i="79"/>
  <c r="K96" s="1"/>
  <c r="M143"/>
  <c r="M131"/>
  <c r="M135"/>
  <c r="O94" i="122"/>
  <c r="N94"/>
  <c r="M94"/>
  <c r="L94"/>
  <c r="K94"/>
  <c r="J94"/>
  <c r="I94"/>
  <c r="H94"/>
  <c r="G94"/>
  <c r="F94"/>
  <c r="E94"/>
  <c r="D94"/>
  <c r="O93"/>
  <c r="N93"/>
  <c r="M93"/>
  <c r="L93"/>
  <c r="K93"/>
  <c r="J93"/>
  <c r="I93"/>
  <c r="H93"/>
  <c r="G93"/>
  <c r="F93"/>
  <c r="E93"/>
  <c r="D93"/>
  <c r="E5"/>
  <c r="E4"/>
  <c r="E3"/>
  <c r="E2"/>
  <c r="C11" i="71"/>
  <c r="B105" i="41"/>
  <c r="B103"/>
  <c r="B101"/>
  <c r="B99"/>
  <c r="B97"/>
  <c r="B96"/>
  <c r="B95"/>
  <c r="B94"/>
  <c r="B93"/>
  <c r="B92"/>
  <c r="P89"/>
  <c r="O89"/>
  <c r="N89"/>
  <c r="M89"/>
  <c r="L89"/>
  <c r="K89"/>
  <c r="J89"/>
  <c r="I89"/>
  <c r="H89"/>
  <c r="G89"/>
  <c r="F89"/>
  <c r="E89"/>
  <c r="D89"/>
  <c r="P88"/>
  <c r="O88"/>
  <c r="N88"/>
  <c r="M88"/>
  <c r="L88"/>
  <c r="K88" s="1"/>
  <c r="J88"/>
  <c r="I88"/>
  <c r="H88"/>
  <c r="G88"/>
  <c r="F88"/>
  <c r="E88"/>
  <c r="D88" s="1"/>
  <c r="D56" i="122" l="1"/>
  <c r="K93" i="79"/>
  <c r="E90" i="41"/>
  <c r="I90"/>
  <c r="G90"/>
  <c r="K90"/>
  <c r="K107" s="1"/>
  <c r="M90"/>
  <c r="O90"/>
  <c r="D90"/>
  <c r="F90"/>
  <c r="H90"/>
  <c r="J90"/>
  <c r="L90"/>
  <c r="L105" s="1"/>
  <c r="N90"/>
  <c r="P90"/>
  <c r="L135" i="79"/>
  <c r="D95" i="122"/>
  <c r="E56"/>
  <c r="F56"/>
  <c r="G56"/>
  <c r="H56"/>
  <c r="I56"/>
  <c r="J56"/>
  <c r="K56"/>
  <c r="L56"/>
  <c r="M56"/>
  <c r="O56"/>
  <c r="N56"/>
  <c r="N70"/>
  <c r="N72" s="1"/>
  <c r="O70"/>
  <c r="O72" s="1"/>
  <c r="L99" i="41"/>
  <c r="AB157" i="35" s="1"/>
  <c r="M172" i="79"/>
  <c r="M171"/>
  <c r="M148"/>
  <c r="M152"/>
  <c r="K109"/>
  <c r="L111"/>
  <c r="J87" i="81"/>
  <c r="K101"/>
  <c r="G141" i="83"/>
  <c r="G155" s="1"/>
  <c r="F155" s="1"/>
  <c r="E155" s="1"/>
  <c r="D155" s="1"/>
  <c r="O151" s="1"/>
  <c r="N151" s="1"/>
  <c r="M151" s="1"/>
  <c r="L151" s="1"/>
  <c r="K151" s="1"/>
  <c r="J151" s="1"/>
  <c r="I151" s="1"/>
  <c r="H151" s="1"/>
  <c r="G156"/>
  <c r="G149"/>
  <c r="I113" i="81"/>
  <c r="J114"/>
  <c r="K160" i="79"/>
  <c r="K134" i="81"/>
  <c r="L136"/>
  <c r="L151"/>
  <c r="L144"/>
  <c r="H138" i="82"/>
  <c r="H134"/>
  <c r="H158"/>
  <c r="H157"/>
  <c r="J90" i="79"/>
  <c r="K145"/>
  <c r="K146" s="1"/>
  <c r="K150"/>
  <c r="K134"/>
  <c r="K133"/>
  <c r="K107"/>
  <c r="K97"/>
  <c r="K127"/>
  <c r="K128"/>
  <c r="K137"/>
  <c r="K138"/>
  <c r="K139"/>
  <c r="K140"/>
  <c r="K141"/>
  <c r="K99"/>
  <c r="K116" s="1"/>
  <c r="K142"/>
  <c r="K129"/>
  <c r="E115" i="82"/>
  <c r="E120" s="1"/>
  <c r="F120"/>
  <c r="J95" i="81"/>
  <c r="K97"/>
  <c r="J85"/>
  <c r="K102"/>
  <c r="K154"/>
  <c r="K153"/>
  <c r="J78"/>
  <c r="K105"/>
  <c r="K104"/>
  <c r="K101" i="79"/>
  <c r="L115"/>
  <c r="I155" i="82"/>
  <c r="I140"/>
  <c r="I154" s="1"/>
  <c r="I148"/>
  <c r="G158"/>
  <c r="G157"/>
  <c r="G138"/>
  <c r="G134"/>
  <c r="K92" i="79"/>
  <c r="L119"/>
  <c r="L118"/>
  <c r="N154"/>
  <c r="N162"/>
  <c r="F95" i="122"/>
  <c r="H95"/>
  <c r="J95"/>
  <c r="L95"/>
  <c r="N95"/>
  <c r="L143" i="79"/>
  <c r="E95" i="122"/>
  <c r="G95"/>
  <c r="I95"/>
  <c r="K95"/>
  <c r="M95"/>
  <c r="O95"/>
  <c r="K94" i="79"/>
  <c r="K130"/>
  <c r="K130" i="81"/>
  <c r="L131" i="79"/>
  <c r="E75" i="41"/>
  <c r="D75"/>
  <c r="E74"/>
  <c r="D74"/>
  <c r="E73"/>
  <c r="D73"/>
  <c r="E72"/>
  <c r="D72"/>
  <c r="E71"/>
  <c r="D71"/>
  <c r="E70"/>
  <c r="D70"/>
  <c r="E69"/>
  <c r="D69"/>
  <c r="E68"/>
  <c r="D68"/>
  <c r="M59"/>
  <c r="L59"/>
  <c r="E59"/>
  <c r="D59"/>
  <c r="P57"/>
  <c r="P59" s="1"/>
  <c r="O57"/>
  <c r="O107" s="1"/>
  <c r="N57"/>
  <c r="N59" s="1"/>
  <c r="M57"/>
  <c r="L57"/>
  <c r="K57"/>
  <c r="K59" s="1"/>
  <c r="J57"/>
  <c r="J59" s="1"/>
  <c r="I57"/>
  <c r="I59" s="1"/>
  <c r="H57"/>
  <c r="H59" s="1"/>
  <c r="G57"/>
  <c r="G59" s="1"/>
  <c r="F57"/>
  <c r="F59" s="1"/>
  <c r="E57"/>
  <c r="D57"/>
  <c r="P51"/>
  <c r="N140" i="35" s="1"/>
  <c r="O51" i="41"/>
  <c r="M140" i="35" s="1"/>
  <c r="N51" i="41"/>
  <c r="L140" i="35" s="1"/>
  <c r="M51" i="41"/>
  <c r="K140" i="35" s="1"/>
  <c r="L51" i="41"/>
  <c r="J140" i="35" s="1"/>
  <c r="K51" i="41"/>
  <c r="I140" i="35" s="1"/>
  <c r="J51" i="41"/>
  <c r="H140" i="35" s="1"/>
  <c r="I51" i="41"/>
  <c r="G140" i="35" s="1"/>
  <c r="H51" i="41"/>
  <c r="F140" i="35" s="1"/>
  <c r="G51" i="41"/>
  <c r="E140" i="35" s="1"/>
  <c r="F51" i="41"/>
  <c r="D140" i="35" s="1"/>
  <c r="E51" i="41"/>
  <c r="C140" i="35" s="1"/>
  <c r="Q140" s="1"/>
  <c r="D51" i="41"/>
  <c r="D101" s="1"/>
  <c r="P43"/>
  <c r="O43"/>
  <c r="N43"/>
  <c r="M43"/>
  <c r="L43"/>
  <c r="K43"/>
  <c r="J43"/>
  <c r="I43"/>
  <c r="H43"/>
  <c r="G43"/>
  <c r="G95" s="1"/>
  <c r="F43"/>
  <c r="E43"/>
  <c r="D43"/>
  <c r="P40"/>
  <c r="O40"/>
  <c r="N40"/>
  <c r="M40"/>
  <c r="L40"/>
  <c r="L94" s="1"/>
  <c r="K40"/>
  <c r="J40"/>
  <c r="I40"/>
  <c r="H40"/>
  <c r="G40"/>
  <c r="F40"/>
  <c r="E40"/>
  <c r="D40"/>
  <c r="D94" s="1"/>
  <c r="P28"/>
  <c r="O28"/>
  <c r="N28"/>
  <c r="M28"/>
  <c r="L28"/>
  <c r="K28"/>
  <c r="J28"/>
  <c r="I28"/>
  <c r="I93" s="1"/>
  <c r="H28"/>
  <c r="G28"/>
  <c r="G93" s="1"/>
  <c r="F28"/>
  <c r="E28"/>
  <c r="D28"/>
  <c r="D53" s="1"/>
  <c r="P25"/>
  <c r="M25"/>
  <c r="L25"/>
  <c r="I25"/>
  <c r="H25"/>
  <c r="G25"/>
  <c r="F25"/>
  <c r="E25"/>
  <c r="D25"/>
  <c r="D83" s="1"/>
  <c r="O24"/>
  <c r="N24"/>
  <c r="N25" s="1"/>
  <c r="L24"/>
  <c r="K24"/>
  <c r="K25" s="1"/>
  <c r="J24"/>
  <c r="E5"/>
  <c r="E4"/>
  <c r="E3"/>
  <c r="E2"/>
  <c r="B93" i="43"/>
  <c r="B91"/>
  <c r="B89"/>
  <c r="B87"/>
  <c r="B85"/>
  <c r="B83"/>
  <c r="B81"/>
  <c r="B80"/>
  <c r="B79"/>
  <c r="B78"/>
  <c r="B77"/>
  <c r="B76"/>
  <c r="N73"/>
  <c r="M73"/>
  <c r="L73"/>
  <c r="K73"/>
  <c r="J73"/>
  <c r="I73"/>
  <c r="H73"/>
  <c r="G73"/>
  <c r="F73"/>
  <c r="E73"/>
  <c r="D73"/>
  <c r="N72"/>
  <c r="M72"/>
  <c r="L72"/>
  <c r="K72"/>
  <c r="J72"/>
  <c r="I72"/>
  <c r="H72"/>
  <c r="G72"/>
  <c r="F72"/>
  <c r="E72"/>
  <c r="D72"/>
  <c r="I67"/>
  <c r="H67"/>
  <c r="G67"/>
  <c r="F67"/>
  <c r="E67"/>
  <c r="D67"/>
  <c r="N53"/>
  <c r="N55" s="1"/>
  <c r="M53"/>
  <c r="M55" s="1"/>
  <c r="L53"/>
  <c r="L55" s="1"/>
  <c r="K53"/>
  <c r="K55" s="1"/>
  <c r="J53"/>
  <c r="J55" s="1"/>
  <c r="N49"/>
  <c r="M173" i="35" s="1"/>
  <c r="M49" i="43"/>
  <c r="L173" i="35" s="1"/>
  <c r="L49" i="43"/>
  <c r="K173" i="35" s="1"/>
  <c r="K49" i="43"/>
  <c r="J173" i="35" s="1"/>
  <c r="G92" i="41" l="1"/>
  <c r="X123" i="35" s="1"/>
  <c r="D95" i="41"/>
  <c r="G94"/>
  <c r="L107"/>
  <c r="G107"/>
  <c r="D103"/>
  <c r="E47"/>
  <c r="I47"/>
  <c r="D93"/>
  <c r="M47"/>
  <c r="M97" s="1"/>
  <c r="F47"/>
  <c r="N47"/>
  <c r="N97" s="1"/>
  <c r="M45"/>
  <c r="L45" s="1"/>
  <c r="L96" s="1"/>
  <c r="I123" i="35"/>
  <c r="K83" i="41"/>
  <c r="L123" i="35"/>
  <c r="N45" i="41"/>
  <c r="K47"/>
  <c r="K97" s="1"/>
  <c r="F123" i="35"/>
  <c r="H83" i="41"/>
  <c r="N123" i="35"/>
  <c r="P83" i="41"/>
  <c r="E123" i="35"/>
  <c r="G83" i="41"/>
  <c r="D123" i="35"/>
  <c r="F83" i="41"/>
  <c r="H47"/>
  <c r="P47"/>
  <c r="P97" s="1"/>
  <c r="G101"/>
  <c r="W140" i="35" s="1"/>
  <c r="O25" i="41"/>
  <c r="M123" i="35" s="1"/>
  <c r="K45" i="41"/>
  <c r="K96" s="1"/>
  <c r="G47"/>
  <c r="G97" s="1"/>
  <c r="J25"/>
  <c r="J47" s="1"/>
  <c r="J97" s="1"/>
  <c r="F45"/>
  <c r="F96" s="1"/>
  <c r="P53"/>
  <c r="O59"/>
  <c r="E107"/>
  <c r="J123" i="35"/>
  <c r="L83" i="41"/>
  <c r="C123" i="35"/>
  <c r="Q123" s="1"/>
  <c r="E83" i="41"/>
  <c r="G123" i="35"/>
  <c r="I83" i="41"/>
  <c r="K123" i="35"/>
  <c r="M83" i="41"/>
  <c r="D45"/>
  <c r="H45"/>
  <c r="H96" s="1"/>
  <c r="D47"/>
  <c r="D97" s="1"/>
  <c r="L47"/>
  <c r="L97" s="1"/>
  <c r="G45"/>
  <c r="G96" s="1"/>
  <c r="P45"/>
  <c r="P96" s="1"/>
  <c r="D99"/>
  <c r="N101"/>
  <c r="AD140" i="35" s="1"/>
  <c r="F107" i="41"/>
  <c r="E45"/>
  <c r="E96" s="1"/>
  <c r="I45"/>
  <c r="I96" s="1"/>
  <c r="G105"/>
  <c r="G109" s="1"/>
  <c r="G99"/>
  <c r="W157" i="35" s="1"/>
  <c r="L92" i="41"/>
  <c r="AC123" i="35" s="1"/>
  <c r="L101" i="41"/>
  <c r="AB140" i="35" s="1"/>
  <c r="D105" i="41"/>
  <c r="J101"/>
  <c r="Z140" i="35" s="1"/>
  <c r="O101" i="41"/>
  <c r="AE140" i="35" s="1"/>
  <c r="I107" i="41"/>
  <c r="N173" i="35"/>
  <c r="O173"/>
  <c r="I102" i="122"/>
  <c r="I141" s="1"/>
  <c r="I155"/>
  <c r="N102"/>
  <c r="N141" s="1"/>
  <c r="N155"/>
  <c r="F102"/>
  <c r="F141" s="1"/>
  <c r="F155"/>
  <c r="D102"/>
  <c r="D141" s="1"/>
  <c r="D155"/>
  <c r="D108"/>
  <c r="K102"/>
  <c r="K141" s="1"/>
  <c r="K155"/>
  <c r="H102"/>
  <c r="H141" s="1"/>
  <c r="H155"/>
  <c r="M102"/>
  <c r="M141" s="1"/>
  <c r="M155"/>
  <c r="E102"/>
  <c r="E141" s="1"/>
  <c r="E155"/>
  <c r="J102"/>
  <c r="J141" s="1"/>
  <c r="J155"/>
  <c r="J95" i="79"/>
  <c r="J137"/>
  <c r="J128"/>
  <c r="J133"/>
  <c r="J127"/>
  <c r="J134"/>
  <c r="J129"/>
  <c r="O102" i="122"/>
  <c r="O141" s="1"/>
  <c r="O155"/>
  <c r="G102"/>
  <c r="G141" s="1"/>
  <c r="G155"/>
  <c r="L102"/>
  <c r="L141" s="1"/>
  <c r="L155"/>
  <c r="H106"/>
  <c r="K106"/>
  <c r="D106"/>
  <c r="G101"/>
  <c r="G140" s="1"/>
  <c r="G97"/>
  <c r="G136" s="1"/>
  <c r="G100"/>
  <c r="G139" s="1"/>
  <c r="G98"/>
  <c r="G137" s="1"/>
  <c r="G99"/>
  <c r="G138" s="1"/>
  <c r="G104"/>
  <c r="G143" s="1"/>
  <c r="I100"/>
  <c r="I139" s="1"/>
  <c r="I104"/>
  <c r="I143" s="1"/>
  <c r="I101"/>
  <c r="I140" s="1"/>
  <c r="I97"/>
  <c r="I136" s="1"/>
  <c r="I99"/>
  <c r="I138" s="1"/>
  <c r="I98"/>
  <c r="I137" s="1"/>
  <c r="K98"/>
  <c r="K137" s="1"/>
  <c r="K97"/>
  <c r="K136" s="1"/>
  <c r="K104"/>
  <c r="K143" s="1"/>
  <c r="K101"/>
  <c r="K140" s="1"/>
  <c r="K99"/>
  <c r="K138" s="1"/>
  <c r="K100"/>
  <c r="K139" s="1"/>
  <c r="H100"/>
  <c r="H139" s="1"/>
  <c r="H104"/>
  <c r="H143" s="1"/>
  <c r="H99"/>
  <c r="H138" s="1"/>
  <c r="H101"/>
  <c r="H140" s="1"/>
  <c r="H98"/>
  <c r="H137" s="1"/>
  <c r="H97"/>
  <c r="H136" s="1"/>
  <c r="O106"/>
  <c r="G106"/>
  <c r="N106"/>
  <c r="L106"/>
  <c r="I106"/>
  <c r="E106"/>
  <c r="O98"/>
  <c r="O137" s="1"/>
  <c r="O104"/>
  <c r="O143" s="1"/>
  <c r="O97"/>
  <c r="O136" s="1"/>
  <c r="O99"/>
  <c r="O138" s="1"/>
  <c r="O101"/>
  <c r="O140" s="1"/>
  <c r="O100"/>
  <c r="O139" s="1"/>
  <c r="L100"/>
  <c r="L139" s="1"/>
  <c r="L104"/>
  <c r="L143" s="1"/>
  <c r="L98"/>
  <c r="L137" s="1"/>
  <c r="L99"/>
  <c r="L138" s="1"/>
  <c r="L101"/>
  <c r="L140" s="1"/>
  <c r="L97"/>
  <c r="L136" s="1"/>
  <c r="N100"/>
  <c r="N139" s="1"/>
  <c r="N99"/>
  <c r="N138" s="1"/>
  <c r="N104"/>
  <c r="N143" s="1"/>
  <c r="N98"/>
  <c r="N137" s="1"/>
  <c r="N97"/>
  <c r="N136" s="1"/>
  <c r="N101"/>
  <c r="N140" s="1"/>
  <c r="F98"/>
  <c r="F137" s="1"/>
  <c r="F97"/>
  <c r="F136" s="1"/>
  <c r="F101"/>
  <c r="F140" s="1"/>
  <c r="F99"/>
  <c r="F138" s="1"/>
  <c r="F104"/>
  <c r="F143" s="1"/>
  <c r="F100"/>
  <c r="F139" s="1"/>
  <c r="D98"/>
  <c r="D137" s="1"/>
  <c r="D114"/>
  <c r="D100"/>
  <c r="D139" s="1"/>
  <c r="D99"/>
  <c r="D138" s="1"/>
  <c r="D104"/>
  <c r="D143" s="1"/>
  <c r="D101"/>
  <c r="D140" s="1"/>
  <c r="D124"/>
  <c r="D110"/>
  <c r="D97"/>
  <c r="D136" s="1"/>
  <c r="D116"/>
  <c r="M101"/>
  <c r="M140" s="1"/>
  <c r="M100"/>
  <c r="M139" s="1"/>
  <c r="M104"/>
  <c r="M143" s="1"/>
  <c r="M99"/>
  <c r="M138" s="1"/>
  <c r="M97"/>
  <c r="M136" s="1"/>
  <c r="M98"/>
  <c r="M137" s="1"/>
  <c r="E100"/>
  <c r="E139" s="1"/>
  <c r="E97"/>
  <c r="E136" s="1"/>
  <c r="E98"/>
  <c r="E137" s="1"/>
  <c r="E99"/>
  <c r="E138" s="1"/>
  <c r="E104"/>
  <c r="E143" s="1"/>
  <c r="E101"/>
  <c r="E140" s="1"/>
  <c r="J97"/>
  <c r="J136" s="1"/>
  <c r="J101"/>
  <c r="J140" s="1"/>
  <c r="J100"/>
  <c r="J139" s="1"/>
  <c r="J104"/>
  <c r="J143" s="1"/>
  <c r="J99"/>
  <c r="J138" s="1"/>
  <c r="J98"/>
  <c r="J137" s="1"/>
  <c r="M106"/>
  <c r="J106"/>
  <c r="F106"/>
  <c r="N124"/>
  <c r="M43" i="113" s="1"/>
  <c r="N126" i="122"/>
  <c r="M97" i="113" s="1"/>
  <c r="K124" i="122"/>
  <c r="J43" i="113" s="1"/>
  <c r="K126" i="122"/>
  <c r="J97" i="113" s="1"/>
  <c r="O126" i="122"/>
  <c r="N97" i="113" s="1"/>
  <c r="J126" i="122"/>
  <c r="I97" i="113" s="1"/>
  <c r="F70" i="122"/>
  <c r="F72" s="1"/>
  <c r="F125"/>
  <c r="E70" i="113" s="1"/>
  <c r="L70" i="122"/>
  <c r="L72" s="1"/>
  <c r="J125"/>
  <c r="I70" i="113" s="1"/>
  <c r="K125" i="122"/>
  <c r="J70" i="113" s="1"/>
  <c r="G125" i="122"/>
  <c r="F70" i="113" s="1"/>
  <c r="J70" i="122"/>
  <c r="J72" s="1"/>
  <c r="G70"/>
  <c r="G72" s="1"/>
  <c r="K70"/>
  <c r="K72" s="1"/>
  <c r="I125"/>
  <c r="H70" i="113" s="1"/>
  <c r="Q70" s="1"/>
  <c r="D125" i="122"/>
  <c r="C70" i="113" s="1"/>
  <c r="D70" i="122"/>
  <c r="D118" s="1"/>
  <c r="M125"/>
  <c r="L70" i="113" s="1"/>
  <c r="H125" i="122"/>
  <c r="G70" i="113" s="1"/>
  <c r="E125" i="122"/>
  <c r="D70" i="113" s="1"/>
  <c r="M70" i="122"/>
  <c r="M72" s="1"/>
  <c r="H70"/>
  <c r="H72" s="1"/>
  <c r="L125"/>
  <c r="K70" i="113" s="1"/>
  <c r="I70" i="122"/>
  <c r="I72" s="1"/>
  <c r="K92" i="41"/>
  <c r="N99"/>
  <c r="AD157" i="35" s="1"/>
  <c r="F93" i="41"/>
  <c r="F105"/>
  <c r="I105"/>
  <c r="I95"/>
  <c r="L95"/>
  <c r="D107"/>
  <c r="J130" i="81"/>
  <c r="O94" i="41"/>
  <c r="I94"/>
  <c r="J93"/>
  <c r="J105"/>
  <c r="O99"/>
  <c r="AE157" i="35" s="1"/>
  <c r="I99" i="41"/>
  <c r="Y157" i="35" s="1"/>
  <c r="N107" i="41"/>
  <c r="J99"/>
  <c r="Z157" i="35" s="1"/>
  <c r="F97" i="41"/>
  <c r="I101"/>
  <c r="Y140" i="35" s="1"/>
  <c r="I97" i="41"/>
  <c r="I92"/>
  <c r="Z123" i="35" s="1"/>
  <c r="N94" i="41"/>
  <c r="J94"/>
  <c r="J107"/>
  <c r="O93"/>
  <c r="O105"/>
  <c r="O109" s="1"/>
  <c r="J96" i="79"/>
  <c r="K101" i="41"/>
  <c r="AA140" i="35" s="1"/>
  <c r="K95" i="41"/>
  <c r="N93"/>
  <c r="N105"/>
  <c r="F92"/>
  <c r="J93" i="79"/>
  <c r="K99" i="41"/>
  <c r="AA157" i="35" s="1"/>
  <c r="K94" i="41"/>
  <c r="N92"/>
  <c r="N96"/>
  <c r="L93"/>
  <c r="H95"/>
  <c r="F95"/>
  <c r="F101"/>
  <c r="V140" i="35" s="1"/>
  <c r="D92" i="41"/>
  <c r="D96"/>
  <c r="K105"/>
  <c r="K109" s="1"/>
  <c r="K93"/>
  <c r="N95"/>
  <c r="F94"/>
  <c r="F99"/>
  <c r="V157" i="35" s="1"/>
  <c r="H101" i="41"/>
  <c r="X140" i="35" s="1"/>
  <c r="P101" i="41"/>
  <c r="AF140" i="35" s="1"/>
  <c r="M101" i="41"/>
  <c r="AC140" i="35" s="1"/>
  <c r="P95" i="41"/>
  <c r="M95"/>
  <c r="P94"/>
  <c r="P107"/>
  <c r="H99"/>
  <c r="X157" i="35" s="1"/>
  <c r="M107" i="41"/>
  <c r="J94" i="79"/>
  <c r="P93" i="41"/>
  <c r="P105"/>
  <c r="H93"/>
  <c r="H97"/>
  <c r="H105"/>
  <c r="M93"/>
  <c r="M105"/>
  <c r="P99"/>
  <c r="AF157" i="35" s="1"/>
  <c r="H94" i="41"/>
  <c r="H107"/>
  <c r="M94"/>
  <c r="M99"/>
  <c r="AC157" i="35" s="1"/>
  <c r="E105" i="41"/>
  <c r="E101"/>
  <c r="U140" i="35" s="1"/>
  <c r="AI140" s="1"/>
  <c r="E99" i="41"/>
  <c r="U157" i="35" s="1"/>
  <c r="AI157" s="1"/>
  <c r="E97" i="41"/>
  <c r="E95"/>
  <c r="E94"/>
  <c r="E93"/>
  <c r="E92"/>
  <c r="P92"/>
  <c r="AG123" i="35" s="1"/>
  <c r="J95" i="41"/>
  <c r="H92"/>
  <c r="O95"/>
  <c r="M92"/>
  <c r="D74" i="43"/>
  <c r="D85" s="1"/>
  <c r="U139" i="35" s="1"/>
  <c r="F74" i="43"/>
  <c r="F87" s="1"/>
  <c r="W173" i="35" s="1"/>
  <c r="H74" i="43"/>
  <c r="H91" s="1"/>
  <c r="J74"/>
  <c r="J91" s="1"/>
  <c r="L74"/>
  <c r="L89" s="1"/>
  <c r="N74"/>
  <c r="N83" s="1"/>
  <c r="AE156" i="35" s="1"/>
  <c r="E74" i="43"/>
  <c r="E87" s="1"/>
  <c r="V173" i="35" s="1"/>
  <c r="G74" i="43"/>
  <c r="G91" s="1"/>
  <c r="I74"/>
  <c r="I89" s="1"/>
  <c r="K74"/>
  <c r="K89" s="1"/>
  <c r="M74"/>
  <c r="M83" s="1"/>
  <c r="AD156" i="35" s="1"/>
  <c r="K131" i="79"/>
  <c r="K172" s="1"/>
  <c r="L109" i="41"/>
  <c r="G151" i="83"/>
  <c r="F151" s="1"/>
  <c r="E151" s="1"/>
  <c r="D151" s="1"/>
  <c r="M128" i="122"/>
  <c r="M127"/>
  <c r="L125" i="113" s="1"/>
  <c r="I128" i="122"/>
  <c r="I127"/>
  <c r="H125" i="113" s="1"/>
  <c r="Q125" s="1"/>
  <c r="E128" i="122"/>
  <c r="E127"/>
  <c r="D125" i="113" s="1"/>
  <c r="L128" i="122"/>
  <c r="L127"/>
  <c r="K125" i="113" s="1"/>
  <c r="H128" i="122"/>
  <c r="H127"/>
  <c r="G125" i="113" s="1"/>
  <c r="O128" i="122"/>
  <c r="O127"/>
  <c r="N125" i="113" s="1"/>
  <c r="O125" i="122"/>
  <c r="N70" i="113" s="1"/>
  <c r="O124" i="122"/>
  <c r="N43" i="113" s="1"/>
  <c r="K128" i="122"/>
  <c r="K127"/>
  <c r="J125" i="113" s="1"/>
  <c r="G128" i="122"/>
  <c r="G127"/>
  <c r="F125" i="113" s="1"/>
  <c r="N128" i="122"/>
  <c r="N127"/>
  <c r="M125" i="113" s="1"/>
  <c r="N125" i="122"/>
  <c r="M70" i="113" s="1"/>
  <c r="J128" i="122"/>
  <c r="J124"/>
  <c r="I43" i="113" s="1"/>
  <c r="J127" i="122"/>
  <c r="I125" i="113" s="1"/>
  <c r="F128" i="122"/>
  <c r="F127"/>
  <c r="E125" i="113" s="1"/>
  <c r="D128" i="122"/>
  <c r="D127"/>
  <c r="C125" i="113" s="1"/>
  <c r="M116" i="122"/>
  <c r="L108"/>
  <c r="H116"/>
  <c r="E70"/>
  <c r="E72" s="1"/>
  <c r="I116"/>
  <c r="E108"/>
  <c r="J92" i="79"/>
  <c r="K119"/>
  <c r="K118"/>
  <c r="G155" i="82"/>
  <c r="G140"/>
  <c r="G148"/>
  <c r="J101" i="79"/>
  <c r="J115" s="1"/>
  <c r="K115"/>
  <c r="I85" i="81"/>
  <c r="J102"/>
  <c r="I95"/>
  <c r="J97"/>
  <c r="E158" i="82"/>
  <c r="E157"/>
  <c r="E138"/>
  <c r="E134"/>
  <c r="J134" i="81"/>
  <c r="K151"/>
  <c r="K136"/>
  <c r="K144"/>
  <c r="J160" i="79"/>
  <c r="H113" i="81"/>
  <c r="I114"/>
  <c r="I130" s="1"/>
  <c r="M154" i="79"/>
  <c r="M162"/>
  <c r="L152"/>
  <c r="L172"/>
  <c r="L171"/>
  <c r="G117" i="41"/>
  <c r="I78" i="81"/>
  <c r="J105"/>
  <c r="J104"/>
  <c r="F138" i="82"/>
  <c r="F134"/>
  <c r="F158"/>
  <c r="F157"/>
  <c r="I90" i="79"/>
  <c r="I93" s="1"/>
  <c r="J138"/>
  <c r="J140"/>
  <c r="J142"/>
  <c r="J97"/>
  <c r="J145"/>
  <c r="J146" s="1"/>
  <c r="J141"/>
  <c r="J130"/>
  <c r="J107"/>
  <c r="J99"/>
  <c r="J116" s="1"/>
  <c r="J139"/>
  <c r="J150"/>
  <c r="H140" i="82"/>
  <c r="H154" s="1"/>
  <c r="H155"/>
  <c r="H148"/>
  <c r="J154" i="81"/>
  <c r="J153"/>
  <c r="I87"/>
  <c r="J101"/>
  <c r="J109" i="79"/>
  <c r="K111"/>
  <c r="O108" i="122"/>
  <c r="K108"/>
  <c r="G116"/>
  <c r="K143" i="79"/>
  <c r="N116" i="122"/>
  <c r="J116"/>
  <c r="F116"/>
  <c r="O116"/>
  <c r="O110"/>
  <c r="O118"/>
  <c r="M108"/>
  <c r="K116"/>
  <c r="K110"/>
  <c r="I108"/>
  <c r="G108"/>
  <c r="E116"/>
  <c r="K135" i="79"/>
  <c r="L148"/>
  <c r="N110" i="122"/>
  <c r="N118"/>
  <c r="N108"/>
  <c r="L116"/>
  <c r="J110"/>
  <c r="J108"/>
  <c r="H108"/>
  <c r="F108"/>
  <c r="J49" i="43"/>
  <c r="I173" i="35" s="1"/>
  <c r="N47" i="43"/>
  <c r="M139" i="35" s="1"/>
  <c r="M47" i="43"/>
  <c r="L139" i="35" s="1"/>
  <c r="L47" i="43"/>
  <c r="K139" i="35" s="1"/>
  <c r="K47" i="43"/>
  <c r="J139" i="35" s="1"/>
  <c r="N39" i="43"/>
  <c r="M39"/>
  <c r="L39"/>
  <c r="K39"/>
  <c r="J39"/>
  <c r="J47" s="1"/>
  <c r="I39"/>
  <c r="H39"/>
  <c r="G39"/>
  <c r="F39"/>
  <c r="E39"/>
  <c r="D39"/>
  <c r="N36"/>
  <c r="M36"/>
  <c r="L36"/>
  <c r="K36"/>
  <c r="J36"/>
  <c r="I36"/>
  <c r="H36"/>
  <c r="G36"/>
  <c r="F36"/>
  <c r="E36"/>
  <c r="D36"/>
  <c r="N27"/>
  <c r="M27"/>
  <c r="L27"/>
  <c r="K27"/>
  <c r="J27"/>
  <c r="I27"/>
  <c r="H27"/>
  <c r="G27"/>
  <c r="F27"/>
  <c r="E27"/>
  <c r="D27"/>
  <c r="K24"/>
  <c r="J24"/>
  <c r="I24"/>
  <c r="H122" i="35" s="1"/>
  <c r="H24" i="43"/>
  <c r="G122" i="35" s="1"/>
  <c r="G24" i="43"/>
  <c r="F122" i="35" s="1"/>
  <c r="F24" i="43"/>
  <c r="E122" i="35" s="1"/>
  <c r="E24" i="43"/>
  <c r="D122" i="35" s="1"/>
  <c r="D24" i="43"/>
  <c r="C122" i="35" s="1"/>
  <c r="N23" i="43"/>
  <c r="N24" s="1"/>
  <c r="M23"/>
  <c r="M24" s="1"/>
  <c r="L23"/>
  <c r="L24" s="1"/>
  <c r="E5"/>
  <c r="E4"/>
  <c r="E3"/>
  <c r="E2"/>
  <c r="B97" i="33"/>
  <c r="B95"/>
  <c r="B93"/>
  <c r="B91"/>
  <c r="B89"/>
  <c r="F78" i="43" l="1"/>
  <c r="F85"/>
  <c r="W139" i="35" s="1"/>
  <c r="J109" i="41"/>
  <c r="J92"/>
  <c r="AA123" i="35" s="1"/>
  <c r="J45" i="41"/>
  <c r="J96" s="1"/>
  <c r="D109"/>
  <c r="M96"/>
  <c r="J43" i="43"/>
  <c r="G41"/>
  <c r="F41" s="1"/>
  <c r="F80" s="1"/>
  <c r="K43"/>
  <c r="N41"/>
  <c r="N80" s="1"/>
  <c r="I41"/>
  <c r="I80" s="1"/>
  <c r="F109" i="41"/>
  <c r="P117"/>
  <c r="K79" i="43"/>
  <c r="E109" i="41"/>
  <c r="I85" i="43"/>
  <c r="Z139" i="35" s="1"/>
  <c r="O53" i="41"/>
  <c r="N174" i="35"/>
  <c r="O83" i="41"/>
  <c r="N83" s="1"/>
  <c r="L117"/>
  <c r="O45"/>
  <c r="O96" s="1"/>
  <c r="I117"/>
  <c r="O92"/>
  <c r="O117" s="1"/>
  <c r="H123" i="35"/>
  <c r="J83" i="41"/>
  <c r="I109"/>
  <c r="P103"/>
  <c r="AF174" i="35" s="1"/>
  <c r="O47" i="41"/>
  <c r="O97" s="1"/>
  <c r="M41" i="43"/>
  <c r="L41" s="1"/>
  <c r="K41" s="1"/>
  <c r="J41" s="1"/>
  <c r="J80" s="1"/>
  <c r="L122" i="35"/>
  <c r="M67" i="43"/>
  <c r="M43"/>
  <c r="K122" i="35"/>
  <c r="L67" i="43"/>
  <c r="L43"/>
  <c r="N43"/>
  <c r="I139" i="35"/>
  <c r="M122"/>
  <c r="N67" i="43"/>
  <c r="O139" i="35"/>
  <c r="Q139" s="1"/>
  <c r="N139"/>
  <c r="Q173"/>
  <c r="H41" i="43"/>
  <c r="H80" s="1"/>
  <c r="E41"/>
  <c r="D41" s="1"/>
  <c r="D80" s="1"/>
  <c r="K87"/>
  <c r="AB173" i="35" s="1"/>
  <c r="N89" i="43"/>
  <c r="I122" i="35"/>
  <c r="J67" i="43"/>
  <c r="J122" i="35"/>
  <c r="K67" i="43"/>
  <c r="N76"/>
  <c r="AE122" i="35" s="1"/>
  <c r="AG122" s="1"/>
  <c r="L85" i="43"/>
  <c r="AC139" i="35" s="1"/>
  <c r="H117" i="41"/>
  <c r="Y123" i="35"/>
  <c r="E117" i="41"/>
  <c r="V123" i="35"/>
  <c r="D117" i="41"/>
  <c r="U123" i="35"/>
  <c r="AI123" s="1"/>
  <c r="N117" i="41"/>
  <c r="AE123" i="35"/>
  <c r="K117" i="41"/>
  <c r="AB123" i="35"/>
  <c r="AG156"/>
  <c r="AF156"/>
  <c r="J135" i="79"/>
  <c r="M117" i="41"/>
  <c r="AD123" i="35"/>
  <c r="F117" i="41"/>
  <c r="W123" i="35"/>
  <c r="M147" i="122"/>
  <c r="M157" s="1"/>
  <c r="M159" s="1"/>
  <c r="F145"/>
  <c r="F149" s="1"/>
  <c r="N145"/>
  <c r="N149" s="1"/>
  <c r="O147"/>
  <c r="O157" s="1"/>
  <c r="O159" s="1"/>
  <c r="J147"/>
  <c r="F147"/>
  <c r="L147"/>
  <c r="L145"/>
  <c r="L149" s="1"/>
  <c r="K147"/>
  <c r="I147"/>
  <c r="G145"/>
  <c r="G149" s="1"/>
  <c r="G147"/>
  <c r="E145"/>
  <c r="E149" s="1"/>
  <c r="M145"/>
  <c r="M149" s="1"/>
  <c r="D147"/>
  <c r="D145"/>
  <c r="D149" s="1"/>
  <c r="N147"/>
  <c r="K145"/>
  <c r="K149" s="1"/>
  <c r="J145"/>
  <c r="J149" s="1"/>
  <c r="E147"/>
  <c r="O145"/>
  <c r="O149" s="1"/>
  <c r="H147"/>
  <c r="H145"/>
  <c r="H149" s="1"/>
  <c r="I145"/>
  <c r="I149" s="1"/>
  <c r="E167"/>
  <c r="O167"/>
  <c r="J167"/>
  <c r="M167"/>
  <c r="F167"/>
  <c r="L167"/>
  <c r="K167"/>
  <c r="I167"/>
  <c r="G167"/>
  <c r="N167"/>
  <c r="H167"/>
  <c r="D167"/>
  <c r="C43" i="113"/>
  <c r="O152" s="1"/>
  <c r="H124" i="122"/>
  <c r="G43" i="113" s="1"/>
  <c r="M124" i="122"/>
  <c r="L43" i="113" s="1"/>
  <c r="M126" i="122"/>
  <c r="L97" i="113" s="1"/>
  <c r="F124" i="122"/>
  <c r="E43" i="113" s="1"/>
  <c r="F126" i="122"/>
  <c r="E97" i="113" s="1"/>
  <c r="L124" i="122"/>
  <c r="K43" i="113" s="1"/>
  <c r="I124" i="122"/>
  <c r="H43" i="113" s="1"/>
  <c r="Q43" s="1"/>
  <c r="I126" i="122"/>
  <c r="H97" i="113" s="1"/>
  <c r="Q97" s="1"/>
  <c r="E124" i="122"/>
  <c r="D43" i="113" s="1"/>
  <c r="E126" i="122"/>
  <c r="D97" i="113" s="1"/>
  <c r="G124" i="122"/>
  <c r="F43" i="113" s="1"/>
  <c r="G114" i="122"/>
  <c r="N114"/>
  <c r="O114"/>
  <c r="F110"/>
  <c r="J118"/>
  <c r="C179" i="113"/>
  <c r="O179"/>
  <c r="C235"/>
  <c r="O235"/>
  <c r="G110" i="122"/>
  <c r="L110"/>
  <c r="J114"/>
  <c r="K114"/>
  <c r="K118"/>
  <c r="F118"/>
  <c r="L118"/>
  <c r="I118"/>
  <c r="G118"/>
  <c r="M110"/>
  <c r="H110"/>
  <c r="M114"/>
  <c r="I110"/>
  <c r="H118"/>
  <c r="E110"/>
  <c r="M118"/>
  <c r="K171" i="79"/>
  <c r="E91" i="43"/>
  <c r="L78"/>
  <c r="I78"/>
  <c r="H89"/>
  <c r="H93" s="1"/>
  <c r="D89"/>
  <c r="H76"/>
  <c r="G87"/>
  <c r="X173" i="35" s="1"/>
  <c r="J87" i="43"/>
  <c r="AA173" i="35" s="1"/>
  <c r="E77" i="43"/>
  <c r="M87"/>
  <c r="AD173" i="35" s="1"/>
  <c r="H87" i="43"/>
  <c r="Y173" i="35" s="1"/>
  <c r="H109" i="41"/>
  <c r="N109"/>
  <c r="M79" i="43"/>
  <c r="G79"/>
  <c r="E83"/>
  <c r="V156" i="35" s="1"/>
  <c r="J79" i="43"/>
  <c r="E85"/>
  <c r="V139" i="35" s="1"/>
  <c r="M76" i="43"/>
  <c r="M89"/>
  <c r="E78"/>
  <c r="H79"/>
  <c r="J131" i="79"/>
  <c r="J171" s="1"/>
  <c r="G76" i="43"/>
  <c r="G89"/>
  <c r="G93" s="1"/>
  <c r="J76"/>
  <c r="J89"/>
  <c r="J93" s="1"/>
  <c r="G78"/>
  <c r="G85"/>
  <c r="X139" i="35" s="1"/>
  <c r="J78" i="43"/>
  <c r="J85"/>
  <c r="AA139" i="35" s="1"/>
  <c r="G77" i="43"/>
  <c r="G83"/>
  <c r="X156" i="35" s="1"/>
  <c r="J77" i="43"/>
  <c r="J83"/>
  <c r="AA156" i="35" s="1"/>
  <c r="D76" i="43"/>
  <c r="U122" i="35" s="1"/>
  <c r="I94" i="79"/>
  <c r="I79" i="43"/>
  <c r="I87"/>
  <c r="Z173" i="35" s="1"/>
  <c r="L79" i="43"/>
  <c r="L87"/>
  <c r="AC173" i="35" s="1"/>
  <c r="D77" i="43"/>
  <c r="D83"/>
  <c r="U156" i="35" s="1"/>
  <c r="D91" i="43"/>
  <c r="M109" i="41"/>
  <c r="I95" i="79"/>
  <c r="I77" i="43"/>
  <c r="I83"/>
  <c r="Z156" i="35" s="1"/>
  <c r="I91" i="43"/>
  <c r="I93" s="1"/>
  <c r="L77"/>
  <c r="L83"/>
  <c r="AC156" i="35" s="1"/>
  <c r="D79" i="43"/>
  <c r="D87"/>
  <c r="U173" i="35" s="1"/>
  <c r="K148" i="79"/>
  <c r="G154" i="82"/>
  <c r="I76" i="43"/>
  <c r="Z122" i="35" s="1"/>
  <c r="L76" i="43"/>
  <c r="D78"/>
  <c r="K78"/>
  <c r="N79"/>
  <c r="F83"/>
  <c r="W156" i="35" s="1"/>
  <c r="M78" i="43"/>
  <c r="M85"/>
  <c r="AD139" i="35" s="1"/>
  <c r="K77" i="43"/>
  <c r="K81" s="1"/>
  <c r="K83"/>
  <c r="AB156" i="35" s="1"/>
  <c r="E76" i="43"/>
  <c r="V122" i="35" s="1"/>
  <c r="E89" i="43"/>
  <c r="N78"/>
  <c r="N85"/>
  <c r="AE139" i="35" s="1"/>
  <c r="H78" i="43"/>
  <c r="H85"/>
  <c r="Y139" i="35" s="1"/>
  <c r="F76" i="43"/>
  <c r="F89"/>
  <c r="I96" i="79"/>
  <c r="K85" i="43"/>
  <c r="AB139" i="35" s="1"/>
  <c r="N87" i="43"/>
  <c r="AE173" i="35" s="1"/>
  <c r="F77" i="43"/>
  <c r="F91"/>
  <c r="N91"/>
  <c r="J143" i="79"/>
  <c r="M77" i="43"/>
  <c r="K76"/>
  <c r="E79"/>
  <c r="N77"/>
  <c r="H77"/>
  <c r="H83"/>
  <c r="Y156" i="35" s="1"/>
  <c r="F79" i="43"/>
  <c r="E118" i="122"/>
  <c r="I179" i="113"/>
  <c r="N179"/>
  <c r="D179"/>
  <c r="H179"/>
  <c r="L179"/>
  <c r="E179"/>
  <c r="M179"/>
  <c r="F179"/>
  <c r="J179"/>
  <c r="G179"/>
  <c r="K179"/>
  <c r="E235"/>
  <c r="M235"/>
  <c r="J235"/>
  <c r="G235"/>
  <c r="K235"/>
  <c r="I235"/>
  <c r="F235"/>
  <c r="N235"/>
  <c r="D235"/>
  <c r="H235"/>
  <c r="L235"/>
  <c r="D166" i="122"/>
  <c r="W125" i="113" s="1"/>
  <c r="J166" i="122"/>
  <c r="AC125" i="113" s="1"/>
  <c r="K166" i="122"/>
  <c r="AD125" i="113" s="1"/>
  <c r="L166" i="122"/>
  <c r="AE125" i="113" s="1"/>
  <c r="I166" i="122"/>
  <c r="AB125" i="113" s="1"/>
  <c r="AK125" s="1"/>
  <c r="F166" i="122"/>
  <c r="Y125" i="113" s="1"/>
  <c r="N166" i="122"/>
  <c r="AG125" i="113" s="1"/>
  <c r="G166" i="122"/>
  <c r="Z125" i="113" s="1"/>
  <c r="O166" i="122"/>
  <c r="AH125" i="113" s="1"/>
  <c r="H166" i="122"/>
  <c r="AA125" i="113" s="1"/>
  <c r="E166" i="122"/>
  <c r="X125" i="113" s="1"/>
  <c r="M166" i="122"/>
  <c r="AF125" i="113" s="1"/>
  <c r="D72" i="122"/>
  <c r="M91" i="43"/>
  <c r="I109" i="79"/>
  <c r="J111"/>
  <c r="H87" i="81"/>
  <c r="I101"/>
  <c r="H90" i="79"/>
  <c r="H96" s="1"/>
  <c r="I150"/>
  <c r="I134"/>
  <c r="I133"/>
  <c r="I107"/>
  <c r="I97"/>
  <c r="I145"/>
  <c r="I146" s="1"/>
  <c r="I101"/>
  <c r="I99"/>
  <c r="I116" s="1"/>
  <c r="I142"/>
  <c r="I130"/>
  <c r="I127"/>
  <c r="I128"/>
  <c r="I129"/>
  <c r="I137"/>
  <c r="I138"/>
  <c r="I139"/>
  <c r="I140"/>
  <c r="I141"/>
  <c r="F140" i="82"/>
  <c r="F154" s="1"/>
  <c r="F155"/>
  <c r="F148"/>
  <c r="L154" i="79"/>
  <c r="L162"/>
  <c r="I154" i="81"/>
  <c r="I153"/>
  <c r="I134"/>
  <c r="J136"/>
  <c r="J151"/>
  <c r="J144"/>
  <c r="E155" i="82"/>
  <c r="E140"/>
  <c r="D154" s="1"/>
  <c r="O150" s="1"/>
  <c r="N150" s="1"/>
  <c r="M150" s="1"/>
  <c r="L150" s="1"/>
  <c r="K150" s="1"/>
  <c r="J150" s="1"/>
  <c r="I150" s="1"/>
  <c r="H150" s="1"/>
  <c r="G150" s="1"/>
  <c r="E148"/>
  <c r="H95" i="81"/>
  <c r="I97"/>
  <c r="H85"/>
  <c r="I102"/>
  <c r="K152" i="79"/>
  <c r="H78" i="81"/>
  <c r="I105"/>
  <c r="I104"/>
  <c r="G113"/>
  <c r="H114"/>
  <c r="I160" i="79"/>
  <c r="I92"/>
  <c r="J119"/>
  <c r="J118"/>
  <c r="B87" i="33"/>
  <c r="B85"/>
  <c r="B84"/>
  <c r="B83"/>
  <c r="B82"/>
  <c r="B81"/>
  <c r="B80"/>
  <c r="O77"/>
  <c r="N77"/>
  <c r="M77"/>
  <c r="L77"/>
  <c r="K77"/>
  <c r="J77"/>
  <c r="I77"/>
  <c r="H77"/>
  <c r="G77"/>
  <c r="F77"/>
  <c r="E77"/>
  <c r="D77"/>
  <c r="O76"/>
  <c r="N76"/>
  <c r="M76"/>
  <c r="L76"/>
  <c r="K76"/>
  <c r="J76"/>
  <c r="I76"/>
  <c r="H76"/>
  <c r="G76"/>
  <c r="F76"/>
  <c r="E76"/>
  <c r="D76"/>
  <c r="J117" i="41" l="1"/>
  <c r="E80" i="43"/>
  <c r="G80"/>
  <c r="D101"/>
  <c r="I101"/>
  <c r="AF122" i="35"/>
  <c r="AF123"/>
  <c r="N53" i="41"/>
  <c r="M174" i="35"/>
  <c r="O103" i="41"/>
  <c r="AE174" i="35" s="1"/>
  <c r="E101" i="43"/>
  <c r="M81"/>
  <c r="L81"/>
  <c r="N101"/>
  <c r="N81"/>
  <c r="L80"/>
  <c r="M80"/>
  <c r="N122" i="35"/>
  <c r="O122"/>
  <c r="Q122" s="1"/>
  <c r="K80" i="43"/>
  <c r="N93"/>
  <c r="F101"/>
  <c r="W122" i="35"/>
  <c r="AI122"/>
  <c r="AF173"/>
  <c r="AG173"/>
  <c r="AI173" s="1"/>
  <c r="AG139"/>
  <c r="AI139" s="1"/>
  <c r="AF139"/>
  <c r="J101" i="43"/>
  <c r="AA122" i="35"/>
  <c r="M101" i="43"/>
  <c r="AD122" i="35"/>
  <c r="AI156"/>
  <c r="L101" i="43"/>
  <c r="AC122" i="35"/>
  <c r="G101" i="43"/>
  <c r="X122" i="35"/>
  <c r="H101" i="43"/>
  <c r="Y122" i="35"/>
  <c r="K101" i="43"/>
  <c r="AB122" i="35"/>
  <c r="D157" i="122"/>
  <c r="D159" s="1"/>
  <c r="L157"/>
  <c r="L159" s="1"/>
  <c r="E157"/>
  <c r="E159" s="1"/>
  <c r="G157"/>
  <c r="G159" s="1"/>
  <c r="N157"/>
  <c r="N159" s="1"/>
  <c r="K157"/>
  <c r="K159" s="1"/>
  <c r="J157"/>
  <c r="J159" s="1"/>
  <c r="H157"/>
  <c r="H159" s="1"/>
  <c r="I157"/>
  <c r="I159" s="1"/>
  <c r="F157"/>
  <c r="F159" s="1"/>
  <c r="AA235" i="113"/>
  <c r="M152"/>
  <c r="L152"/>
  <c r="E114" i="122"/>
  <c r="J152" i="113"/>
  <c r="K152"/>
  <c r="D152"/>
  <c r="C152"/>
  <c r="F152"/>
  <c r="E152"/>
  <c r="G152"/>
  <c r="N152"/>
  <c r="I152"/>
  <c r="H126" i="122"/>
  <c r="G97" i="113" s="1"/>
  <c r="H114" i="122"/>
  <c r="L126"/>
  <c r="K97" i="113" s="1"/>
  <c r="L114" i="122"/>
  <c r="H152" i="113"/>
  <c r="Q152" s="1"/>
  <c r="I114" i="122"/>
  <c r="G126"/>
  <c r="F97" i="113" s="1"/>
  <c r="F114" i="122"/>
  <c r="Q179" i="113"/>
  <c r="W235"/>
  <c r="AI235"/>
  <c r="Q235"/>
  <c r="Y235"/>
  <c r="E93" i="43"/>
  <c r="D93"/>
  <c r="J81"/>
  <c r="I81" s="1"/>
  <c r="F93"/>
  <c r="J172" i="79"/>
  <c r="F150" i="82"/>
  <c r="H94" i="79"/>
  <c r="J152"/>
  <c r="J162" s="1"/>
  <c r="J164" s="1"/>
  <c r="E150" i="82"/>
  <c r="D150" s="1"/>
  <c r="H81" i="43"/>
  <c r="G81" s="1"/>
  <c r="F81" s="1"/>
  <c r="E81" s="1"/>
  <c r="D81" s="1"/>
  <c r="J148" i="79"/>
  <c r="H93"/>
  <c r="H95"/>
  <c r="AG235" i="113"/>
  <c r="AE235"/>
  <c r="AC235"/>
  <c r="AF235"/>
  <c r="X235"/>
  <c r="AH235"/>
  <c r="Z235"/>
  <c r="AB235"/>
  <c r="AD235"/>
  <c r="D78" i="33"/>
  <c r="F78"/>
  <c r="H78"/>
  <c r="H93" s="1"/>
  <c r="J78"/>
  <c r="J93" s="1"/>
  <c r="L78"/>
  <c r="L93" s="1"/>
  <c r="N78"/>
  <c r="E154" i="82"/>
  <c r="E78" i="33"/>
  <c r="E93" s="1"/>
  <c r="G78"/>
  <c r="I78"/>
  <c r="K78"/>
  <c r="K93" s="1"/>
  <c r="M78"/>
  <c r="M93" s="1"/>
  <c r="O78"/>
  <c r="O93" s="1"/>
  <c r="H92" i="79"/>
  <c r="I119"/>
  <c r="I118"/>
  <c r="H160"/>
  <c r="F113" i="81"/>
  <c r="G114"/>
  <c r="G85"/>
  <c r="H102"/>
  <c r="G95"/>
  <c r="H97"/>
  <c r="H101" i="79"/>
  <c r="I115"/>
  <c r="I131"/>
  <c r="I135"/>
  <c r="H154" i="81"/>
  <c r="H153"/>
  <c r="G78"/>
  <c r="H105"/>
  <c r="H104"/>
  <c r="K154" i="79"/>
  <c r="K162"/>
  <c r="H134" i="81"/>
  <c r="I151"/>
  <c r="I136"/>
  <c r="I144"/>
  <c r="G90" i="79"/>
  <c r="G94" s="1"/>
  <c r="H142"/>
  <c r="H130"/>
  <c r="H99"/>
  <c r="H116" s="1"/>
  <c r="H150"/>
  <c r="H127"/>
  <c r="H129"/>
  <c r="H137"/>
  <c r="H139"/>
  <c r="H141"/>
  <c r="H97"/>
  <c r="H107"/>
  <c r="H133"/>
  <c r="H134"/>
  <c r="H145"/>
  <c r="H146" s="1"/>
  <c r="H128"/>
  <c r="H138"/>
  <c r="H140"/>
  <c r="G87" i="81"/>
  <c r="H101"/>
  <c r="H109" i="79"/>
  <c r="I111"/>
  <c r="L91" i="43"/>
  <c r="M93"/>
  <c r="H130" i="81"/>
  <c r="I143" i="79"/>
  <c r="O59" i="33"/>
  <c r="H59"/>
  <c r="N57"/>
  <c r="N59" s="1"/>
  <c r="M57"/>
  <c r="M59" s="1"/>
  <c r="L57"/>
  <c r="L59" s="1"/>
  <c r="K57"/>
  <c r="K59" s="1"/>
  <c r="J57"/>
  <c r="J59" s="1"/>
  <c r="I57"/>
  <c r="I59" s="1"/>
  <c r="H57"/>
  <c r="G57"/>
  <c r="G59" s="1"/>
  <c r="O49"/>
  <c r="N138" i="35" s="1"/>
  <c r="O138" s="1"/>
  <c r="N49" i="33"/>
  <c r="M138" i="35" s="1"/>
  <c r="M49" i="33"/>
  <c r="L138" i="35" s="1"/>
  <c r="L49" i="33"/>
  <c r="K138" i="35" s="1"/>
  <c r="K49" i="33"/>
  <c r="J138" i="35" s="1"/>
  <c r="J49" i="33"/>
  <c r="I138" i="35" s="1"/>
  <c r="I49" i="33"/>
  <c r="H138" i="35" s="1"/>
  <c r="H49" i="33"/>
  <c r="G138" i="35" s="1"/>
  <c r="G49" i="33"/>
  <c r="F138" i="35" s="1"/>
  <c r="F47" i="33"/>
  <c r="E155" i="35" s="1"/>
  <c r="E159" s="1"/>
  <c r="E47" i="33"/>
  <c r="D155" i="35" s="1"/>
  <c r="D159" s="1"/>
  <c r="D47" i="33"/>
  <c r="C155" i="35" s="1"/>
  <c r="O41" i="33"/>
  <c r="N41"/>
  <c r="M41"/>
  <c r="L41"/>
  <c r="K41"/>
  <c r="J41"/>
  <c r="I41"/>
  <c r="H41"/>
  <c r="G41"/>
  <c r="F41"/>
  <c r="E41"/>
  <c r="D41"/>
  <c r="O38"/>
  <c r="N38"/>
  <c r="M38"/>
  <c r="L38"/>
  <c r="K38"/>
  <c r="J38"/>
  <c r="I38"/>
  <c r="H38"/>
  <c r="G38"/>
  <c r="F38"/>
  <c r="E38"/>
  <c r="D38"/>
  <c r="O28"/>
  <c r="N28"/>
  <c r="M28"/>
  <c r="L28"/>
  <c r="K28"/>
  <c r="J28"/>
  <c r="I28"/>
  <c r="H28"/>
  <c r="G28"/>
  <c r="F28"/>
  <c r="E28"/>
  <c r="D28"/>
  <c r="O23"/>
  <c r="N23"/>
  <c r="M23"/>
  <c r="L23"/>
  <c r="K23"/>
  <c r="J23"/>
  <c r="J45" s="1"/>
  <c r="I23"/>
  <c r="I45" s="1"/>
  <c r="H23"/>
  <c r="G23"/>
  <c r="F23"/>
  <c r="E23"/>
  <c r="D23"/>
  <c r="E5"/>
  <c r="E4"/>
  <c r="E3"/>
  <c r="E2"/>
  <c r="B91" i="32"/>
  <c r="B89"/>
  <c r="B87"/>
  <c r="B85"/>
  <c r="B83"/>
  <c r="B81"/>
  <c r="B79"/>
  <c r="M81" i="33" l="1"/>
  <c r="M53" i="41"/>
  <c r="L174" i="35"/>
  <c r="N103" i="41"/>
  <c r="AD174" i="35" s="1"/>
  <c r="E121"/>
  <c r="F71" i="33"/>
  <c r="M121" i="35"/>
  <c r="N71" i="33"/>
  <c r="D121" i="35"/>
  <c r="E71" i="33"/>
  <c r="L121" i="35"/>
  <c r="M71" i="33"/>
  <c r="G121" i="35"/>
  <c r="H71" i="33"/>
  <c r="F121" i="35"/>
  <c r="G71" i="33"/>
  <c r="J121" i="35"/>
  <c r="K71" i="33"/>
  <c r="N121" i="35"/>
  <c r="O121" s="1"/>
  <c r="O71" i="33"/>
  <c r="F43"/>
  <c r="F84" s="1"/>
  <c r="N43"/>
  <c r="N84" s="1"/>
  <c r="F45"/>
  <c r="N45"/>
  <c r="N85" s="1"/>
  <c r="I43"/>
  <c r="I84" s="1"/>
  <c r="M43"/>
  <c r="M84" s="1"/>
  <c r="E45"/>
  <c r="M45"/>
  <c r="F49"/>
  <c r="E138" i="35" s="1"/>
  <c r="G43" i="33"/>
  <c r="G84" s="1"/>
  <c r="K43"/>
  <c r="K84" s="1"/>
  <c r="O43"/>
  <c r="O84" s="1"/>
  <c r="G45"/>
  <c r="G85" s="1"/>
  <c r="K45"/>
  <c r="K85" s="1"/>
  <c r="O45"/>
  <c r="D49"/>
  <c r="C138" i="35" s="1"/>
  <c r="Q138" s="1"/>
  <c r="D57" i="33"/>
  <c r="D59" s="1"/>
  <c r="O89"/>
  <c r="AF138" i="35" s="1"/>
  <c r="AG138" s="1"/>
  <c r="I121"/>
  <c r="J71" i="33"/>
  <c r="H121" i="35"/>
  <c r="I71" i="33"/>
  <c r="C121" i="35"/>
  <c r="D71" i="33"/>
  <c r="K121" i="35"/>
  <c r="L71" i="33"/>
  <c r="C159" i="35"/>
  <c r="Q159" s="1"/>
  <c r="Q155"/>
  <c r="J43" i="33"/>
  <c r="J84" s="1"/>
  <c r="E43"/>
  <c r="E84" s="1"/>
  <c r="F57"/>
  <c r="J87"/>
  <c r="AA155" i="35" s="1"/>
  <c r="D43" i="33"/>
  <c r="D84" s="1"/>
  <c r="H43"/>
  <c r="H84" s="1"/>
  <c r="L43"/>
  <c r="D45"/>
  <c r="D85" s="1"/>
  <c r="H45"/>
  <c r="H85" s="1"/>
  <c r="L45"/>
  <c r="L85" s="1"/>
  <c r="E49"/>
  <c r="D138" i="35" s="1"/>
  <c r="E57" i="33"/>
  <c r="E59" s="1"/>
  <c r="I89"/>
  <c r="Z138" i="35" s="1"/>
  <c r="F87" i="33"/>
  <c r="W155" i="35" s="1"/>
  <c r="D163" i="122"/>
  <c r="W43" i="113" s="1"/>
  <c r="G130" i="81"/>
  <c r="J154" i="79"/>
  <c r="J169"/>
  <c r="J85" i="33"/>
  <c r="O80"/>
  <c r="J82"/>
  <c r="O81"/>
  <c r="G93"/>
  <c r="F83"/>
  <c r="N82"/>
  <c r="K87"/>
  <c r="AB155" i="35" s="1"/>
  <c r="N81" i="33"/>
  <c r="E87"/>
  <c r="V155" i="35" s="1"/>
  <c r="J83" i="33"/>
  <c r="J89"/>
  <c r="AA138" i="35" s="1"/>
  <c r="O87" i="33"/>
  <c r="AF155" i="35" s="1"/>
  <c r="AG155" s="1"/>
  <c r="G89" i="33"/>
  <c r="X138" i="35" s="1"/>
  <c r="K164" i="122"/>
  <c r="AD70" i="113" s="1"/>
  <c r="J81" i="33"/>
  <c r="O83"/>
  <c r="M89"/>
  <c r="AD138" i="35" s="1"/>
  <c r="G81" i="33"/>
  <c r="E89"/>
  <c r="V138" i="35" s="1"/>
  <c r="L89" i="33"/>
  <c r="AC138" i="35" s="1"/>
  <c r="D82" i="33"/>
  <c r="D93"/>
  <c r="D81"/>
  <c r="K89"/>
  <c r="AB138" i="35" s="1"/>
  <c r="L83" i="33"/>
  <c r="L84"/>
  <c r="D80"/>
  <c r="O95"/>
  <c r="O97" s="1"/>
  <c r="G82"/>
  <c r="G87"/>
  <c r="X155" i="35" s="1"/>
  <c r="L81" i="33"/>
  <c r="L82"/>
  <c r="L87"/>
  <c r="AC155" i="35" s="1"/>
  <c r="J80" i="33"/>
  <c r="D87"/>
  <c r="U155" i="35" s="1"/>
  <c r="O82" i="33"/>
  <c r="O85"/>
  <c r="K81"/>
  <c r="G80"/>
  <c r="G83"/>
  <c r="L80"/>
  <c r="D83"/>
  <c r="H135" i="79"/>
  <c r="H83" i="33"/>
  <c r="M87"/>
  <c r="AD155" i="35" s="1"/>
  <c r="I87" i="33"/>
  <c r="Z155" i="35" s="1"/>
  <c r="E85" i="33"/>
  <c r="H89"/>
  <c r="Y138" i="35" s="1"/>
  <c r="M82" i="33"/>
  <c r="M85"/>
  <c r="E82"/>
  <c r="E83"/>
  <c r="M80"/>
  <c r="M83"/>
  <c r="E80"/>
  <c r="E81"/>
  <c r="N87"/>
  <c r="AE155" i="35" s="1"/>
  <c r="F81" i="33"/>
  <c r="F93"/>
  <c r="I82"/>
  <c r="N93"/>
  <c r="H81"/>
  <c r="H82"/>
  <c r="H87"/>
  <c r="Y155" i="35" s="1"/>
  <c r="F80" i="33"/>
  <c r="K82"/>
  <c r="I80"/>
  <c r="I83"/>
  <c r="I93"/>
  <c r="N80"/>
  <c r="F82"/>
  <c r="I85"/>
  <c r="N83"/>
  <c r="H80"/>
  <c r="F85"/>
  <c r="K80"/>
  <c r="K83"/>
  <c r="I81"/>
  <c r="N164" i="122"/>
  <c r="AG70" i="113" s="1"/>
  <c r="O164" i="122"/>
  <c r="AH70" i="113" s="1"/>
  <c r="O163" i="122"/>
  <c r="AH43" i="113" s="1"/>
  <c r="M164" i="122"/>
  <c r="AF70" i="113" s="1"/>
  <c r="G134" i="81"/>
  <c r="H136"/>
  <c r="H151"/>
  <c r="H144"/>
  <c r="I172" i="79"/>
  <c r="I171"/>
  <c r="I152"/>
  <c r="I169" s="1"/>
  <c r="I148"/>
  <c r="N163" i="122"/>
  <c r="AG43" i="113" s="1"/>
  <c r="G101" i="79"/>
  <c r="G115" s="1"/>
  <c r="H115"/>
  <c r="F95" i="81"/>
  <c r="G97"/>
  <c r="F85"/>
  <c r="G102"/>
  <c r="E113"/>
  <c r="F114"/>
  <c r="F130" s="1"/>
  <c r="G160" i="79"/>
  <c r="N95" i="33"/>
  <c r="N89"/>
  <c r="AE138" i="35" s="1"/>
  <c r="H143" i="79"/>
  <c r="H131"/>
  <c r="G93"/>
  <c r="K91" i="43"/>
  <c r="K93" s="1"/>
  <c r="L93"/>
  <c r="G109" i="79"/>
  <c r="H111"/>
  <c r="F87" i="81"/>
  <c r="G101"/>
  <c r="F90" i="79"/>
  <c r="G150"/>
  <c r="G145"/>
  <c r="G146" s="1"/>
  <c r="G134"/>
  <c r="G133"/>
  <c r="G107"/>
  <c r="G97"/>
  <c r="G127"/>
  <c r="G128"/>
  <c r="G129"/>
  <c r="G137"/>
  <c r="G138"/>
  <c r="G139"/>
  <c r="G140"/>
  <c r="G141"/>
  <c r="G99"/>
  <c r="G116" s="1"/>
  <c r="G142"/>
  <c r="G130"/>
  <c r="F78" i="81"/>
  <c r="G105"/>
  <c r="G104"/>
  <c r="G154"/>
  <c r="G153"/>
  <c r="G92" i="79"/>
  <c r="H119"/>
  <c r="H118"/>
  <c r="G96"/>
  <c r="G95"/>
  <c r="B78" i="32"/>
  <c r="B77"/>
  <c r="B76"/>
  <c r="B75"/>
  <c r="B74"/>
  <c r="O71"/>
  <c r="N71"/>
  <c r="M71"/>
  <c r="L71"/>
  <c r="K71"/>
  <c r="J71"/>
  <c r="I71"/>
  <c r="H71"/>
  <c r="G71"/>
  <c r="F71"/>
  <c r="E71"/>
  <c r="D71"/>
  <c r="O70"/>
  <c r="N70"/>
  <c r="M70"/>
  <c r="L70"/>
  <c r="K70"/>
  <c r="J70"/>
  <c r="I70"/>
  <c r="H70" s="1"/>
  <c r="G70"/>
  <c r="F70"/>
  <c r="E70"/>
  <c r="D70"/>
  <c r="O51"/>
  <c r="O53" s="1"/>
  <c r="N51"/>
  <c r="N53" s="1"/>
  <c r="M51"/>
  <c r="M53" s="1"/>
  <c r="L51"/>
  <c r="L53" s="1"/>
  <c r="K51"/>
  <c r="K53" s="1"/>
  <c r="J51"/>
  <c r="J53" s="1"/>
  <c r="I51"/>
  <c r="I53" s="1"/>
  <c r="H51"/>
  <c r="H53" s="1"/>
  <c r="G51"/>
  <c r="G53" s="1"/>
  <c r="F51"/>
  <c r="F53" s="1"/>
  <c r="E51"/>
  <c r="E53" s="1"/>
  <c r="D51"/>
  <c r="D53" s="1"/>
  <c r="Q121" i="35" l="1"/>
  <c r="L53" i="41"/>
  <c r="K174" i="35"/>
  <c r="M103" i="41"/>
  <c r="AC174" i="35" s="1"/>
  <c r="F59" i="33"/>
  <c r="F95"/>
  <c r="F97" s="1"/>
  <c r="F89"/>
  <c r="W138" i="35" s="1"/>
  <c r="D89" i="33"/>
  <c r="U138" i="35" s="1"/>
  <c r="AI138" s="1"/>
  <c r="E95" i="33"/>
  <c r="E97" s="1"/>
  <c r="H105"/>
  <c r="Y121" i="35"/>
  <c r="N105" i="33"/>
  <c r="AE121" i="35"/>
  <c r="M105" i="33"/>
  <c r="AD121" i="35"/>
  <c r="L105" i="33"/>
  <c r="AC121" i="35"/>
  <c r="I105" i="33"/>
  <c r="Z121" i="35"/>
  <c r="F105" i="33"/>
  <c r="W121" i="35"/>
  <c r="AI155"/>
  <c r="K105" i="33"/>
  <c r="AB121" i="35"/>
  <c r="E105" i="33"/>
  <c r="V121" i="35"/>
  <c r="G105" i="33"/>
  <c r="X121" i="35"/>
  <c r="D105" i="33"/>
  <c r="U121" i="35"/>
  <c r="J105" i="33"/>
  <c r="AA121" i="35"/>
  <c r="O105" i="33"/>
  <c r="AF121" i="35"/>
  <c r="AG121" s="1"/>
  <c r="AI121" s="1"/>
  <c r="W152" i="113"/>
  <c r="AI152"/>
  <c r="G135" i="79"/>
  <c r="F96"/>
  <c r="F95"/>
  <c r="J164" i="122"/>
  <c r="AC70" i="113" s="1"/>
  <c r="AG152"/>
  <c r="AH152"/>
  <c r="L164" i="122"/>
  <c r="AE70" i="113" s="1"/>
  <c r="E72" i="32"/>
  <c r="E81" s="1"/>
  <c r="V154" i="35" s="1"/>
  <c r="G72" i="32"/>
  <c r="G81" s="1"/>
  <c r="X154" i="35" s="1"/>
  <c r="I72" i="32"/>
  <c r="I81" s="1"/>
  <c r="Z154" i="35" s="1"/>
  <c r="K72" i="32"/>
  <c r="M72"/>
  <c r="O72"/>
  <c r="O87" s="1"/>
  <c r="D72"/>
  <c r="D87" s="1"/>
  <c r="F72"/>
  <c r="F81" s="1"/>
  <c r="W154" i="35" s="1"/>
  <c r="H72" i="32"/>
  <c r="J72"/>
  <c r="J81" s="1"/>
  <c r="AA154" i="35" s="1"/>
  <c r="L72" i="32"/>
  <c r="L87" s="1"/>
  <c r="N72"/>
  <c r="F92" i="79"/>
  <c r="G119"/>
  <c r="G118"/>
  <c r="E78" i="81"/>
  <c r="F105"/>
  <c r="F104"/>
  <c r="E90" i="79"/>
  <c r="E95" s="1"/>
  <c r="F99"/>
  <c r="F116" s="1"/>
  <c r="F127"/>
  <c r="F129"/>
  <c r="F137"/>
  <c r="F139"/>
  <c r="F141"/>
  <c r="F97"/>
  <c r="F133"/>
  <c r="F134"/>
  <c r="F145"/>
  <c r="F146" s="1"/>
  <c r="F150"/>
  <c r="F130"/>
  <c r="F107"/>
  <c r="F128"/>
  <c r="F138"/>
  <c r="F140"/>
  <c r="F142"/>
  <c r="F101"/>
  <c r="F115" s="1"/>
  <c r="E87" i="81"/>
  <c r="F101"/>
  <c r="F109" i="79"/>
  <c r="G111"/>
  <c r="H152"/>
  <c r="H169" s="1"/>
  <c r="H148"/>
  <c r="H172"/>
  <c r="H171"/>
  <c r="M95" i="33"/>
  <c r="N97"/>
  <c r="D95"/>
  <c r="D97" s="1"/>
  <c r="F160" i="79"/>
  <c r="D113" i="81"/>
  <c r="D114" s="1"/>
  <c r="D134" s="1"/>
  <c r="D151" s="1"/>
  <c r="E114"/>
  <c r="E130" s="1"/>
  <c r="E85"/>
  <c r="E102" s="1"/>
  <c r="F102"/>
  <c r="E95"/>
  <c r="F97"/>
  <c r="G143" i="79"/>
  <c r="F94"/>
  <c r="F154" i="81"/>
  <c r="F153"/>
  <c r="M163" i="122"/>
  <c r="AF43" i="113" s="1"/>
  <c r="AF152" s="1"/>
  <c r="I154" i="79"/>
  <c r="I162"/>
  <c r="I164" s="1"/>
  <c r="F134" i="81"/>
  <c r="G151"/>
  <c r="G136"/>
  <c r="G144"/>
  <c r="G131" i="79"/>
  <c r="F93"/>
  <c r="O43" i="32"/>
  <c r="N137" i="35" s="1"/>
  <c r="N43" i="32"/>
  <c r="M137" i="35" s="1"/>
  <c r="M43" i="32"/>
  <c r="L137" i="35" s="1"/>
  <c r="L43" i="32"/>
  <c r="K137" i="35" s="1"/>
  <c r="K43" i="32"/>
  <c r="J137" i="35" s="1"/>
  <c r="J43" i="32"/>
  <c r="I137" i="35" s="1"/>
  <c r="I43" i="32"/>
  <c r="H137" i="35" s="1"/>
  <c r="H43" i="32"/>
  <c r="G137" i="35" s="1"/>
  <c r="G43" i="32"/>
  <c r="F137" i="35" s="1"/>
  <c r="F43" i="32"/>
  <c r="E137" i="35" s="1"/>
  <c r="E43" i="32"/>
  <c r="D137" i="35" s="1"/>
  <c r="O35" i="32"/>
  <c r="N35"/>
  <c r="M35"/>
  <c r="L35"/>
  <c r="K35"/>
  <c r="J35"/>
  <c r="I35"/>
  <c r="H35"/>
  <c r="G35"/>
  <c r="F35"/>
  <c r="E35"/>
  <c r="D35"/>
  <c r="D43" s="1"/>
  <c r="C137" i="35" s="1"/>
  <c r="Q137" s="1"/>
  <c r="O32" i="32"/>
  <c r="N32"/>
  <c r="M32"/>
  <c r="L32"/>
  <c r="K32"/>
  <c r="J32"/>
  <c r="I32"/>
  <c r="H32"/>
  <c r="G32"/>
  <c r="F32"/>
  <c r="E32"/>
  <c r="D32"/>
  <c r="O29"/>
  <c r="N29"/>
  <c r="M29"/>
  <c r="L29"/>
  <c r="K29"/>
  <c r="J29"/>
  <c r="I29"/>
  <c r="H29"/>
  <c r="G29"/>
  <c r="F29"/>
  <c r="E29"/>
  <c r="D29"/>
  <c r="O24"/>
  <c r="N24"/>
  <c r="M24"/>
  <c r="M39" s="1"/>
  <c r="L24"/>
  <c r="K24"/>
  <c r="J24"/>
  <c r="I24"/>
  <c r="I39" s="1"/>
  <c r="H24"/>
  <c r="G24"/>
  <c r="F24"/>
  <c r="E24"/>
  <c r="E39" s="1"/>
  <c r="E79" s="1"/>
  <c r="D24"/>
  <c r="D39" s="1"/>
  <c r="E5"/>
  <c r="E4"/>
  <c r="E3"/>
  <c r="E2"/>
  <c r="B110" i="40"/>
  <c r="B108"/>
  <c r="B106"/>
  <c r="B104"/>
  <c r="B102"/>
  <c r="B100"/>
  <c r="B98"/>
  <c r="B97"/>
  <c r="B96"/>
  <c r="B95"/>
  <c r="B94"/>
  <c r="B93"/>
  <c r="O90"/>
  <c r="N90"/>
  <c r="M90"/>
  <c r="L90"/>
  <c r="K90"/>
  <c r="J90"/>
  <c r="I90"/>
  <c r="H90"/>
  <c r="G90"/>
  <c r="F90"/>
  <c r="E90"/>
  <c r="D90"/>
  <c r="O89"/>
  <c r="N89"/>
  <c r="M89"/>
  <c r="L89"/>
  <c r="K89"/>
  <c r="J89" s="1"/>
  <c r="I89"/>
  <c r="H89"/>
  <c r="G89"/>
  <c r="F89"/>
  <c r="E89"/>
  <c r="D89"/>
  <c r="K83" i="32" l="1"/>
  <c r="AB137" i="35" s="1"/>
  <c r="J75" i="32"/>
  <c r="H39"/>
  <c r="L39"/>
  <c r="L79" s="1"/>
  <c r="G87"/>
  <c r="I75"/>
  <c r="O81"/>
  <c r="AF154" i="35" s="1"/>
  <c r="L81" i="32"/>
  <c r="AC154" i="35" s="1"/>
  <c r="I87" i="32"/>
  <c r="D75"/>
  <c r="I76"/>
  <c r="L75"/>
  <c r="K53" i="41"/>
  <c r="J174" i="35"/>
  <c r="L103" i="41"/>
  <c r="AB174" i="35" s="1"/>
  <c r="F120"/>
  <c r="G65" i="32"/>
  <c r="N120" i="35"/>
  <c r="O65" i="32"/>
  <c r="E120" i="35"/>
  <c r="F65" i="32"/>
  <c r="M120" i="35"/>
  <c r="N65" i="32"/>
  <c r="C120" i="35"/>
  <c r="Q120" s="1"/>
  <c r="D65" i="32"/>
  <c r="G120" i="35"/>
  <c r="H65" i="32"/>
  <c r="K120" i="35"/>
  <c r="L65" i="32"/>
  <c r="G37"/>
  <c r="G78" s="1"/>
  <c r="H79"/>
  <c r="D37"/>
  <c r="D78" s="1"/>
  <c r="H37"/>
  <c r="H78" s="1"/>
  <c r="L37"/>
  <c r="L78" s="1"/>
  <c r="D79"/>
  <c r="I79"/>
  <c r="J120" i="35"/>
  <c r="K65" i="32"/>
  <c r="I120" i="35"/>
  <c r="J65" i="32"/>
  <c r="D120" i="35"/>
  <c r="E65" i="32"/>
  <c r="H120" i="35"/>
  <c r="I65" i="32"/>
  <c r="L120" i="35"/>
  <c r="M65" i="32"/>
  <c r="O37"/>
  <c r="O78" s="1"/>
  <c r="K37"/>
  <c r="K78" s="1"/>
  <c r="I83"/>
  <c r="Z137" i="35" s="1"/>
  <c r="F37" i="32"/>
  <c r="F78" s="1"/>
  <c r="J37"/>
  <c r="J78" s="1"/>
  <c r="N37"/>
  <c r="N78" s="1"/>
  <c r="G39"/>
  <c r="G79" s="1"/>
  <c r="K39"/>
  <c r="K79" s="1"/>
  <c r="E37"/>
  <c r="E78" s="1"/>
  <c r="I37"/>
  <c r="I78" s="1"/>
  <c r="M37"/>
  <c r="M78" s="1"/>
  <c r="F39"/>
  <c r="F79" s="1"/>
  <c r="J39"/>
  <c r="N39"/>
  <c r="N79" s="1"/>
  <c r="D83"/>
  <c r="U137" i="35" s="1"/>
  <c r="AI137" s="1"/>
  <c r="L76" i="32"/>
  <c r="D76"/>
  <c r="L74"/>
  <c r="AC120" i="35" s="1"/>
  <c r="L83" i="32"/>
  <c r="AC137" i="35" s="1"/>
  <c r="D77" i="32"/>
  <c r="D89"/>
  <c r="D91" s="1"/>
  <c r="O39"/>
  <c r="J87"/>
  <c r="J79"/>
  <c r="O79"/>
  <c r="E96" i="79"/>
  <c r="I74" i="32"/>
  <c r="I77"/>
  <c r="L77"/>
  <c r="F75"/>
  <c r="D81"/>
  <c r="U154" i="35" s="1"/>
  <c r="AI154" s="1"/>
  <c r="M83" i="32"/>
  <c r="AD137" i="35" s="1"/>
  <c r="H87" i="32"/>
  <c r="N87"/>
  <c r="E74"/>
  <c r="V120" i="35" s="1"/>
  <c r="K77" i="32"/>
  <c r="N75"/>
  <c r="F87"/>
  <c r="O76"/>
  <c r="O83"/>
  <c r="AF137" i="35" s="1"/>
  <c r="M87" i="32"/>
  <c r="G76"/>
  <c r="J74"/>
  <c r="AA120" i="35" s="1"/>
  <c r="H75" i="32"/>
  <c r="H81"/>
  <c r="Y154" i="35" s="1"/>
  <c r="E76" i="32"/>
  <c r="M77"/>
  <c r="E83"/>
  <c r="V137" i="35" s="1"/>
  <c r="O75" i="32"/>
  <c r="M74"/>
  <c r="M79"/>
  <c r="G75"/>
  <c r="H77"/>
  <c r="E77"/>
  <c r="O89"/>
  <c r="O91" s="1"/>
  <c r="G74"/>
  <c r="G77"/>
  <c r="G83"/>
  <c r="X137" i="35" s="1"/>
  <c r="J76" i="32"/>
  <c r="J83"/>
  <c r="AA137" i="35" s="1"/>
  <c r="D74" i="32"/>
  <c r="E94" i="79"/>
  <c r="O74" i="32"/>
  <c r="O77"/>
  <c r="K87"/>
  <c r="J77"/>
  <c r="I163" i="122"/>
  <c r="AB43" i="113" s="1"/>
  <c r="I164" i="122"/>
  <c r="AB70" i="113" s="1"/>
  <c r="AK70" s="1"/>
  <c r="I91" i="40"/>
  <c r="I106" s="1"/>
  <c r="K75" i="32"/>
  <c r="K81"/>
  <c r="AB154" i="35" s="1"/>
  <c r="N76" i="32"/>
  <c r="N81"/>
  <c r="AE154" i="35" s="1"/>
  <c r="F76" i="32"/>
  <c r="F83"/>
  <c r="W137" i="35" s="1"/>
  <c r="E93" i="79"/>
  <c r="D130" i="81"/>
  <c r="M75" i="32"/>
  <c r="M81"/>
  <c r="AD154" i="35" s="1"/>
  <c r="K76" i="32"/>
  <c r="N74"/>
  <c r="AE120" i="35" s="1"/>
  <c r="N83" i="32"/>
  <c r="AE137" i="35" s="1"/>
  <c r="H76" i="32"/>
  <c r="H83"/>
  <c r="Y137" i="35" s="1"/>
  <c r="F74" i="32"/>
  <c r="W120" i="35" s="1"/>
  <c r="E75" i="32"/>
  <c r="E87"/>
  <c r="M76"/>
  <c r="K74"/>
  <c r="N77"/>
  <c r="H74"/>
  <c r="F77"/>
  <c r="E91" i="40"/>
  <c r="G91"/>
  <c r="G100" s="1"/>
  <c r="X153" i="35" s="1"/>
  <c r="K91" i="40"/>
  <c r="M91"/>
  <c r="M106" s="1"/>
  <c r="O91"/>
  <c r="D91"/>
  <c r="F91"/>
  <c r="F100" s="1"/>
  <c r="W153" i="35" s="1"/>
  <c r="H91" i="40"/>
  <c r="J91"/>
  <c r="L91"/>
  <c r="L100" s="1"/>
  <c r="AC153" i="35" s="1"/>
  <c r="N91" i="40"/>
  <c r="E100"/>
  <c r="V153" i="35" s="1"/>
  <c r="E134" i="81"/>
  <c r="F136"/>
  <c r="F151"/>
  <c r="F144"/>
  <c r="L163" i="122"/>
  <c r="AE43" i="113" s="1"/>
  <c r="AE152" s="1"/>
  <c r="E154" i="81"/>
  <c r="E153"/>
  <c r="D90" i="79"/>
  <c r="D96" s="1"/>
  <c r="E150"/>
  <c r="E134"/>
  <c r="E133"/>
  <c r="E107"/>
  <c r="E101"/>
  <c r="E115" s="1"/>
  <c r="E97"/>
  <c r="E145"/>
  <c r="E146" s="1"/>
  <c r="E99"/>
  <c r="E116" s="1"/>
  <c r="E142"/>
  <c r="E130"/>
  <c r="E127"/>
  <c r="E128"/>
  <c r="E129"/>
  <c r="E137"/>
  <c r="E138"/>
  <c r="E139"/>
  <c r="E140"/>
  <c r="E141"/>
  <c r="E92"/>
  <c r="F119"/>
  <c r="F118"/>
  <c r="D93"/>
  <c r="G148"/>
  <c r="F135"/>
  <c r="F143"/>
  <c r="F131"/>
  <c r="G172"/>
  <c r="G171"/>
  <c r="G152"/>
  <c r="G169" s="1"/>
  <c r="D95" i="81"/>
  <c r="D97" s="1"/>
  <c r="E97"/>
  <c r="D154"/>
  <c r="D153"/>
  <c r="E160" i="79"/>
  <c r="L95" i="33"/>
  <c r="M97"/>
  <c r="H154" i="79"/>
  <c r="H162"/>
  <c r="H164" s="1"/>
  <c r="E109"/>
  <c r="F111"/>
  <c r="D87" i="81"/>
  <c r="D101" s="1"/>
  <c r="E101"/>
  <c r="D78"/>
  <c r="E105"/>
  <c r="E104"/>
  <c r="N89" i="32"/>
  <c r="O57" i="40"/>
  <c r="N57"/>
  <c r="N59" s="1"/>
  <c r="M57"/>
  <c r="M59" s="1"/>
  <c r="L57"/>
  <c r="L59" s="1"/>
  <c r="K57"/>
  <c r="K59" s="1"/>
  <c r="J57"/>
  <c r="J59" s="1"/>
  <c r="I57"/>
  <c r="I59" s="1"/>
  <c r="H57"/>
  <c r="H59" s="1"/>
  <c r="G57"/>
  <c r="G59" s="1"/>
  <c r="F57"/>
  <c r="F59" s="1"/>
  <c r="E57"/>
  <c r="E59" s="1"/>
  <c r="D57"/>
  <c r="D59" s="1"/>
  <c r="F99" i="32" l="1"/>
  <c r="J99"/>
  <c r="E99"/>
  <c r="J53" i="41"/>
  <c r="I174" i="35"/>
  <c r="K103" i="41"/>
  <c r="AA174" i="35" s="1"/>
  <c r="N99" i="32"/>
  <c r="L99"/>
  <c r="O59" i="40"/>
  <c r="G106"/>
  <c r="K99" i="32"/>
  <c r="AB120" i="35"/>
  <c r="D99" i="32"/>
  <c r="U120" i="35"/>
  <c r="AI120" s="1"/>
  <c r="I99" i="32"/>
  <c r="Z120" i="35"/>
  <c r="O106" i="40"/>
  <c r="O99" i="32"/>
  <c r="AF120" i="35"/>
  <c r="G99" i="32"/>
  <c r="X120" i="35"/>
  <c r="M99" i="32"/>
  <c r="AD120" i="35"/>
  <c r="H99" i="32"/>
  <c r="Y120" i="35"/>
  <c r="AB152" i="113"/>
  <c r="AK43"/>
  <c r="D94" i="79"/>
  <c r="D95"/>
  <c r="O100" i="40"/>
  <c r="H106"/>
  <c r="D100"/>
  <c r="U153" i="35" s="1"/>
  <c r="AI153" s="1"/>
  <c r="J100" i="40"/>
  <c r="AA153" i="35" s="1"/>
  <c r="H100" i="40"/>
  <c r="Y153" i="35" s="1"/>
  <c r="O108" i="40"/>
  <c r="L106"/>
  <c r="J106"/>
  <c r="D106"/>
  <c r="D108"/>
  <c r="E106"/>
  <c r="K100"/>
  <c r="AB153" i="35" s="1"/>
  <c r="N106" i="40"/>
  <c r="E135" i="79"/>
  <c r="M100" i="40"/>
  <c r="AD153" i="35" s="1"/>
  <c r="N100" i="40"/>
  <c r="AE153" i="35" s="1"/>
  <c r="F106" i="40"/>
  <c r="I100"/>
  <c r="Z153" i="35" s="1"/>
  <c r="H163" i="122"/>
  <c r="AA43" i="113" s="1"/>
  <c r="AA152" s="1"/>
  <c r="H164" i="122"/>
  <c r="AA70" i="113" s="1"/>
  <c r="K106" i="40"/>
  <c r="D105" i="81"/>
  <c r="D104"/>
  <c r="D109" i="79"/>
  <c r="E111"/>
  <c r="D136" i="81"/>
  <c r="D150" s="1"/>
  <c r="O150"/>
  <c r="N150" s="1"/>
  <c r="M150" s="1"/>
  <c r="L150" s="1"/>
  <c r="K150" s="1"/>
  <c r="J150" s="1"/>
  <c r="I150" s="1"/>
  <c r="H150" s="1"/>
  <c r="G150" s="1"/>
  <c r="F150" s="1"/>
  <c r="D144"/>
  <c r="D146" s="1"/>
  <c r="G154" i="79"/>
  <c r="G162"/>
  <c r="G164" s="1"/>
  <c r="D142"/>
  <c r="D130"/>
  <c r="D99"/>
  <c r="D116" s="1"/>
  <c r="D101"/>
  <c r="D115" s="1"/>
  <c r="D107"/>
  <c r="D128"/>
  <c r="D138"/>
  <c r="D140"/>
  <c r="D141"/>
  <c r="D97"/>
  <c r="D133"/>
  <c r="D134"/>
  <c r="D145"/>
  <c r="D146" s="1"/>
  <c r="D150"/>
  <c r="D127"/>
  <c r="D129"/>
  <c r="D137"/>
  <c r="D139"/>
  <c r="E151" i="81"/>
  <c r="E136"/>
  <c r="E144"/>
  <c r="N108" i="40"/>
  <c r="E143" i="79"/>
  <c r="M89" i="32"/>
  <c r="N91"/>
  <c r="K95" i="33"/>
  <c r="L97"/>
  <c r="D160" i="79"/>
  <c r="F152"/>
  <c r="F169" s="1"/>
  <c r="F172"/>
  <c r="F171"/>
  <c r="F148"/>
  <c r="D92"/>
  <c r="E119"/>
  <c r="E118"/>
  <c r="K163" i="122"/>
  <c r="AD43" i="113" s="1"/>
  <c r="AD152" s="1"/>
  <c r="E131" i="79"/>
  <c r="O43" i="40"/>
  <c r="O96" s="1"/>
  <c r="N43"/>
  <c r="N51" s="1"/>
  <c r="M136" i="35" s="1"/>
  <c r="M43" i="40"/>
  <c r="M51" s="1"/>
  <c r="L136" i="35" s="1"/>
  <c r="L43" i="40"/>
  <c r="L51" s="1"/>
  <c r="K136" i="35" s="1"/>
  <c r="K43" i="40"/>
  <c r="K51" s="1"/>
  <c r="J136" i="35" s="1"/>
  <c r="J43" i="40"/>
  <c r="J51" s="1"/>
  <c r="I43"/>
  <c r="I51" s="1"/>
  <c r="H136" i="35" s="1"/>
  <c r="H43" i="40"/>
  <c r="H51" s="1"/>
  <c r="G136" i="35" s="1"/>
  <c r="G43" i="40"/>
  <c r="G51" s="1"/>
  <c r="F136" i="35" s="1"/>
  <c r="F43" i="40"/>
  <c r="F51" s="1"/>
  <c r="E136" i="35" s="1"/>
  <c r="E43" i="40"/>
  <c r="E51" s="1"/>
  <c r="D136" i="35" s="1"/>
  <c r="D43" i="40"/>
  <c r="D51" s="1"/>
  <c r="C136" i="35" s="1"/>
  <c r="Q136" s="1"/>
  <c r="O37" i="40"/>
  <c r="N37"/>
  <c r="N34" s="1"/>
  <c r="M37"/>
  <c r="M34" s="1"/>
  <c r="L37"/>
  <c r="L34" s="1"/>
  <c r="K34"/>
  <c r="K40" s="1"/>
  <c r="K95" s="1"/>
  <c r="J34"/>
  <c r="J40" s="1"/>
  <c r="J95" s="1"/>
  <c r="I34"/>
  <c r="I40" s="1"/>
  <c r="I95" s="1"/>
  <c r="H34"/>
  <c r="H40" s="1"/>
  <c r="H95" s="1"/>
  <c r="G34"/>
  <c r="G40" s="1"/>
  <c r="F34"/>
  <c r="F40" s="1"/>
  <c r="F95" s="1"/>
  <c r="E34"/>
  <c r="E40" s="1"/>
  <c r="E95" s="1"/>
  <c r="D34"/>
  <c r="D40" s="1"/>
  <c r="D95" s="1"/>
  <c r="O27"/>
  <c r="N27"/>
  <c r="N94" s="1"/>
  <c r="M27"/>
  <c r="M94" s="1"/>
  <c r="L27"/>
  <c r="L94" s="1"/>
  <c r="K27"/>
  <c r="J27"/>
  <c r="I27"/>
  <c r="H27"/>
  <c r="G27"/>
  <c r="F27"/>
  <c r="E27"/>
  <c r="D27"/>
  <c r="O24"/>
  <c r="O93" s="1"/>
  <c r="N24"/>
  <c r="J24"/>
  <c r="J93" s="1"/>
  <c r="I24"/>
  <c r="I93" s="1"/>
  <c r="H24"/>
  <c r="H93" s="1"/>
  <c r="Y119" i="35" s="1"/>
  <c r="G24" i="40"/>
  <c r="G93" s="1"/>
  <c r="F24"/>
  <c r="E24"/>
  <c r="D24"/>
  <c r="D93" s="1"/>
  <c r="U119" i="35" s="1"/>
  <c r="AI119" s="1"/>
  <c r="M23" i="40"/>
  <c r="M24" s="1"/>
  <c r="L23"/>
  <c r="L24" s="1"/>
  <c r="K23"/>
  <c r="E5"/>
  <c r="E4"/>
  <c r="E3"/>
  <c r="E2"/>
  <c r="B96" i="39"/>
  <c r="B94"/>
  <c r="B92"/>
  <c r="B90"/>
  <c r="B88"/>
  <c r="B86"/>
  <c r="B84"/>
  <c r="B83"/>
  <c r="B82"/>
  <c r="B81"/>
  <c r="B80"/>
  <c r="B79"/>
  <c r="O76"/>
  <c r="N76"/>
  <c r="M76"/>
  <c r="L76"/>
  <c r="K76"/>
  <c r="J76"/>
  <c r="I76"/>
  <c r="H76"/>
  <c r="G76"/>
  <c r="F76"/>
  <c r="E76"/>
  <c r="D76"/>
  <c r="O75"/>
  <c r="N75"/>
  <c r="M75"/>
  <c r="L75"/>
  <c r="K75"/>
  <c r="J75"/>
  <c r="I75"/>
  <c r="H75"/>
  <c r="G75"/>
  <c r="F75"/>
  <c r="E75"/>
  <c r="D75"/>
  <c r="O56"/>
  <c r="N56"/>
  <c r="N58" s="1"/>
  <c r="M56"/>
  <c r="M58" s="1"/>
  <c r="L56"/>
  <c r="L58" s="1"/>
  <c r="K56"/>
  <c r="K58" s="1"/>
  <c r="J56"/>
  <c r="J58" s="1"/>
  <c r="I56"/>
  <c r="I58" s="1"/>
  <c r="H56"/>
  <c r="H58" s="1"/>
  <c r="G56"/>
  <c r="G58" s="1"/>
  <c r="F56"/>
  <c r="F58" s="1"/>
  <c r="E56"/>
  <c r="E58" s="1"/>
  <c r="D56"/>
  <c r="O50"/>
  <c r="N135" i="35" s="1"/>
  <c r="O135" s="1"/>
  <c r="N50" i="39"/>
  <c r="M135" i="35" s="1"/>
  <c r="M50" i="39"/>
  <c r="L135" i="35" s="1"/>
  <c r="L50" i="39"/>
  <c r="K135" i="35" s="1"/>
  <c r="K50" i="39"/>
  <c r="J135" i="35" s="1"/>
  <c r="J50" i="39"/>
  <c r="I135" i="35" s="1"/>
  <c r="I50" i="39"/>
  <c r="H135" i="35" s="1"/>
  <c r="H50" i="39"/>
  <c r="G135" i="35" s="1"/>
  <c r="G50" i="39"/>
  <c r="F135" i="35" s="1"/>
  <c r="F50" i="39"/>
  <c r="E135" i="35" s="1"/>
  <c r="E50" i="39"/>
  <c r="D135" i="35" s="1"/>
  <c r="O42" i="39"/>
  <c r="N42"/>
  <c r="M42"/>
  <c r="L42"/>
  <c r="K42"/>
  <c r="J42"/>
  <c r="I42"/>
  <c r="H42"/>
  <c r="G42"/>
  <c r="F42"/>
  <c r="E42"/>
  <c r="D42"/>
  <c r="D50" s="1"/>
  <c r="C135" i="35" s="1"/>
  <c r="O39" i="39"/>
  <c r="N39"/>
  <c r="M39"/>
  <c r="L39"/>
  <c r="K39"/>
  <c r="J39"/>
  <c r="I39"/>
  <c r="H39"/>
  <c r="G39"/>
  <c r="F39"/>
  <c r="E39"/>
  <c r="D39"/>
  <c r="O27"/>
  <c r="N27"/>
  <c r="M27"/>
  <c r="L27"/>
  <c r="K27"/>
  <c r="J27"/>
  <c r="I27"/>
  <c r="H27"/>
  <c r="G27"/>
  <c r="F27"/>
  <c r="E27"/>
  <c r="D27"/>
  <c r="I24"/>
  <c r="H118" i="35" s="1"/>
  <c r="H24" i="39"/>
  <c r="G118" i="35" s="1"/>
  <c r="G24" i="39"/>
  <c r="F118" i="35" s="1"/>
  <c r="F24" i="39"/>
  <c r="E118" i="35" s="1"/>
  <c r="E24" i="39"/>
  <c r="D118" i="35" s="1"/>
  <c r="D24" i="39"/>
  <c r="C118" i="35" s="1"/>
  <c r="O23" i="39"/>
  <c r="O24" s="1"/>
  <c r="N23"/>
  <c r="N24" s="1"/>
  <c r="M23"/>
  <c r="M24" s="1"/>
  <c r="L23"/>
  <c r="L24" s="1"/>
  <c r="K23"/>
  <c r="K24" s="1"/>
  <c r="J23"/>
  <c r="J24" s="1"/>
  <c r="E5"/>
  <c r="E4"/>
  <c r="E3"/>
  <c r="E2"/>
  <c r="B110" i="34"/>
  <c r="B108"/>
  <c r="B106"/>
  <c r="B104"/>
  <c r="B102"/>
  <c r="B100"/>
  <c r="B98"/>
  <c r="B97"/>
  <c r="B96"/>
  <c r="B95"/>
  <c r="B94"/>
  <c r="B93"/>
  <c r="O90"/>
  <c r="N90"/>
  <c r="M90"/>
  <c r="L90"/>
  <c r="K90"/>
  <c r="J90"/>
  <c r="I90"/>
  <c r="H90"/>
  <c r="G90"/>
  <c r="F90"/>
  <c r="E90"/>
  <c r="D90"/>
  <c r="O89"/>
  <c r="N89"/>
  <c r="M89"/>
  <c r="L89"/>
  <c r="K89"/>
  <c r="J89"/>
  <c r="I89"/>
  <c r="H89"/>
  <c r="G89"/>
  <c r="F89"/>
  <c r="E89"/>
  <c r="D89"/>
  <c r="K84"/>
  <c r="O58"/>
  <c r="O60" s="1"/>
  <c r="N58"/>
  <c r="N60" s="1"/>
  <c r="M58"/>
  <c r="M60" s="1"/>
  <c r="L58"/>
  <c r="L60" s="1"/>
  <c r="K58"/>
  <c r="K60" s="1"/>
  <c r="J58"/>
  <c r="J60" s="1"/>
  <c r="I58"/>
  <c r="I60" s="1"/>
  <c r="H58"/>
  <c r="H60" s="1"/>
  <c r="G58"/>
  <c r="G60" s="1"/>
  <c r="F58"/>
  <c r="F60" s="1"/>
  <c r="E58"/>
  <c r="E60" s="1"/>
  <c r="D58"/>
  <c r="D60" s="1"/>
  <c r="K52"/>
  <c r="J134" i="35" s="1"/>
  <c r="G52" i="34"/>
  <c r="F134" i="35" s="1"/>
  <c r="O44" i="34"/>
  <c r="O52" s="1"/>
  <c r="N134" i="35" s="1"/>
  <c r="N44" i="34"/>
  <c r="M44"/>
  <c r="R44" s="1"/>
  <c r="L44"/>
  <c r="L52" s="1"/>
  <c r="K134" i="35" s="1"/>
  <c r="K44" i="34"/>
  <c r="J44"/>
  <c r="J52" s="1"/>
  <c r="I134" i="35" s="1"/>
  <c r="I44" i="34"/>
  <c r="I52" s="1"/>
  <c r="H134" i="35" s="1"/>
  <c r="H44" i="34"/>
  <c r="H52" s="1"/>
  <c r="G134" i="35" s="1"/>
  <c r="G44" i="34"/>
  <c r="F44"/>
  <c r="E44"/>
  <c r="E52" s="1"/>
  <c r="D134" i="35" s="1"/>
  <c r="D44" i="34"/>
  <c r="D52" s="1"/>
  <c r="C134" i="35" s="1"/>
  <c r="Q134" s="1"/>
  <c r="N41" i="34"/>
  <c r="M41"/>
  <c r="R41" s="1"/>
  <c r="L41"/>
  <c r="K41"/>
  <c r="J41"/>
  <c r="I41"/>
  <c r="H41"/>
  <c r="G41"/>
  <c r="F41"/>
  <c r="E41"/>
  <c r="D41"/>
  <c r="O28"/>
  <c r="O54" s="1"/>
  <c r="N168" i="35" s="1"/>
  <c r="N28" i="34"/>
  <c r="N54" s="1"/>
  <c r="M168" i="35" s="1"/>
  <c r="M28" i="34"/>
  <c r="L28"/>
  <c r="L54" s="1"/>
  <c r="K168" i="35" s="1"/>
  <c r="K28" i="34"/>
  <c r="K54" s="1"/>
  <c r="J168" i="35" s="1"/>
  <c r="J28" i="34"/>
  <c r="J54" s="1"/>
  <c r="I168" i="35" s="1"/>
  <c r="I28" i="34"/>
  <c r="I54" s="1"/>
  <c r="H168" i="35" s="1"/>
  <c r="H28" i="34"/>
  <c r="H54" s="1"/>
  <c r="G168" i="35" s="1"/>
  <c r="G28" i="34"/>
  <c r="G54" s="1"/>
  <c r="F168" i="35" s="1"/>
  <c r="F28" i="34"/>
  <c r="F54" s="1"/>
  <c r="E168" i="35" s="1"/>
  <c r="E28" i="34"/>
  <c r="E54" s="1"/>
  <c r="D168" i="35" s="1"/>
  <c r="D28" i="34"/>
  <c r="D54" s="1"/>
  <c r="C168" i="35" s="1"/>
  <c r="Q168" s="1"/>
  <c r="O24" i="34"/>
  <c r="N117" i="35" s="1"/>
  <c r="N24" i="34"/>
  <c r="M117" i="35" s="1"/>
  <c r="M24" i="34"/>
  <c r="L24"/>
  <c r="K117" i="35" s="1"/>
  <c r="K24" i="34"/>
  <c r="J117" i="35" s="1"/>
  <c r="J24" i="34"/>
  <c r="I117" i="35" s="1"/>
  <c r="I24" i="34"/>
  <c r="H117" i="35" s="1"/>
  <c r="H24" i="34"/>
  <c r="G117" i="35" s="1"/>
  <c r="G24" i="34"/>
  <c r="F117" i="35" s="1"/>
  <c r="F24" i="34"/>
  <c r="E117" i="35" s="1"/>
  <c r="E24" i="34"/>
  <c r="D24"/>
  <c r="C117" i="35" s="1"/>
  <c r="Q117" s="1"/>
  <c r="E5" i="34"/>
  <c r="E4"/>
  <c r="E3"/>
  <c r="E2"/>
  <c r="B96" i="38"/>
  <c r="B94"/>
  <c r="B92"/>
  <c r="B90"/>
  <c r="B88"/>
  <c r="B86"/>
  <c r="B84"/>
  <c r="B83"/>
  <c r="B82"/>
  <c r="B81"/>
  <c r="B80"/>
  <c r="B79"/>
  <c r="O76"/>
  <c r="N76"/>
  <c r="M76"/>
  <c r="L76"/>
  <c r="K76"/>
  <c r="J76"/>
  <c r="I76"/>
  <c r="H76"/>
  <c r="G76"/>
  <c r="F76"/>
  <c r="E76"/>
  <c r="D76"/>
  <c r="O75"/>
  <c r="N75"/>
  <c r="M75"/>
  <c r="L75"/>
  <c r="K75"/>
  <c r="J75"/>
  <c r="I75"/>
  <c r="H75"/>
  <c r="G75"/>
  <c r="F75"/>
  <c r="E75"/>
  <c r="D75"/>
  <c r="O56"/>
  <c r="O58" s="1"/>
  <c r="N56"/>
  <c r="N58" s="1"/>
  <c r="M56"/>
  <c r="M58" s="1"/>
  <c r="L56"/>
  <c r="L58" s="1"/>
  <c r="K56"/>
  <c r="K58" s="1"/>
  <c r="J56"/>
  <c r="J58" s="1"/>
  <c r="I56"/>
  <c r="I58" s="1"/>
  <c r="H56"/>
  <c r="H58" s="1"/>
  <c r="G56"/>
  <c r="G58" s="1"/>
  <c r="F56"/>
  <c r="F58" s="1"/>
  <c r="E56"/>
  <c r="E58" s="1"/>
  <c r="D56"/>
  <c r="O42"/>
  <c r="O50" s="1"/>
  <c r="N133" i="35" s="1"/>
  <c r="N42" i="38"/>
  <c r="N50" s="1"/>
  <c r="M133" i="35" s="1"/>
  <c r="M42" i="38"/>
  <c r="M50" s="1"/>
  <c r="L133" i="35" s="1"/>
  <c r="L42" i="38"/>
  <c r="L50" s="1"/>
  <c r="K133" i="35" s="1"/>
  <c r="K42" i="38"/>
  <c r="K50" s="1"/>
  <c r="J133" i="35" s="1"/>
  <c r="J42" i="38"/>
  <c r="J50" s="1"/>
  <c r="I133" i="35" s="1"/>
  <c r="I42" i="38"/>
  <c r="I50" s="1"/>
  <c r="H133" i="35" s="1"/>
  <c r="H42" i="38"/>
  <c r="H50" s="1"/>
  <c r="G133" i="35" s="1"/>
  <c r="G42" i="38"/>
  <c r="G50" s="1"/>
  <c r="F133" i="35" s="1"/>
  <c r="F42" i="38"/>
  <c r="F50" s="1"/>
  <c r="E133" i="35" s="1"/>
  <c r="E42" i="38"/>
  <c r="E50" s="1"/>
  <c r="D133" i="35" s="1"/>
  <c r="D42" i="38"/>
  <c r="D50" s="1"/>
  <c r="C133" i="35" s="1"/>
  <c r="Q133" s="1"/>
  <c r="O39" i="38"/>
  <c r="N39"/>
  <c r="M39"/>
  <c r="L39"/>
  <c r="K39"/>
  <c r="J39"/>
  <c r="I39"/>
  <c r="H39"/>
  <c r="G39"/>
  <c r="F39"/>
  <c r="E39"/>
  <c r="D39"/>
  <c r="O28"/>
  <c r="N28"/>
  <c r="M28"/>
  <c r="L28"/>
  <c r="K28"/>
  <c r="J28"/>
  <c r="I28"/>
  <c r="H28"/>
  <c r="G28"/>
  <c r="F28"/>
  <c r="E28"/>
  <c r="D28"/>
  <c r="O25"/>
  <c r="N116" i="35" s="1"/>
  <c r="M25" i="38"/>
  <c r="L116" i="35" s="1"/>
  <c r="I25" i="38"/>
  <c r="H116" i="35" s="1"/>
  <c r="H25" i="38"/>
  <c r="G116" i="35" s="1"/>
  <c r="G25" i="38"/>
  <c r="F116" i="35" s="1"/>
  <c r="F25" i="38"/>
  <c r="E116" i="35" s="1"/>
  <c r="E25" i="38"/>
  <c r="D116" i="35" s="1"/>
  <c r="D25" i="38"/>
  <c r="C116" i="35" s="1"/>
  <c r="Q116" s="1"/>
  <c r="N24" i="38"/>
  <c r="M24"/>
  <c r="L24"/>
  <c r="L25" s="1"/>
  <c r="K116" i="35" s="1"/>
  <c r="K24" i="38"/>
  <c r="K25" s="1"/>
  <c r="J24"/>
  <c r="I24"/>
  <c r="E5"/>
  <c r="E4"/>
  <c r="E3"/>
  <c r="E2"/>
  <c r="B91" i="42"/>
  <c r="B89"/>
  <c r="B87"/>
  <c r="B85"/>
  <c r="B83"/>
  <c r="B81"/>
  <c r="B79"/>
  <c r="B78"/>
  <c r="B77"/>
  <c r="B76"/>
  <c r="B75"/>
  <c r="B74"/>
  <c r="O71"/>
  <c r="N71"/>
  <c r="M71"/>
  <c r="L71"/>
  <c r="K71"/>
  <c r="J71"/>
  <c r="I71"/>
  <c r="H71"/>
  <c r="G71"/>
  <c r="F71"/>
  <c r="E71"/>
  <c r="D71"/>
  <c r="O70"/>
  <c r="N70"/>
  <c r="M70"/>
  <c r="L70"/>
  <c r="K70"/>
  <c r="J70"/>
  <c r="I70"/>
  <c r="H70"/>
  <c r="G70"/>
  <c r="F70"/>
  <c r="E70"/>
  <c r="D70"/>
  <c r="O66"/>
  <c r="O62"/>
  <c r="O51"/>
  <c r="N51"/>
  <c r="N53" s="1"/>
  <c r="M51"/>
  <c r="M53" s="1"/>
  <c r="L51"/>
  <c r="L53" s="1"/>
  <c r="K51"/>
  <c r="K53" s="1"/>
  <c r="J51"/>
  <c r="J53" s="1"/>
  <c r="I51"/>
  <c r="I53" s="1"/>
  <c r="H51"/>
  <c r="H53" s="1"/>
  <c r="G51"/>
  <c r="G53" s="1"/>
  <c r="F51"/>
  <c r="F53" s="1"/>
  <c r="E51"/>
  <c r="E53" s="1"/>
  <c r="D51"/>
  <c r="D53" s="1"/>
  <c r="G96" i="40" l="1"/>
  <c r="J48" i="34"/>
  <c r="D117" i="35"/>
  <c r="E46" i="34"/>
  <c r="H102" i="40"/>
  <c r="Y136" i="35" s="1"/>
  <c r="I102" i="40"/>
  <c r="Z136" i="35" s="1"/>
  <c r="L96" i="40"/>
  <c r="L102"/>
  <c r="AC136" i="35" s="1"/>
  <c r="D96" i="40"/>
  <c r="D102"/>
  <c r="U136" i="35" s="1"/>
  <c r="AI136" s="1"/>
  <c r="O52" i="39"/>
  <c r="F70"/>
  <c r="K46" i="34"/>
  <c r="R28"/>
  <c r="G46"/>
  <c r="G48"/>
  <c r="O48"/>
  <c r="H84"/>
  <c r="F48"/>
  <c r="N48"/>
  <c r="G84"/>
  <c r="O84"/>
  <c r="F46"/>
  <c r="N46"/>
  <c r="O46"/>
  <c r="K48"/>
  <c r="D84"/>
  <c r="L84"/>
  <c r="O52" i="38"/>
  <c r="I44"/>
  <c r="M44"/>
  <c r="H118" i="40"/>
  <c r="I53" i="41"/>
  <c r="H174" i="35"/>
  <c r="J103" i="41"/>
  <c r="Z174" i="35" s="1"/>
  <c r="K119"/>
  <c r="L84" i="40"/>
  <c r="L93"/>
  <c r="L118" s="1"/>
  <c r="G95"/>
  <c r="G45"/>
  <c r="G97" s="1"/>
  <c r="E119" i="35"/>
  <c r="F84" i="40"/>
  <c r="M119" i="35"/>
  <c r="N84" i="40"/>
  <c r="D119" i="35"/>
  <c r="E84" i="40"/>
  <c r="L119" i="35"/>
  <c r="M84" i="40"/>
  <c r="C119" i="35"/>
  <c r="Q119" s="1"/>
  <c r="D84" i="40"/>
  <c r="G119" i="35"/>
  <c r="H84" i="40"/>
  <c r="N102"/>
  <c r="AE136" i="35" s="1"/>
  <c r="E102" i="40"/>
  <c r="V136" i="35" s="1"/>
  <c r="F45" i="40"/>
  <c r="F97" s="1"/>
  <c r="M93"/>
  <c r="M118" s="1"/>
  <c r="H96"/>
  <c r="J96"/>
  <c r="M96"/>
  <c r="M102"/>
  <c r="AD136" i="35" s="1"/>
  <c r="E96" i="40"/>
  <c r="N93"/>
  <c r="I119" i="35"/>
  <c r="J84" i="40"/>
  <c r="I136" i="35"/>
  <c r="J102" i="40"/>
  <c r="AA136" i="35" s="1"/>
  <c r="H119"/>
  <c r="I84" i="40"/>
  <c r="F119" i="35"/>
  <c r="G84" i="40"/>
  <c r="N119" i="35"/>
  <c r="S24" i="40"/>
  <c r="O84"/>
  <c r="O94"/>
  <c r="S27"/>
  <c r="O53"/>
  <c r="S37"/>
  <c r="O51"/>
  <c r="S43"/>
  <c r="J45"/>
  <c r="J97" s="1"/>
  <c r="N96"/>
  <c r="F93"/>
  <c r="W119" i="35" s="1"/>
  <c r="D118" i="40"/>
  <c r="E93"/>
  <c r="V119" i="35" s="1"/>
  <c r="I96" i="40"/>
  <c r="F96"/>
  <c r="K24"/>
  <c r="K45" s="1"/>
  <c r="K97" s="1"/>
  <c r="F102"/>
  <c r="W136" i="35" s="1"/>
  <c r="K102" i="40"/>
  <c r="AB136" i="35" s="1"/>
  <c r="G102" i="40"/>
  <c r="X136" i="35" s="1"/>
  <c r="K96" i="40"/>
  <c r="K118" i="35"/>
  <c r="L70" i="39"/>
  <c r="L46"/>
  <c r="J118" i="35"/>
  <c r="K46" i="39"/>
  <c r="K70"/>
  <c r="N118" i="35"/>
  <c r="O118" s="1"/>
  <c r="Q118" s="1"/>
  <c r="O46" i="39"/>
  <c r="O70"/>
  <c r="M118" i="35"/>
  <c r="N70" i="39"/>
  <c r="N46"/>
  <c r="L118" i="35"/>
  <c r="M70" i="39"/>
  <c r="M46"/>
  <c r="I118" i="35"/>
  <c r="J70" i="39"/>
  <c r="J46"/>
  <c r="I46"/>
  <c r="H46"/>
  <c r="F46"/>
  <c r="G70"/>
  <c r="N52"/>
  <c r="N169" i="35"/>
  <c r="E46" i="39"/>
  <c r="D46"/>
  <c r="O44" s="1"/>
  <c r="N44" s="1"/>
  <c r="M44" s="1"/>
  <c r="L44" s="1"/>
  <c r="K44" s="1"/>
  <c r="J44" s="1"/>
  <c r="I44" s="1"/>
  <c r="H44" s="1"/>
  <c r="G44" s="1"/>
  <c r="F44" s="1"/>
  <c r="E44" s="1"/>
  <c r="D44" s="1"/>
  <c r="D58"/>
  <c r="E70"/>
  <c r="I70"/>
  <c r="G46"/>
  <c r="Q135" i="35"/>
  <c r="D70" i="39"/>
  <c r="H70"/>
  <c r="L117" i="35"/>
  <c r="R24" i="34"/>
  <c r="J46"/>
  <c r="F52"/>
  <c r="E134" i="35" s="1"/>
  <c r="D46" i="34"/>
  <c r="I46"/>
  <c r="M46"/>
  <c r="E48"/>
  <c r="I48"/>
  <c r="M48"/>
  <c r="N52"/>
  <c r="F84"/>
  <c r="J84"/>
  <c r="N84"/>
  <c r="H46"/>
  <c r="L46"/>
  <c r="D48"/>
  <c r="H48"/>
  <c r="L48"/>
  <c r="M54"/>
  <c r="L168" i="35" s="1"/>
  <c r="E84" i="34"/>
  <c r="I84"/>
  <c r="M84"/>
  <c r="J116" i="35"/>
  <c r="K70" i="38"/>
  <c r="K46"/>
  <c r="D44"/>
  <c r="L44"/>
  <c r="H46"/>
  <c r="L46"/>
  <c r="D58"/>
  <c r="H70"/>
  <c r="L70"/>
  <c r="G44"/>
  <c r="K44"/>
  <c r="O44"/>
  <c r="G46"/>
  <c r="O46"/>
  <c r="G70"/>
  <c r="O70"/>
  <c r="E44"/>
  <c r="E46"/>
  <c r="I46"/>
  <c r="M46"/>
  <c r="E70"/>
  <c r="I70"/>
  <c r="M70"/>
  <c r="N52"/>
  <c r="N167" i="35"/>
  <c r="H44" i="38"/>
  <c r="D46"/>
  <c r="D70"/>
  <c r="J25"/>
  <c r="N25"/>
  <c r="F44"/>
  <c r="F46"/>
  <c r="F70"/>
  <c r="AD119" i="35"/>
  <c r="G118" i="40"/>
  <c r="X119" i="35"/>
  <c r="AF153"/>
  <c r="F118" i="40"/>
  <c r="I118"/>
  <c r="Z119" i="35"/>
  <c r="O110" i="40"/>
  <c r="J118"/>
  <c r="AA119" i="35"/>
  <c r="O118" i="40"/>
  <c r="AF119" i="35"/>
  <c r="D110" i="40"/>
  <c r="G163" i="122"/>
  <c r="Z43" i="113" s="1"/>
  <c r="Z152" s="1"/>
  <c r="G164" i="122"/>
  <c r="Z70" i="113" s="1"/>
  <c r="E94" i="40"/>
  <c r="E47"/>
  <c r="E98" s="1"/>
  <c r="I94"/>
  <c r="I47"/>
  <c r="I98" s="1"/>
  <c r="D53"/>
  <c r="D47"/>
  <c r="D98" s="1"/>
  <c r="D94"/>
  <c r="H94"/>
  <c r="H47"/>
  <c r="H98" s="1"/>
  <c r="G94"/>
  <c r="G47"/>
  <c r="G98" s="1"/>
  <c r="K94"/>
  <c r="E45"/>
  <c r="E97" s="1"/>
  <c r="I45"/>
  <c r="I97" s="1"/>
  <c r="F94"/>
  <c r="F47"/>
  <c r="F98" s="1"/>
  <c r="J47"/>
  <c r="J98" s="1"/>
  <c r="J94"/>
  <c r="D45"/>
  <c r="D97" s="1"/>
  <c r="H45"/>
  <c r="H97" s="1"/>
  <c r="O34"/>
  <c r="N53"/>
  <c r="M170" i="35" s="1"/>
  <c r="O104" i="40"/>
  <c r="L40"/>
  <c r="N40"/>
  <c r="M40"/>
  <c r="D72" i="42"/>
  <c r="D89" s="1"/>
  <c r="F72"/>
  <c r="F81" s="1"/>
  <c r="W149" i="35" s="1"/>
  <c r="H72" i="42"/>
  <c r="J72"/>
  <c r="L72"/>
  <c r="N72"/>
  <c r="D77" i="38"/>
  <c r="D94" s="1"/>
  <c r="F77"/>
  <c r="F82" s="1"/>
  <c r="H77"/>
  <c r="H82" s="1"/>
  <c r="J77"/>
  <c r="J80" s="1"/>
  <c r="L77"/>
  <c r="N77"/>
  <c r="N82" s="1"/>
  <c r="E91" i="34"/>
  <c r="E96" s="1"/>
  <c r="G91"/>
  <c r="G98" s="1"/>
  <c r="I91"/>
  <c r="I96" s="1"/>
  <c r="K91"/>
  <c r="K102" s="1"/>
  <c r="AB134" i="35" s="1"/>
  <c r="M91" i="34"/>
  <c r="M106" s="1"/>
  <c r="O91"/>
  <c r="O98" s="1"/>
  <c r="D77" i="39"/>
  <c r="D82" s="1"/>
  <c r="F77"/>
  <c r="F80" s="1"/>
  <c r="H77"/>
  <c r="H80" s="1"/>
  <c r="J77"/>
  <c r="J88" s="1"/>
  <c r="AA135" i="35" s="1"/>
  <c r="L77" i="39"/>
  <c r="L88" s="1"/>
  <c r="AC135" i="35" s="1"/>
  <c r="N77" i="39"/>
  <c r="E72" i="42"/>
  <c r="G72"/>
  <c r="I72"/>
  <c r="I87" s="1"/>
  <c r="K72"/>
  <c r="M72"/>
  <c r="M87" s="1"/>
  <c r="O72"/>
  <c r="O87" s="1"/>
  <c r="E77" i="38"/>
  <c r="G77"/>
  <c r="G82" s="1"/>
  <c r="I77"/>
  <c r="K77"/>
  <c r="K82" s="1"/>
  <c r="M77"/>
  <c r="O77"/>
  <c r="O94" s="1"/>
  <c r="D91" i="34"/>
  <c r="D100" s="1"/>
  <c r="U151" i="35" s="1"/>
  <c r="AI151" s="1"/>
  <c r="F91" i="34"/>
  <c r="F100" s="1"/>
  <c r="W151" i="35" s="1"/>
  <c r="H91" i="34"/>
  <c r="H104" s="1"/>
  <c r="Y168" i="35" s="1"/>
  <c r="J91" i="34"/>
  <c r="L91"/>
  <c r="N91"/>
  <c r="N104" s="1"/>
  <c r="AE168" i="35" s="1"/>
  <c r="E77" i="39"/>
  <c r="G77"/>
  <c r="I77"/>
  <c r="I79" s="1"/>
  <c r="Z118" i="35" s="1"/>
  <c r="K77" i="39"/>
  <c r="K80" s="1"/>
  <c r="M77"/>
  <c r="O77"/>
  <c r="O94" s="1"/>
  <c r="E87" i="42"/>
  <c r="O81"/>
  <c r="I92" i="38"/>
  <c r="K81"/>
  <c r="E93" i="34"/>
  <c r="V117" i="35" s="1"/>
  <c r="G96" i="34"/>
  <c r="O96"/>
  <c r="H86" i="39"/>
  <c r="Y152" i="35" s="1"/>
  <c r="E172" i="79"/>
  <c r="E171"/>
  <c r="E148"/>
  <c r="E152"/>
  <c r="E169" s="1"/>
  <c r="J163" i="122"/>
  <c r="AC43" i="113" s="1"/>
  <c r="AC152" s="1"/>
  <c r="D164" i="122"/>
  <c r="W70" i="113" s="1"/>
  <c r="AI179" s="1"/>
  <c r="J95" i="33"/>
  <c r="K97"/>
  <c r="L89" i="32"/>
  <c r="M91"/>
  <c r="M108" i="40"/>
  <c r="N110"/>
  <c r="D143" i="79"/>
  <c r="D131"/>
  <c r="D135"/>
  <c r="D119"/>
  <c r="D118"/>
  <c r="F154"/>
  <c r="F162"/>
  <c r="F164" s="1"/>
  <c r="E150" i="81"/>
  <c r="O146" s="1"/>
  <c r="N146" s="1"/>
  <c r="M146" s="1"/>
  <c r="L146" s="1"/>
  <c r="K146" s="1"/>
  <c r="J146" s="1"/>
  <c r="I146" s="1"/>
  <c r="H146" s="1"/>
  <c r="G146" s="1"/>
  <c r="F146" s="1"/>
  <c r="E146" s="1"/>
  <c r="D111" i="79"/>
  <c r="O35" i="42"/>
  <c r="N35"/>
  <c r="M35"/>
  <c r="M43" s="1"/>
  <c r="L132" i="35" s="1"/>
  <c r="L35" i="42"/>
  <c r="L43" s="1"/>
  <c r="K132" i="35" s="1"/>
  <c r="K35" i="42"/>
  <c r="K43" s="1"/>
  <c r="J132" i="35" s="1"/>
  <c r="J35" i="42"/>
  <c r="J43" s="1"/>
  <c r="I132" i="35" s="1"/>
  <c r="I35" i="42"/>
  <c r="I43" s="1"/>
  <c r="H132" i="35" s="1"/>
  <c r="H35" i="42"/>
  <c r="H43" s="1"/>
  <c r="G132" i="35" s="1"/>
  <c r="G35" i="42"/>
  <c r="G43" s="1"/>
  <c r="F132" i="35" s="1"/>
  <c r="F35" i="42"/>
  <c r="F43" s="1"/>
  <c r="E35"/>
  <c r="D35"/>
  <c r="O32"/>
  <c r="N32"/>
  <c r="M32"/>
  <c r="L32"/>
  <c r="K32"/>
  <c r="J32"/>
  <c r="I32"/>
  <c r="H32"/>
  <c r="G32"/>
  <c r="F32"/>
  <c r="E32"/>
  <c r="D32"/>
  <c r="O28"/>
  <c r="N28"/>
  <c r="M28"/>
  <c r="L28"/>
  <c r="K28"/>
  <c r="J28"/>
  <c r="I28"/>
  <c r="H28"/>
  <c r="G28"/>
  <c r="F28"/>
  <c r="E28"/>
  <c r="D28"/>
  <c r="O23"/>
  <c r="N115" i="35" s="1"/>
  <c r="O115" s="1"/>
  <c r="N23" i="42"/>
  <c r="M23"/>
  <c r="M39" s="1"/>
  <c r="L23"/>
  <c r="K23"/>
  <c r="K39" s="1"/>
  <c r="J23"/>
  <c r="J37" s="1"/>
  <c r="I37" s="1"/>
  <c r="I23"/>
  <c r="I39" s="1"/>
  <c r="H23"/>
  <c r="H37" s="1"/>
  <c r="G23"/>
  <c r="G39" s="1"/>
  <c r="F23"/>
  <c r="F39" s="1"/>
  <c r="F79" s="1"/>
  <c r="E23"/>
  <c r="E39" s="1"/>
  <c r="D23"/>
  <c r="E5"/>
  <c r="E4"/>
  <c r="E3"/>
  <c r="E2"/>
  <c r="B91" i="37"/>
  <c r="B89"/>
  <c r="B87"/>
  <c r="B85"/>
  <c r="B83"/>
  <c r="B82"/>
  <c r="B81"/>
  <c r="B80"/>
  <c r="B79"/>
  <c r="B78"/>
  <c r="O75"/>
  <c r="N75"/>
  <c r="M75"/>
  <c r="L75"/>
  <c r="K75"/>
  <c r="J75"/>
  <c r="I75"/>
  <c r="H75"/>
  <c r="G75"/>
  <c r="F75"/>
  <c r="E75"/>
  <c r="D75"/>
  <c r="O74"/>
  <c r="N74"/>
  <c r="M74"/>
  <c r="L74"/>
  <c r="K74"/>
  <c r="J82" i="39" l="1"/>
  <c r="J97" i="34"/>
  <c r="F97"/>
  <c r="H92" i="38"/>
  <c r="J88"/>
  <c r="AA133" i="35" s="1"/>
  <c r="J39" i="42"/>
  <c r="L97" i="34"/>
  <c r="J76" i="42"/>
  <c r="I83" i="38"/>
  <c r="I84" i="39"/>
  <c r="H88" i="38"/>
  <c r="Y133" i="35" s="1"/>
  <c r="H82" i="39"/>
  <c r="AC119" i="35"/>
  <c r="M98" i="34"/>
  <c r="H53" i="41"/>
  <c r="G174" i="35"/>
  <c r="I103" i="41"/>
  <c r="Y174" i="35" s="1"/>
  <c r="D104" i="40"/>
  <c r="U170" i="35" s="1"/>
  <c r="AI170" s="1"/>
  <c r="C170"/>
  <c r="Q170" s="1"/>
  <c r="N136"/>
  <c r="O102" i="40"/>
  <c r="K47"/>
  <c r="K98" s="1"/>
  <c r="E118"/>
  <c r="J119" i="35"/>
  <c r="K84" i="40"/>
  <c r="K93"/>
  <c r="O40"/>
  <c r="O47" s="1"/>
  <c r="O98" s="1"/>
  <c r="S34"/>
  <c r="N170" i="35"/>
  <c r="AE119"/>
  <c r="N118" i="40"/>
  <c r="M52" i="39"/>
  <c r="M169" i="35"/>
  <c r="I83" i="39"/>
  <c r="O169" i="35"/>
  <c r="G84" i="39"/>
  <c r="N83"/>
  <c r="M52" i="34"/>
  <c r="L134" i="35" s="1"/>
  <c r="M134"/>
  <c r="L100" i="34"/>
  <c r="AC151" i="35" s="1"/>
  <c r="D104" i="34"/>
  <c r="U168" i="35" s="1"/>
  <c r="AI168" s="1"/>
  <c r="R46" i="34"/>
  <c r="E102"/>
  <c r="V134" i="35" s="1"/>
  <c r="L93" i="34"/>
  <c r="AC117" i="35" s="1"/>
  <c r="D95" i="34"/>
  <c r="M96"/>
  <c r="E100"/>
  <c r="V151" i="35" s="1"/>
  <c r="L94" i="34"/>
  <c r="D96"/>
  <c r="M116" i="35"/>
  <c r="N70" i="38"/>
  <c r="N46"/>
  <c r="N84" s="1"/>
  <c r="M52"/>
  <c r="M90" s="1"/>
  <c r="AD167" i="35" s="1"/>
  <c r="M167"/>
  <c r="N44" i="38"/>
  <c r="I116" i="35"/>
  <c r="J70" i="38"/>
  <c r="J46"/>
  <c r="J84" s="1"/>
  <c r="J44"/>
  <c r="J83" s="1"/>
  <c r="K77" i="42"/>
  <c r="E75"/>
  <c r="G37"/>
  <c r="G78" s="1"/>
  <c r="D77"/>
  <c r="C115" i="35"/>
  <c r="Q115" s="1"/>
  <c r="D65" i="42"/>
  <c r="K115" i="35"/>
  <c r="L65" i="42"/>
  <c r="E115" i="35"/>
  <c r="F65" i="42"/>
  <c r="I115" i="35"/>
  <c r="J65" i="42"/>
  <c r="M115" i="35"/>
  <c r="N65" i="42"/>
  <c r="E43"/>
  <c r="E83" s="1"/>
  <c r="V132" i="35" s="1"/>
  <c r="E132"/>
  <c r="D37" i="42"/>
  <c r="D78" s="1"/>
  <c r="L37"/>
  <c r="K37" s="1"/>
  <c r="K78" s="1"/>
  <c r="L83"/>
  <c r="AC132" i="35" s="1"/>
  <c r="L76" i="42"/>
  <c r="D81"/>
  <c r="U149" i="35" s="1"/>
  <c r="G83" i="42"/>
  <c r="X132" i="35" s="1"/>
  <c r="N76" i="42"/>
  <c r="G115" i="35"/>
  <c r="H65" i="42"/>
  <c r="F115" i="35"/>
  <c r="G65" i="42"/>
  <c r="J115" i="35"/>
  <c r="K65" i="42"/>
  <c r="D115" i="35"/>
  <c r="E65" i="42"/>
  <c r="H115" i="35"/>
  <c r="I65" i="42"/>
  <c r="L115" i="35"/>
  <c r="M65" i="42"/>
  <c r="F37"/>
  <c r="E37" s="1"/>
  <c r="D39"/>
  <c r="D79" s="1"/>
  <c r="H39"/>
  <c r="H79" s="1"/>
  <c r="L39"/>
  <c r="L79" s="1"/>
  <c r="M77"/>
  <c r="H76"/>
  <c r="O96"/>
  <c r="AF149" i="35"/>
  <c r="AG149" s="1"/>
  <c r="AF170"/>
  <c r="N75" i="42"/>
  <c r="N77"/>
  <c r="O100" i="34"/>
  <c r="AF151" i="35" s="1"/>
  <c r="F102" i="34"/>
  <c r="W134" i="35" s="1"/>
  <c r="K86" i="38"/>
  <c r="AB150" i="35" s="1"/>
  <c r="K86" i="39"/>
  <c r="AB152" i="35" s="1"/>
  <c r="N106" i="34"/>
  <c r="J84" i="39"/>
  <c r="G97" i="34"/>
  <c r="N100"/>
  <c r="AE151" i="35" s="1"/>
  <c r="K92" i="38"/>
  <c r="K79" i="39"/>
  <c r="N94" i="34"/>
  <c r="N87" i="42"/>
  <c r="F78"/>
  <c r="J80" i="39"/>
  <c r="O97" i="34"/>
  <c r="O94"/>
  <c r="O106"/>
  <c r="G95"/>
  <c r="G94"/>
  <c r="G106"/>
  <c r="K79" i="38"/>
  <c r="K88"/>
  <c r="AB133" i="35" s="1"/>
  <c r="K80" i="38"/>
  <c r="K92" i="39"/>
  <c r="K84"/>
  <c r="N102" i="34"/>
  <c r="AE134" i="35" s="1"/>
  <c r="N97" i="34"/>
  <c r="F98"/>
  <c r="F95"/>
  <c r="J81" i="38"/>
  <c r="J86"/>
  <c r="AA150" i="35" s="1"/>
  <c r="N74" i="42"/>
  <c r="F77"/>
  <c r="F75"/>
  <c r="G75"/>
  <c r="G87"/>
  <c r="J81" i="39"/>
  <c r="J92"/>
  <c r="O95" i="34"/>
  <c r="O108"/>
  <c r="O102"/>
  <c r="AF134" i="35" s="1"/>
  <c r="G93" i="34"/>
  <c r="G104"/>
  <c r="X168" i="35" s="1"/>
  <c r="G102" i="34"/>
  <c r="X134" i="35" s="1"/>
  <c r="K84" i="38"/>
  <c r="K88" i="39"/>
  <c r="AB135" i="35" s="1"/>
  <c r="K83" i="39"/>
  <c r="N98" i="34"/>
  <c r="N95"/>
  <c r="F96"/>
  <c r="F93"/>
  <c r="F104"/>
  <c r="W168" i="35" s="1"/>
  <c r="L79" i="38"/>
  <c r="AC116" i="35" s="1"/>
  <c r="J79" i="38"/>
  <c r="J82"/>
  <c r="N81" i="42"/>
  <c r="AE149" i="35" s="1"/>
  <c r="F76" i="42"/>
  <c r="F87"/>
  <c r="G79"/>
  <c r="J83" i="39"/>
  <c r="O75" i="42"/>
  <c r="O76"/>
  <c r="O77"/>
  <c r="J79" i="39"/>
  <c r="J86"/>
  <c r="AA152" i="35" s="1"/>
  <c r="O93" i="34"/>
  <c r="O104"/>
  <c r="AF168" i="35" s="1"/>
  <c r="G100" i="34"/>
  <c r="X151" i="35" s="1"/>
  <c r="K83" i="38"/>
  <c r="K82" i="39"/>
  <c r="K81"/>
  <c r="N96" i="34"/>
  <c r="N93"/>
  <c r="AE117" i="35" s="1"/>
  <c r="F94" i="34"/>
  <c r="F106"/>
  <c r="J92" i="38"/>
  <c r="F74" i="42"/>
  <c r="W115" i="35" s="1"/>
  <c r="F83" i="42"/>
  <c r="W132" i="35" s="1"/>
  <c r="G74" i="42"/>
  <c r="I82" i="38"/>
  <c r="H79" i="39"/>
  <c r="Y118" i="35" s="1"/>
  <c r="H88" i="39"/>
  <c r="Y135" i="35" s="1"/>
  <c r="M97" i="34"/>
  <c r="E104"/>
  <c r="V168" i="35" s="1"/>
  <c r="O80" i="38"/>
  <c r="I80" i="39"/>
  <c r="I86"/>
  <c r="Z152" i="35" s="1"/>
  <c r="L96" i="34"/>
  <c r="L104"/>
  <c r="AC168" i="35" s="1"/>
  <c r="D98" i="34"/>
  <c r="D108"/>
  <c r="H79" i="38"/>
  <c r="H86"/>
  <c r="Y150" i="35" s="1"/>
  <c r="O89" i="42"/>
  <c r="O91" s="1"/>
  <c r="M79"/>
  <c r="G77"/>
  <c r="E78"/>
  <c r="N92" i="39"/>
  <c r="H84"/>
  <c r="M100" i="34"/>
  <c r="AD151" i="35" s="1"/>
  <c r="E98" i="34"/>
  <c r="I81" i="38"/>
  <c r="I92" i="39"/>
  <c r="L106" i="34"/>
  <c r="D93"/>
  <c r="H81" i="38"/>
  <c r="L81" i="42"/>
  <c r="AC149" i="35" s="1"/>
  <c r="M76" i="42"/>
  <c r="E76"/>
  <c r="I94" i="34"/>
  <c r="H106"/>
  <c r="D84" i="39"/>
  <c r="K100" i="34"/>
  <c r="AB151" i="35" s="1"/>
  <c r="E83" i="38"/>
  <c r="M88" i="39"/>
  <c r="AD135" i="35" s="1"/>
  <c r="E79" i="39"/>
  <c r="J81" i="42"/>
  <c r="AA149" i="35" s="1"/>
  <c r="K81" i="42"/>
  <c r="AB149" i="35" s="1"/>
  <c r="M80" i="38"/>
  <c r="M83"/>
  <c r="I81" i="42"/>
  <c r="Z149" i="35" s="1"/>
  <c r="L84" i="39"/>
  <c r="F92"/>
  <c r="G88" i="38"/>
  <c r="X133" i="35" s="1"/>
  <c r="O90" i="39"/>
  <c r="AF169" i="35" s="1"/>
  <c r="AG169" s="1"/>
  <c r="D81" i="38"/>
  <c r="E77" i="42"/>
  <c r="O88" i="39"/>
  <c r="AF135" i="35" s="1"/>
  <c r="AG135" s="1"/>
  <c r="G81" i="39"/>
  <c r="I80" i="38"/>
  <c r="H81" i="39"/>
  <c r="H92"/>
  <c r="M93" i="34"/>
  <c r="M104"/>
  <c r="AD168" i="35" s="1"/>
  <c r="E95" i="34"/>
  <c r="E94"/>
  <c r="E106"/>
  <c r="I84" i="38"/>
  <c r="I82" i="39"/>
  <c r="I81"/>
  <c r="L98" i="34"/>
  <c r="L95"/>
  <c r="J98"/>
  <c r="D102"/>
  <c r="U134" i="35" s="1"/>
  <c r="AI134" s="1"/>
  <c r="D97" i="34"/>
  <c r="H83" i="38"/>
  <c r="H80"/>
  <c r="F88"/>
  <c r="W133" i="35" s="1"/>
  <c r="L74" i="42"/>
  <c r="AC115" i="35" s="1"/>
  <c r="L75" i="42"/>
  <c r="L87"/>
  <c r="D87"/>
  <c r="D91" s="1"/>
  <c r="M81"/>
  <c r="AD149" i="35" s="1"/>
  <c r="M83" i="42"/>
  <c r="AD132" i="35" s="1"/>
  <c r="K87" i="42"/>
  <c r="G81"/>
  <c r="X149" i="35" s="1"/>
  <c r="E81" i="42"/>
  <c r="V149" i="35" s="1"/>
  <c r="E79" i="42"/>
  <c r="G76"/>
  <c r="N80" i="39"/>
  <c r="F86"/>
  <c r="W152" i="35" s="1"/>
  <c r="K97" i="34"/>
  <c r="O82" i="38"/>
  <c r="N90"/>
  <c r="AE167" i="35" s="1"/>
  <c r="J75" i="42"/>
  <c r="K75"/>
  <c r="N81" i="39"/>
  <c r="H83"/>
  <c r="F81"/>
  <c r="M95" i="34"/>
  <c r="M94"/>
  <c r="E97"/>
  <c r="O88" i="38"/>
  <c r="AF133" i="35" s="1"/>
  <c r="I79" i="38"/>
  <c r="Z116" i="35" s="1"/>
  <c r="I88" i="38"/>
  <c r="Z133" i="35" s="1"/>
  <c r="I86" i="38"/>
  <c r="Z150" i="35" s="1"/>
  <c r="O82" i="39"/>
  <c r="I88"/>
  <c r="Z135" i="35" s="1"/>
  <c r="G88" i="39"/>
  <c r="X135" i="35" s="1"/>
  <c r="L102" i="34"/>
  <c r="AC134" i="35" s="1"/>
  <c r="J93" i="34"/>
  <c r="AA117" i="35" s="1"/>
  <c r="D94" i="34"/>
  <c r="D106"/>
  <c r="N88" i="38"/>
  <c r="AE133" i="35" s="1"/>
  <c r="H84" i="38"/>
  <c r="F92"/>
  <c r="L77" i="42"/>
  <c r="J74"/>
  <c r="D76"/>
  <c r="D75"/>
  <c r="M75"/>
  <c r="M74"/>
  <c r="E74"/>
  <c r="H94" i="34"/>
  <c r="M83" i="39"/>
  <c r="O83" i="38"/>
  <c r="N79" i="39"/>
  <c r="N88"/>
  <c r="AE135" i="35" s="1"/>
  <c r="F79" i="39"/>
  <c r="F88"/>
  <c r="W135" i="35" s="1"/>
  <c r="K98" i="34"/>
  <c r="O84" i="38"/>
  <c r="G84"/>
  <c r="O80" i="39"/>
  <c r="O86"/>
  <c r="AF152" i="35" s="1"/>
  <c r="AG152" s="1"/>
  <c r="G82" i="39"/>
  <c r="J96" i="34"/>
  <c r="J104"/>
  <c r="AA168" i="35" s="1"/>
  <c r="N80" i="38"/>
  <c r="L86"/>
  <c r="AC150" i="35" s="1"/>
  <c r="F80" i="38"/>
  <c r="J87" i="42"/>
  <c r="H75"/>
  <c r="N94" i="38"/>
  <c r="K83" i="42"/>
  <c r="AB132" i="35" s="1"/>
  <c r="I95" i="34"/>
  <c r="E80" i="39"/>
  <c r="H87" i="42"/>
  <c r="G86" i="38"/>
  <c r="X150" i="35" s="1"/>
  <c r="N82" i="39"/>
  <c r="L82"/>
  <c r="D80"/>
  <c r="K96" i="34"/>
  <c r="I106"/>
  <c r="G79" i="38"/>
  <c r="M86"/>
  <c r="AD150" i="35" s="1"/>
  <c r="O92" i="39"/>
  <c r="O96" s="1"/>
  <c r="M86"/>
  <c r="AD152" i="35" s="1"/>
  <c r="G83" i="39"/>
  <c r="E86"/>
  <c r="V152" i="35" s="1"/>
  <c r="J95" i="34"/>
  <c r="H100"/>
  <c r="Y151" i="35" s="1"/>
  <c r="N81" i="38"/>
  <c r="L88"/>
  <c r="AC133" i="35" s="1"/>
  <c r="F83" i="38"/>
  <c r="D92"/>
  <c r="D96" s="1"/>
  <c r="J77" i="42"/>
  <c r="H74"/>
  <c r="K74"/>
  <c r="AB115" i="35" s="1"/>
  <c r="I83" i="42"/>
  <c r="Z132" i="35" s="1"/>
  <c r="F163" i="122"/>
  <c r="Y43" i="113" s="1"/>
  <c r="Y152" s="1"/>
  <c r="F164" i="122"/>
  <c r="Y70" i="113" s="1"/>
  <c r="Y179" s="1"/>
  <c r="E82" i="38"/>
  <c r="L80" i="39"/>
  <c r="D83"/>
  <c r="D92"/>
  <c r="I104" i="34"/>
  <c r="Z168" i="35" s="1"/>
  <c r="M92" i="38"/>
  <c r="E92"/>
  <c r="M81" i="39"/>
  <c r="E84"/>
  <c r="H102" i="34"/>
  <c r="Y134" i="35" s="1"/>
  <c r="L84" i="38"/>
  <c r="L82"/>
  <c r="D88"/>
  <c r="U133" i="35" s="1"/>
  <c r="AI133" s="1"/>
  <c r="D86" i="38"/>
  <c r="U150" i="35" s="1"/>
  <c r="AI150" s="1"/>
  <c r="H83" i="42"/>
  <c r="Y132" i="35" s="1"/>
  <c r="H81" i="42"/>
  <c r="Y149" i="35" s="1"/>
  <c r="M94" i="38"/>
  <c r="L94" s="1"/>
  <c r="K94" s="1"/>
  <c r="J94" s="1"/>
  <c r="I94" s="1"/>
  <c r="H94" s="1"/>
  <c r="G94" s="1"/>
  <c r="F94" s="1"/>
  <c r="E94" s="1"/>
  <c r="I78" i="42"/>
  <c r="I79"/>
  <c r="O90" i="38"/>
  <c r="AF167" i="35" s="1"/>
  <c r="E80" i="38"/>
  <c r="N90" i="39"/>
  <c r="AE169" i="35" s="1"/>
  <c r="N84" i="39"/>
  <c r="M84" s="1"/>
  <c r="L81"/>
  <c r="L92"/>
  <c r="F84"/>
  <c r="F82"/>
  <c r="D81"/>
  <c r="D88"/>
  <c r="U135" i="35" s="1"/>
  <c r="K95" i="34"/>
  <c r="K94"/>
  <c r="K106"/>
  <c r="I100"/>
  <c r="Z151" i="35" s="1"/>
  <c r="I98" i="34"/>
  <c r="O81" i="38"/>
  <c r="M79"/>
  <c r="M88"/>
  <c r="AD133" i="35" s="1"/>
  <c r="G83" i="38"/>
  <c r="E79"/>
  <c r="E88"/>
  <c r="V133" i="35" s="1"/>
  <c r="E86" i="38"/>
  <c r="V150" i="35" s="1"/>
  <c r="G80" i="38"/>
  <c r="O84" i="39"/>
  <c r="O81"/>
  <c r="M80"/>
  <c r="M79"/>
  <c r="G80"/>
  <c r="G79"/>
  <c r="G86"/>
  <c r="X152" i="35" s="1"/>
  <c r="E88" i="39"/>
  <c r="V135" i="35" s="1"/>
  <c r="E83" i="39"/>
  <c r="J94" i="34"/>
  <c r="J106"/>
  <c r="J100"/>
  <c r="AA151" i="35" s="1"/>
  <c r="H98" i="34"/>
  <c r="H95"/>
  <c r="N79" i="38"/>
  <c r="N86"/>
  <c r="AE150" i="35" s="1"/>
  <c r="L83" i="38"/>
  <c r="L80"/>
  <c r="F84"/>
  <c r="F81"/>
  <c r="F86"/>
  <c r="W150" i="35" s="1"/>
  <c r="D84" i="38"/>
  <c r="D82"/>
  <c r="J83" i="42"/>
  <c r="AA132" i="35" s="1"/>
  <c r="J78" i="42"/>
  <c r="H78"/>
  <c r="K79"/>
  <c r="I76"/>
  <c r="I77"/>
  <c r="L83" i="39"/>
  <c r="D94"/>
  <c r="I93" i="34"/>
  <c r="I102"/>
  <c r="Z134" i="35" s="1"/>
  <c r="M81" i="38"/>
  <c r="E81"/>
  <c r="M82" i="39"/>
  <c r="E92"/>
  <c r="H97" i="34"/>
  <c r="O86" i="38"/>
  <c r="AF150" i="35" s="1"/>
  <c r="M82" i="38"/>
  <c r="N86" i="39"/>
  <c r="AE152" i="35" s="1"/>
  <c r="L79" i="39"/>
  <c r="L86"/>
  <c r="AC152" i="35" s="1"/>
  <c r="F83" i="39"/>
  <c r="D79"/>
  <c r="U118" i="35" s="1"/>
  <c r="D86" i="39"/>
  <c r="U152" i="35" s="1"/>
  <c r="K93" i="34"/>
  <c r="K104"/>
  <c r="AB168" i="35" s="1"/>
  <c r="I97" i="34"/>
  <c r="O79" i="38"/>
  <c r="O92"/>
  <c r="O96" s="1"/>
  <c r="M84"/>
  <c r="G81"/>
  <c r="G92"/>
  <c r="E84"/>
  <c r="O83" i="39"/>
  <c r="O79"/>
  <c r="M92"/>
  <c r="G92"/>
  <c r="E82"/>
  <c r="E81"/>
  <c r="J102" i="34"/>
  <c r="AA134" i="35" s="1"/>
  <c r="H96" i="34"/>
  <c r="H93"/>
  <c r="N92" i="38"/>
  <c r="L81"/>
  <c r="L92"/>
  <c r="F79"/>
  <c r="D83"/>
  <c r="D80"/>
  <c r="J79" i="42"/>
  <c r="H77"/>
  <c r="K76"/>
  <c r="I75"/>
  <c r="I74"/>
  <c r="W179" i="113"/>
  <c r="AD179"/>
  <c r="AC179"/>
  <c r="AB179"/>
  <c r="Z179"/>
  <c r="AG179"/>
  <c r="AH179"/>
  <c r="AF179"/>
  <c r="AA179"/>
  <c r="AE179"/>
  <c r="M47" i="40"/>
  <c r="M98" s="1"/>
  <c r="M95"/>
  <c r="L95"/>
  <c r="L47"/>
  <c r="L98" s="1"/>
  <c r="M53"/>
  <c r="L170" i="35" s="1"/>
  <c r="N104" i="40"/>
  <c r="AE170" i="35" s="1"/>
  <c r="M45" i="40"/>
  <c r="M97" s="1"/>
  <c r="L45"/>
  <c r="L97" s="1"/>
  <c r="N95"/>
  <c r="N47"/>
  <c r="N98" s="1"/>
  <c r="N45"/>
  <c r="N97" s="1"/>
  <c r="K76" i="37"/>
  <c r="O76"/>
  <c r="L76"/>
  <c r="N76"/>
  <c r="M76"/>
  <c r="N39" i="42"/>
  <c r="N79" s="1"/>
  <c r="N37"/>
  <c r="M37" s="1"/>
  <c r="M78" s="1"/>
  <c r="O65"/>
  <c r="O64"/>
  <c r="O39"/>
  <c r="O79" s="1"/>
  <c r="O74"/>
  <c r="O37"/>
  <c r="O78" s="1"/>
  <c r="D152" i="79"/>
  <c r="D172"/>
  <c r="D171"/>
  <c r="D148"/>
  <c r="L108" i="40"/>
  <c r="M110"/>
  <c r="K89" i="32"/>
  <c r="L91"/>
  <c r="I95" i="33"/>
  <c r="J97"/>
  <c r="E154" i="79"/>
  <c r="E162"/>
  <c r="E164" s="1"/>
  <c r="N108" i="34"/>
  <c r="E118"/>
  <c r="I104" i="39"/>
  <c r="L104" i="38"/>
  <c r="D79"/>
  <c r="U116" i="35" s="1"/>
  <c r="AI116" s="1"/>
  <c r="N94" i="39"/>
  <c r="N89" i="42"/>
  <c r="D74"/>
  <c r="U115" i="35" s="1"/>
  <c r="J74" i="37"/>
  <c r="J76" s="1"/>
  <c r="I74"/>
  <c r="I76" s="1"/>
  <c r="H74"/>
  <c r="H76" s="1"/>
  <c r="G74"/>
  <c r="G76" s="1"/>
  <c r="F74"/>
  <c r="F76" s="1"/>
  <c r="E74"/>
  <c r="E76" s="1"/>
  <c r="D74"/>
  <c r="D76" s="1"/>
  <c r="M102" i="34" l="1"/>
  <c r="AD134" i="35" s="1"/>
  <c r="H104" i="39"/>
  <c r="D104"/>
  <c r="N118" i="34"/>
  <c r="L118"/>
  <c r="K99" i="42"/>
  <c r="G53" i="41"/>
  <c r="F174" i="35"/>
  <c r="H103" i="41"/>
  <c r="X174" i="35" s="1"/>
  <c r="AB119"/>
  <c r="K118" i="40"/>
  <c r="S40"/>
  <c r="AF136" i="35"/>
  <c r="O45" i="40"/>
  <c r="O95"/>
  <c r="L52" i="39"/>
  <c r="L169" i="35"/>
  <c r="M90" i="39"/>
  <c r="AD169" i="35" s="1"/>
  <c r="J118" i="34"/>
  <c r="I104" i="38"/>
  <c r="N83"/>
  <c r="L52"/>
  <c r="L167" i="35"/>
  <c r="L78" i="42"/>
  <c r="AI149" i="35"/>
  <c r="D43" i="42"/>
  <c r="D132" i="35"/>
  <c r="L99" i="42"/>
  <c r="F99"/>
  <c r="I99"/>
  <c r="Z115" i="35"/>
  <c r="K118" i="34"/>
  <c r="AB117" i="35"/>
  <c r="E104" i="38"/>
  <c r="V116" i="35"/>
  <c r="F104" i="38"/>
  <c r="W116" i="35"/>
  <c r="H118" i="34"/>
  <c r="Y117" i="35"/>
  <c r="I118" i="34"/>
  <c r="Z117" i="35"/>
  <c r="G104" i="39"/>
  <c r="X118" i="35"/>
  <c r="M104" i="38"/>
  <c r="AD116" i="35"/>
  <c r="F104" i="39"/>
  <c r="W118" i="35"/>
  <c r="O118" i="34"/>
  <c r="AF117" i="35"/>
  <c r="J104" i="38"/>
  <c r="AA116" i="35"/>
  <c r="G118" i="34"/>
  <c r="X117" i="35"/>
  <c r="K104" i="39"/>
  <c r="AB118" i="35"/>
  <c r="O104" i="39"/>
  <c r="AF118" i="35"/>
  <c r="AG118" s="1"/>
  <c r="AI118" s="1"/>
  <c r="N104" i="38"/>
  <c r="AE116" i="35"/>
  <c r="G104" i="38"/>
  <c r="X116" i="35"/>
  <c r="M99" i="42"/>
  <c r="AD115" i="35"/>
  <c r="J99" i="42"/>
  <c r="AA115" i="35"/>
  <c r="M118" i="34"/>
  <c r="AD117" i="35"/>
  <c r="D118" i="34"/>
  <c r="U117" i="35"/>
  <c r="AI117" s="1"/>
  <c r="G99" i="42"/>
  <c r="X115" i="35"/>
  <c r="F118" i="34"/>
  <c r="W117" i="35"/>
  <c r="N99" i="42"/>
  <c r="AE115" i="35"/>
  <c r="K104" i="38"/>
  <c r="AB116" i="35"/>
  <c r="O98" i="42"/>
  <c r="AF115" i="35"/>
  <c r="AG115" s="1"/>
  <c r="AI115" s="1"/>
  <c r="O104" i="38"/>
  <c r="AF116" i="35"/>
  <c r="L104" i="39"/>
  <c r="AC118" i="35"/>
  <c r="M104" i="39"/>
  <c r="AD118" i="35"/>
  <c r="H99" i="42"/>
  <c r="Y115" i="35"/>
  <c r="N104" i="39"/>
  <c r="AE118" i="35"/>
  <c r="E99" i="42"/>
  <c r="V115" i="35"/>
  <c r="E104" i="39"/>
  <c r="V118" i="35"/>
  <c r="H104" i="38"/>
  <c r="Y116" i="35"/>
  <c r="J104" i="39"/>
  <c r="AA118" i="35"/>
  <c r="AI152"/>
  <c r="AI135"/>
  <c r="O91" i="37"/>
  <c r="O110" i="34"/>
  <c r="N85" i="37"/>
  <c r="AE148" i="35" s="1"/>
  <c r="AE159" s="1"/>
  <c r="D110" i="34"/>
  <c r="N96" i="38"/>
  <c r="D96" i="39"/>
  <c r="L91" i="37"/>
  <c r="O99" i="42"/>
  <c r="L85" i="37"/>
  <c r="AC148" i="35" s="1"/>
  <c r="AC159" s="1"/>
  <c r="N91" i="37"/>
  <c r="M85"/>
  <c r="AD148" i="35" s="1"/>
  <c r="AD159" s="1"/>
  <c r="O85" i="37"/>
  <c r="AF148" i="35" s="1"/>
  <c r="E164" i="122"/>
  <c r="X70" i="113" s="1"/>
  <c r="X179" s="1"/>
  <c r="E163" i="122"/>
  <c r="X43" i="113" s="1"/>
  <c r="X152" s="1"/>
  <c r="K91" i="37"/>
  <c r="M96" i="38"/>
  <c r="L96" s="1"/>
  <c r="K96" s="1"/>
  <c r="J96" s="1"/>
  <c r="I96" s="1"/>
  <c r="H96" s="1"/>
  <c r="G96" s="1"/>
  <c r="F96" s="1"/>
  <c r="E96" s="1"/>
  <c r="M91" i="37"/>
  <c r="K85"/>
  <c r="AB148" i="35" s="1"/>
  <c r="AB159" s="1"/>
  <c r="L53" i="40"/>
  <c r="K170" i="35" s="1"/>
  <c r="M104" i="40"/>
  <c r="AD170" i="35" s="1"/>
  <c r="N78" i="42"/>
  <c r="F91" i="37"/>
  <c r="F85"/>
  <c r="W148" i="35" s="1"/>
  <c r="W159" s="1"/>
  <c r="E91" i="37"/>
  <c r="E85"/>
  <c r="V148" i="35" s="1"/>
  <c r="V159" s="1"/>
  <c r="G91" i="37"/>
  <c r="G85"/>
  <c r="X148" i="35" s="1"/>
  <c r="X159" s="1"/>
  <c r="I91" i="37"/>
  <c r="I85"/>
  <c r="Z148" i="35" s="1"/>
  <c r="Z159" s="1"/>
  <c r="D91" i="37"/>
  <c r="D85"/>
  <c r="U148" i="35" s="1"/>
  <c r="U159" s="1"/>
  <c r="H91" i="37"/>
  <c r="H85"/>
  <c r="Y148" i="35" s="1"/>
  <c r="Y159" s="1"/>
  <c r="J91" i="37"/>
  <c r="J85"/>
  <c r="AA148" i="35" s="1"/>
  <c r="AA159" s="1"/>
  <c r="D104" i="38"/>
  <c r="M108" i="34"/>
  <c r="N110"/>
  <c r="D99" i="42"/>
  <c r="M89"/>
  <c r="N91"/>
  <c r="M94" i="39"/>
  <c r="N96"/>
  <c r="H95" i="33"/>
  <c r="I97"/>
  <c r="J89" i="32"/>
  <c r="K91"/>
  <c r="K108" i="40"/>
  <c r="L110"/>
  <c r="D169" i="79"/>
  <c r="O168" s="1"/>
  <c r="N168" s="1"/>
  <c r="M168" s="1"/>
  <c r="L168" s="1"/>
  <c r="K168" s="1"/>
  <c r="J168" s="1"/>
  <c r="I168" s="1"/>
  <c r="H168" s="1"/>
  <c r="G168" s="1"/>
  <c r="F168" s="1"/>
  <c r="E168" s="1"/>
  <c r="D154"/>
  <c r="D168" s="1"/>
  <c r="O164" s="1"/>
  <c r="N164" s="1"/>
  <c r="M164" s="1"/>
  <c r="L164" s="1"/>
  <c r="K164" s="1"/>
  <c r="D162"/>
  <c r="D164" s="1"/>
  <c r="F53" i="41" l="1"/>
  <c r="E174" i="35"/>
  <c r="G103" i="41"/>
  <c r="W174" i="35" s="1"/>
  <c r="O97" i="40"/>
  <c r="S45"/>
  <c r="K52" i="39"/>
  <c r="K169" i="35"/>
  <c r="L90" i="39"/>
  <c r="AC169" i="35" s="1"/>
  <c r="K52" i="38"/>
  <c r="K167" i="35"/>
  <c r="L90" i="38"/>
  <c r="AC167" i="35" s="1"/>
  <c r="C132"/>
  <c r="D83" i="42"/>
  <c r="U132" i="35" s="1"/>
  <c r="AG148"/>
  <c r="AF159"/>
  <c r="K53" i="40"/>
  <c r="J170" i="35" s="1"/>
  <c r="L104" i="40"/>
  <c r="AC170" i="35" s="1"/>
  <c r="J108" i="40"/>
  <c r="K110"/>
  <c r="I89" i="32"/>
  <c r="J91"/>
  <c r="G95" i="33"/>
  <c r="G97" s="1"/>
  <c r="H97"/>
  <c r="L94" i="39"/>
  <c r="M96"/>
  <c r="L89" i="42"/>
  <c r="M91"/>
  <c r="L108" i="34"/>
  <c r="M110"/>
  <c r="O55" i="37"/>
  <c r="N55"/>
  <c r="M55"/>
  <c r="L55"/>
  <c r="K55"/>
  <c r="J55"/>
  <c r="I55"/>
  <c r="H55"/>
  <c r="G55"/>
  <c r="F55"/>
  <c r="E55"/>
  <c r="D55"/>
  <c r="O41"/>
  <c r="O81" s="1"/>
  <c r="N41"/>
  <c r="N81" s="1"/>
  <c r="M81" s="1"/>
  <c r="M41"/>
  <c r="M49" s="1"/>
  <c r="L41"/>
  <c r="L81" s="1"/>
  <c r="K41"/>
  <c r="K81" s="1"/>
  <c r="J41"/>
  <c r="J81" s="1"/>
  <c r="I41"/>
  <c r="I81" s="1"/>
  <c r="H41"/>
  <c r="H81" s="1"/>
  <c r="G41"/>
  <c r="G81" s="1"/>
  <c r="F41"/>
  <c r="F81" s="1"/>
  <c r="E81" s="1"/>
  <c r="E41"/>
  <c r="E49" s="1"/>
  <c r="D41"/>
  <c r="D81" s="1"/>
  <c r="O38"/>
  <c r="O80" s="1"/>
  <c r="N38"/>
  <c r="N80" s="1"/>
  <c r="M38"/>
  <c r="M80" s="1"/>
  <c r="L38"/>
  <c r="L80" s="1"/>
  <c r="K38"/>
  <c r="K80" s="1"/>
  <c r="J38"/>
  <c r="J80" s="1"/>
  <c r="I38"/>
  <c r="I80" s="1"/>
  <c r="H38"/>
  <c r="H80" s="1"/>
  <c r="G38"/>
  <c r="G80" s="1"/>
  <c r="F38"/>
  <c r="F80" s="1"/>
  <c r="E38"/>
  <c r="E80" s="1"/>
  <c r="D38"/>
  <c r="D80" s="1"/>
  <c r="O27"/>
  <c r="O79" s="1"/>
  <c r="N27"/>
  <c r="N79" s="1"/>
  <c r="M27"/>
  <c r="M79" s="1"/>
  <c r="L27"/>
  <c r="L79" s="1"/>
  <c r="K27"/>
  <c r="K79" s="1"/>
  <c r="J27"/>
  <c r="J79" s="1"/>
  <c r="I27"/>
  <c r="I79" s="1"/>
  <c r="H27"/>
  <c r="G27"/>
  <c r="G79" s="1"/>
  <c r="F27"/>
  <c r="F79" s="1"/>
  <c r="E27"/>
  <c r="E79" s="1"/>
  <c r="D27"/>
  <c r="D79" s="1"/>
  <c r="O24"/>
  <c r="O45" s="1"/>
  <c r="N24"/>
  <c r="M24"/>
  <c r="J24"/>
  <c r="I24"/>
  <c r="H24"/>
  <c r="G24"/>
  <c r="F24"/>
  <c r="E24"/>
  <c r="D24"/>
  <c r="L23"/>
  <c r="K23"/>
  <c r="K24" s="1"/>
  <c r="J23"/>
  <c r="E5"/>
  <c r="E4"/>
  <c r="E3"/>
  <c r="E2"/>
  <c r="C11" i="18"/>
  <c r="D5" i="24"/>
  <c r="D4"/>
  <c r="D3"/>
  <c r="D2"/>
  <c r="D5" i="23"/>
  <c r="D4"/>
  <c r="D3"/>
  <c r="D2"/>
  <c r="D5" i="7"/>
  <c r="D4"/>
  <c r="D3"/>
  <c r="D2"/>
  <c r="M22" i="56"/>
  <c r="L22"/>
  <c r="M21"/>
  <c r="L21"/>
  <c r="M20"/>
  <c r="L20"/>
  <c r="M19"/>
  <c r="L19"/>
  <c r="M18"/>
  <c r="L18"/>
  <c r="M17"/>
  <c r="L17"/>
  <c r="M16"/>
  <c r="L16"/>
  <c r="M15"/>
  <c r="L15"/>
  <c r="M14"/>
  <c r="L14"/>
  <c r="M13"/>
  <c r="L13"/>
  <c r="F5"/>
  <c r="F4"/>
  <c r="F3"/>
  <c r="F2"/>
  <c r="D5" i="21"/>
  <c r="D4"/>
  <c r="D3"/>
  <c r="D2"/>
  <c r="C11" i="22"/>
  <c r="AI182" i="57"/>
  <c r="AH182"/>
  <c r="AG182"/>
  <c r="AF182"/>
  <c r="AE182"/>
  <c r="AD182"/>
  <c r="AC182"/>
  <c r="AB182"/>
  <c r="AA182"/>
  <c r="Z182"/>
  <c r="Y182"/>
  <c r="X182"/>
  <c r="W182"/>
  <c r="V182"/>
  <c r="P182"/>
  <c r="O182"/>
  <c r="N182"/>
  <c r="M182"/>
  <c r="L182"/>
  <c r="K182"/>
  <c r="J182"/>
  <c r="I182"/>
  <c r="H182"/>
  <c r="G182"/>
  <c r="F182"/>
  <c r="E182"/>
  <c r="D182"/>
  <c r="C182"/>
  <c r="AI181"/>
  <c r="AH181"/>
  <c r="AG181"/>
  <c r="AF181"/>
  <c r="AE181"/>
  <c r="AD181"/>
  <c r="AC181"/>
  <c r="AB181"/>
  <c r="AA181"/>
  <c r="Z181"/>
  <c r="Y181"/>
  <c r="X181"/>
  <c r="W181"/>
  <c r="V181"/>
  <c r="P181"/>
  <c r="O181"/>
  <c r="N181"/>
  <c r="M181"/>
  <c r="L181"/>
  <c r="K181"/>
  <c r="J181"/>
  <c r="I181"/>
  <c r="H181"/>
  <c r="G181"/>
  <c r="F181"/>
  <c r="E181"/>
  <c r="D181"/>
  <c r="C181"/>
  <c r="AI180"/>
  <c r="AH180"/>
  <c r="AG180"/>
  <c r="AF180"/>
  <c r="AE180"/>
  <c r="AD180"/>
  <c r="AC180"/>
  <c r="AB180"/>
  <c r="AA180"/>
  <c r="Z180"/>
  <c r="Y180"/>
  <c r="X180"/>
  <c r="W180"/>
  <c r="V180"/>
  <c r="P180"/>
  <c r="O180"/>
  <c r="N180"/>
  <c r="M180"/>
  <c r="L180"/>
  <c r="K180"/>
  <c r="J180"/>
  <c r="I180"/>
  <c r="H180"/>
  <c r="G180"/>
  <c r="F180"/>
  <c r="E180"/>
  <c r="D180"/>
  <c r="C180"/>
  <c r="AI179"/>
  <c r="AH179"/>
  <c r="AG179"/>
  <c r="AF179"/>
  <c r="AE179"/>
  <c r="AD179"/>
  <c r="AC179"/>
  <c r="AB179"/>
  <c r="AA179"/>
  <c r="Z179"/>
  <c r="Y179"/>
  <c r="X179"/>
  <c r="W179"/>
  <c r="V179"/>
  <c r="P179"/>
  <c r="O179"/>
  <c r="N179"/>
  <c r="M179"/>
  <c r="L179"/>
  <c r="K179"/>
  <c r="J179"/>
  <c r="I179"/>
  <c r="H179"/>
  <c r="G179"/>
  <c r="F179"/>
  <c r="E179"/>
  <c r="D179"/>
  <c r="C179"/>
  <c r="AI178"/>
  <c r="AH178"/>
  <c r="AG178"/>
  <c r="AF178"/>
  <c r="AE178"/>
  <c r="AD178"/>
  <c r="AC178"/>
  <c r="AB178"/>
  <c r="AA178"/>
  <c r="Z178"/>
  <c r="Y178"/>
  <c r="X178"/>
  <c r="W178"/>
  <c r="V178"/>
  <c r="P178"/>
  <c r="O178"/>
  <c r="N178"/>
  <c r="M178"/>
  <c r="L178"/>
  <c r="K178"/>
  <c r="J178"/>
  <c r="I178"/>
  <c r="H178"/>
  <c r="G178"/>
  <c r="F178"/>
  <c r="E178"/>
  <c r="D178"/>
  <c r="C178"/>
  <c r="AI177"/>
  <c r="AH177"/>
  <c r="AG177"/>
  <c r="AF177"/>
  <c r="AE177"/>
  <c r="AD177"/>
  <c r="AC177"/>
  <c r="M199" s="1"/>
  <c r="AB177"/>
  <c r="AA177"/>
  <c r="Z177"/>
  <c r="Y177"/>
  <c r="X177"/>
  <c r="W177"/>
  <c r="V177"/>
  <c r="P177"/>
  <c r="O177"/>
  <c r="N177"/>
  <c r="M177"/>
  <c r="L177"/>
  <c r="K177"/>
  <c r="J177"/>
  <c r="G199" s="1"/>
  <c r="I177"/>
  <c r="H177"/>
  <c r="G177"/>
  <c r="F177"/>
  <c r="E177"/>
  <c r="D177"/>
  <c r="C177"/>
  <c r="AI176"/>
  <c r="AH176"/>
  <c r="AG176"/>
  <c r="AF176"/>
  <c r="AE176"/>
  <c r="AD176"/>
  <c r="AC176"/>
  <c r="AB176"/>
  <c r="AA176"/>
  <c r="Z176"/>
  <c r="Y176"/>
  <c r="X176"/>
  <c r="W176"/>
  <c r="V176"/>
  <c r="P176"/>
  <c r="O176"/>
  <c r="N176"/>
  <c r="M176"/>
  <c r="L176"/>
  <c r="K176"/>
  <c r="J176"/>
  <c r="I176"/>
  <c r="H176"/>
  <c r="G176"/>
  <c r="F176"/>
  <c r="E176"/>
  <c r="D176"/>
  <c r="C176"/>
  <c r="AI175"/>
  <c r="AH175"/>
  <c r="AG175"/>
  <c r="AF175"/>
  <c r="AE175"/>
  <c r="AD175"/>
  <c r="AC175"/>
  <c r="AB175"/>
  <c r="AA175"/>
  <c r="Z175"/>
  <c r="Y175"/>
  <c r="X175"/>
  <c r="W175"/>
  <c r="V175"/>
  <c r="P175"/>
  <c r="O175"/>
  <c r="N175"/>
  <c r="M175"/>
  <c r="L175"/>
  <c r="K175"/>
  <c r="J175"/>
  <c r="I175"/>
  <c r="H175"/>
  <c r="G175"/>
  <c r="F175"/>
  <c r="E175"/>
  <c r="D175"/>
  <c r="C175"/>
  <c r="AI174"/>
  <c r="AH56" i="35" s="1"/>
  <c r="AH174" i="57"/>
  <c r="AG174"/>
  <c r="AF174"/>
  <c r="AE174"/>
  <c r="AD174"/>
  <c r="AC174"/>
  <c r="AB174"/>
  <c r="AA174"/>
  <c r="Z174"/>
  <c r="Y174"/>
  <c r="X174"/>
  <c r="W174"/>
  <c r="V174"/>
  <c r="P174"/>
  <c r="AH39" i="35" s="1"/>
  <c r="O174" i="57"/>
  <c r="N174"/>
  <c r="M174"/>
  <c r="L174"/>
  <c r="K174"/>
  <c r="J174"/>
  <c r="I174"/>
  <c r="H174"/>
  <c r="G174"/>
  <c r="F174"/>
  <c r="E174"/>
  <c r="D174"/>
  <c r="C174"/>
  <c r="AI173"/>
  <c r="AH173"/>
  <c r="AG173"/>
  <c r="AF173"/>
  <c r="AE173"/>
  <c r="AD173"/>
  <c r="AC173"/>
  <c r="AB173"/>
  <c r="AA173"/>
  <c r="Z173"/>
  <c r="Y173"/>
  <c r="X173"/>
  <c r="W173"/>
  <c r="V173"/>
  <c r="P173"/>
  <c r="O173"/>
  <c r="N173"/>
  <c r="M173"/>
  <c r="L173"/>
  <c r="K173"/>
  <c r="J173"/>
  <c r="I173"/>
  <c r="H173"/>
  <c r="G173"/>
  <c r="F173"/>
  <c r="E173"/>
  <c r="D173"/>
  <c r="C173"/>
  <c r="AI172"/>
  <c r="AH172"/>
  <c r="AG172"/>
  <c r="AF172"/>
  <c r="AE172"/>
  <c r="AD172"/>
  <c r="AC172"/>
  <c r="AB172"/>
  <c r="AA172"/>
  <c r="Z172"/>
  <c r="Y172"/>
  <c r="X172"/>
  <c r="W172"/>
  <c r="V172"/>
  <c r="P172"/>
  <c r="O172"/>
  <c r="N172"/>
  <c r="M172"/>
  <c r="L172"/>
  <c r="K172"/>
  <c r="J172"/>
  <c r="I172"/>
  <c r="H172"/>
  <c r="G172"/>
  <c r="F172"/>
  <c r="E172"/>
  <c r="D172"/>
  <c r="C172"/>
  <c r="AI171"/>
  <c r="AI184" s="1"/>
  <c r="O56" i="35" s="1"/>
  <c r="O89" s="1"/>
  <c r="AH171" i="57"/>
  <c r="AH184" s="1"/>
  <c r="N56" i="35" s="1"/>
  <c r="N89" s="1"/>
  <c r="AG171" i="57"/>
  <c r="AG184" s="1"/>
  <c r="M56" i="35" s="1"/>
  <c r="AF171" i="57"/>
  <c r="AF184" s="1"/>
  <c r="L56" i="35" s="1"/>
  <c r="L89" s="1"/>
  <c r="AE171" i="57"/>
  <c r="AE184" s="1"/>
  <c r="K56" i="35" s="1"/>
  <c r="K89" s="1"/>
  <c r="AD171" i="57"/>
  <c r="AD184" s="1"/>
  <c r="J56" i="35" s="1"/>
  <c r="J89" s="1"/>
  <c r="AC171" i="57"/>
  <c r="AC184" s="1"/>
  <c r="I56" i="35" s="1"/>
  <c r="AB171" i="57"/>
  <c r="AB184" s="1"/>
  <c r="H56" i="35" s="1"/>
  <c r="AA171" i="57"/>
  <c r="AA184" s="1"/>
  <c r="G56" i="35" s="1"/>
  <c r="Z171" i="57"/>
  <c r="Z184" s="1"/>
  <c r="F56" i="35" s="1"/>
  <c r="Y171" i="57"/>
  <c r="Y184" s="1"/>
  <c r="E56" i="35" s="1"/>
  <c r="X171" i="57"/>
  <c r="X184" s="1"/>
  <c r="D56" i="35" s="1"/>
  <c r="W171" i="57"/>
  <c r="W184" s="1"/>
  <c r="C56" i="35" s="1"/>
  <c r="V171" i="57"/>
  <c r="P171"/>
  <c r="P184" s="1"/>
  <c r="O39" i="35" s="1"/>
  <c r="O171" i="57"/>
  <c r="O184" s="1"/>
  <c r="N39" i="35" s="1"/>
  <c r="N171" i="57"/>
  <c r="N184" s="1"/>
  <c r="M39" i="35" s="1"/>
  <c r="M171" i="57"/>
  <c r="M184" s="1"/>
  <c r="L39" i="35" s="1"/>
  <c r="L171" i="57"/>
  <c r="L184" s="1"/>
  <c r="K39" i="35" s="1"/>
  <c r="K171" i="57"/>
  <c r="K184" s="1"/>
  <c r="J39" i="35" s="1"/>
  <c r="J171" i="57"/>
  <c r="J184" s="1"/>
  <c r="I39" i="35" s="1"/>
  <c r="I171" i="57"/>
  <c r="I184" s="1"/>
  <c r="H39" i="35" s="1"/>
  <c r="H171" i="57"/>
  <c r="H184" s="1"/>
  <c r="G39" i="35" s="1"/>
  <c r="G171" i="57"/>
  <c r="G184" s="1"/>
  <c r="F39" i="35" s="1"/>
  <c r="F171" i="57"/>
  <c r="F184" s="1"/>
  <c r="E39" i="35" s="1"/>
  <c r="E171" i="57"/>
  <c r="E184" s="1"/>
  <c r="D39" i="35" s="1"/>
  <c r="D171" i="57"/>
  <c r="D184" s="1"/>
  <c r="C39" i="35" s="1"/>
  <c r="C171" i="57"/>
  <c r="C184" s="1"/>
  <c r="AI166"/>
  <c r="AH166"/>
  <c r="AG166"/>
  <c r="AF166"/>
  <c r="AE166"/>
  <c r="AD166"/>
  <c r="AC166"/>
  <c r="AB166"/>
  <c r="AA166"/>
  <c r="Z166"/>
  <c r="Y166"/>
  <c r="X166"/>
  <c r="W166"/>
  <c r="V166"/>
  <c r="P166"/>
  <c r="O166"/>
  <c r="N166"/>
  <c r="M166"/>
  <c r="L166"/>
  <c r="K166"/>
  <c r="J166"/>
  <c r="I166"/>
  <c r="H166"/>
  <c r="G166"/>
  <c r="F166"/>
  <c r="E166"/>
  <c r="D166"/>
  <c r="C166"/>
  <c r="AI165"/>
  <c r="AH165"/>
  <c r="AG165"/>
  <c r="AF165"/>
  <c r="AE165"/>
  <c r="AD165"/>
  <c r="AC165"/>
  <c r="AB165"/>
  <c r="AA165"/>
  <c r="Z165"/>
  <c r="Y165"/>
  <c r="X165"/>
  <c r="W165"/>
  <c r="V165"/>
  <c r="P165"/>
  <c r="O165"/>
  <c r="N165"/>
  <c r="M165"/>
  <c r="L165"/>
  <c r="K165"/>
  <c r="J165"/>
  <c r="I165"/>
  <c r="H165"/>
  <c r="G165"/>
  <c r="F165"/>
  <c r="E165"/>
  <c r="D165"/>
  <c r="C165"/>
  <c r="AI164"/>
  <c r="AH164"/>
  <c r="AG164"/>
  <c r="AF164"/>
  <c r="AE164"/>
  <c r="AD164"/>
  <c r="AC164"/>
  <c r="AB164"/>
  <c r="AA164"/>
  <c r="Z164"/>
  <c r="Y164"/>
  <c r="X164"/>
  <c r="W164"/>
  <c r="V164"/>
  <c r="P164"/>
  <c r="O164"/>
  <c r="N164"/>
  <c r="M164"/>
  <c r="L164"/>
  <c r="K164"/>
  <c r="J164"/>
  <c r="I164"/>
  <c r="H164"/>
  <c r="G164"/>
  <c r="F164"/>
  <c r="E164"/>
  <c r="D164"/>
  <c r="C164"/>
  <c r="AI163"/>
  <c r="AH163"/>
  <c r="AG163"/>
  <c r="AF163"/>
  <c r="AE163"/>
  <c r="AD163"/>
  <c r="AC163"/>
  <c r="AB163"/>
  <c r="AA163"/>
  <c r="Z163"/>
  <c r="Y163"/>
  <c r="X163"/>
  <c r="W163"/>
  <c r="V163"/>
  <c r="P163"/>
  <c r="O163"/>
  <c r="N163"/>
  <c r="M163"/>
  <c r="L163"/>
  <c r="K163"/>
  <c r="J163"/>
  <c r="I163"/>
  <c r="H163"/>
  <c r="G163"/>
  <c r="F163"/>
  <c r="E163"/>
  <c r="D163"/>
  <c r="C163"/>
  <c r="AI162"/>
  <c r="AH162"/>
  <c r="AG162"/>
  <c r="AF162"/>
  <c r="AE162"/>
  <c r="AD162"/>
  <c r="AC162"/>
  <c r="AB162"/>
  <c r="AA162"/>
  <c r="Z162"/>
  <c r="Y162"/>
  <c r="X162"/>
  <c r="W162"/>
  <c r="V162"/>
  <c r="P162"/>
  <c r="O162"/>
  <c r="N162"/>
  <c r="M162"/>
  <c r="L162"/>
  <c r="K162"/>
  <c r="J162"/>
  <c r="I162"/>
  <c r="H162"/>
  <c r="G162"/>
  <c r="F162"/>
  <c r="E162"/>
  <c r="D162"/>
  <c r="C162"/>
  <c r="AI161"/>
  <c r="AH161"/>
  <c r="AG161"/>
  <c r="AF161"/>
  <c r="AE161"/>
  <c r="AD161"/>
  <c r="AC161"/>
  <c r="M198" s="1"/>
  <c r="AB161"/>
  <c r="AA161"/>
  <c r="Z161"/>
  <c r="Y161"/>
  <c r="X161"/>
  <c r="W161"/>
  <c r="V161"/>
  <c r="P161"/>
  <c r="O161"/>
  <c r="N161"/>
  <c r="M161"/>
  <c r="L161"/>
  <c r="K161"/>
  <c r="J161"/>
  <c r="G198" s="1"/>
  <c r="I161"/>
  <c r="H161"/>
  <c r="G161"/>
  <c r="F161"/>
  <c r="E161"/>
  <c r="D161"/>
  <c r="C161"/>
  <c r="AI160"/>
  <c r="AH160"/>
  <c r="AG160"/>
  <c r="AF160"/>
  <c r="AE160"/>
  <c r="AD160"/>
  <c r="AC160"/>
  <c r="AB160"/>
  <c r="AA160"/>
  <c r="Z160"/>
  <c r="Y160"/>
  <c r="X160"/>
  <c r="W160"/>
  <c r="V160"/>
  <c r="P160"/>
  <c r="O160"/>
  <c r="N160"/>
  <c r="M160"/>
  <c r="L160"/>
  <c r="K160"/>
  <c r="J160"/>
  <c r="I160"/>
  <c r="H160"/>
  <c r="G160"/>
  <c r="F160"/>
  <c r="E160"/>
  <c r="D160"/>
  <c r="C160"/>
  <c r="AI159"/>
  <c r="AH159"/>
  <c r="AG159"/>
  <c r="AF159"/>
  <c r="AE159"/>
  <c r="AD159"/>
  <c r="AC159"/>
  <c r="AB159"/>
  <c r="AA159"/>
  <c r="Z159"/>
  <c r="Y159"/>
  <c r="X159"/>
  <c r="W159"/>
  <c r="V159"/>
  <c r="P159"/>
  <c r="O159"/>
  <c r="N159"/>
  <c r="M159"/>
  <c r="L159"/>
  <c r="K159"/>
  <c r="J159"/>
  <c r="I159"/>
  <c r="H159"/>
  <c r="G159"/>
  <c r="F159"/>
  <c r="E159"/>
  <c r="D159"/>
  <c r="C159"/>
  <c r="AI158"/>
  <c r="AH55" i="35" s="1"/>
  <c r="AH158" i="57"/>
  <c r="AG158"/>
  <c r="AF158"/>
  <c r="AE158"/>
  <c r="AD158"/>
  <c r="AC158"/>
  <c r="AB158"/>
  <c r="AA158"/>
  <c r="Z158"/>
  <c r="Y158"/>
  <c r="X158"/>
  <c r="W158"/>
  <c r="V158"/>
  <c r="P158"/>
  <c r="AH38" i="35" s="1"/>
  <c r="O158" i="57"/>
  <c r="N158"/>
  <c r="M158"/>
  <c r="L158"/>
  <c r="K158"/>
  <c r="J158"/>
  <c r="I158"/>
  <c r="H158"/>
  <c r="G158"/>
  <c r="F158"/>
  <c r="E158"/>
  <c r="D158"/>
  <c r="C158"/>
  <c r="AI157"/>
  <c r="AH157"/>
  <c r="AG157"/>
  <c r="AF157"/>
  <c r="AE157"/>
  <c r="AD157"/>
  <c r="AC157"/>
  <c r="AB157"/>
  <c r="AA157"/>
  <c r="Z157"/>
  <c r="Y157"/>
  <c r="X157"/>
  <c r="W157"/>
  <c r="V157"/>
  <c r="P157"/>
  <c r="O157"/>
  <c r="N157"/>
  <c r="M157"/>
  <c r="L157"/>
  <c r="K157"/>
  <c r="J157"/>
  <c r="I157"/>
  <c r="H157"/>
  <c r="G157"/>
  <c r="F157"/>
  <c r="E157"/>
  <c r="D157"/>
  <c r="C157"/>
  <c r="AI156"/>
  <c r="AH156"/>
  <c r="AG156"/>
  <c r="AF156"/>
  <c r="AE156"/>
  <c r="AD156"/>
  <c r="AC156"/>
  <c r="AB156"/>
  <c r="AA156"/>
  <c r="Z156"/>
  <c r="Y156"/>
  <c r="X156"/>
  <c r="W156"/>
  <c r="V156"/>
  <c r="P156"/>
  <c r="O156"/>
  <c r="N156"/>
  <c r="M156"/>
  <c r="L156"/>
  <c r="K156"/>
  <c r="J156"/>
  <c r="I156"/>
  <c r="H156"/>
  <c r="G156"/>
  <c r="F156"/>
  <c r="E156"/>
  <c r="D156"/>
  <c r="C156"/>
  <c r="AI155"/>
  <c r="AI168" s="1"/>
  <c r="O55" i="35" s="1"/>
  <c r="O88" s="1"/>
  <c r="AH155" i="57"/>
  <c r="AH168" s="1"/>
  <c r="N55" i="35" s="1"/>
  <c r="N88" s="1"/>
  <c r="AG155" i="57"/>
  <c r="AG168" s="1"/>
  <c r="M55" i="35" s="1"/>
  <c r="M88" s="1"/>
  <c r="AF155" i="57"/>
  <c r="AF168" s="1"/>
  <c r="L55" i="35" s="1"/>
  <c r="L88" s="1"/>
  <c r="AE155" i="57"/>
  <c r="AE168" s="1"/>
  <c r="K55" i="35" s="1"/>
  <c r="K88" s="1"/>
  <c r="AD155" i="57"/>
  <c r="AD168" s="1"/>
  <c r="J55" i="35" s="1"/>
  <c r="J88" s="1"/>
  <c r="AC155" i="57"/>
  <c r="AC168" s="1"/>
  <c r="I55" i="35" s="1"/>
  <c r="AB155" i="57"/>
  <c r="AB168" s="1"/>
  <c r="H55" i="35" s="1"/>
  <c r="AA155" i="57"/>
  <c r="AA168" s="1"/>
  <c r="G55" i="35" s="1"/>
  <c r="Z155" i="57"/>
  <c r="Z168" s="1"/>
  <c r="F55" i="35" s="1"/>
  <c r="Y155" i="57"/>
  <c r="Y168" s="1"/>
  <c r="E55" i="35" s="1"/>
  <c r="X155" i="57"/>
  <c r="X168" s="1"/>
  <c r="D55" i="35" s="1"/>
  <c r="W155" i="57"/>
  <c r="W168" s="1"/>
  <c r="C55" i="35" s="1"/>
  <c r="V155" i="57"/>
  <c r="P155"/>
  <c r="P168" s="1"/>
  <c r="O38" i="35" s="1"/>
  <c r="O155" i="57"/>
  <c r="O168" s="1"/>
  <c r="N38" i="35" s="1"/>
  <c r="N155" i="57"/>
  <c r="N168" s="1"/>
  <c r="M38" i="35" s="1"/>
  <c r="M155" i="57"/>
  <c r="M168" s="1"/>
  <c r="L38" i="35" s="1"/>
  <c r="L155" i="57"/>
  <c r="L168" s="1"/>
  <c r="K38" i="35" s="1"/>
  <c r="K155" i="57"/>
  <c r="K168" s="1"/>
  <c r="J38" i="35" s="1"/>
  <c r="J155" i="57"/>
  <c r="J168" s="1"/>
  <c r="I38" i="35" s="1"/>
  <c r="I155" i="57"/>
  <c r="I168" s="1"/>
  <c r="H38" i="35" s="1"/>
  <c r="H155" i="57"/>
  <c r="H168" s="1"/>
  <c r="G38" i="35" s="1"/>
  <c r="G155" i="57"/>
  <c r="G168" s="1"/>
  <c r="F38" i="35" s="1"/>
  <c r="F155" i="57"/>
  <c r="F168" s="1"/>
  <c r="E38" i="35" s="1"/>
  <c r="E155" i="57"/>
  <c r="E168" s="1"/>
  <c r="D38" i="35" s="1"/>
  <c r="D155" i="57"/>
  <c r="D168" s="1"/>
  <c r="C38" i="35" s="1"/>
  <c r="C155" i="57"/>
  <c r="AI150"/>
  <c r="AH150"/>
  <c r="AG150"/>
  <c r="AF150"/>
  <c r="AE150"/>
  <c r="AD150"/>
  <c r="AC150"/>
  <c r="AB150"/>
  <c r="AA150"/>
  <c r="Z150"/>
  <c r="Y150"/>
  <c r="X150"/>
  <c r="W150"/>
  <c r="V150"/>
  <c r="P150"/>
  <c r="O150"/>
  <c r="N150"/>
  <c r="M150"/>
  <c r="L150"/>
  <c r="K150"/>
  <c r="J150"/>
  <c r="I150"/>
  <c r="H150"/>
  <c r="G150"/>
  <c r="F150"/>
  <c r="E150"/>
  <c r="D150"/>
  <c r="C150"/>
  <c r="AI149"/>
  <c r="AH149"/>
  <c r="AG149"/>
  <c r="AF149"/>
  <c r="AE149"/>
  <c r="AD149"/>
  <c r="AC149"/>
  <c r="AB149"/>
  <c r="AA149"/>
  <c r="Z149"/>
  <c r="Y149"/>
  <c r="X149"/>
  <c r="W149"/>
  <c r="V149"/>
  <c r="P149"/>
  <c r="O149"/>
  <c r="N149"/>
  <c r="M149"/>
  <c r="L149"/>
  <c r="K149"/>
  <c r="J149"/>
  <c r="I149"/>
  <c r="H149"/>
  <c r="G149"/>
  <c r="F149"/>
  <c r="E149"/>
  <c r="D149"/>
  <c r="C149"/>
  <c r="AI148"/>
  <c r="AH148"/>
  <c r="AG148"/>
  <c r="AF148"/>
  <c r="AE148"/>
  <c r="AD148"/>
  <c r="AC148"/>
  <c r="AB148"/>
  <c r="AA148"/>
  <c r="Z148"/>
  <c r="Y148"/>
  <c r="X148"/>
  <c r="W148"/>
  <c r="V148"/>
  <c r="P148"/>
  <c r="O148"/>
  <c r="N148"/>
  <c r="M148"/>
  <c r="L148"/>
  <c r="K148"/>
  <c r="J148"/>
  <c r="I148"/>
  <c r="H148"/>
  <c r="G148"/>
  <c r="F148"/>
  <c r="E148"/>
  <c r="D148"/>
  <c r="C148"/>
  <c r="AI147"/>
  <c r="AH147"/>
  <c r="AG147"/>
  <c r="AF147"/>
  <c r="AE147"/>
  <c r="AD147"/>
  <c r="AC147"/>
  <c r="AB147"/>
  <c r="AA147"/>
  <c r="Z147"/>
  <c r="Y147"/>
  <c r="X147"/>
  <c r="W147"/>
  <c r="V147"/>
  <c r="P147"/>
  <c r="O147"/>
  <c r="N147"/>
  <c r="M147"/>
  <c r="L147"/>
  <c r="K147"/>
  <c r="J147"/>
  <c r="I147"/>
  <c r="H147"/>
  <c r="G147"/>
  <c r="F147"/>
  <c r="E147"/>
  <c r="D147"/>
  <c r="C147"/>
  <c r="AI146"/>
  <c r="AH146"/>
  <c r="AG146"/>
  <c r="AF146"/>
  <c r="AE146"/>
  <c r="AD146"/>
  <c r="AC146"/>
  <c r="AB146"/>
  <c r="AA146"/>
  <c r="Z146"/>
  <c r="Y146"/>
  <c r="X146"/>
  <c r="W146"/>
  <c r="V146"/>
  <c r="P146"/>
  <c r="O146"/>
  <c r="N146"/>
  <c r="M146"/>
  <c r="L146"/>
  <c r="K146"/>
  <c r="J146"/>
  <c r="I146"/>
  <c r="H146"/>
  <c r="G146"/>
  <c r="F146"/>
  <c r="E146"/>
  <c r="D146"/>
  <c r="C146"/>
  <c r="AI145"/>
  <c r="AH145"/>
  <c r="AG145"/>
  <c r="AF145"/>
  <c r="AE145"/>
  <c r="AD145"/>
  <c r="AC145"/>
  <c r="M197" s="1"/>
  <c r="AB145"/>
  <c r="AA145"/>
  <c r="Z145"/>
  <c r="Y145"/>
  <c r="X145"/>
  <c r="W145"/>
  <c r="V145"/>
  <c r="P145"/>
  <c r="O145"/>
  <c r="N145"/>
  <c r="M145"/>
  <c r="L145"/>
  <c r="K145"/>
  <c r="J145"/>
  <c r="G197" s="1"/>
  <c r="I145"/>
  <c r="H145"/>
  <c r="G145"/>
  <c r="F145"/>
  <c r="E145"/>
  <c r="D145"/>
  <c r="C145"/>
  <c r="AI144"/>
  <c r="AH144"/>
  <c r="AG144"/>
  <c r="AF144"/>
  <c r="AE144"/>
  <c r="AD144"/>
  <c r="AC144"/>
  <c r="AB144"/>
  <c r="AA144"/>
  <c r="Z144"/>
  <c r="Y144"/>
  <c r="X144"/>
  <c r="W144"/>
  <c r="V144"/>
  <c r="P144"/>
  <c r="O144"/>
  <c r="N144"/>
  <c r="M144"/>
  <c r="L144"/>
  <c r="K144"/>
  <c r="J144"/>
  <c r="I144"/>
  <c r="H144"/>
  <c r="G144"/>
  <c r="F144"/>
  <c r="E144"/>
  <c r="D144"/>
  <c r="C144"/>
  <c r="AI143"/>
  <c r="AH143"/>
  <c r="AG143"/>
  <c r="AF143"/>
  <c r="AE143"/>
  <c r="AD143"/>
  <c r="AC143"/>
  <c r="AB143"/>
  <c r="AA143"/>
  <c r="Z143"/>
  <c r="Y143"/>
  <c r="X143"/>
  <c r="W143"/>
  <c r="V143"/>
  <c r="P143"/>
  <c r="O143"/>
  <c r="N143"/>
  <c r="M143"/>
  <c r="L143"/>
  <c r="K143"/>
  <c r="J143"/>
  <c r="I143"/>
  <c r="H143"/>
  <c r="G143"/>
  <c r="F143"/>
  <c r="E143"/>
  <c r="D143"/>
  <c r="C143"/>
  <c r="AI142"/>
  <c r="AH54" i="35" s="1"/>
  <c r="AH142" i="57"/>
  <c r="AG142"/>
  <c r="AF142"/>
  <c r="AE142"/>
  <c r="AD142"/>
  <c r="AC142"/>
  <c r="AB142"/>
  <c r="AA142"/>
  <c r="Z142"/>
  <c r="Y142"/>
  <c r="X142"/>
  <c r="W142"/>
  <c r="V142"/>
  <c r="P142"/>
  <c r="AH37" i="35" s="1"/>
  <c r="O142" i="57"/>
  <c r="N142"/>
  <c r="M142"/>
  <c r="L142"/>
  <c r="K142"/>
  <c r="J142"/>
  <c r="I142"/>
  <c r="H142"/>
  <c r="G142"/>
  <c r="F142"/>
  <c r="E142"/>
  <c r="D142"/>
  <c r="C142"/>
  <c r="AI141"/>
  <c r="AH141"/>
  <c r="AG141"/>
  <c r="AF141"/>
  <c r="AE141"/>
  <c r="AD141"/>
  <c r="AC141"/>
  <c r="AB141"/>
  <c r="AA141"/>
  <c r="Z141"/>
  <c r="Y141"/>
  <c r="X141"/>
  <c r="W141"/>
  <c r="V141"/>
  <c r="P141"/>
  <c r="O141"/>
  <c r="N141"/>
  <c r="M141"/>
  <c r="L141"/>
  <c r="K141"/>
  <c r="J141"/>
  <c r="I141"/>
  <c r="H141"/>
  <c r="G141"/>
  <c r="F141"/>
  <c r="E141"/>
  <c r="D141"/>
  <c r="C141"/>
  <c r="AI140"/>
  <c r="AH140"/>
  <c r="AG140"/>
  <c r="AF140"/>
  <c r="AE140"/>
  <c r="AD140"/>
  <c r="AC140"/>
  <c r="AB140"/>
  <c r="AA140"/>
  <c r="Z140"/>
  <c r="Y140"/>
  <c r="X140"/>
  <c r="W140"/>
  <c r="V140"/>
  <c r="P140"/>
  <c r="O140"/>
  <c r="N140"/>
  <c r="M140"/>
  <c r="L140"/>
  <c r="K140"/>
  <c r="J140"/>
  <c r="I140"/>
  <c r="H140"/>
  <c r="G140"/>
  <c r="F140"/>
  <c r="E140"/>
  <c r="D140"/>
  <c r="C140"/>
  <c r="AI139"/>
  <c r="AI152" s="1"/>
  <c r="O54" i="35" s="1"/>
  <c r="AH139" i="57"/>
  <c r="AH152" s="1"/>
  <c r="N54" i="35" s="1"/>
  <c r="AG139" i="57"/>
  <c r="AG152" s="1"/>
  <c r="M54" i="35" s="1"/>
  <c r="AF139" i="57"/>
  <c r="AF152" s="1"/>
  <c r="L54" i="35" s="1"/>
  <c r="AE139" i="57"/>
  <c r="AE152" s="1"/>
  <c r="K54" i="35" s="1"/>
  <c r="AD139" i="57"/>
  <c r="AD152" s="1"/>
  <c r="J54" i="35" s="1"/>
  <c r="AC139" i="57"/>
  <c r="AC152" s="1"/>
  <c r="I54" i="35" s="1"/>
  <c r="AB139" i="57"/>
  <c r="AB152" s="1"/>
  <c r="H54" i="35" s="1"/>
  <c r="AA139" i="57"/>
  <c r="AA152" s="1"/>
  <c r="G54" i="35" s="1"/>
  <c r="Z139" i="57"/>
  <c r="Z152" s="1"/>
  <c r="F54" i="35" s="1"/>
  <c r="Y139" i="57"/>
  <c r="Y152" s="1"/>
  <c r="E54" i="35" s="1"/>
  <c r="X139" i="57"/>
  <c r="X152" s="1"/>
  <c r="D54" i="35" s="1"/>
  <c r="W139" i="57"/>
  <c r="W152" s="1"/>
  <c r="C54" i="35" s="1"/>
  <c r="V139" i="57"/>
  <c r="P139"/>
  <c r="P152" s="1"/>
  <c r="O139"/>
  <c r="N139"/>
  <c r="M139"/>
  <c r="L139"/>
  <c r="K139"/>
  <c r="K152" s="1"/>
  <c r="J37" i="35" s="1"/>
  <c r="J139" i="57"/>
  <c r="J152" s="1"/>
  <c r="I37" i="35" s="1"/>
  <c r="I139" i="57"/>
  <c r="I152" s="1"/>
  <c r="H37" i="35" s="1"/>
  <c r="H139" i="57"/>
  <c r="H152" s="1"/>
  <c r="G37" i="35" s="1"/>
  <c r="G139" i="57"/>
  <c r="G152" s="1"/>
  <c r="F37" i="35" s="1"/>
  <c r="F139" i="57"/>
  <c r="F152" s="1"/>
  <c r="E37" i="35" s="1"/>
  <c r="E139" i="57"/>
  <c r="E152" s="1"/>
  <c r="D37" i="35" s="1"/>
  <c r="D139" i="57"/>
  <c r="C139"/>
  <c r="C152" s="1"/>
  <c r="AL150" s="1"/>
  <c r="AI134"/>
  <c r="AH134"/>
  <c r="AG134"/>
  <c r="AF134"/>
  <c r="AE134"/>
  <c r="AD134"/>
  <c r="AC134"/>
  <c r="AB134"/>
  <c r="AA134"/>
  <c r="Z134"/>
  <c r="Y134"/>
  <c r="X134"/>
  <c r="W134"/>
  <c r="V134"/>
  <c r="P134"/>
  <c r="O134"/>
  <c r="N134"/>
  <c r="M134"/>
  <c r="L134"/>
  <c r="K134"/>
  <c r="J134"/>
  <c r="I134"/>
  <c r="H134"/>
  <c r="G134"/>
  <c r="F134"/>
  <c r="E134"/>
  <c r="D134"/>
  <c r="C134"/>
  <c r="AI133"/>
  <c r="AH133"/>
  <c r="AG133"/>
  <c r="AF133"/>
  <c r="AE133"/>
  <c r="AD133"/>
  <c r="AC133"/>
  <c r="AB133"/>
  <c r="AA133"/>
  <c r="Z133"/>
  <c r="Y133"/>
  <c r="X133"/>
  <c r="W133"/>
  <c r="V133"/>
  <c r="P133"/>
  <c r="O133"/>
  <c r="N133"/>
  <c r="M133"/>
  <c r="L133"/>
  <c r="K133"/>
  <c r="J133"/>
  <c r="I133"/>
  <c r="H133"/>
  <c r="G133"/>
  <c r="F133"/>
  <c r="E133"/>
  <c r="D133"/>
  <c r="C133"/>
  <c r="AI132"/>
  <c r="AH132"/>
  <c r="AG132"/>
  <c r="AF132"/>
  <c r="AE132"/>
  <c r="AD132"/>
  <c r="AC132"/>
  <c r="AB132"/>
  <c r="AA132"/>
  <c r="Z132"/>
  <c r="Y132"/>
  <c r="X132"/>
  <c r="W132"/>
  <c r="V132"/>
  <c r="P132"/>
  <c r="O132"/>
  <c r="N132"/>
  <c r="M132"/>
  <c r="L132"/>
  <c r="K132"/>
  <c r="J132"/>
  <c r="I132"/>
  <c r="H132"/>
  <c r="G132"/>
  <c r="F132"/>
  <c r="E132"/>
  <c r="D132"/>
  <c r="C132"/>
  <c r="AI131"/>
  <c r="AH131"/>
  <c r="AG131"/>
  <c r="AF131"/>
  <c r="AE131"/>
  <c r="AD131"/>
  <c r="AC131"/>
  <c r="AB131"/>
  <c r="AA131"/>
  <c r="Z131"/>
  <c r="Y131"/>
  <c r="X131"/>
  <c r="W131"/>
  <c r="V131"/>
  <c r="P131"/>
  <c r="O131"/>
  <c r="N131"/>
  <c r="M131"/>
  <c r="L131"/>
  <c r="K131"/>
  <c r="J131"/>
  <c r="I131"/>
  <c r="H131"/>
  <c r="G131"/>
  <c r="F131"/>
  <c r="E131"/>
  <c r="D131"/>
  <c r="C131"/>
  <c r="AI130"/>
  <c r="AH130"/>
  <c r="AG130"/>
  <c r="AF130"/>
  <c r="AE130"/>
  <c r="AD130"/>
  <c r="AC130"/>
  <c r="AB130"/>
  <c r="AA130"/>
  <c r="Z130"/>
  <c r="Y130"/>
  <c r="X130"/>
  <c r="W130"/>
  <c r="V130"/>
  <c r="P130"/>
  <c r="O130"/>
  <c r="N130"/>
  <c r="M130"/>
  <c r="L130"/>
  <c r="K130"/>
  <c r="J130"/>
  <c r="I130"/>
  <c r="H130"/>
  <c r="G130"/>
  <c r="F130"/>
  <c r="E130"/>
  <c r="D130"/>
  <c r="C130"/>
  <c r="AI129"/>
  <c r="AH129"/>
  <c r="AG129"/>
  <c r="AF129"/>
  <c r="AE129"/>
  <c r="AD129"/>
  <c r="AC129"/>
  <c r="AB129"/>
  <c r="AA129"/>
  <c r="Z129"/>
  <c r="Y129"/>
  <c r="X129"/>
  <c r="W129"/>
  <c r="V129"/>
  <c r="P129"/>
  <c r="O129"/>
  <c r="N129"/>
  <c r="M129"/>
  <c r="L129"/>
  <c r="K129"/>
  <c r="J129"/>
  <c r="G196" s="1"/>
  <c r="I129"/>
  <c r="H129"/>
  <c r="G129"/>
  <c r="F129"/>
  <c r="E129"/>
  <c r="D129"/>
  <c r="C129"/>
  <c r="AI128"/>
  <c r="AH128"/>
  <c r="AG128"/>
  <c r="AF128"/>
  <c r="AE128"/>
  <c r="AD128"/>
  <c r="AC128"/>
  <c r="AB128"/>
  <c r="AA128"/>
  <c r="Z128"/>
  <c r="Y128"/>
  <c r="X128"/>
  <c r="W128"/>
  <c r="V128"/>
  <c r="P128"/>
  <c r="O128"/>
  <c r="N128"/>
  <c r="M128"/>
  <c r="L128"/>
  <c r="K128"/>
  <c r="J128"/>
  <c r="I128"/>
  <c r="H128"/>
  <c r="G128"/>
  <c r="F128"/>
  <c r="E128"/>
  <c r="D128"/>
  <c r="C128"/>
  <c r="AI127"/>
  <c r="AH127"/>
  <c r="AG127"/>
  <c r="AF127"/>
  <c r="AE127"/>
  <c r="AD127"/>
  <c r="AC127"/>
  <c r="AB127"/>
  <c r="AA127"/>
  <c r="Z127"/>
  <c r="Y127"/>
  <c r="X127"/>
  <c r="W127"/>
  <c r="V127"/>
  <c r="P127"/>
  <c r="O127"/>
  <c r="N127"/>
  <c r="M127"/>
  <c r="L127"/>
  <c r="K127"/>
  <c r="J127"/>
  <c r="I127"/>
  <c r="H127"/>
  <c r="G127"/>
  <c r="F127"/>
  <c r="E127"/>
  <c r="D127"/>
  <c r="C127"/>
  <c r="AI126"/>
  <c r="AH53" i="35" s="1"/>
  <c r="AH126" i="57"/>
  <c r="AG126"/>
  <c r="AF126"/>
  <c r="AE126"/>
  <c r="AD126"/>
  <c r="AC126"/>
  <c r="AB126"/>
  <c r="AA126"/>
  <c r="Z126"/>
  <c r="Y126"/>
  <c r="X126"/>
  <c r="W126"/>
  <c r="V126"/>
  <c r="P126"/>
  <c r="AH36" i="35" s="1"/>
  <c r="O126" i="57"/>
  <c r="N126"/>
  <c r="M126"/>
  <c r="L126"/>
  <c r="K126"/>
  <c r="J126"/>
  <c r="I126"/>
  <c r="H126"/>
  <c r="G126"/>
  <c r="F126"/>
  <c r="E126"/>
  <c r="D126"/>
  <c r="C126"/>
  <c r="AI125"/>
  <c r="AH125"/>
  <c r="AG125"/>
  <c r="AF125"/>
  <c r="AE125"/>
  <c r="AD125"/>
  <c r="AC125"/>
  <c r="AB125"/>
  <c r="AA125"/>
  <c r="Z125"/>
  <c r="Y125"/>
  <c r="X125"/>
  <c r="W125"/>
  <c r="V125"/>
  <c r="P125"/>
  <c r="O125"/>
  <c r="N125"/>
  <c r="M125"/>
  <c r="L125"/>
  <c r="K125"/>
  <c r="J125"/>
  <c r="I125"/>
  <c r="H125"/>
  <c r="G125"/>
  <c r="F125"/>
  <c r="E125"/>
  <c r="D125"/>
  <c r="C125"/>
  <c r="AI124"/>
  <c r="AH124"/>
  <c r="AG124"/>
  <c r="AF124"/>
  <c r="AE124"/>
  <c r="AD124"/>
  <c r="AC124"/>
  <c r="AB124"/>
  <c r="AA124"/>
  <c r="Z124"/>
  <c r="Y124"/>
  <c r="X124"/>
  <c r="W124"/>
  <c r="V124"/>
  <c r="P124"/>
  <c r="O124"/>
  <c r="N124"/>
  <c r="M124"/>
  <c r="L124"/>
  <c r="K124"/>
  <c r="J124"/>
  <c r="I124"/>
  <c r="H124"/>
  <c r="G124"/>
  <c r="F124"/>
  <c r="E124"/>
  <c r="D124"/>
  <c r="C124"/>
  <c r="AI123"/>
  <c r="AI136" s="1"/>
  <c r="O53" i="35" s="1"/>
  <c r="O86" s="1"/>
  <c r="P56" i="32" s="1"/>
  <c r="AH123" i="57"/>
  <c r="AH136" s="1"/>
  <c r="N53" i="35" s="1"/>
  <c r="N86" s="1"/>
  <c r="AG123" i="57"/>
  <c r="AG136" s="1"/>
  <c r="M53" i="35" s="1"/>
  <c r="AF123" i="57"/>
  <c r="AF136" s="1"/>
  <c r="L53" i="35" s="1"/>
  <c r="L86" s="1"/>
  <c r="AE123" i="57"/>
  <c r="AE136" s="1"/>
  <c r="K53" i="35" s="1"/>
  <c r="K86" s="1"/>
  <c r="AD123" i="57"/>
  <c r="AD136" s="1"/>
  <c r="J53" i="35" s="1"/>
  <c r="J86" s="1"/>
  <c r="AC123" i="57"/>
  <c r="AC136" s="1"/>
  <c r="I53" i="35" s="1"/>
  <c r="I86" s="1"/>
  <c r="AB123" i="57"/>
  <c r="AB136" s="1"/>
  <c r="H53" i="35" s="1"/>
  <c r="H86" s="1"/>
  <c r="AA123" i="57"/>
  <c r="AA136" s="1"/>
  <c r="G53" i="35" s="1"/>
  <c r="Z123" i="57"/>
  <c r="Z136" s="1"/>
  <c r="F53" i="35" s="1"/>
  <c r="Y123" i="57"/>
  <c r="Y136" s="1"/>
  <c r="E53" i="35" s="1"/>
  <c r="X123" i="57"/>
  <c r="X136" s="1"/>
  <c r="D53" i="35" s="1"/>
  <c r="W123" i="57"/>
  <c r="W136" s="1"/>
  <c r="C53" i="35" s="1"/>
  <c r="V123" i="57"/>
  <c r="P123"/>
  <c r="P136" s="1"/>
  <c r="O36" i="35" s="1"/>
  <c r="O123" i="57"/>
  <c r="O136" s="1"/>
  <c r="N36" i="35" s="1"/>
  <c r="N123" i="57"/>
  <c r="N136" s="1"/>
  <c r="M36" i="35" s="1"/>
  <c r="M123" i="57"/>
  <c r="M136" s="1"/>
  <c r="L36" i="35" s="1"/>
  <c r="L123" i="57"/>
  <c r="L136" s="1"/>
  <c r="K36" i="35" s="1"/>
  <c r="K123" i="57"/>
  <c r="K136" s="1"/>
  <c r="J36" i="35" s="1"/>
  <c r="J123" i="57"/>
  <c r="J136" s="1"/>
  <c r="I36" i="35" s="1"/>
  <c r="I70" s="1"/>
  <c r="I123" i="57"/>
  <c r="I136" s="1"/>
  <c r="H36" i="35" s="1"/>
  <c r="H123" i="57"/>
  <c r="H136" s="1"/>
  <c r="G36" i="35" s="1"/>
  <c r="G123" i="57"/>
  <c r="G136" s="1"/>
  <c r="F36" i="35" s="1"/>
  <c r="F123" i="57"/>
  <c r="F136" s="1"/>
  <c r="E36" i="35" s="1"/>
  <c r="E123" i="57"/>
  <c r="E136" s="1"/>
  <c r="D36" i="35" s="1"/>
  <c r="D123" i="57"/>
  <c r="C123"/>
  <c r="C136" s="1"/>
  <c r="AI118"/>
  <c r="AH118"/>
  <c r="AG118"/>
  <c r="AF118"/>
  <c r="AE118"/>
  <c r="AD118"/>
  <c r="AC118"/>
  <c r="AB118"/>
  <c r="AA118"/>
  <c r="Z118"/>
  <c r="Y118"/>
  <c r="X118"/>
  <c r="W118"/>
  <c r="V118"/>
  <c r="P118"/>
  <c r="O118"/>
  <c r="N118"/>
  <c r="M118"/>
  <c r="L118"/>
  <c r="K118"/>
  <c r="J118"/>
  <c r="I118"/>
  <c r="H118"/>
  <c r="G118"/>
  <c r="F118"/>
  <c r="E118"/>
  <c r="D118"/>
  <c r="C118"/>
  <c r="AI117"/>
  <c r="AH117"/>
  <c r="AG117"/>
  <c r="AF117"/>
  <c r="AE117"/>
  <c r="AD117"/>
  <c r="AC117"/>
  <c r="AB117"/>
  <c r="AA117"/>
  <c r="Z117"/>
  <c r="Y117"/>
  <c r="X117"/>
  <c r="W117"/>
  <c r="V117"/>
  <c r="P117"/>
  <c r="O117"/>
  <c r="N117"/>
  <c r="M117"/>
  <c r="L117"/>
  <c r="K117"/>
  <c r="J117"/>
  <c r="I117"/>
  <c r="H117"/>
  <c r="G117"/>
  <c r="F117"/>
  <c r="E117"/>
  <c r="D117"/>
  <c r="C117"/>
  <c r="AI116"/>
  <c r="AH116"/>
  <c r="AG116"/>
  <c r="AF116"/>
  <c r="AE116"/>
  <c r="AD116"/>
  <c r="AC116"/>
  <c r="AB116"/>
  <c r="AA116"/>
  <c r="Z116"/>
  <c r="Y116"/>
  <c r="X116"/>
  <c r="W116"/>
  <c r="V116"/>
  <c r="P116"/>
  <c r="O116"/>
  <c r="N116"/>
  <c r="M116"/>
  <c r="L116"/>
  <c r="K116"/>
  <c r="J116"/>
  <c r="I116"/>
  <c r="H116"/>
  <c r="G116"/>
  <c r="F116"/>
  <c r="E116"/>
  <c r="D116"/>
  <c r="C116"/>
  <c r="AI115"/>
  <c r="AH115"/>
  <c r="AG115"/>
  <c r="AF115"/>
  <c r="AE115"/>
  <c r="AD115"/>
  <c r="AC115"/>
  <c r="AB115"/>
  <c r="AA115"/>
  <c r="Z115"/>
  <c r="Y115"/>
  <c r="X115"/>
  <c r="W115"/>
  <c r="V115"/>
  <c r="P115"/>
  <c r="O115"/>
  <c r="N115"/>
  <c r="M115"/>
  <c r="L115"/>
  <c r="K115"/>
  <c r="J115"/>
  <c r="I115"/>
  <c r="H115"/>
  <c r="G115"/>
  <c r="F115"/>
  <c r="E115"/>
  <c r="D115"/>
  <c r="C115"/>
  <c r="AI114"/>
  <c r="AH114"/>
  <c r="AG114"/>
  <c r="AF114"/>
  <c r="AE114"/>
  <c r="AD114"/>
  <c r="AC114"/>
  <c r="AB114"/>
  <c r="AA114"/>
  <c r="Z114"/>
  <c r="Y114"/>
  <c r="X114"/>
  <c r="W114"/>
  <c r="V114"/>
  <c r="P114"/>
  <c r="O114"/>
  <c r="N114"/>
  <c r="M114"/>
  <c r="L114"/>
  <c r="K114"/>
  <c r="J114"/>
  <c r="I114"/>
  <c r="H114"/>
  <c r="G114"/>
  <c r="F114"/>
  <c r="E114"/>
  <c r="D114"/>
  <c r="C114"/>
  <c r="AI113"/>
  <c r="AH113"/>
  <c r="AG113"/>
  <c r="AF113"/>
  <c r="AE113"/>
  <c r="AD113"/>
  <c r="AC113"/>
  <c r="M196" s="1"/>
  <c r="AB113"/>
  <c r="AA113"/>
  <c r="Z113"/>
  <c r="Y113"/>
  <c r="X113"/>
  <c r="W113"/>
  <c r="V113"/>
  <c r="P113"/>
  <c r="O113"/>
  <c r="N113"/>
  <c r="M113"/>
  <c r="L113"/>
  <c r="K113"/>
  <c r="J113"/>
  <c r="G195" s="1"/>
  <c r="I69" i="35" s="1"/>
  <c r="I113" i="57"/>
  <c r="H113"/>
  <c r="G113"/>
  <c r="F113"/>
  <c r="E113"/>
  <c r="D113"/>
  <c r="C113"/>
  <c r="AI112"/>
  <c r="AH112"/>
  <c r="AG112"/>
  <c r="AF112"/>
  <c r="AE112"/>
  <c r="AD112"/>
  <c r="AC112"/>
  <c r="AB112"/>
  <c r="AA112"/>
  <c r="Z112"/>
  <c r="Y112"/>
  <c r="X112"/>
  <c r="W112"/>
  <c r="V112"/>
  <c r="P112"/>
  <c r="O112"/>
  <c r="N112"/>
  <c r="M112"/>
  <c r="L112"/>
  <c r="K112"/>
  <c r="J112"/>
  <c r="I112"/>
  <c r="H112"/>
  <c r="G112"/>
  <c r="F112"/>
  <c r="E112"/>
  <c r="D112"/>
  <c r="C112"/>
  <c r="AI111"/>
  <c r="AH111"/>
  <c r="AG111"/>
  <c r="AF111"/>
  <c r="AE111"/>
  <c r="AD111"/>
  <c r="AC111"/>
  <c r="AB111"/>
  <c r="AA111"/>
  <c r="Z111"/>
  <c r="Y111"/>
  <c r="X111"/>
  <c r="W111"/>
  <c r="V111"/>
  <c r="P111"/>
  <c r="O111"/>
  <c r="N111"/>
  <c r="M111"/>
  <c r="L111"/>
  <c r="K111"/>
  <c r="J111"/>
  <c r="I111"/>
  <c r="H111"/>
  <c r="G111"/>
  <c r="F111"/>
  <c r="E111"/>
  <c r="D111"/>
  <c r="C111"/>
  <c r="AI110"/>
  <c r="AH52" i="35" s="1"/>
  <c r="AH110" i="57"/>
  <c r="AG110"/>
  <c r="AF110"/>
  <c r="AE110"/>
  <c r="AD110"/>
  <c r="AC110"/>
  <c r="AB110"/>
  <c r="AA110"/>
  <c r="Z110"/>
  <c r="Y110"/>
  <c r="X110"/>
  <c r="W110"/>
  <c r="V110"/>
  <c r="P110"/>
  <c r="AH35" i="35" s="1"/>
  <c r="O110" i="57"/>
  <c r="N110"/>
  <c r="M110"/>
  <c r="L110"/>
  <c r="K110"/>
  <c r="J110"/>
  <c r="I110"/>
  <c r="H110"/>
  <c r="G110"/>
  <c r="F110"/>
  <c r="E110"/>
  <c r="D110"/>
  <c r="C110"/>
  <c r="AI109"/>
  <c r="AH109"/>
  <c r="AG109"/>
  <c r="AF109"/>
  <c r="AE109"/>
  <c r="AD109"/>
  <c r="AC109"/>
  <c r="AB109"/>
  <c r="AA109"/>
  <c r="Z109"/>
  <c r="Y109"/>
  <c r="X109"/>
  <c r="W109"/>
  <c r="V109"/>
  <c r="P109"/>
  <c r="O109"/>
  <c r="N109"/>
  <c r="M109"/>
  <c r="L109"/>
  <c r="K109"/>
  <c r="J109"/>
  <c r="I109"/>
  <c r="H109"/>
  <c r="G109"/>
  <c r="F109"/>
  <c r="E109"/>
  <c r="D109"/>
  <c r="C109"/>
  <c r="AI108"/>
  <c r="AH108"/>
  <c r="AG108"/>
  <c r="AF108"/>
  <c r="AE108"/>
  <c r="AD108"/>
  <c r="AC108"/>
  <c r="AB108"/>
  <c r="AA108"/>
  <c r="Z108"/>
  <c r="Y108"/>
  <c r="X108"/>
  <c r="W108"/>
  <c r="V108"/>
  <c r="P108"/>
  <c r="O108"/>
  <c r="N108"/>
  <c r="M108"/>
  <c r="L108"/>
  <c r="K108"/>
  <c r="J108"/>
  <c r="I108"/>
  <c r="H108"/>
  <c r="G108"/>
  <c r="F108"/>
  <c r="E108"/>
  <c r="D108"/>
  <c r="C108"/>
  <c r="AI120"/>
  <c r="O52" i="35" s="1"/>
  <c r="O85" s="1"/>
  <c r="AH107" i="57"/>
  <c r="AH120" s="1"/>
  <c r="N52" i="35" s="1"/>
  <c r="N85" s="1"/>
  <c r="AG107" i="57"/>
  <c r="AG120" s="1"/>
  <c r="M52" i="35" s="1"/>
  <c r="AF107" i="57"/>
  <c r="AF120" s="1"/>
  <c r="L52" i="35" s="1"/>
  <c r="L85" s="1"/>
  <c r="AE107" i="57"/>
  <c r="AE120" s="1"/>
  <c r="K52" i="35" s="1"/>
  <c r="K85" s="1"/>
  <c r="AD107" i="57"/>
  <c r="AD120" s="1"/>
  <c r="J52" i="35" s="1"/>
  <c r="J85" s="1"/>
  <c r="AC107" i="57"/>
  <c r="AC120" s="1"/>
  <c r="I52" i="35" s="1"/>
  <c r="AB107" i="57"/>
  <c r="AB120" s="1"/>
  <c r="H52" i="35" s="1"/>
  <c r="AA107" i="57"/>
  <c r="AA120" s="1"/>
  <c r="G52" i="35" s="1"/>
  <c r="Z107" i="57"/>
  <c r="Z120" s="1"/>
  <c r="F52" i="35" s="1"/>
  <c r="Y107" i="57"/>
  <c r="Y120" s="1"/>
  <c r="E52" i="35" s="1"/>
  <c r="X107" i="57"/>
  <c r="X120" s="1"/>
  <c r="D52" i="35" s="1"/>
  <c r="W107" i="57"/>
  <c r="W120" s="1"/>
  <c r="C52" i="35" s="1"/>
  <c r="V107" i="57"/>
  <c r="P107"/>
  <c r="P120" s="1"/>
  <c r="O35" i="35" s="1"/>
  <c r="O107" i="57"/>
  <c r="O120" s="1"/>
  <c r="N35" i="35" s="1"/>
  <c r="N107" i="57"/>
  <c r="N120" s="1"/>
  <c r="M35" i="35" s="1"/>
  <c r="M107" i="57"/>
  <c r="M120" s="1"/>
  <c r="L35" i="35" s="1"/>
  <c r="L107" i="57"/>
  <c r="L120" s="1"/>
  <c r="K35" i="35" s="1"/>
  <c r="K107" i="57"/>
  <c r="K120" s="1"/>
  <c r="J35" i="35" s="1"/>
  <c r="J107" i="57"/>
  <c r="J120" s="1"/>
  <c r="I35" i="35" s="1"/>
  <c r="I107" i="57"/>
  <c r="I120" s="1"/>
  <c r="H35" i="35" s="1"/>
  <c r="H107" i="57"/>
  <c r="H120" s="1"/>
  <c r="G35" i="35" s="1"/>
  <c r="G107" i="57"/>
  <c r="G120" s="1"/>
  <c r="F35" i="35" s="1"/>
  <c r="F107" i="57"/>
  <c r="F120" s="1"/>
  <c r="E35" i="35" s="1"/>
  <c r="E107" i="57"/>
  <c r="E120" s="1"/>
  <c r="D35" i="35" s="1"/>
  <c r="D107" i="57"/>
  <c r="C107"/>
  <c r="AH104"/>
  <c r="AG102"/>
  <c r="AF102"/>
  <c r="AE102"/>
  <c r="AD102"/>
  <c r="AC102"/>
  <c r="AB102"/>
  <c r="AA102"/>
  <c r="Z102"/>
  <c r="Y102"/>
  <c r="X102"/>
  <c r="W102"/>
  <c r="V102"/>
  <c r="P102"/>
  <c r="N102"/>
  <c r="M102"/>
  <c r="L102"/>
  <c r="K102"/>
  <c r="J102"/>
  <c r="I102"/>
  <c r="H102"/>
  <c r="G102"/>
  <c r="F102"/>
  <c r="E102"/>
  <c r="D102"/>
  <c r="C102"/>
  <c r="AG101"/>
  <c r="AF101"/>
  <c r="AE101"/>
  <c r="AD101"/>
  <c r="AC101"/>
  <c r="AB101"/>
  <c r="AA101"/>
  <c r="Z101"/>
  <c r="Y101"/>
  <c r="X101"/>
  <c r="W101"/>
  <c r="V101"/>
  <c r="P101"/>
  <c r="O101"/>
  <c r="N101"/>
  <c r="M101"/>
  <c r="L101"/>
  <c r="K101"/>
  <c r="J101"/>
  <c r="I101"/>
  <c r="H101"/>
  <c r="G101"/>
  <c r="F101"/>
  <c r="E101"/>
  <c r="D101"/>
  <c r="C101"/>
  <c r="AG100"/>
  <c r="AF100"/>
  <c r="AE100"/>
  <c r="AD100"/>
  <c r="AC100"/>
  <c r="AB100"/>
  <c r="AA100"/>
  <c r="Z100"/>
  <c r="Y100"/>
  <c r="X100"/>
  <c r="W100"/>
  <c r="V100"/>
  <c r="P100"/>
  <c r="O100"/>
  <c r="N100"/>
  <c r="M100"/>
  <c r="L100"/>
  <c r="K100"/>
  <c r="J100"/>
  <c r="I100"/>
  <c r="H100"/>
  <c r="G100"/>
  <c r="F100"/>
  <c r="E100"/>
  <c r="D100"/>
  <c r="C100"/>
  <c r="AG99"/>
  <c r="AF99"/>
  <c r="AE99"/>
  <c r="AD99"/>
  <c r="AC99"/>
  <c r="AB99"/>
  <c r="AA99"/>
  <c r="Z99"/>
  <c r="Y99"/>
  <c r="X99"/>
  <c r="W99"/>
  <c r="V99"/>
  <c r="P99"/>
  <c r="O99"/>
  <c r="N99"/>
  <c r="M99"/>
  <c r="L99"/>
  <c r="K99"/>
  <c r="J99"/>
  <c r="I99"/>
  <c r="H99"/>
  <c r="G99"/>
  <c r="F99"/>
  <c r="E99"/>
  <c r="D99"/>
  <c r="C99"/>
  <c r="AG98"/>
  <c r="AF98"/>
  <c r="AE98"/>
  <c r="AD98"/>
  <c r="AC98"/>
  <c r="AB98"/>
  <c r="AA98"/>
  <c r="Z98"/>
  <c r="Y98"/>
  <c r="X98"/>
  <c r="W98"/>
  <c r="V98"/>
  <c r="O98"/>
  <c r="N98"/>
  <c r="M98"/>
  <c r="L98"/>
  <c r="K98"/>
  <c r="J98"/>
  <c r="I98"/>
  <c r="H98"/>
  <c r="G98"/>
  <c r="F98"/>
  <c r="E98"/>
  <c r="D98"/>
  <c r="C98"/>
  <c r="AG97"/>
  <c r="AF97"/>
  <c r="AE97"/>
  <c r="AD97"/>
  <c r="AC97"/>
  <c r="AB97"/>
  <c r="AA97"/>
  <c r="Z97"/>
  <c r="Y97"/>
  <c r="X97"/>
  <c r="W97"/>
  <c r="V97"/>
  <c r="O97"/>
  <c r="N97"/>
  <c r="M97"/>
  <c r="L97"/>
  <c r="K97"/>
  <c r="J97"/>
  <c r="I97"/>
  <c r="H97"/>
  <c r="G97"/>
  <c r="F97"/>
  <c r="E97"/>
  <c r="D97"/>
  <c r="C97"/>
  <c r="AG96"/>
  <c r="AF96"/>
  <c r="AE96"/>
  <c r="AD96"/>
  <c r="AC96"/>
  <c r="AB96"/>
  <c r="AA96"/>
  <c r="Z96"/>
  <c r="Y96"/>
  <c r="X96"/>
  <c r="W96"/>
  <c r="V96"/>
  <c r="O96"/>
  <c r="N96"/>
  <c r="M96"/>
  <c r="L96"/>
  <c r="K96"/>
  <c r="J96"/>
  <c r="I96"/>
  <c r="H96"/>
  <c r="G96"/>
  <c r="F96"/>
  <c r="E96"/>
  <c r="D96"/>
  <c r="C96"/>
  <c r="AG95"/>
  <c r="AF95"/>
  <c r="AE95"/>
  <c r="AD95"/>
  <c r="AC95"/>
  <c r="AB95"/>
  <c r="AA95"/>
  <c r="Z95"/>
  <c r="Y95"/>
  <c r="X95"/>
  <c r="W95"/>
  <c r="V95"/>
  <c r="O95"/>
  <c r="N95"/>
  <c r="M95"/>
  <c r="L95"/>
  <c r="K95"/>
  <c r="J95"/>
  <c r="I95"/>
  <c r="H95"/>
  <c r="G95"/>
  <c r="F95"/>
  <c r="E95"/>
  <c r="D95"/>
  <c r="C95"/>
  <c r="AG94"/>
  <c r="AF94"/>
  <c r="AE94"/>
  <c r="AD94"/>
  <c r="AC94"/>
  <c r="AB94"/>
  <c r="AA94"/>
  <c r="Z94"/>
  <c r="Y94"/>
  <c r="X94"/>
  <c r="W94"/>
  <c r="V94"/>
  <c r="O94"/>
  <c r="N94"/>
  <c r="M94"/>
  <c r="L94"/>
  <c r="K94"/>
  <c r="J94"/>
  <c r="I94"/>
  <c r="H94"/>
  <c r="G94"/>
  <c r="F94"/>
  <c r="E94"/>
  <c r="D94"/>
  <c r="C94"/>
  <c r="AG93"/>
  <c r="AF93"/>
  <c r="AE93"/>
  <c r="AD93"/>
  <c r="AC93"/>
  <c r="AB93"/>
  <c r="AA93"/>
  <c r="Z93"/>
  <c r="Y93"/>
  <c r="X93"/>
  <c r="W93"/>
  <c r="V93"/>
  <c r="O93"/>
  <c r="N93"/>
  <c r="M93"/>
  <c r="L93"/>
  <c r="K93"/>
  <c r="J93"/>
  <c r="I93"/>
  <c r="H93"/>
  <c r="G93"/>
  <c r="F93"/>
  <c r="E93"/>
  <c r="D93"/>
  <c r="C93"/>
  <c r="AG92"/>
  <c r="AF92"/>
  <c r="AE92"/>
  <c r="AD92"/>
  <c r="AC92"/>
  <c r="AB92"/>
  <c r="AA92"/>
  <c r="Z92"/>
  <c r="Y92"/>
  <c r="X92"/>
  <c r="W92"/>
  <c r="V92"/>
  <c r="O92"/>
  <c r="N92"/>
  <c r="M92"/>
  <c r="L92"/>
  <c r="K92"/>
  <c r="J92"/>
  <c r="I92"/>
  <c r="H92"/>
  <c r="G92"/>
  <c r="F92"/>
  <c r="E92"/>
  <c r="D92"/>
  <c r="C92"/>
  <c r="AG91"/>
  <c r="AF91"/>
  <c r="AE91"/>
  <c r="AD91"/>
  <c r="AC91"/>
  <c r="AB91"/>
  <c r="AA91"/>
  <c r="Z91"/>
  <c r="Y91"/>
  <c r="X91"/>
  <c r="W91"/>
  <c r="V91"/>
  <c r="O91"/>
  <c r="N91"/>
  <c r="M91"/>
  <c r="L91"/>
  <c r="K91"/>
  <c r="J91"/>
  <c r="I91"/>
  <c r="H91"/>
  <c r="G91"/>
  <c r="F91"/>
  <c r="E91"/>
  <c r="D91"/>
  <c r="C91"/>
  <c r="AI86"/>
  <c r="AH86"/>
  <c r="AG86"/>
  <c r="AF86"/>
  <c r="AE86"/>
  <c r="AD86"/>
  <c r="AC86"/>
  <c r="AB86"/>
  <c r="AA86"/>
  <c r="Z86"/>
  <c r="Y86"/>
  <c r="X86"/>
  <c r="W86"/>
  <c r="V86"/>
  <c r="P86"/>
  <c r="O86"/>
  <c r="N86"/>
  <c r="M86"/>
  <c r="L86"/>
  <c r="K86"/>
  <c r="J86"/>
  <c r="I86"/>
  <c r="H86"/>
  <c r="G86"/>
  <c r="F86"/>
  <c r="E86"/>
  <c r="D86"/>
  <c r="C86"/>
  <c r="AI85"/>
  <c r="AH85"/>
  <c r="AG85"/>
  <c r="AF85"/>
  <c r="AE85"/>
  <c r="AD85"/>
  <c r="AC85"/>
  <c r="AB85"/>
  <c r="AA85"/>
  <c r="Z85"/>
  <c r="Y85"/>
  <c r="X85"/>
  <c r="W85"/>
  <c r="V85"/>
  <c r="P85"/>
  <c r="O85"/>
  <c r="N85"/>
  <c r="M85"/>
  <c r="L85"/>
  <c r="K85"/>
  <c r="J85"/>
  <c r="I85"/>
  <c r="H85"/>
  <c r="G85"/>
  <c r="F85"/>
  <c r="E85"/>
  <c r="D85"/>
  <c r="C85"/>
  <c r="AI84"/>
  <c r="AH84"/>
  <c r="AG84"/>
  <c r="AF84"/>
  <c r="AE84"/>
  <c r="AD84"/>
  <c r="AC84"/>
  <c r="AB84"/>
  <c r="AA84"/>
  <c r="Z84"/>
  <c r="Y84"/>
  <c r="X84"/>
  <c r="W84"/>
  <c r="V84"/>
  <c r="P84"/>
  <c r="O84"/>
  <c r="N84"/>
  <c r="M84"/>
  <c r="L84"/>
  <c r="K84"/>
  <c r="J84"/>
  <c r="I84"/>
  <c r="H84"/>
  <c r="G84"/>
  <c r="F84"/>
  <c r="E84"/>
  <c r="D84"/>
  <c r="C84"/>
  <c r="AI83"/>
  <c r="AH83"/>
  <c r="AG83"/>
  <c r="AF83"/>
  <c r="AE83"/>
  <c r="AD83"/>
  <c r="AC83"/>
  <c r="AB83"/>
  <c r="AA83"/>
  <c r="Z83"/>
  <c r="Y83"/>
  <c r="X83"/>
  <c r="W83"/>
  <c r="V83"/>
  <c r="P83"/>
  <c r="O83"/>
  <c r="N83"/>
  <c r="M83"/>
  <c r="L83"/>
  <c r="K83"/>
  <c r="J83"/>
  <c r="I83"/>
  <c r="H83"/>
  <c r="G83"/>
  <c r="F83"/>
  <c r="E83"/>
  <c r="D83"/>
  <c r="C83"/>
  <c r="AI82"/>
  <c r="AH82"/>
  <c r="AG82"/>
  <c r="AF82"/>
  <c r="AE82"/>
  <c r="AD82"/>
  <c r="AC82"/>
  <c r="AB82"/>
  <c r="AA82"/>
  <c r="Z82"/>
  <c r="Y82"/>
  <c r="X82"/>
  <c r="W82"/>
  <c r="V82"/>
  <c r="P82"/>
  <c r="O82"/>
  <c r="N82"/>
  <c r="M82"/>
  <c r="L82"/>
  <c r="K82"/>
  <c r="J82"/>
  <c r="I82"/>
  <c r="H82"/>
  <c r="G82"/>
  <c r="F82"/>
  <c r="E82"/>
  <c r="D82"/>
  <c r="C82"/>
  <c r="AI81"/>
  <c r="AH81"/>
  <c r="AG81"/>
  <c r="AF81"/>
  <c r="AE81"/>
  <c r="AD81"/>
  <c r="AC81"/>
  <c r="M194" s="1"/>
  <c r="AB81"/>
  <c r="AA81"/>
  <c r="Z81"/>
  <c r="Y81"/>
  <c r="X81"/>
  <c r="W81"/>
  <c r="V81"/>
  <c r="P81"/>
  <c r="O81"/>
  <c r="N81"/>
  <c r="M81"/>
  <c r="L81"/>
  <c r="K81"/>
  <c r="J81"/>
  <c r="G194" s="1"/>
  <c r="I81"/>
  <c r="H81"/>
  <c r="G81"/>
  <c r="F81"/>
  <c r="E81"/>
  <c r="D81"/>
  <c r="C81"/>
  <c r="AI80"/>
  <c r="AH80"/>
  <c r="AG80"/>
  <c r="AF80"/>
  <c r="AE80"/>
  <c r="AD80"/>
  <c r="AC80"/>
  <c r="AB80"/>
  <c r="AA80"/>
  <c r="Z80"/>
  <c r="Y80"/>
  <c r="X80"/>
  <c r="W80"/>
  <c r="V80"/>
  <c r="P80"/>
  <c r="O80"/>
  <c r="N80"/>
  <c r="M80"/>
  <c r="L80"/>
  <c r="K80"/>
  <c r="J80"/>
  <c r="I80"/>
  <c r="H80"/>
  <c r="G80"/>
  <c r="F80"/>
  <c r="E80"/>
  <c r="D80"/>
  <c r="C80"/>
  <c r="AI79"/>
  <c r="AH79"/>
  <c r="AG79"/>
  <c r="AF79"/>
  <c r="AE79"/>
  <c r="AD79"/>
  <c r="AC79"/>
  <c r="AB79"/>
  <c r="AA79"/>
  <c r="Z79"/>
  <c r="Y79"/>
  <c r="X79"/>
  <c r="W79"/>
  <c r="V79"/>
  <c r="P79"/>
  <c r="O79"/>
  <c r="N79"/>
  <c r="M79"/>
  <c r="L79"/>
  <c r="K79"/>
  <c r="J79"/>
  <c r="I79"/>
  <c r="H79"/>
  <c r="G79"/>
  <c r="F79"/>
  <c r="E79"/>
  <c r="D79"/>
  <c r="C79"/>
  <c r="AI78"/>
  <c r="AH51" i="35" s="1"/>
  <c r="AH78" i="57"/>
  <c r="AG78"/>
  <c r="AF78"/>
  <c r="AE78"/>
  <c r="AD78"/>
  <c r="AC78"/>
  <c r="AB78"/>
  <c r="AA78"/>
  <c r="Z78"/>
  <c r="Y78"/>
  <c r="X78"/>
  <c r="W78"/>
  <c r="V78"/>
  <c r="P78"/>
  <c r="AH34" i="35" s="1"/>
  <c r="O78" i="57"/>
  <c r="N78"/>
  <c r="M78"/>
  <c r="L78"/>
  <c r="K78"/>
  <c r="J78"/>
  <c r="I78"/>
  <c r="H78"/>
  <c r="G78"/>
  <c r="F78"/>
  <c r="E78"/>
  <c r="D78"/>
  <c r="C78"/>
  <c r="AI77"/>
  <c r="AH77"/>
  <c r="AG77"/>
  <c r="AF77"/>
  <c r="AE77"/>
  <c r="AD77"/>
  <c r="AC77"/>
  <c r="AB77"/>
  <c r="AA77"/>
  <c r="Z77"/>
  <c r="Y77"/>
  <c r="X77"/>
  <c r="W77"/>
  <c r="V77"/>
  <c r="P77"/>
  <c r="O77"/>
  <c r="N77"/>
  <c r="M77"/>
  <c r="L77"/>
  <c r="K77"/>
  <c r="J77"/>
  <c r="I77"/>
  <c r="H77"/>
  <c r="G77"/>
  <c r="F77"/>
  <c r="E77"/>
  <c r="D77"/>
  <c r="C77"/>
  <c r="AI76"/>
  <c r="AH76"/>
  <c r="AG76"/>
  <c r="AF76"/>
  <c r="AE76"/>
  <c r="AD76"/>
  <c r="AC76"/>
  <c r="AB76"/>
  <c r="AA76"/>
  <c r="Z76"/>
  <c r="Y76"/>
  <c r="X76"/>
  <c r="W76"/>
  <c r="V76"/>
  <c r="P76"/>
  <c r="O76"/>
  <c r="N76"/>
  <c r="M76"/>
  <c r="L76"/>
  <c r="K76"/>
  <c r="J76"/>
  <c r="I76"/>
  <c r="H76"/>
  <c r="G76"/>
  <c r="F76"/>
  <c r="E76"/>
  <c r="D76"/>
  <c r="C76"/>
  <c r="AI75"/>
  <c r="AI88" s="1"/>
  <c r="O51" i="35" s="1"/>
  <c r="O84" s="1"/>
  <c r="AH75" i="57"/>
  <c r="AH88" s="1"/>
  <c r="N51" i="35" s="1"/>
  <c r="N84" s="1"/>
  <c r="AG75" i="57"/>
  <c r="AG88" s="1"/>
  <c r="M51" i="35" s="1"/>
  <c r="AF75" i="57"/>
  <c r="AF88" s="1"/>
  <c r="L51" i="35" s="1"/>
  <c r="L84" s="1"/>
  <c r="AE75" i="57"/>
  <c r="AE88" s="1"/>
  <c r="K51" i="35" s="1"/>
  <c r="K84" s="1"/>
  <c r="AD75" i="57"/>
  <c r="AD88" s="1"/>
  <c r="J51" i="35" s="1"/>
  <c r="J84" s="1"/>
  <c r="AC75" i="57"/>
  <c r="AC88" s="1"/>
  <c r="I51" i="35" s="1"/>
  <c r="AB75" i="57"/>
  <c r="AB88" s="1"/>
  <c r="H51" i="35" s="1"/>
  <c r="AA75" i="57"/>
  <c r="AA88" s="1"/>
  <c r="G51" i="35" s="1"/>
  <c r="Z75" i="57"/>
  <c r="Z88" s="1"/>
  <c r="F51" i="35" s="1"/>
  <c r="Y75" i="57"/>
  <c r="Y88" s="1"/>
  <c r="E51" i="35" s="1"/>
  <c r="X75" i="57"/>
  <c r="X88" s="1"/>
  <c r="D51" i="35" s="1"/>
  <c r="W75" i="57"/>
  <c r="W88" s="1"/>
  <c r="C51" i="35" s="1"/>
  <c r="V75" i="57"/>
  <c r="P75"/>
  <c r="P88" s="1"/>
  <c r="O34" i="35" s="1"/>
  <c r="O75" i="57"/>
  <c r="O88" s="1"/>
  <c r="N34" i="35" s="1"/>
  <c r="N75" i="57"/>
  <c r="N88" s="1"/>
  <c r="M34" i="35" s="1"/>
  <c r="M75" i="57"/>
  <c r="M88" s="1"/>
  <c r="L34" i="35" s="1"/>
  <c r="L75" i="57"/>
  <c r="L88" s="1"/>
  <c r="K34" i="35" s="1"/>
  <c r="K68" s="1"/>
  <c r="K75" i="57"/>
  <c r="K88" s="1"/>
  <c r="J34" i="35" s="1"/>
  <c r="J75" i="57"/>
  <c r="J88" s="1"/>
  <c r="I34" i="35" s="1"/>
  <c r="I75" i="57"/>
  <c r="I88" s="1"/>
  <c r="H34" i="35" s="1"/>
  <c r="H75" i="57"/>
  <c r="H88" s="1"/>
  <c r="G34" i="35" s="1"/>
  <c r="G75" i="57"/>
  <c r="G88" s="1"/>
  <c r="F34" i="35" s="1"/>
  <c r="F75" i="57"/>
  <c r="F88" s="1"/>
  <c r="E34" i="35" s="1"/>
  <c r="E75" i="57"/>
  <c r="E88" s="1"/>
  <c r="D34" i="35" s="1"/>
  <c r="D75" i="57"/>
  <c r="C75"/>
  <c r="AI70"/>
  <c r="AH70"/>
  <c r="AG70"/>
  <c r="AF70"/>
  <c r="AE70"/>
  <c r="AD70"/>
  <c r="AC70"/>
  <c r="AB70"/>
  <c r="AA70"/>
  <c r="Z70"/>
  <c r="Y70"/>
  <c r="X70"/>
  <c r="W70"/>
  <c r="V70"/>
  <c r="P70"/>
  <c r="O70"/>
  <c r="N70"/>
  <c r="M70"/>
  <c r="L70"/>
  <c r="K70"/>
  <c r="J70"/>
  <c r="I70"/>
  <c r="H70"/>
  <c r="G70"/>
  <c r="F70"/>
  <c r="E70"/>
  <c r="D70"/>
  <c r="C70"/>
  <c r="AI69"/>
  <c r="AH69"/>
  <c r="AG69"/>
  <c r="AF69"/>
  <c r="AE69"/>
  <c r="AD69"/>
  <c r="AC69"/>
  <c r="AB69"/>
  <c r="AA69"/>
  <c r="Z69"/>
  <c r="Y69"/>
  <c r="X69"/>
  <c r="W69"/>
  <c r="V69"/>
  <c r="P69"/>
  <c r="O69"/>
  <c r="N69"/>
  <c r="M69"/>
  <c r="L69"/>
  <c r="K69"/>
  <c r="J69"/>
  <c r="I69"/>
  <c r="H69"/>
  <c r="G69"/>
  <c r="F69"/>
  <c r="E69"/>
  <c r="D69"/>
  <c r="C69"/>
  <c r="AI68"/>
  <c r="AH68"/>
  <c r="AG68"/>
  <c r="AF68"/>
  <c r="AE68"/>
  <c r="AD68"/>
  <c r="AC68"/>
  <c r="AB68"/>
  <c r="AA68"/>
  <c r="Z68"/>
  <c r="Y68"/>
  <c r="X68"/>
  <c r="W68"/>
  <c r="V68"/>
  <c r="P68"/>
  <c r="O68"/>
  <c r="N68"/>
  <c r="M68"/>
  <c r="L68"/>
  <c r="K68"/>
  <c r="J68"/>
  <c r="I68"/>
  <c r="H68"/>
  <c r="G68"/>
  <c r="F68"/>
  <c r="E68"/>
  <c r="D68"/>
  <c r="C68"/>
  <c r="AI67"/>
  <c r="AH67"/>
  <c r="AG67"/>
  <c r="AF67"/>
  <c r="AE67"/>
  <c r="AD67"/>
  <c r="AC67"/>
  <c r="AB67"/>
  <c r="AA67"/>
  <c r="Z67"/>
  <c r="Y67"/>
  <c r="X67"/>
  <c r="W67"/>
  <c r="V67"/>
  <c r="P67"/>
  <c r="O67"/>
  <c r="N67"/>
  <c r="M67"/>
  <c r="L67"/>
  <c r="K67"/>
  <c r="J67"/>
  <c r="I67"/>
  <c r="H67"/>
  <c r="G67"/>
  <c r="F67"/>
  <c r="E67"/>
  <c r="D67"/>
  <c r="C67"/>
  <c r="AI66"/>
  <c r="AH66"/>
  <c r="AG66"/>
  <c r="AF66"/>
  <c r="AE66"/>
  <c r="AD66"/>
  <c r="AC66"/>
  <c r="AB66"/>
  <c r="AA66"/>
  <c r="Z66"/>
  <c r="Y66"/>
  <c r="X66"/>
  <c r="W66"/>
  <c r="V66"/>
  <c r="P66"/>
  <c r="O66"/>
  <c r="N66"/>
  <c r="M66"/>
  <c r="L66"/>
  <c r="K66"/>
  <c r="J66"/>
  <c r="I66"/>
  <c r="H66"/>
  <c r="G66"/>
  <c r="F66"/>
  <c r="E66"/>
  <c r="D66"/>
  <c r="C66"/>
  <c r="AI65"/>
  <c r="AH65"/>
  <c r="AG65"/>
  <c r="AF65"/>
  <c r="AE65"/>
  <c r="AD65"/>
  <c r="AC65"/>
  <c r="M192" s="1"/>
  <c r="AB65"/>
  <c r="AA65"/>
  <c r="Z65"/>
  <c r="Y65"/>
  <c r="X65"/>
  <c r="W65"/>
  <c r="V65"/>
  <c r="P65"/>
  <c r="O65"/>
  <c r="N65"/>
  <c r="M65"/>
  <c r="L65"/>
  <c r="K65"/>
  <c r="J65"/>
  <c r="G192" s="1"/>
  <c r="I65"/>
  <c r="H65"/>
  <c r="G65"/>
  <c r="F65"/>
  <c r="E65"/>
  <c r="D65"/>
  <c r="C65"/>
  <c r="AI64"/>
  <c r="AH64"/>
  <c r="AG64"/>
  <c r="AF64"/>
  <c r="AE64"/>
  <c r="AD64"/>
  <c r="AC64"/>
  <c r="AB64"/>
  <c r="AA64"/>
  <c r="Z64"/>
  <c r="Y64"/>
  <c r="X64"/>
  <c r="W64"/>
  <c r="V64"/>
  <c r="P64"/>
  <c r="O64"/>
  <c r="N64"/>
  <c r="M64"/>
  <c r="L64"/>
  <c r="K64"/>
  <c r="J64"/>
  <c r="I64"/>
  <c r="H64"/>
  <c r="G64"/>
  <c r="F64"/>
  <c r="E64"/>
  <c r="D64"/>
  <c r="C64"/>
  <c r="AI63"/>
  <c r="AH63"/>
  <c r="AG63"/>
  <c r="AF63"/>
  <c r="AE63"/>
  <c r="AD63"/>
  <c r="AC63"/>
  <c r="AB63"/>
  <c r="AA63"/>
  <c r="Z63"/>
  <c r="Y63"/>
  <c r="X63"/>
  <c r="W63"/>
  <c r="V63"/>
  <c r="P63"/>
  <c r="O63"/>
  <c r="N63"/>
  <c r="M63"/>
  <c r="L63"/>
  <c r="K63"/>
  <c r="J63"/>
  <c r="I63"/>
  <c r="H63"/>
  <c r="G63"/>
  <c r="F63"/>
  <c r="E63"/>
  <c r="D63"/>
  <c r="C63"/>
  <c r="AI62"/>
  <c r="AH49" i="35" s="1"/>
  <c r="AH62" i="57"/>
  <c r="AG62"/>
  <c r="AF62"/>
  <c r="AE62"/>
  <c r="AD62"/>
  <c r="AC62"/>
  <c r="AB62"/>
  <c r="AA62"/>
  <c r="Z62"/>
  <c r="Y62"/>
  <c r="X62"/>
  <c r="W62"/>
  <c r="V62"/>
  <c r="P62"/>
  <c r="AH32" i="35" s="1"/>
  <c r="O62" i="57"/>
  <c r="N62"/>
  <c r="M62"/>
  <c r="L62"/>
  <c r="K62"/>
  <c r="J62"/>
  <c r="I62"/>
  <c r="H62"/>
  <c r="G62"/>
  <c r="F62"/>
  <c r="E62"/>
  <c r="D62"/>
  <c r="C62"/>
  <c r="AI61"/>
  <c r="AH61"/>
  <c r="AG61"/>
  <c r="AF61"/>
  <c r="AE61"/>
  <c r="AD61"/>
  <c r="AC61"/>
  <c r="AB61"/>
  <c r="AA61"/>
  <c r="Z61"/>
  <c r="Y61"/>
  <c r="X61"/>
  <c r="W61"/>
  <c r="V61"/>
  <c r="P61"/>
  <c r="O61"/>
  <c r="N61"/>
  <c r="M61"/>
  <c r="L61"/>
  <c r="K61"/>
  <c r="J61"/>
  <c r="I61"/>
  <c r="H61"/>
  <c r="G61"/>
  <c r="F61"/>
  <c r="E61"/>
  <c r="D61"/>
  <c r="C61"/>
  <c r="AI60"/>
  <c r="AH60"/>
  <c r="AG60"/>
  <c r="AF60"/>
  <c r="AE60"/>
  <c r="AD60"/>
  <c r="AC60"/>
  <c r="AB60"/>
  <c r="AA60"/>
  <c r="Z60"/>
  <c r="Y60"/>
  <c r="X60"/>
  <c r="W60"/>
  <c r="V60"/>
  <c r="P60"/>
  <c r="O60"/>
  <c r="N60"/>
  <c r="M60"/>
  <c r="L60"/>
  <c r="K60"/>
  <c r="J60"/>
  <c r="I60"/>
  <c r="H60"/>
  <c r="G60"/>
  <c r="F60"/>
  <c r="E60"/>
  <c r="D60"/>
  <c r="C60"/>
  <c r="AI59"/>
  <c r="AI72" s="1"/>
  <c r="O49" i="35" s="1"/>
  <c r="O82" s="1"/>
  <c r="AH59" i="57"/>
  <c r="AH72" s="1"/>
  <c r="N49" i="35" s="1"/>
  <c r="N82" s="1"/>
  <c r="AG59" i="57"/>
  <c r="AG72" s="1"/>
  <c r="M49" i="35" s="1"/>
  <c r="AF59" i="57"/>
  <c r="AF72" s="1"/>
  <c r="L49" i="35" s="1"/>
  <c r="L82" s="1"/>
  <c r="AE59" i="57"/>
  <c r="AE72" s="1"/>
  <c r="K49" i="35" s="1"/>
  <c r="K82" s="1"/>
  <c r="AD59" i="57"/>
  <c r="AD72" s="1"/>
  <c r="J49" i="35" s="1"/>
  <c r="J82" s="1"/>
  <c r="AC59" i="57"/>
  <c r="AC72" s="1"/>
  <c r="I49" i="35" s="1"/>
  <c r="AB59" i="57"/>
  <c r="AB72" s="1"/>
  <c r="H49" i="35" s="1"/>
  <c r="AA59" i="57"/>
  <c r="AA72" s="1"/>
  <c r="G49" i="35" s="1"/>
  <c r="Z59" i="57"/>
  <c r="Z72" s="1"/>
  <c r="F49" i="35" s="1"/>
  <c r="Y59" i="57"/>
  <c r="Y72" s="1"/>
  <c r="E49" i="35" s="1"/>
  <c r="X59" i="57"/>
  <c r="X72" s="1"/>
  <c r="D49" i="35" s="1"/>
  <c r="W59" i="57"/>
  <c r="W72" s="1"/>
  <c r="C49" i="35" s="1"/>
  <c r="V59" i="57"/>
  <c r="P59"/>
  <c r="P72" s="1"/>
  <c r="O32" i="35" s="1"/>
  <c r="O59" i="57"/>
  <c r="O72" s="1"/>
  <c r="N32" i="35" s="1"/>
  <c r="N59" i="57"/>
  <c r="N72" s="1"/>
  <c r="M32" i="35" s="1"/>
  <c r="M59" i="57"/>
  <c r="M72" s="1"/>
  <c r="L32" i="35" s="1"/>
  <c r="L59" i="57"/>
  <c r="L72" s="1"/>
  <c r="K32" i="35" s="1"/>
  <c r="K59" i="57"/>
  <c r="K72" s="1"/>
  <c r="J32" i="35" s="1"/>
  <c r="J59" i="57"/>
  <c r="J72" s="1"/>
  <c r="I32" i="35" s="1"/>
  <c r="I59" i="57"/>
  <c r="I72" s="1"/>
  <c r="H32" i="35" s="1"/>
  <c r="H59" i="57"/>
  <c r="H72" s="1"/>
  <c r="G32" i="35" s="1"/>
  <c r="G59" i="57"/>
  <c r="G72" s="1"/>
  <c r="F32" i="35" s="1"/>
  <c r="F59" i="57"/>
  <c r="F72" s="1"/>
  <c r="E32" i="35" s="1"/>
  <c r="E59" i="57"/>
  <c r="E72" s="1"/>
  <c r="D32" i="35" s="1"/>
  <c r="D59" i="57"/>
  <c r="D72" s="1"/>
  <c r="C32" i="35" s="1"/>
  <c r="C59" i="57"/>
  <c r="AI54"/>
  <c r="AH54"/>
  <c r="AG54"/>
  <c r="AF54"/>
  <c r="AE54"/>
  <c r="AD54"/>
  <c r="AC54"/>
  <c r="AB54"/>
  <c r="AA54"/>
  <c r="Z54"/>
  <c r="Y54"/>
  <c r="X54"/>
  <c r="W54"/>
  <c r="V54"/>
  <c r="P54"/>
  <c r="O54"/>
  <c r="N54"/>
  <c r="M54"/>
  <c r="L54"/>
  <c r="K54"/>
  <c r="J54"/>
  <c r="I54"/>
  <c r="H54"/>
  <c r="G54"/>
  <c r="F54"/>
  <c r="E54"/>
  <c r="D54"/>
  <c r="C54"/>
  <c r="AI53"/>
  <c r="AH53"/>
  <c r="AG53"/>
  <c r="AF53"/>
  <c r="AE53"/>
  <c r="AD53"/>
  <c r="AC53"/>
  <c r="AB53"/>
  <c r="AA53"/>
  <c r="Z53"/>
  <c r="Y53"/>
  <c r="X53"/>
  <c r="W53"/>
  <c r="V53"/>
  <c r="P53"/>
  <c r="O53"/>
  <c r="N53"/>
  <c r="M53"/>
  <c r="L53"/>
  <c r="K53"/>
  <c r="J53"/>
  <c r="I53"/>
  <c r="H53"/>
  <c r="G53"/>
  <c r="F53"/>
  <c r="E53"/>
  <c r="D53"/>
  <c r="C53"/>
  <c r="AI52"/>
  <c r="AH52"/>
  <c r="AG52"/>
  <c r="AF52"/>
  <c r="AE52"/>
  <c r="AD52"/>
  <c r="AC52"/>
  <c r="AB52"/>
  <c r="AA52"/>
  <c r="Z52"/>
  <c r="Y52"/>
  <c r="X52"/>
  <c r="W52"/>
  <c r="V52"/>
  <c r="P52"/>
  <c r="O52"/>
  <c r="N52"/>
  <c r="M52"/>
  <c r="L52"/>
  <c r="K52"/>
  <c r="J52"/>
  <c r="I52"/>
  <c r="H52"/>
  <c r="G52"/>
  <c r="F52"/>
  <c r="E52"/>
  <c r="D52"/>
  <c r="C52"/>
  <c r="AI51"/>
  <c r="AH51"/>
  <c r="AG51"/>
  <c r="AF51"/>
  <c r="AE51"/>
  <c r="AD51"/>
  <c r="AC51"/>
  <c r="AB51"/>
  <c r="AA51"/>
  <c r="Z51"/>
  <c r="Y51"/>
  <c r="X51"/>
  <c r="W51"/>
  <c r="V51"/>
  <c r="P51"/>
  <c r="O51"/>
  <c r="N51"/>
  <c r="M51"/>
  <c r="L51"/>
  <c r="K51"/>
  <c r="J51"/>
  <c r="I51"/>
  <c r="H51"/>
  <c r="G51"/>
  <c r="F51"/>
  <c r="E51"/>
  <c r="D51"/>
  <c r="C51"/>
  <c r="AI50"/>
  <c r="AH50"/>
  <c r="AG50"/>
  <c r="AF50"/>
  <c r="AE50"/>
  <c r="AD50"/>
  <c r="AC50"/>
  <c r="AB50"/>
  <c r="AA50"/>
  <c r="Z50"/>
  <c r="Y50"/>
  <c r="X50"/>
  <c r="W50"/>
  <c r="V50"/>
  <c r="P50"/>
  <c r="O50"/>
  <c r="N50"/>
  <c r="M50"/>
  <c r="L50"/>
  <c r="K50"/>
  <c r="J50"/>
  <c r="I50"/>
  <c r="H50"/>
  <c r="G50"/>
  <c r="F50"/>
  <c r="E50"/>
  <c r="D50"/>
  <c r="C50"/>
  <c r="AI49"/>
  <c r="AH49"/>
  <c r="AG49"/>
  <c r="AF49"/>
  <c r="AE49"/>
  <c r="AD49"/>
  <c r="AC49"/>
  <c r="M191" s="1"/>
  <c r="AB49"/>
  <c r="AA49"/>
  <c r="Z49"/>
  <c r="Y49"/>
  <c r="X49"/>
  <c r="W49"/>
  <c r="V49"/>
  <c r="P49"/>
  <c r="O49"/>
  <c r="N49"/>
  <c r="M49"/>
  <c r="L49"/>
  <c r="K49"/>
  <c r="J49"/>
  <c r="G191" s="1"/>
  <c r="I49"/>
  <c r="H49"/>
  <c r="G49"/>
  <c r="F49"/>
  <c r="E49"/>
  <c r="D49"/>
  <c r="C49"/>
  <c r="AI48"/>
  <c r="AH48"/>
  <c r="AG48"/>
  <c r="AF48"/>
  <c r="AE48"/>
  <c r="AD48"/>
  <c r="AC48"/>
  <c r="AB48"/>
  <c r="AA48"/>
  <c r="Z48"/>
  <c r="Y48"/>
  <c r="X48"/>
  <c r="W48"/>
  <c r="V48"/>
  <c r="P48"/>
  <c r="O48"/>
  <c r="N48"/>
  <c r="M48"/>
  <c r="L48"/>
  <c r="K48"/>
  <c r="J48"/>
  <c r="I48"/>
  <c r="H48"/>
  <c r="G48"/>
  <c r="F48"/>
  <c r="E48"/>
  <c r="D48"/>
  <c r="C48"/>
  <c r="AI47"/>
  <c r="AH47"/>
  <c r="AG47"/>
  <c r="AF47"/>
  <c r="AE47"/>
  <c r="AD47"/>
  <c r="AC47"/>
  <c r="AB47"/>
  <c r="AA47"/>
  <c r="Z47"/>
  <c r="Y47"/>
  <c r="X47"/>
  <c r="W47"/>
  <c r="V47"/>
  <c r="P47"/>
  <c r="O47"/>
  <c r="N47"/>
  <c r="M47"/>
  <c r="L47"/>
  <c r="K47"/>
  <c r="J47"/>
  <c r="I47"/>
  <c r="H47"/>
  <c r="G47"/>
  <c r="F47"/>
  <c r="E47"/>
  <c r="D47"/>
  <c r="C47"/>
  <c r="AI46"/>
  <c r="AH48" i="35" s="1"/>
  <c r="AH46" i="57"/>
  <c r="AG46"/>
  <c r="AF46"/>
  <c r="AE46"/>
  <c r="AD46"/>
  <c r="AC46"/>
  <c r="AB46"/>
  <c r="AA46"/>
  <c r="Z46"/>
  <c r="Y46"/>
  <c r="X46"/>
  <c r="W46"/>
  <c r="V46"/>
  <c r="P46"/>
  <c r="AH31" i="35" s="1"/>
  <c r="O46" i="57"/>
  <c r="N46"/>
  <c r="M46"/>
  <c r="L46"/>
  <c r="K46"/>
  <c r="J46"/>
  <c r="I46"/>
  <c r="H46"/>
  <c r="G46"/>
  <c r="F46"/>
  <c r="E46"/>
  <c r="D46"/>
  <c r="C46"/>
  <c r="AI45"/>
  <c r="AH45"/>
  <c r="AG45"/>
  <c r="AF45"/>
  <c r="AE45"/>
  <c r="AD45"/>
  <c r="AC45"/>
  <c r="AB45"/>
  <c r="AA45"/>
  <c r="Z45"/>
  <c r="Y45"/>
  <c r="X45"/>
  <c r="W45"/>
  <c r="V45"/>
  <c r="P45"/>
  <c r="O45"/>
  <c r="N45"/>
  <c r="M45"/>
  <c r="L45"/>
  <c r="K45"/>
  <c r="J45"/>
  <c r="I45"/>
  <c r="H45"/>
  <c r="G45"/>
  <c r="F45"/>
  <c r="E45"/>
  <c r="D45"/>
  <c r="C45"/>
  <c r="AI44"/>
  <c r="AH44"/>
  <c r="AG44"/>
  <c r="AF44"/>
  <c r="AE44"/>
  <c r="AD44"/>
  <c r="AC44"/>
  <c r="AB44"/>
  <c r="AA44"/>
  <c r="Z44"/>
  <c r="Y44"/>
  <c r="X44"/>
  <c r="W44"/>
  <c r="V44"/>
  <c r="P44"/>
  <c r="O44"/>
  <c r="N44"/>
  <c r="M44"/>
  <c r="L44"/>
  <c r="K44"/>
  <c r="J44"/>
  <c r="I44"/>
  <c r="H44"/>
  <c r="G44"/>
  <c r="F44"/>
  <c r="E44"/>
  <c r="D44"/>
  <c r="C44"/>
  <c r="AI43"/>
  <c r="AI56" s="1"/>
  <c r="O48" i="35" s="1"/>
  <c r="AH43" i="57"/>
  <c r="AH56" s="1"/>
  <c r="N48" i="35" s="1"/>
  <c r="AG43" i="57"/>
  <c r="AG56" s="1"/>
  <c r="M48" i="35" s="1"/>
  <c r="AF43" i="57"/>
  <c r="AF56" s="1"/>
  <c r="L48" i="35" s="1"/>
  <c r="AE43" i="57"/>
  <c r="AE56" s="1"/>
  <c r="K48" i="35" s="1"/>
  <c r="AD43" i="57"/>
  <c r="AD56" s="1"/>
  <c r="J48" i="35" s="1"/>
  <c r="AC43" i="57"/>
  <c r="AC56" s="1"/>
  <c r="I48" i="35" s="1"/>
  <c r="AB43" i="57"/>
  <c r="AB56" s="1"/>
  <c r="H48" i="35" s="1"/>
  <c r="AA43" i="57"/>
  <c r="AA56" s="1"/>
  <c r="G48" i="35" s="1"/>
  <c r="Z43" i="57"/>
  <c r="Z56" s="1"/>
  <c r="F48" i="35" s="1"/>
  <c r="Y43" i="57"/>
  <c r="Y56" s="1"/>
  <c r="E48" i="35" s="1"/>
  <c r="X43" i="57"/>
  <c r="X56" s="1"/>
  <c r="D48" i="35" s="1"/>
  <c r="W43" i="57"/>
  <c r="W56" s="1"/>
  <c r="C48" i="35" s="1"/>
  <c r="V43" i="57"/>
  <c r="P43"/>
  <c r="P56" s="1"/>
  <c r="O31" i="35" s="1"/>
  <c r="O43" i="57"/>
  <c r="O56" s="1"/>
  <c r="N31" i="35" s="1"/>
  <c r="N43" i="57"/>
  <c r="N56" s="1"/>
  <c r="M31" i="35" s="1"/>
  <c r="M43" i="57"/>
  <c r="M56" s="1"/>
  <c r="L31" i="35" s="1"/>
  <c r="L43" i="57"/>
  <c r="L56" s="1"/>
  <c r="K31" i="35" s="1"/>
  <c r="K43" i="57"/>
  <c r="K56" s="1"/>
  <c r="J31" i="35" s="1"/>
  <c r="J43" i="57"/>
  <c r="J56" s="1"/>
  <c r="I31" i="35" s="1"/>
  <c r="I43" i="57"/>
  <c r="I56" s="1"/>
  <c r="H31" i="35" s="1"/>
  <c r="H43" i="57"/>
  <c r="H56" s="1"/>
  <c r="G31" i="35" s="1"/>
  <c r="G43" i="57"/>
  <c r="G56" s="1"/>
  <c r="F31" i="35" s="1"/>
  <c r="F43" i="57"/>
  <c r="F56" s="1"/>
  <c r="E31" i="35" s="1"/>
  <c r="E43" i="57"/>
  <c r="E56" s="1"/>
  <c r="D31" i="35" s="1"/>
  <c r="D43" i="57"/>
  <c r="D56" s="1"/>
  <c r="C31" i="35" s="1"/>
  <c r="C43" i="57"/>
  <c r="C56" s="1"/>
  <c r="AI38"/>
  <c r="AH38"/>
  <c r="AG38"/>
  <c r="AF38"/>
  <c r="AE38"/>
  <c r="AD38"/>
  <c r="AC38"/>
  <c r="AB38"/>
  <c r="AA38"/>
  <c r="Z38"/>
  <c r="Y38"/>
  <c r="X38"/>
  <c r="W38"/>
  <c r="V38"/>
  <c r="P38"/>
  <c r="O38"/>
  <c r="N38"/>
  <c r="M38"/>
  <c r="L38"/>
  <c r="K38"/>
  <c r="J38"/>
  <c r="I38"/>
  <c r="H38"/>
  <c r="G38"/>
  <c r="F38"/>
  <c r="E38"/>
  <c r="D38"/>
  <c r="C38"/>
  <c r="AI37"/>
  <c r="AH37"/>
  <c r="AG37"/>
  <c r="AF37"/>
  <c r="AE37"/>
  <c r="AD37"/>
  <c r="AC37"/>
  <c r="AB37"/>
  <c r="AA37"/>
  <c r="Z37"/>
  <c r="Y37"/>
  <c r="X37"/>
  <c r="W37"/>
  <c r="V37"/>
  <c r="P37"/>
  <c r="O37"/>
  <c r="N37"/>
  <c r="M37"/>
  <c r="L37"/>
  <c r="K37"/>
  <c r="J37"/>
  <c r="I37"/>
  <c r="H37"/>
  <c r="G37"/>
  <c r="F37"/>
  <c r="E37"/>
  <c r="D37"/>
  <c r="C37"/>
  <c r="AI36"/>
  <c r="AH36"/>
  <c r="AG36"/>
  <c r="AF36"/>
  <c r="AE36"/>
  <c r="AD36"/>
  <c r="AC36"/>
  <c r="AB36"/>
  <c r="AA36"/>
  <c r="Z36"/>
  <c r="Y36"/>
  <c r="X36"/>
  <c r="W36"/>
  <c r="V36"/>
  <c r="P36"/>
  <c r="O36"/>
  <c r="N36"/>
  <c r="M36"/>
  <c r="L36"/>
  <c r="K36"/>
  <c r="J36"/>
  <c r="I36"/>
  <c r="H36"/>
  <c r="G36"/>
  <c r="F36"/>
  <c r="E36"/>
  <c r="D36"/>
  <c r="C36"/>
  <c r="AI35"/>
  <c r="AH35"/>
  <c r="AG35"/>
  <c r="AF35"/>
  <c r="AE35"/>
  <c r="AD35"/>
  <c r="AC35"/>
  <c r="AB35"/>
  <c r="AA35"/>
  <c r="Z35"/>
  <c r="Y35"/>
  <c r="X35"/>
  <c r="W35"/>
  <c r="V35"/>
  <c r="P35"/>
  <c r="O35"/>
  <c r="N35"/>
  <c r="M35"/>
  <c r="L35"/>
  <c r="K35"/>
  <c r="J35"/>
  <c r="I35"/>
  <c r="H35"/>
  <c r="G35"/>
  <c r="F35"/>
  <c r="E35"/>
  <c r="D35"/>
  <c r="C35"/>
  <c r="AI34"/>
  <c r="AH34"/>
  <c r="AG34"/>
  <c r="AF34"/>
  <c r="AE34"/>
  <c r="AD34"/>
  <c r="AC34"/>
  <c r="AB34"/>
  <c r="AA34"/>
  <c r="Z34"/>
  <c r="Y34"/>
  <c r="X34"/>
  <c r="W34"/>
  <c r="V34"/>
  <c r="P34"/>
  <c r="O34"/>
  <c r="N34"/>
  <c r="M34"/>
  <c r="L34"/>
  <c r="K34"/>
  <c r="J34"/>
  <c r="I34"/>
  <c r="H34"/>
  <c r="G34"/>
  <c r="F34"/>
  <c r="E34"/>
  <c r="D34"/>
  <c r="C34"/>
  <c r="AI33"/>
  <c r="AH33"/>
  <c r="AG33"/>
  <c r="AF33"/>
  <c r="AE33"/>
  <c r="AD33"/>
  <c r="AC33"/>
  <c r="M190" s="1"/>
  <c r="AB33"/>
  <c r="AA33"/>
  <c r="Z33"/>
  <c r="Y33"/>
  <c r="X33"/>
  <c r="W33"/>
  <c r="V33"/>
  <c r="P33"/>
  <c r="O33"/>
  <c r="N33"/>
  <c r="M33"/>
  <c r="L33"/>
  <c r="K33"/>
  <c r="J33"/>
  <c r="G190" s="1"/>
  <c r="I33"/>
  <c r="H33"/>
  <c r="G33"/>
  <c r="F33"/>
  <c r="E33"/>
  <c r="D33"/>
  <c r="C33"/>
  <c r="AI32"/>
  <c r="AH32"/>
  <c r="AG32"/>
  <c r="AF32"/>
  <c r="AE32"/>
  <c r="AD32"/>
  <c r="AC32"/>
  <c r="AB32"/>
  <c r="AA32"/>
  <c r="Z32"/>
  <c r="Y32"/>
  <c r="X32"/>
  <c r="W32"/>
  <c r="V32"/>
  <c r="P32"/>
  <c r="O32"/>
  <c r="N32"/>
  <c r="M32"/>
  <c r="L32"/>
  <c r="K32"/>
  <c r="J32"/>
  <c r="I32"/>
  <c r="H32"/>
  <c r="G32"/>
  <c r="F32"/>
  <c r="E32"/>
  <c r="D32"/>
  <c r="C32"/>
  <c r="AI31"/>
  <c r="AH31"/>
  <c r="AG31"/>
  <c r="AF31"/>
  <c r="AE31"/>
  <c r="AD31"/>
  <c r="AC31"/>
  <c r="AB31"/>
  <c r="AA31"/>
  <c r="Z31"/>
  <c r="Y31"/>
  <c r="X31"/>
  <c r="W31"/>
  <c r="V31"/>
  <c r="P31"/>
  <c r="O31"/>
  <c r="N31"/>
  <c r="M31"/>
  <c r="L31"/>
  <c r="K31"/>
  <c r="J31"/>
  <c r="I31"/>
  <c r="H31"/>
  <c r="G31"/>
  <c r="F31"/>
  <c r="E31"/>
  <c r="D31"/>
  <c r="C31"/>
  <c r="AI30"/>
  <c r="AH47" i="35" s="1"/>
  <c r="AH30" i="57"/>
  <c r="AG30"/>
  <c r="AF30"/>
  <c r="AE30"/>
  <c r="AD30"/>
  <c r="AC30"/>
  <c r="AB30"/>
  <c r="AA30"/>
  <c r="Z30"/>
  <c r="Y30"/>
  <c r="X30"/>
  <c r="W30"/>
  <c r="V30"/>
  <c r="P30"/>
  <c r="AH30" i="35" s="1"/>
  <c r="O30" i="57"/>
  <c r="N30"/>
  <c r="M30"/>
  <c r="L30"/>
  <c r="K30"/>
  <c r="J30"/>
  <c r="I30"/>
  <c r="H30"/>
  <c r="G30"/>
  <c r="F30"/>
  <c r="E30"/>
  <c r="D30"/>
  <c r="C30"/>
  <c r="AI29"/>
  <c r="AH29"/>
  <c r="AG29"/>
  <c r="AF29"/>
  <c r="AE29"/>
  <c r="AD29"/>
  <c r="AC29"/>
  <c r="AB29"/>
  <c r="AA29"/>
  <c r="Z29"/>
  <c r="Y29"/>
  <c r="X29"/>
  <c r="W29"/>
  <c r="V29"/>
  <c r="P29"/>
  <c r="O29"/>
  <c r="N29"/>
  <c r="M29"/>
  <c r="L29"/>
  <c r="K29"/>
  <c r="J29"/>
  <c r="I29"/>
  <c r="H29"/>
  <c r="G29"/>
  <c r="F29"/>
  <c r="E29"/>
  <c r="D29"/>
  <c r="C29"/>
  <c r="AI28"/>
  <c r="AH28"/>
  <c r="AG28"/>
  <c r="AF28"/>
  <c r="AE28"/>
  <c r="AD28"/>
  <c r="AC28"/>
  <c r="AB28"/>
  <c r="AA28"/>
  <c r="Z28"/>
  <c r="Y28"/>
  <c r="X28"/>
  <c r="W28"/>
  <c r="V28"/>
  <c r="P28"/>
  <c r="O28"/>
  <c r="N28"/>
  <c r="M28"/>
  <c r="L28"/>
  <c r="K28"/>
  <c r="J28"/>
  <c r="I28"/>
  <c r="H28"/>
  <c r="G28"/>
  <c r="F28"/>
  <c r="E28"/>
  <c r="D28"/>
  <c r="C28"/>
  <c r="AI27"/>
  <c r="AI40" s="1"/>
  <c r="O47" i="35" s="1"/>
  <c r="AH27" i="57"/>
  <c r="AH40" s="1"/>
  <c r="N47" i="35" s="1"/>
  <c r="AG27" i="57"/>
  <c r="AG40" s="1"/>
  <c r="M47" i="35" s="1"/>
  <c r="AF27" i="57"/>
  <c r="AF40" s="1"/>
  <c r="L47" i="35" s="1"/>
  <c r="AE27" i="57"/>
  <c r="AE40" s="1"/>
  <c r="K47" i="35" s="1"/>
  <c r="AD27" i="57"/>
  <c r="AD40" s="1"/>
  <c r="J47" i="35" s="1"/>
  <c r="AC27" i="57"/>
  <c r="AC40" s="1"/>
  <c r="I47" i="35" s="1"/>
  <c r="AB27" i="57"/>
  <c r="AB40" s="1"/>
  <c r="H47" i="35" s="1"/>
  <c r="AA27" i="57"/>
  <c r="AA40" s="1"/>
  <c r="G47" i="35" s="1"/>
  <c r="Z27" i="57"/>
  <c r="Z40" s="1"/>
  <c r="F47" i="35" s="1"/>
  <c r="Y27" i="57"/>
  <c r="Y40" s="1"/>
  <c r="E47" i="35" s="1"/>
  <c r="X27" i="57"/>
  <c r="X40" s="1"/>
  <c r="D47" i="35" s="1"/>
  <c r="W27" i="57"/>
  <c r="W40" s="1"/>
  <c r="C47" i="35" s="1"/>
  <c r="V27" i="57"/>
  <c r="P27"/>
  <c r="P40" s="1"/>
  <c r="O30" i="35" s="1"/>
  <c r="O27" i="57"/>
  <c r="O40" s="1"/>
  <c r="N30" i="35" s="1"/>
  <c r="N27" i="57"/>
  <c r="N40" s="1"/>
  <c r="M30" i="35" s="1"/>
  <c r="M27" i="57"/>
  <c r="M40" s="1"/>
  <c r="L30" i="35" s="1"/>
  <c r="L27" i="57"/>
  <c r="L40" s="1"/>
  <c r="K30" i="35" s="1"/>
  <c r="K27" i="57"/>
  <c r="K40" s="1"/>
  <c r="J30" i="35" s="1"/>
  <c r="J27" i="57"/>
  <c r="J40" s="1"/>
  <c r="I30" i="35" s="1"/>
  <c r="I27" i="57"/>
  <c r="I40" s="1"/>
  <c r="H30" i="35" s="1"/>
  <c r="H27" i="57"/>
  <c r="H40" s="1"/>
  <c r="G30" i="35" s="1"/>
  <c r="G27" i="57"/>
  <c r="G40" s="1"/>
  <c r="F30" i="35" s="1"/>
  <c r="F27" i="57"/>
  <c r="F40" s="1"/>
  <c r="E30" i="35" s="1"/>
  <c r="E27" i="57"/>
  <c r="E40" s="1"/>
  <c r="D30" i="35" s="1"/>
  <c r="D27" i="57"/>
  <c r="D40" s="1"/>
  <c r="C30" i="35" s="1"/>
  <c r="C27" i="57"/>
  <c r="E5"/>
  <c r="E4"/>
  <c r="E3"/>
  <c r="E2"/>
  <c r="X32" i="35" l="1"/>
  <c r="E66" s="1"/>
  <c r="AF32"/>
  <c r="V49"/>
  <c r="C82" s="1"/>
  <c r="Q82" s="1"/>
  <c r="Z49"/>
  <c r="G82" s="1"/>
  <c r="AD49"/>
  <c r="X34"/>
  <c r="E68" s="1"/>
  <c r="AF34"/>
  <c r="V51"/>
  <c r="C84" s="1"/>
  <c r="Q84" s="1"/>
  <c r="Z51"/>
  <c r="G84" s="1"/>
  <c r="AD51"/>
  <c r="X35"/>
  <c r="E69" s="1"/>
  <c r="AF35"/>
  <c r="V52"/>
  <c r="C85" s="1"/>
  <c r="Q85" s="1"/>
  <c r="Z52"/>
  <c r="G85" s="1"/>
  <c r="AD52"/>
  <c r="X36"/>
  <c r="E70" s="1"/>
  <c r="AF36"/>
  <c r="V53"/>
  <c r="C86" s="1"/>
  <c r="AD53"/>
  <c r="V32"/>
  <c r="C66" s="1"/>
  <c r="Z32"/>
  <c r="G66" s="1"/>
  <c r="AD32"/>
  <c r="X49"/>
  <c r="E82" s="1"/>
  <c r="AF49"/>
  <c r="V34"/>
  <c r="C68" s="1"/>
  <c r="Z34"/>
  <c r="G68" s="1"/>
  <c r="AD34"/>
  <c r="X51"/>
  <c r="E84" s="1"/>
  <c r="AF51"/>
  <c r="V35"/>
  <c r="C69" s="1"/>
  <c r="Z35"/>
  <c r="G69" s="1"/>
  <c r="AD35"/>
  <c r="X52"/>
  <c r="E85" s="1"/>
  <c r="AF52"/>
  <c r="V36"/>
  <c r="C70" s="1"/>
  <c r="AD36"/>
  <c r="X53"/>
  <c r="E86" s="1"/>
  <c r="AF53"/>
  <c r="AG33"/>
  <c r="N67" s="1"/>
  <c r="AF50"/>
  <c r="M83" s="1"/>
  <c r="Q55"/>
  <c r="AL134" i="57"/>
  <c r="I49" i="37"/>
  <c r="I87" s="1"/>
  <c r="Z131" i="35" s="1"/>
  <c r="Z142" s="1"/>
  <c r="H49" i="37"/>
  <c r="G131" i="35" s="1"/>
  <c r="G142" s="1"/>
  <c r="F43" i="37"/>
  <c r="F82" s="1"/>
  <c r="E53" i="41"/>
  <c r="D174" i="35"/>
  <c r="F103" i="41"/>
  <c r="V174" i="35" s="1"/>
  <c r="J52" i="39"/>
  <c r="J169" i="35"/>
  <c r="K90" i="39"/>
  <c r="AB169" i="35" s="1"/>
  <c r="J52" i="38"/>
  <c r="J167" i="35"/>
  <c r="K90" i="38"/>
  <c r="AB167" i="35" s="1"/>
  <c r="H79" i="37"/>
  <c r="D49"/>
  <c r="C131" i="35" s="1"/>
  <c r="C142" s="1"/>
  <c r="L49" i="37"/>
  <c r="K131" i="35" s="1"/>
  <c r="K142" s="1"/>
  <c r="N45" i="37"/>
  <c r="O83"/>
  <c r="I114" i="35"/>
  <c r="I125" s="1"/>
  <c r="J69" i="37"/>
  <c r="J78"/>
  <c r="M114" i="35"/>
  <c r="M125" s="1"/>
  <c r="N69" i="37"/>
  <c r="N78"/>
  <c r="L87"/>
  <c r="AC131" i="35" s="1"/>
  <c r="AC142" s="1"/>
  <c r="O51" i="37"/>
  <c r="D93"/>
  <c r="D95" s="1"/>
  <c r="H57"/>
  <c r="H93"/>
  <c r="H95" s="1"/>
  <c r="L57"/>
  <c r="L93"/>
  <c r="L95" s="1"/>
  <c r="D114" i="35"/>
  <c r="D125" s="1"/>
  <c r="E69" i="37"/>
  <c r="E78"/>
  <c r="H114" i="35"/>
  <c r="H125" s="1"/>
  <c r="I69" i="37"/>
  <c r="I78"/>
  <c r="L114" i="35"/>
  <c r="L125" s="1"/>
  <c r="M69" i="37"/>
  <c r="M78"/>
  <c r="G93"/>
  <c r="G95" s="1"/>
  <c r="G57"/>
  <c r="K93"/>
  <c r="K95" s="1"/>
  <c r="K57"/>
  <c r="O93"/>
  <c r="O95" s="1"/>
  <c r="O57"/>
  <c r="J43"/>
  <c r="J82" s="1"/>
  <c r="N43"/>
  <c r="N82" s="1"/>
  <c r="D57"/>
  <c r="E43"/>
  <c r="E82" s="1"/>
  <c r="I43"/>
  <c r="I82" s="1"/>
  <c r="M43"/>
  <c r="M82" s="1"/>
  <c r="G49"/>
  <c r="K49"/>
  <c r="O49"/>
  <c r="F114" i="35"/>
  <c r="F125" s="1"/>
  <c r="G69" i="37"/>
  <c r="G78"/>
  <c r="J114" i="35"/>
  <c r="J125" s="1"/>
  <c r="K69" i="37"/>
  <c r="K78"/>
  <c r="N114" i="35"/>
  <c r="O69" i="37"/>
  <c r="O78"/>
  <c r="D131" i="35"/>
  <c r="D142" s="1"/>
  <c r="E87" i="37"/>
  <c r="V131" i="35" s="1"/>
  <c r="V142" s="1"/>
  <c r="H131"/>
  <c r="H142" s="1"/>
  <c r="L131"/>
  <c r="L142" s="1"/>
  <c r="M87" i="37"/>
  <c r="AD131" i="35" s="1"/>
  <c r="AD142" s="1"/>
  <c r="E93" i="37"/>
  <c r="E95" s="1"/>
  <c r="E57"/>
  <c r="I57"/>
  <c r="I93"/>
  <c r="I95" s="1"/>
  <c r="M93"/>
  <c r="M95" s="1"/>
  <c r="M57"/>
  <c r="E114" i="35"/>
  <c r="E125" s="1"/>
  <c r="F69" i="37"/>
  <c r="C114" i="35"/>
  <c r="C125" s="1"/>
  <c r="D69" i="37"/>
  <c r="D78"/>
  <c r="G114" i="35"/>
  <c r="G125" s="1"/>
  <c r="H69" i="37"/>
  <c r="H78"/>
  <c r="F57"/>
  <c r="F93"/>
  <c r="F95" s="1"/>
  <c r="J57"/>
  <c r="J93"/>
  <c r="J95" s="1"/>
  <c r="N57"/>
  <c r="N93"/>
  <c r="N95" s="1"/>
  <c r="G43"/>
  <c r="G82" s="1"/>
  <c r="K43"/>
  <c r="K82" s="1"/>
  <c r="O43"/>
  <c r="O82" s="1"/>
  <c r="L24"/>
  <c r="D43"/>
  <c r="D82" s="1"/>
  <c r="H43"/>
  <c r="H82" s="1"/>
  <c r="E45"/>
  <c r="F49"/>
  <c r="J49"/>
  <c r="N49"/>
  <c r="F78"/>
  <c r="W114" i="35" s="1"/>
  <c r="W125" s="1"/>
  <c r="X30"/>
  <c r="V47"/>
  <c r="AJ47" s="1"/>
  <c r="Z47"/>
  <c r="AD47"/>
  <c r="X31"/>
  <c r="E65" s="1"/>
  <c r="AF31"/>
  <c r="M65" s="1"/>
  <c r="V48"/>
  <c r="C81" s="1"/>
  <c r="Z48"/>
  <c r="G81" s="1"/>
  <c r="AD48"/>
  <c r="K81" s="1"/>
  <c r="AF30"/>
  <c r="V30"/>
  <c r="Z30"/>
  <c r="G64" s="1"/>
  <c r="AD30"/>
  <c r="X47"/>
  <c r="AF47"/>
  <c r="V31"/>
  <c r="C65" s="1"/>
  <c r="Z31"/>
  <c r="G65" s="1"/>
  <c r="AD31"/>
  <c r="K65" s="1"/>
  <c r="X48"/>
  <c r="E81" s="1"/>
  <c r="AF48"/>
  <c r="M81" s="1"/>
  <c r="F190" i="57"/>
  <c r="I64" i="35" s="1"/>
  <c r="AB30"/>
  <c r="O81"/>
  <c r="M66"/>
  <c r="P61" i="38"/>
  <c r="F192" i="57"/>
  <c r="I66" i="35" s="1"/>
  <c r="AB32"/>
  <c r="M68"/>
  <c r="F194" i="57"/>
  <c r="I68" i="35" s="1"/>
  <c r="AB34"/>
  <c r="M69"/>
  <c r="F195" i="57"/>
  <c r="AB35" i="35"/>
  <c r="M70"/>
  <c r="F196" i="57"/>
  <c r="AB36" i="35"/>
  <c r="K196" i="57"/>
  <c r="G86" i="35" s="1"/>
  <c r="Z53"/>
  <c r="F197" i="57"/>
  <c r="AB37" i="35"/>
  <c r="I71" s="1"/>
  <c r="O87"/>
  <c r="M72"/>
  <c r="F198" i="57"/>
  <c r="I72" i="35" s="1"/>
  <c r="AB38"/>
  <c r="M73"/>
  <c r="Q62" i="41"/>
  <c r="F199" i="57"/>
  <c r="I73" i="35" s="1"/>
  <c r="AB39"/>
  <c r="AJ51"/>
  <c r="U33"/>
  <c r="Y33"/>
  <c r="F67" s="1"/>
  <c r="AC33"/>
  <c r="X50"/>
  <c r="E83" s="1"/>
  <c r="AB50"/>
  <c r="Q86"/>
  <c r="AJ53"/>
  <c r="X37"/>
  <c r="E71" s="1"/>
  <c r="AF37"/>
  <c r="M71" s="1"/>
  <c r="V54"/>
  <c r="C87" s="1"/>
  <c r="Z54"/>
  <c r="G87" s="1"/>
  <c r="AD54"/>
  <c r="K87" s="1"/>
  <c r="X38"/>
  <c r="E72" s="1"/>
  <c r="AF38"/>
  <c r="V55"/>
  <c r="C88" s="1"/>
  <c r="Q88" s="1"/>
  <c r="Z55"/>
  <c r="G88" s="1"/>
  <c r="AD55"/>
  <c r="X39"/>
  <c r="E73" s="1"/>
  <c r="AF39"/>
  <c r="V56"/>
  <c r="C89" s="1"/>
  <c r="Q89" s="1"/>
  <c r="Z56"/>
  <c r="G89" s="1"/>
  <c r="AD56"/>
  <c r="M64"/>
  <c r="O80"/>
  <c r="O58"/>
  <c r="C80"/>
  <c r="AH58"/>
  <c r="F191" i="57"/>
  <c r="AB31" i="35"/>
  <c r="I65" s="1"/>
  <c r="L64"/>
  <c r="J80"/>
  <c r="N80"/>
  <c r="N58"/>
  <c r="L66"/>
  <c r="L68"/>
  <c r="L69"/>
  <c r="H70"/>
  <c r="L70"/>
  <c r="L72"/>
  <c r="L73"/>
  <c r="W30"/>
  <c r="AA30"/>
  <c r="AE30"/>
  <c r="U47"/>
  <c r="Y47"/>
  <c r="AC47"/>
  <c r="AG47"/>
  <c r="W31"/>
  <c r="D65" s="1"/>
  <c r="AA31"/>
  <c r="H65" s="1"/>
  <c r="AE31"/>
  <c r="L65" s="1"/>
  <c r="U48"/>
  <c r="Y48"/>
  <c r="F81" s="1"/>
  <c r="AC48"/>
  <c r="J81" s="1"/>
  <c r="AG48"/>
  <c r="N81" s="1"/>
  <c r="W32"/>
  <c r="D66" s="1"/>
  <c r="AA32"/>
  <c r="H66" s="1"/>
  <c r="AE32"/>
  <c r="U49"/>
  <c r="Y49"/>
  <c r="F82" s="1"/>
  <c r="AC49"/>
  <c r="AG49"/>
  <c r="W34"/>
  <c r="D68" s="1"/>
  <c r="AA34"/>
  <c r="H68" s="1"/>
  <c r="AE34"/>
  <c r="U51"/>
  <c r="Y51"/>
  <c r="F84" s="1"/>
  <c r="AC51"/>
  <c r="AG51"/>
  <c r="X33"/>
  <c r="E67" s="1"/>
  <c r="AB33"/>
  <c r="AF33"/>
  <c r="M67" s="1"/>
  <c r="W50"/>
  <c r="D83" s="1"/>
  <c r="AA50"/>
  <c r="H83" s="1"/>
  <c r="AE50"/>
  <c r="L83" s="1"/>
  <c r="W35"/>
  <c r="D69" s="1"/>
  <c r="AA35"/>
  <c r="H69" s="1"/>
  <c r="AE35"/>
  <c r="U52"/>
  <c r="Y52"/>
  <c r="F85" s="1"/>
  <c r="AC52"/>
  <c r="AG52"/>
  <c r="W36"/>
  <c r="D70" s="1"/>
  <c r="AA36"/>
  <c r="AE36"/>
  <c r="U53"/>
  <c r="Y53"/>
  <c r="F86" s="1"/>
  <c r="AC53"/>
  <c r="AG53"/>
  <c r="W37"/>
  <c r="D71" s="1"/>
  <c r="AA37"/>
  <c r="H71" s="1"/>
  <c r="AE37"/>
  <c r="L71" s="1"/>
  <c r="U54"/>
  <c r="Y54"/>
  <c r="F87" s="1"/>
  <c r="AC54"/>
  <c r="J87" s="1"/>
  <c r="AG54"/>
  <c r="N87" s="1"/>
  <c r="W38"/>
  <c r="D72" s="1"/>
  <c r="AA38"/>
  <c r="H72" s="1"/>
  <c r="AE38"/>
  <c r="U55"/>
  <c r="Y55"/>
  <c r="F88" s="1"/>
  <c r="AC55"/>
  <c r="AG55"/>
  <c r="W39"/>
  <c r="D73" s="1"/>
  <c r="AA39"/>
  <c r="H73" s="1"/>
  <c r="AE39"/>
  <c r="U56"/>
  <c r="Y56"/>
  <c r="F89" s="1"/>
  <c r="AC56"/>
  <c r="AG56"/>
  <c r="Q47"/>
  <c r="E64"/>
  <c r="G80"/>
  <c r="K64"/>
  <c r="M80"/>
  <c r="AJ30"/>
  <c r="L190" i="57"/>
  <c r="I80" i="35" s="1"/>
  <c r="AB47"/>
  <c r="Q31"/>
  <c r="AJ31"/>
  <c r="O65"/>
  <c r="L191" i="57"/>
  <c r="AB48" i="35"/>
  <c r="I81" s="1"/>
  <c r="K66"/>
  <c r="Q32"/>
  <c r="O66"/>
  <c r="Q49"/>
  <c r="M82"/>
  <c r="L192" i="57"/>
  <c r="I82" i="35" s="1"/>
  <c r="AB49"/>
  <c r="O68"/>
  <c r="Q51"/>
  <c r="M84"/>
  <c r="L194" i="57"/>
  <c r="I84" i="35" s="1"/>
  <c r="AB51"/>
  <c r="K69"/>
  <c r="O69"/>
  <c r="M85"/>
  <c r="Q52"/>
  <c r="L195" i="57"/>
  <c r="AB52" i="35"/>
  <c r="K70"/>
  <c r="O70"/>
  <c r="Q53"/>
  <c r="M86"/>
  <c r="E196" i="57"/>
  <c r="G70" i="35" s="1"/>
  <c r="Z36"/>
  <c r="L196" i="57"/>
  <c r="AB53" i="35"/>
  <c r="O152" i="57"/>
  <c r="N37" i="35" s="1"/>
  <c r="O37"/>
  <c r="O71"/>
  <c r="L197" i="57"/>
  <c r="AB54" i="35"/>
  <c r="I87" s="1"/>
  <c r="K72"/>
  <c r="O72"/>
  <c r="Q38"/>
  <c r="L198" i="57"/>
  <c r="I88" i="35" s="1"/>
  <c r="AB55"/>
  <c r="K73"/>
  <c r="Q39"/>
  <c r="O73"/>
  <c r="M89"/>
  <c r="Q56"/>
  <c r="L199" i="57"/>
  <c r="I89" i="35" s="1"/>
  <c r="AB56"/>
  <c r="AI148"/>
  <c r="AG159"/>
  <c r="AI159" s="1"/>
  <c r="Q48"/>
  <c r="AJ32"/>
  <c r="W33"/>
  <c r="D67" s="1"/>
  <c r="AA33"/>
  <c r="H67" s="1"/>
  <c r="AE33"/>
  <c r="L67" s="1"/>
  <c r="V50"/>
  <c r="Z50"/>
  <c r="G83" s="1"/>
  <c r="AD50"/>
  <c r="AH33"/>
  <c r="AJ35"/>
  <c r="AJ36"/>
  <c r="Q54"/>
  <c r="V37"/>
  <c r="C71" s="1"/>
  <c r="Z37"/>
  <c r="G71" s="1"/>
  <c r="AD37"/>
  <c r="K71" s="1"/>
  <c r="X54"/>
  <c r="E87" s="1"/>
  <c r="AF54"/>
  <c r="M87" s="1"/>
  <c r="V38"/>
  <c r="C72" s="1"/>
  <c r="Z38"/>
  <c r="G72" s="1"/>
  <c r="AD38"/>
  <c r="X55"/>
  <c r="E88" s="1"/>
  <c r="AF55"/>
  <c r="V39"/>
  <c r="C73" s="1"/>
  <c r="Z39"/>
  <c r="G73" s="1"/>
  <c r="AD39"/>
  <c r="X56"/>
  <c r="E89" s="1"/>
  <c r="AF56"/>
  <c r="K80"/>
  <c r="Q30"/>
  <c r="O64"/>
  <c r="C64"/>
  <c r="E80"/>
  <c r="J64"/>
  <c r="N64"/>
  <c r="L80"/>
  <c r="J66"/>
  <c r="N66"/>
  <c r="J68"/>
  <c r="N68"/>
  <c r="J69"/>
  <c r="N69"/>
  <c r="J70"/>
  <c r="N70"/>
  <c r="J72"/>
  <c r="N72"/>
  <c r="J73"/>
  <c r="N73"/>
  <c r="U30"/>
  <c r="Y30"/>
  <c r="AC30"/>
  <c r="AG30"/>
  <c r="W47"/>
  <c r="AA47"/>
  <c r="AE47"/>
  <c r="U31"/>
  <c r="Y31"/>
  <c r="F65" s="1"/>
  <c r="AC31"/>
  <c r="J65" s="1"/>
  <c r="AG31"/>
  <c r="N65" s="1"/>
  <c r="W48"/>
  <c r="D81" s="1"/>
  <c r="AA48"/>
  <c r="H81" s="1"/>
  <c r="AE48"/>
  <c r="L81" s="1"/>
  <c r="U32"/>
  <c r="Y32"/>
  <c r="F66" s="1"/>
  <c r="AC32"/>
  <c r="AG32"/>
  <c r="W49"/>
  <c r="D82" s="1"/>
  <c r="AA49"/>
  <c r="H82" s="1"/>
  <c r="AE49"/>
  <c r="U34"/>
  <c r="Y34"/>
  <c r="F68" s="1"/>
  <c r="AC34"/>
  <c r="AG34"/>
  <c r="W51"/>
  <c r="D84" s="1"/>
  <c r="AA51"/>
  <c r="H84" s="1"/>
  <c r="AE51"/>
  <c r="V33"/>
  <c r="C67" s="1"/>
  <c r="Z33"/>
  <c r="G67" s="1"/>
  <c r="AD33"/>
  <c r="U50"/>
  <c r="Y50"/>
  <c r="F83" s="1"/>
  <c r="AC50"/>
  <c r="U35"/>
  <c r="Y35"/>
  <c r="F69" s="1"/>
  <c r="AC35"/>
  <c r="AG35"/>
  <c r="W52"/>
  <c r="D85" s="1"/>
  <c r="AA52"/>
  <c r="H85" s="1"/>
  <c r="AE52"/>
  <c r="U36"/>
  <c r="Y36"/>
  <c r="F70" s="1"/>
  <c r="AC36"/>
  <c r="AG36"/>
  <c r="W53"/>
  <c r="D86" s="1"/>
  <c r="AA53"/>
  <c r="AE53"/>
  <c r="U37"/>
  <c r="Y37"/>
  <c r="F71" s="1"/>
  <c r="AC37"/>
  <c r="J71" s="1"/>
  <c r="AG37"/>
  <c r="N71" s="1"/>
  <c r="W54"/>
  <c r="D87" s="1"/>
  <c r="AA54"/>
  <c r="H87" s="1"/>
  <c r="AE54"/>
  <c r="L87" s="1"/>
  <c r="U38"/>
  <c r="Y38"/>
  <c r="F72" s="1"/>
  <c r="AC38"/>
  <c r="AG38"/>
  <c r="W55"/>
  <c r="D88" s="1"/>
  <c r="AA55"/>
  <c r="H88" s="1"/>
  <c r="AE55"/>
  <c r="U39"/>
  <c r="Y39"/>
  <c r="F73" s="1"/>
  <c r="AC39"/>
  <c r="AG39"/>
  <c r="W56"/>
  <c r="D89" s="1"/>
  <c r="AA56"/>
  <c r="H89" s="1"/>
  <c r="AE56"/>
  <c r="AL45" i="57"/>
  <c r="AL46"/>
  <c r="AL47"/>
  <c r="AL48"/>
  <c r="AL50"/>
  <c r="AL51"/>
  <c r="AL52"/>
  <c r="AL53"/>
  <c r="AL54"/>
  <c r="AL72"/>
  <c r="AL60"/>
  <c r="AL61"/>
  <c r="AL62"/>
  <c r="AL63"/>
  <c r="AL64"/>
  <c r="AL65"/>
  <c r="AL66"/>
  <c r="AL67"/>
  <c r="AL68"/>
  <c r="AL69"/>
  <c r="AL70"/>
  <c r="AL88"/>
  <c r="E104"/>
  <c r="D33" i="35" s="1"/>
  <c r="I104" i="57"/>
  <c r="H33" i="35" s="1"/>
  <c r="M104" i="57"/>
  <c r="L33" i="35" s="1"/>
  <c r="W104" i="57"/>
  <c r="C50" i="35" s="1"/>
  <c r="C58" s="1"/>
  <c r="AA104" i="57"/>
  <c r="G50" i="35" s="1"/>
  <c r="G58" s="1"/>
  <c r="AE104" i="57"/>
  <c r="K50" i="35" s="1"/>
  <c r="K83" s="1"/>
  <c r="F193" i="57"/>
  <c r="I67" i="35" s="1"/>
  <c r="M193" i="57"/>
  <c r="C104"/>
  <c r="G104"/>
  <c r="F33" i="35" s="1"/>
  <c r="K104" i="57"/>
  <c r="J33" i="35" s="1"/>
  <c r="O104" i="57"/>
  <c r="N33" i="35" s="1"/>
  <c r="N41" s="1"/>
  <c r="Y104" i="57"/>
  <c r="E50" i="35" s="1"/>
  <c r="E58" s="1"/>
  <c r="AC104" i="57"/>
  <c r="I50" i="35" s="1"/>
  <c r="I58" s="1"/>
  <c r="AG104" i="57"/>
  <c r="M50" i="35" s="1"/>
  <c r="AL38" i="57"/>
  <c r="AL43"/>
  <c r="AL44"/>
  <c r="AL49"/>
  <c r="AL94"/>
  <c r="AL95"/>
  <c r="AL98"/>
  <c r="S100"/>
  <c r="AL100"/>
  <c r="S120"/>
  <c r="S136"/>
  <c r="S152"/>
  <c r="AL30"/>
  <c r="P104"/>
  <c r="O33" i="35" s="1"/>
  <c r="S38" i="57"/>
  <c r="S44"/>
  <c r="S45"/>
  <c r="S46"/>
  <c r="S47"/>
  <c r="S48"/>
  <c r="S49"/>
  <c r="S50"/>
  <c r="S51"/>
  <c r="S52"/>
  <c r="S53"/>
  <c r="S54"/>
  <c r="S59"/>
  <c r="S60"/>
  <c r="S61"/>
  <c r="S62"/>
  <c r="S63"/>
  <c r="S64"/>
  <c r="S65"/>
  <c r="S66"/>
  <c r="S67"/>
  <c r="S68"/>
  <c r="S69"/>
  <c r="S70"/>
  <c r="S75"/>
  <c r="S76"/>
  <c r="S77"/>
  <c r="S78"/>
  <c r="S79"/>
  <c r="S80"/>
  <c r="S81"/>
  <c r="S82"/>
  <c r="S83"/>
  <c r="S84"/>
  <c r="S85"/>
  <c r="S86"/>
  <c r="AL92"/>
  <c r="AL93"/>
  <c r="AL96"/>
  <c r="AL97"/>
  <c r="S99"/>
  <c r="AL99"/>
  <c r="S101"/>
  <c r="AL101"/>
  <c r="AL102"/>
  <c r="S27"/>
  <c r="AL40"/>
  <c r="J53" i="40"/>
  <c r="I170" i="35" s="1"/>
  <c r="K104" i="40"/>
  <c r="AB170" i="35" s="1"/>
  <c r="C40" i="57"/>
  <c r="V56"/>
  <c r="C72"/>
  <c r="S88"/>
  <c r="AL76"/>
  <c r="AL77"/>
  <c r="AL78"/>
  <c r="AL79"/>
  <c r="AL80"/>
  <c r="AL81"/>
  <c r="AL82"/>
  <c r="AL83"/>
  <c r="AL84"/>
  <c r="AL85"/>
  <c r="AL86"/>
  <c r="D104"/>
  <c r="C33" i="35" s="1"/>
  <c r="F104" i="57"/>
  <c r="E33" i="35" s="1"/>
  <c r="E41" s="1"/>
  <c r="H104" i="57"/>
  <c r="G33" i="35" s="1"/>
  <c r="G41" s="1"/>
  <c r="J104" i="57"/>
  <c r="I33" i="35" s="1"/>
  <c r="L104" i="57"/>
  <c r="K33" i="35" s="1"/>
  <c r="N104" i="57"/>
  <c r="M33" i="35" s="1"/>
  <c r="AL104" i="57"/>
  <c r="X104"/>
  <c r="D50" i="35" s="1"/>
  <c r="D58" s="1"/>
  <c r="Z104" i="57"/>
  <c r="F50" i="35" s="1"/>
  <c r="F58" s="1"/>
  <c r="AB104" i="57"/>
  <c r="H50" i="35" s="1"/>
  <c r="H58" s="1"/>
  <c r="AD104" i="57"/>
  <c r="J50" i="35" s="1"/>
  <c r="J83" s="1"/>
  <c r="AF104" i="57"/>
  <c r="L50" i="35" s="1"/>
  <c r="L58" s="1"/>
  <c r="S92" i="57"/>
  <c r="S93"/>
  <c r="S94"/>
  <c r="L193"/>
  <c r="I83" i="35" s="1"/>
  <c r="S95" i="57"/>
  <c r="S96"/>
  <c r="S97"/>
  <c r="G193"/>
  <c r="S98"/>
  <c r="S102"/>
  <c r="S107"/>
  <c r="AL107"/>
  <c r="AL110"/>
  <c r="AL136"/>
  <c r="AL126"/>
  <c r="AL152"/>
  <c r="AL142"/>
  <c r="S155"/>
  <c r="AL168"/>
  <c r="S158"/>
  <c r="AL158"/>
  <c r="S159"/>
  <c r="AL159"/>
  <c r="S160"/>
  <c r="AL160"/>
  <c r="S161"/>
  <c r="AL161"/>
  <c r="S162"/>
  <c r="AL162"/>
  <c r="S163"/>
  <c r="AL163"/>
  <c r="S164"/>
  <c r="AL164"/>
  <c r="S165"/>
  <c r="AL165"/>
  <c r="S166"/>
  <c r="AL166"/>
  <c r="AL184"/>
  <c r="S172"/>
  <c r="AL172"/>
  <c r="S173"/>
  <c r="AL173"/>
  <c r="S175"/>
  <c r="AL175"/>
  <c r="S176"/>
  <c r="AL176"/>
  <c r="S177"/>
  <c r="AL177"/>
  <c r="S178"/>
  <c r="AL178"/>
  <c r="S179"/>
  <c r="AL179"/>
  <c r="S180"/>
  <c r="AL180"/>
  <c r="S181"/>
  <c r="AL181"/>
  <c r="S182"/>
  <c r="AL182"/>
  <c r="N152"/>
  <c r="F103" i="37"/>
  <c r="K89" i="42"/>
  <c r="L91"/>
  <c r="K94" i="39"/>
  <c r="L96"/>
  <c r="H89" i="32"/>
  <c r="I91"/>
  <c r="I108" i="40"/>
  <c r="J110"/>
  <c r="AL28" i="57"/>
  <c r="AL29"/>
  <c r="S30"/>
  <c r="AL31"/>
  <c r="AL32"/>
  <c r="S33"/>
  <c r="AL33"/>
  <c r="S34"/>
  <c r="S36"/>
  <c r="AL36"/>
  <c r="S37"/>
  <c r="AL37"/>
  <c r="S40"/>
  <c r="S43"/>
  <c r="S56"/>
  <c r="AL56"/>
  <c r="AL59"/>
  <c r="S72"/>
  <c r="D88"/>
  <c r="V88"/>
  <c r="S91"/>
  <c r="S104"/>
  <c r="S108"/>
  <c r="AL108"/>
  <c r="S109"/>
  <c r="AL109"/>
  <c r="S110"/>
  <c r="S111"/>
  <c r="AL111"/>
  <c r="S112"/>
  <c r="AL112"/>
  <c r="S113"/>
  <c r="AL113"/>
  <c r="S114"/>
  <c r="AL114"/>
  <c r="S115"/>
  <c r="AL115"/>
  <c r="S116"/>
  <c r="AL116"/>
  <c r="S117"/>
  <c r="AL117"/>
  <c r="S118"/>
  <c r="D120"/>
  <c r="V120"/>
  <c r="AL120"/>
  <c r="AL123"/>
  <c r="D136"/>
  <c r="C36" i="35" s="1"/>
  <c r="Q36" s="1"/>
  <c r="V136" i="57"/>
  <c r="AL139"/>
  <c r="D152"/>
  <c r="C37" i="35" s="1"/>
  <c r="V152" i="57"/>
  <c r="AL155"/>
  <c r="C168"/>
  <c r="S168"/>
  <c r="S171"/>
  <c r="D61" i="41"/>
  <c r="C27" i="113" s="1"/>
  <c r="S174" i="57"/>
  <c r="S184"/>
  <c r="K108" i="34"/>
  <c r="L110"/>
  <c r="S28" i="57"/>
  <c r="S29"/>
  <c r="S31"/>
  <c r="S32"/>
  <c r="AL27"/>
  <c r="AL34"/>
  <c r="S35"/>
  <c r="AL35"/>
  <c r="V40"/>
  <c r="V72"/>
  <c r="AL75"/>
  <c r="AL91"/>
  <c r="V104"/>
  <c r="S123"/>
  <c r="S124"/>
  <c r="AL124"/>
  <c r="S125"/>
  <c r="AL125"/>
  <c r="S126"/>
  <c r="S127"/>
  <c r="AL127"/>
  <c r="S128"/>
  <c r="AL128"/>
  <c r="S129"/>
  <c r="AL129"/>
  <c r="S130"/>
  <c r="AL130"/>
  <c r="S131"/>
  <c r="AL131"/>
  <c r="S132"/>
  <c r="AL132"/>
  <c r="S133"/>
  <c r="AL133"/>
  <c r="S134"/>
  <c r="S139"/>
  <c r="S140"/>
  <c r="AL140"/>
  <c r="S141"/>
  <c r="AL141"/>
  <c r="S142"/>
  <c r="S143"/>
  <c r="AL143"/>
  <c r="S144"/>
  <c r="AL144"/>
  <c r="S145"/>
  <c r="AL145"/>
  <c r="S146"/>
  <c r="AL146"/>
  <c r="S147"/>
  <c r="AL147"/>
  <c r="S148"/>
  <c r="AL148"/>
  <c r="S149"/>
  <c r="AL149"/>
  <c r="S150"/>
  <c r="S156"/>
  <c r="AL156"/>
  <c r="S157"/>
  <c r="AL157"/>
  <c r="V168"/>
  <c r="AL171"/>
  <c r="D62" i="41"/>
  <c r="AL174" i="57"/>
  <c r="V184"/>
  <c r="M195"/>
  <c r="I85" i="35" s="1"/>
  <c r="AJ49" l="1"/>
  <c r="X58"/>
  <c r="AJ34"/>
  <c r="Q68"/>
  <c r="AD58"/>
  <c r="AJ52"/>
  <c r="AD41"/>
  <c r="AJ48"/>
  <c r="AF41"/>
  <c r="AJ39"/>
  <c r="H87" i="37"/>
  <c r="Y131" i="35" s="1"/>
  <c r="Y142" s="1"/>
  <c r="C174"/>
  <c r="Q174" s="1"/>
  <c r="E103" i="41"/>
  <c r="U174" i="35" s="1"/>
  <c r="AI174" s="1"/>
  <c r="I52" i="39"/>
  <c r="I169" i="35"/>
  <c r="J90" i="39"/>
  <c r="AA169" i="35" s="1"/>
  <c r="I52" i="38"/>
  <c r="I167" i="35"/>
  <c r="J90" i="38"/>
  <c r="AA167" i="35" s="1"/>
  <c r="Q81"/>
  <c r="E75"/>
  <c r="D87" i="37"/>
  <c r="U131" i="35" s="1"/>
  <c r="U142" s="1"/>
  <c r="Q65"/>
  <c r="E91"/>
  <c r="K114"/>
  <c r="K125" s="1"/>
  <c r="L69" i="37"/>
  <c r="L78"/>
  <c r="N51"/>
  <c r="N165" i="35"/>
  <c r="O89" i="37"/>
  <c r="AF165" i="35" s="1"/>
  <c r="AG165" s="1"/>
  <c r="AA114"/>
  <c r="AA125" s="1"/>
  <c r="J103" i="37"/>
  <c r="I131" i="35"/>
  <c r="I142" s="1"/>
  <c r="J87" i="37"/>
  <c r="AA131" i="35" s="1"/>
  <c r="AA142" s="1"/>
  <c r="N131"/>
  <c r="O87" i="37"/>
  <c r="AF131" i="35" s="1"/>
  <c r="AG131" s="1"/>
  <c r="D45" i="37"/>
  <c r="D83" s="1"/>
  <c r="E83"/>
  <c r="U114" i="35"/>
  <c r="U125" s="1"/>
  <c r="D103" i="37"/>
  <c r="K103"/>
  <c r="AB114" i="35"/>
  <c r="AB125" s="1"/>
  <c r="F131"/>
  <c r="F142" s="1"/>
  <c r="G87" i="37"/>
  <c r="X131" i="35" s="1"/>
  <c r="X142" s="1"/>
  <c r="Z114"/>
  <c r="Z125" s="1"/>
  <c r="I103" i="37"/>
  <c r="AE114" i="35"/>
  <c r="AE125" s="1"/>
  <c r="N103" i="37"/>
  <c r="L43"/>
  <c r="L82" s="1"/>
  <c r="E131" i="35"/>
  <c r="E142" s="1"/>
  <c r="F87" i="37"/>
  <c r="W131" i="35" s="1"/>
  <c r="W142" s="1"/>
  <c r="O114"/>
  <c r="N125"/>
  <c r="X114"/>
  <c r="X125" s="1"/>
  <c r="G103" i="37"/>
  <c r="J131" i="35"/>
  <c r="J142" s="1"/>
  <c r="K87" i="37"/>
  <c r="AB131" i="35" s="1"/>
  <c r="AB142" s="1"/>
  <c r="V114"/>
  <c r="V125" s="1"/>
  <c r="E103" i="37"/>
  <c r="M45"/>
  <c r="N83"/>
  <c r="M131" i="35"/>
  <c r="N87" i="37"/>
  <c r="AE131" i="35" s="1"/>
  <c r="Y114"/>
  <c r="Y125" s="1"/>
  <c r="H103" i="37"/>
  <c r="AF114" i="35"/>
  <c r="O103" i="37"/>
  <c r="AD114" i="35"/>
  <c r="AD125" s="1"/>
  <c r="M103" i="37"/>
  <c r="Q50" i="35"/>
  <c r="K58"/>
  <c r="AJ55"/>
  <c r="AJ38"/>
  <c r="Q73"/>
  <c r="Q61" i="41"/>
  <c r="Q66" i="35"/>
  <c r="P60" i="38"/>
  <c r="I91" i="35"/>
  <c r="Z41"/>
  <c r="AG58"/>
  <c r="AE41"/>
  <c r="N91"/>
  <c r="L75"/>
  <c r="D41"/>
  <c r="AJ54"/>
  <c r="K67"/>
  <c r="K75" s="1"/>
  <c r="Q37"/>
  <c r="AC41"/>
  <c r="Q72"/>
  <c r="M75"/>
  <c r="Q87"/>
  <c r="Q33"/>
  <c r="J67"/>
  <c r="W58"/>
  <c r="D80"/>
  <c r="D91" s="1"/>
  <c r="AJ33"/>
  <c r="O67"/>
  <c r="O75" s="1"/>
  <c r="F80"/>
  <c r="F91" s="1"/>
  <c r="Y58"/>
  <c r="D64"/>
  <c r="D75" s="1"/>
  <c r="W41"/>
  <c r="J75"/>
  <c r="O41"/>
  <c r="AG41"/>
  <c r="G75"/>
  <c r="U58"/>
  <c r="V58"/>
  <c r="AJ58" s="1"/>
  <c r="U41"/>
  <c r="J41"/>
  <c r="F41"/>
  <c r="C75"/>
  <c r="I41"/>
  <c r="AJ37"/>
  <c r="M58"/>
  <c r="Q58" s="1"/>
  <c r="G91"/>
  <c r="J91"/>
  <c r="I75"/>
  <c r="Q64"/>
  <c r="Q70"/>
  <c r="P55" i="32"/>
  <c r="C120" i="57"/>
  <c r="AL118" s="1"/>
  <c r="C35" i="35"/>
  <c r="C88" i="57"/>
  <c r="C34" i="35"/>
  <c r="M152" i="57"/>
  <c r="M37" i="35"/>
  <c r="H80"/>
  <c r="H91" s="1"/>
  <c r="AA58"/>
  <c r="F64"/>
  <c r="F75" s="1"/>
  <c r="Y41"/>
  <c r="AJ50"/>
  <c r="C83"/>
  <c r="Q83" s="1"/>
  <c r="Q69"/>
  <c r="P61" i="40"/>
  <c r="AA41" i="35"/>
  <c r="H64"/>
  <c r="H75" s="1"/>
  <c r="Q80"/>
  <c r="O91"/>
  <c r="AE58"/>
  <c r="N75"/>
  <c r="AB58"/>
  <c r="Z58"/>
  <c r="H41"/>
  <c r="AF58"/>
  <c r="L91"/>
  <c r="V41"/>
  <c r="K91"/>
  <c r="Q71"/>
  <c r="AH41"/>
  <c r="AJ41" s="1"/>
  <c r="M91"/>
  <c r="X41"/>
  <c r="AC58"/>
  <c r="J58"/>
  <c r="AJ56"/>
  <c r="AB41"/>
  <c r="P62" i="40"/>
  <c r="I53"/>
  <c r="H170" i="35" s="1"/>
  <c r="J104" i="40"/>
  <c r="AA170" i="35" s="1"/>
  <c r="D84" i="41"/>
  <c r="D82"/>
  <c r="D80"/>
  <c r="D81"/>
  <c r="D114"/>
  <c r="D116"/>
  <c r="D115"/>
  <c r="H108" i="40"/>
  <c r="I110"/>
  <c r="G89" i="32"/>
  <c r="H91"/>
  <c r="J94" i="39"/>
  <c r="K96"/>
  <c r="J89" i="42"/>
  <c r="K91"/>
  <c r="J108" i="34"/>
  <c r="K110"/>
  <c r="H52" i="39" l="1"/>
  <c r="H169" i="35"/>
  <c r="I90" i="39"/>
  <c r="Z169" i="35" s="1"/>
  <c r="H52" i="38"/>
  <c r="H167" i="35"/>
  <c r="I90" i="38"/>
  <c r="Z167" i="35" s="1"/>
  <c r="AI131"/>
  <c r="AG114"/>
  <c r="AF125"/>
  <c r="O131"/>
  <c r="AC114"/>
  <c r="AC125" s="1"/>
  <c r="L103" i="37"/>
  <c r="L45"/>
  <c r="M83"/>
  <c r="Q114" i="35"/>
  <c r="O125"/>
  <c r="Q125" s="1"/>
  <c r="O165"/>
  <c r="Q75"/>
  <c r="M51" i="37"/>
  <c r="M165" i="35"/>
  <c r="N89" i="37"/>
  <c r="AE165" i="35" s="1"/>
  <c r="Q34"/>
  <c r="O24" i="113"/>
  <c r="P66" i="32"/>
  <c r="P64"/>
  <c r="P62"/>
  <c r="P61"/>
  <c r="P96"/>
  <c r="AI76" i="113" s="1"/>
  <c r="O76" s="1"/>
  <c r="P98" i="32"/>
  <c r="AI131" i="113" s="1"/>
  <c r="O131" s="1"/>
  <c r="P95" i="32"/>
  <c r="AI49" i="113" s="1"/>
  <c r="P63" i="32"/>
  <c r="P97"/>
  <c r="AI103" i="113" s="1"/>
  <c r="Q67" i="35"/>
  <c r="P62" i="34"/>
  <c r="Q116" i="41"/>
  <c r="Q79"/>
  <c r="Q80"/>
  <c r="Q82"/>
  <c r="Q84"/>
  <c r="Q81"/>
  <c r="Q114"/>
  <c r="Q115"/>
  <c r="Q113"/>
  <c r="C41" i="35"/>
  <c r="L152" i="57"/>
  <c r="K37" i="35" s="1"/>
  <c r="L37"/>
  <c r="P114" i="40"/>
  <c r="AI48" i="113" s="1"/>
  <c r="P82" i="40"/>
  <c r="O23" i="113"/>
  <c r="P81" i="40"/>
  <c r="P85"/>
  <c r="P80"/>
  <c r="P83"/>
  <c r="P117"/>
  <c r="AI130" i="113" s="1"/>
  <c r="O130" s="1"/>
  <c r="P116" i="40"/>
  <c r="AI102" i="113" s="1"/>
  <c r="P115" i="40"/>
  <c r="AI75" i="113" s="1"/>
  <c r="O75" s="1"/>
  <c r="Q35" i="35"/>
  <c r="O20" i="113"/>
  <c r="P71" i="38"/>
  <c r="P69"/>
  <c r="P67"/>
  <c r="P66"/>
  <c r="P68"/>
  <c r="P102"/>
  <c r="AI99" i="113" s="1"/>
  <c r="P103" i="38"/>
  <c r="AI127" i="113" s="1"/>
  <c r="O127" s="1"/>
  <c r="P101" i="38"/>
  <c r="AI72" i="113" s="1"/>
  <c r="O72" s="1"/>
  <c r="P100" i="38"/>
  <c r="AI45" i="113" s="1"/>
  <c r="C91" i="35"/>
  <c r="Q91" s="1"/>
  <c r="Q41"/>
  <c r="M41"/>
  <c r="H53" i="40"/>
  <c r="G170" i="35" s="1"/>
  <c r="I104" i="40"/>
  <c r="Z170" i="35" s="1"/>
  <c r="I108" i="34"/>
  <c r="J110"/>
  <c r="I89" i="42"/>
  <c r="J91"/>
  <c r="I94" i="39"/>
  <c r="J96"/>
  <c r="F89" i="32"/>
  <c r="G91"/>
  <c r="G108" i="40"/>
  <c r="H110"/>
  <c r="G52" i="39" l="1"/>
  <c r="G169" i="35"/>
  <c r="H90" i="39"/>
  <c r="Y169" i="35" s="1"/>
  <c r="G52" i="38"/>
  <c r="G167" i="35"/>
  <c r="H90" i="38"/>
  <c r="Y167" i="35" s="1"/>
  <c r="L51" i="37"/>
  <c r="L165" i="35"/>
  <c r="M89" i="37"/>
  <c r="AD165" i="35" s="1"/>
  <c r="Q131"/>
  <c r="AG125"/>
  <c r="AI125" s="1"/>
  <c r="AI114"/>
  <c r="K45" i="37"/>
  <c r="L83"/>
  <c r="O45" i="113"/>
  <c r="O99"/>
  <c r="K41" i="35"/>
  <c r="O21" i="113"/>
  <c r="P83" i="34"/>
  <c r="P82"/>
  <c r="P81"/>
  <c r="P80"/>
  <c r="P85"/>
  <c r="P117"/>
  <c r="AI128" i="113" s="1"/>
  <c r="O128" s="1"/>
  <c r="P116" i="34"/>
  <c r="AI100" i="113" s="1"/>
  <c r="P114" i="34"/>
  <c r="AI46" i="113" s="1"/>
  <c r="P115" i="34"/>
  <c r="AI73" i="113" s="1"/>
  <c r="O73" s="1"/>
  <c r="O49"/>
  <c r="L41" i="35"/>
  <c r="O102" i="113"/>
  <c r="O48"/>
  <c r="O103"/>
  <c r="G53" i="40"/>
  <c r="F170" i="35" s="1"/>
  <c r="H104" i="40"/>
  <c r="Y170" i="35" s="1"/>
  <c r="F108" i="40"/>
  <c r="G110"/>
  <c r="E89" i="32"/>
  <c r="E91" s="1"/>
  <c r="F91"/>
  <c r="H94" i="39"/>
  <c r="I96"/>
  <c r="H89" i="42"/>
  <c r="I91"/>
  <c r="H108" i="34"/>
  <c r="I110"/>
  <c r="F52" i="39" l="1"/>
  <c r="F169" i="35"/>
  <c r="G90" i="39"/>
  <c r="X169" i="35" s="1"/>
  <c r="F52" i="38"/>
  <c r="F167" i="35"/>
  <c r="G90" i="38"/>
  <c r="X167" i="35" s="1"/>
  <c r="J45" i="37"/>
  <c r="K83"/>
  <c r="K51"/>
  <c r="K165" i="35"/>
  <c r="L89" i="37"/>
  <c r="AC165" i="35" s="1"/>
  <c r="O100" i="113"/>
  <c r="O46"/>
  <c r="F53" i="40"/>
  <c r="E170" i="35" s="1"/>
  <c r="G104" i="40"/>
  <c r="X170" i="35" s="1"/>
  <c r="G108" i="34"/>
  <c r="H110"/>
  <c r="G89" i="42"/>
  <c r="H91"/>
  <c r="G94" i="39"/>
  <c r="H96"/>
  <c r="E108" i="40"/>
  <c r="E110" s="1"/>
  <c r="F110"/>
  <c r="E52" i="39" l="1"/>
  <c r="E169" i="35"/>
  <c r="F90" i="39"/>
  <c r="W169" i="35" s="1"/>
  <c r="E52" i="38"/>
  <c r="E167" i="35"/>
  <c r="F90" i="38"/>
  <c r="W167" i="35" s="1"/>
  <c r="J51" i="37"/>
  <c r="J165" i="35"/>
  <c r="K89" i="37"/>
  <c r="AB165" i="35" s="1"/>
  <c r="I45" i="37"/>
  <c r="J83"/>
  <c r="E53" i="40"/>
  <c r="F104"/>
  <c r="W170" i="35" s="1"/>
  <c r="F94" i="39"/>
  <c r="G96"/>
  <c r="F89" i="42"/>
  <c r="G91"/>
  <c r="F108" i="34"/>
  <c r="G110"/>
  <c r="E104" i="40" l="1"/>
  <c r="V170" i="35" s="1"/>
  <c r="D170"/>
  <c r="D52" i="39"/>
  <c r="D169" i="35"/>
  <c r="E90" i="39"/>
  <c r="V169" i="35" s="1"/>
  <c r="D52" i="38"/>
  <c r="D167" i="35"/>
  <c r="E90" i="38"/>
  <c r="V167" i="35" s="1"/>
  <c r="I51" i="37"/>
  <c r="I165" i="35"/>
  <c r="J89" i="37"/>
  <c r="AA165" i="35" s="1"/>
  <c r="H45" i="37"/>
  <c r="I83"/>
  <c r="E108" i="34"/>
  <c r="E110" s="1"/>
  <c r="F110"/>
  <c r="E89" i="42"/>
  <c r="E91" s="1"/>
  <c r="F91"/>
  <c r="E94" i="39"/>
  <c r="E96" s="1"/>
  <c r="F96"/>
  <c r="C169" i="35" l="1"/>
  <c r="Q169" s="1"/>
  <c r="D90" i="39"/>
  <c r="U169" i="35" s="1"/>
  <c r="AI169" s="1"/>
  <c r="C167"/>
  <c r="Q167" s="1"/>
  <c r="D90" i="38"/>
  <c r="U167" i="35" s="1"/>
  <c r="AI167" s="1"/>
  <c r="H51" i="37"/>
  <c r="H165" i="35"/>
  <c r="I89" i="37"/>
  <c r="Z165" i="35" s="1"/>
  <c r="G45" i="37"/>
  <c r="H83"/>
  <c r="AG139" i="113"/>
  <c r="AF139"/>
  <c r="AE139"/>
  <c r="AD139"/>
  <c r="AC139"/>
  <c r="AB139"/>
  <c r="AK139" s="1"/>
  <c r="AA139"/>
  <c r="Z139"/>
  <c r="Y139"/>
  <c r="X139"/>
  <c r="W139"/>
  <c r="AI249" s="1"/>
  <c r="N139"/>
  <c r="M139"/>
  <c r="L139"/>
  <c r="K139"/>
  <c r="J139"/>
  <c r="I139"/>
  <c r="H139"/>
  <c r="Q139" s="1"/>
  <c r="G139"/>
  <c r="F139"/>
  <c r="E139"/>
  <c r="D139"/>
  <c r="C139"/>
  <c r="O249" s="1"/>
  <c r="AG138"/>
  <c r="AF138"/>
  <c r="AE138"/>
  <c r="AD138"/>
  <c r="AC138"/>
  <c r="AB138"/>
  <c r="AA138"/>
  <c r="Z138"/>
  <c r="Y138"/>
  <c r="X138"/>
  <c r="W138"/>
  <c r="N138"/>
  <c r="O138" s="1"/>
  <c r="M138"/>
  <c r="L138"/>
  <c r="K138"/>
  <c r="J138"/>
  <c r="I138"/>
  <c r="H138"/>
  <c r="G138"/>
  <c r="F138"/>
  <c r="E138"/>
  <c r="D138"/>
  <c r="C138"/>
  <c r="AG137"/>
  <c r="AF137"/>
  <c r="AE137"/>
  <c r="AD137"/>
  <c r="AC137"/>
  <c r="AB137"/>
  <c r="AK137" s="1"/>
  <c r="AA137"/>
  <c r="Z137"/>
  <c r="Y137"/>
  <c r="X137"/>
  <c r="W137"/>
  <c r="AI247" s="1"/>
  <c r="N137"/>
  <c r="M137"/>
  <c r="L137"/>
  <c r="K137"/>
  <c r="J137"/>
  <c r="I137"/>
  <c r="H137"/>
  <c r="Q137" s="1"/>
  <c r="G137"/>
  <c r="F137"/>
  <c r="E137"/>
  <c r="D137"/>
  <c r="C137"/>
  <c r="AG136"/>
  <c r="AF136"/>
  <c r="AE136"/>
  <c r="AD136"/>
  <c r="AC136"/>
  <c r="N136"/>
  <c r="M136"/>
  <c r="G136" s="1"/>
  <c r="L136"/>
  <c r="F136" s="1"/>
  <c r="K136"/>
  <c r="E136" s="1"/>
  <c r="J136"/>
  <c r="D136" s="1"/>
  <c r="I136"/>
  <c r="C136" s="1"/>
  <c r="AG135"/>
  <c r="AF135"/>
  <c r="AE135"/>
  <c r="AD135"/>
  <c r="AC135"/>
  <c r="AB135"/>
  <c r="AK135" s="1"/>
  <c r="AA135"/>
  <c r="Z135"/>
  <c r="Y135"/>
  <c r="X135"/>
  <c r="W135"/>
  <c r="AI245" s="1"/>
  <c r="N135"/>
  <c r="M135"/>
  <c r="L135"/>
  <c r="K135"/>
  <c r="J135"/>
  <c r="I135"/>
  <c r="H135"/>
  <c r="Q135" s="1"/>
  <c r="G135"/>
  <c r="F135"/>
  <c r="E135"/>
  <c r="D135"/>
  <c r="C135"/>
  <c r="W134"/>
  <c r="Q138" l="1"/>
  <c r="E246"/>
  <c r="D246"/>
  <c r="F45" i="37"/>
  <c r="F83" s="1"/>
  <c r="G83"/>
  <c r="G51"/>
  <c r="G165" i="35"/>
  <c r="H89" i="37"/>
  <c r="Y165" i="35" s="1"/>
  <c r="F246" i="113"/>
  <c r="N246"/>
  <c r="H136"/>
  <c r="O246"/>
  <c r="C246"/>
  <c r="G246"/>
  <c r="Y136"/>
  <c r="W136"/>
  <c r="X136"/>
  <c r="AB136"/>
  <c r="AA136"/>
  <c r="Z136"/>
  <c r="O248"/>
  <c r="W244"/>
  <c r="O247"/>
  <c r="O245"/>
  <c r="M246"/>
  <c r="D248"/>
  <c r="C248" s="1"/>
  <c r="F248"/>
  <c r="H248"/>
  <c r="J248"/>
  <c r="L248"/>
  <c r="N248"/>
  <c r="X248"/>
  <c r="W248" s="1"/>
  <c r="Z248"/>
  <c r="AB248"/>
  <c r="AD248"/>
  <c r="AF248"/>
  <c r="E245"/>
  <c r="G245"/>
  <c r="I245"/>
  <c r="K245"/>
  <c r="M245"/>
  <c r="Y245"/>
  <c r="AA245"/>
  <c r="AC245"/>
  <c r="AE245"/>
  <c r="AG245"/>
  <c r="L246"/>
  <c r="K246" s="1"/>
  <c r="J246" s="1"/>
  <c r="I246" s="1"/>
  <c r="E247"/>
  <c r="G247"/>
  <c r="I247"/>
  <c r="K247"/>
  <c r="M247"/>
  <c r="Y247"/>
  <c r="AA247"/>
  <c r="AC247"/>
  <c r="AE247"/>
  <c r="AG247"/>
  <c r="E249"/>
  <c r="G249"/>
  <c r="I249"/>
  <c r="K249"/>
  <c r="M249"/>
  <c r="Y249"/>
  <c r="AA249"/>
  <c r="AC249"/>
  <c r="AE249"/>
  <c r="AG249"/>
  <c r="C134"/>
  <c r="D245"/>
  <c r="C245" s="1"/>
  <c r="F245"/>
  <c r="H245"/>
  <c r="J245"/>
  <c r="L245"/>
  <c r="N245"/>
  <c r="X245"/>
  <c r="W245" s="1"/>
  <c r="Z245"/>
  <c r="AB245"/>
  <c r="AD245"/>
  <c r="AF245"/>
  <c r="D247"/>
  <c r="C247" s="1"/>
  <c r="F247"/>
  <c r="H247"/>
  <c r="J247"/>
  <c r="L247"/>
  <c r="N247"/>
  <c r="X247"/>
  <c r="W247" s="1"/>
  <c r="Z247"/>
  <c r="AB247"/>
  <c r="AD247"/>
  <c r="AF247"/>
  <c r="E248"/>
  <c r="G248"/>
  <c r="I248"/>
  <c r="K248"/>
  <c r="M248"/>
  <c r="Y248"/>
  <c r="AA248"/>
  <c r="AC248"/>
  <c r="AE248"/>
  <c r="AG248"/>
  <c r="D249"/>
  <c r="C249" s="1"/>
  <c r="F249"/>
  <c r="H249"/>
  <c r="Q249" s="1"/>
  <c r="J249"/>
  <c r="L249"/>
  <c r="N249"/>
  <c r="X249"/>
  <c r="W249" s="1"/>
  <c r="Z249"/>
  <c r="AB249"/>
  <c r="AD249"/>
  <c r="AF249"/>
  <c r="H246" l="1"/>
  <c r="Q246" s="1"/>
  <c r="Q136"/>
  <c r="F51" i="37"/>
  <c r="F165" i="35"/>
  <c r="G89" i="37"/>
  <c r="X165" i="35" s="1"/>
  <c r="AI246" i="113"/>
  <c r="W246"/>
  <c r="X246"/>
  <c r="AK136"/>
  <c r="AB246"/>
  <c r="AA246"/>
  <c r="Y246"/>
  <c r="Z246"/>
  <c r="Q247"/>
  <c r="Q245"/>
  <c r="Q248"/>
  <c r="N110"/>
  <c r="O110" s="1"/>
  <c r="Q110" s="1"/>
  <c r="M110"/>
  <c r="L110"/>
  <c r="K110"/>
  <c r="J110"/>
  <c r="I110"/>
  <c r="H110"/>
  <c r="G110"/>
  <c r="F110"/>
  <c r="E110"/>
  <c r="D110"/>
  <c r="W106"/>
  <c r="E51" i="37" l="1"/>
  <c r="E165" i="35"/>
  <c r="F89" i="37"/>
  <c r="W165" i="35" s="1"/>
  <c r="C106" i="113"/>
  <c r="AG84"/>
  <c r="AF84"/>
  <c r="AE84"/>
  <c r="AD84"/>
  <c r="AC84"/>
  <c r="AB84"/>
  <c r="AK84" s="1"/>
  <c r="AA84"/>
  <c r="Z84"/>
  <c r="Y84"/>
  <c r="X84"/>
  <c r="W84"/>
  <c r="N84"/>
  <c r="M84"/>
  <c r="L84"/>
  <c r="K84"/>
  <c r="J84"/>
  <c r="I84"/>
  <c r="H84"/>
  <c r="Q84" s="1"/>
  <c r="G84"/>
  <c r="F84"/>
  <c r="E84"/>
  <c r="D84"/>
  <c r="C84"/>
  <c r="AG83"/>
  <c r="AF83"/>
  <c r="AE83"/>
  <c r="AD83"/>
  <c r="AC83"/>
  <c r="AB83"/>
  <c r="AA83"/>
  <c r="Z83"/>
  <c r="Y83"/>
  <c r="X83"/>
  <c r="W83"/>
  <c r="W192" s="1"/>
  <c r="N83"/>
  <c r="O83" s="1"/>
  <c r="M83"/>
  <c r="L83"/>
  <c r="K83"/>
  <c r="J83"/>
  <c r="I83"/>
  <c r="H83"/>
  <c r="G83"/>
  <c r="F83"/>
  <c r="E83"/>
  <c r="D83"/>
  <c r="C83"/>
  <c r="C192" s="1"/>
  <c r="AG82"/>
  <c r="AF82"/>
  <c r="AE82"/>
  <c r="AD82"/>
  <c r="AC82"/>
  <c r="AB82"/>
  <c r="AK82" s="1"/>
  <c r="AA82"/>
  <c r="Z82"/>
  <c r="Y82"/>
  <c r="X82"/>
  <c r="W82"/>
  <c r="N82"/>
  <c r="M82"/>
  <c r="L82"/>
  <c r="K82"/>
  <c r="J82"/>
  <c r="I82"/>
  <c r="H82"/>
  <c r="Q82" s="1"/>
  <c r="G82"/>
  <c r="F82"/>
  <c r="E82"/>
  <c r="D82"/>
  <c r="C82"/>
  <c r="AC81"/>
  <c r="N81"/>
  <c r="M81"/>
  <c r="L81"/>
  <c r="K81"/>
  <c r="J81"/>
  <c r="I81"/>
  <c r="AG80"/>
  <c r="AF80"/>
  <c r="AE80"/>
  <c r="AD80"/>
  <c r="AC80"/>
  <c r="AB80"/>
  <c r="AK80" s="1"/>
  <c r="AA80"/>
  <c r="Z80"/>
  <c r="Y80"/>
  <c r="X80"/>
  <c r="W80"/>
  <c r="N80"/>
  <c r="M80"/>
  <c r="L80"/>
  <c r="K80"/>
  <c r="J80"/>
  <c r="I80"/>
  <c r="H80"/>
  <c r="Q80" s="1"/>
  <c r="G80"/>
  <c r="F80"/>
  <c r="E80"/>
  <c r="D80"/>
  <c r="C80"/>
  <c r="W79"/>
  <c r="D51" i="37" l="1"/>
  <c r="D165" i="35"/>
  <c r="E89" i="37"/>
  <c r="V165" i="35" s="1"/>
  <c r="E81" i="113"/>
  <c r="C81"/>
  <c r="L190" s="1"/>
  <c r="G81"/>
  <c r="F81"/>
  <c r="D81"/>
  <c r="H81"/>
  <c r="AA81"/>
  <c r="Z81"/>
  <c r="W81"/>
  <c r="AC190" s="1"/>
  <c r="Y81"/>
  <c r="X81"/>
  <c r="AB81"/>
  <c r="C191"/>
  <c r="O191"/>
  <c r="W191"/>
  <c r="AI191"/>
  <c r="C189"/>
  <c r="O189"/>
  <c r="W189"/>
  <c r="AI189"/>
  <c r="Q83"/>
  <c r="O192"/>
  <c r="C193"/>
  <c r="O193"/>
  <c r="W193"/>
  <c r="AI193"/>
  <c r="D189"/>
  <c r="X189"/>
  <c r="D191"/>
  <c r="D193"/>
  <c r="X193"/>
  <c r="Y189"/>
  <c r="AA189"/>
  <c r="AC189"/>
  <c r="AE189"/>
  <c r="AG189"/>
  <c r="Y191"/>
  <c r="AA191"/>
  <c r="AC191"/>
  <c r="AE191"/>
  <c r="AG191"/>
  <c r="D192"/>
  <c r="X192"/>
  <c r="Z192"/>
  <c r="AB192"/>
  <c r="AD192"/>
  <c r="AF192"/>
  <c r="Y193"/>
  <c r="AA193"/>
  <c r="AC193"/>
  <c r="AE193"/>
  <c r="AG193"/>
  <c r="C79"/>
  <c r="W188"/>
  <c r="Z189"/>
  <c r="AB189"/>
  <c r="AD189"/>
  <c r="AF189"/>
  <c r="X191"/>
  <c r="Z191"/>
  <c r="AB191"/>
  <c r="AD191"/>
  <c r="AF191"/>
  <c r="Y192"/>
  <c r="AA192"/>
  <c r="AC192"/>
  <c r="AE192"/>
  <c r="AG192"/>
  <c r="Z193"/>
  <c r="AB193"/>
  <c r="AD193"/>
  <c r="AF193"/>
  <c r="E189"/>
  <c r="G189"/>
  <c r="I189"/>
  <c r="K189"/>
  <c r="M189"/>
  <c r="E191"/>
  <c r="G191"/>
  <c r="I191"/>
  <c r="K191"/>
  <c r="M191"/>
  <c r="F192"/>
  <c r="H192"/>
  <c r="J192"/>
  <c r="L192"/>
  <c r="N192"/>
  <c r="E193"/>
  <c r="G193"/>
  <c r="I193"/>
  <c r="K193"/>
  <c r="M193"/>
  <c r="F189"/>
  <c r="H189"/>
  <c r="J189"/>
  <c r="L189"/>
  <c r="N189"/>
  <c r="F191"/>
  <c r="H191"/>
  <c r="J191"/>
  <c r="L191"/>
  <c r="N191"/>
  <c r="E192"/>
  <c r="G192"/>
  <c r="I192"/>
  <c r="K192"/>
  <c r="M192"/>
  <c r="F193"/>
  <c r="H193"/>
  <c r="J193"/>
  <c r="L193"/>
  <c r="N193"/>
  <c r="AG57"/>
  <c r="AF57"/>
  <c r="AE57"/>
  <c r="AD57"/>
  <c r="AC57"/>
  <c r="AB57"/>
  <c r="AK57" s="1"/>
  <c r="AA57"/>
  <c r="Z57"/>
  <c r="Y57"/>
  <c r="X57"/>
  <c r="W57"/>
  <c r="AI166" s="1"/>
  <c r="N57"/>
  <c r="M57"/>
  <c r="L57"/>
  <c r="K57"/>
  <c r="J57"/>
  <c r="I57"/>
  <c r="H57"/>
  <c r="Q57" s="1"/>
  <c r="G57"/>
  <c r="F57"/>
  <c r="E57"/>
  <c r="D57"/>
  <c r="C57"/>
  <c r="AG56"/>
  <c r="AF56"/>
  <c r="AE56"/>
  <c r="AD56"/>
  <c r="AC56"/>
  <c r="AB56"/>
  <c r="AA56"/>
  <c r="Z56"/>
  <c r="Y56"/>
  <c r="X56"/>
  <c r="W56"/>
  <c r="N56"/>
  <c r="O56" s="1"/>
  <c r="M56"/>
  <c r="L56"/>
  <c r="K56"/>
  <c r="J56"/>
  <c r="I56"/>
  <c r="H56"/>
  <c r="G56"/>
  <c r="F56"/>
  <c r="E56"/>
  <c r="D56"/>
  <c r="C56"/>
  <c r="AG55"/>
  <c r="AF55"/>
  <c r="AE55"/>
  <c r="AD55"/>
  <c r="AC55"/>
  <c r="AB55"/>
  <c r="AK55" s="1"/>
  <c r="AA55"/>
  <c r="Z55"/>
  <c r="Y55"/>
  <c r="X55"/>
  <c r="W55"/>
  <c r="AI164" s="1"/>
  <c r="N55"/>
  <c r="M55"/>
  <c r="L55"/>
  <c r="K55"/>
  <c r="J55"/>
  <c r="I55"/>
  <c r="H55"/>
  <c r="Q55" s="1"/>
  <c r="G55"/>
  <c r="F55"/>
  <c r="E55"/>
  <c r="D55"/>
  <c r="AG54"/>
  <c r="AF54"/>
  <c r="AE54"/>
  <c r="AD54"/>
  <c r="AC54"/>
  <c r="L54"/>
  <c r="K54"/>
  <c r="J54"/>
  <c r="I54" s="1"/>
  <c r="AG53"/>
  <c r="AF53"/>
  <c r="AE53"/>
  <c r="AD53"/>
  <c r="AC53"/>
  <c r="AB53"/>
  <c r="AK53" s="1"/>
  <c r="AA53"/>
  <c r="Z53"/>
  <c r="Y53"/>
  <c r="X53"/>
  <c r="W53"/>
  <c r="AI162" s="1"/>
  <c r="N53"/>
  <c r="M53"/>
  <c r="L53"/>
  <c r="K53"/>
  <c r="J53"/>
  <c r="I53"/>
  <c r="H53"/>
  <c r="Q53" s="1"/>
  <c r="G53"/>
  <c r="F53"/>
  <c r="E53"/>
  <c r="D53"/>
  <c r="K190" l="1"/>
  <c r="J190"/>
  <c r="D190"/>
  <c r="E190"/>
  <c r="Q193"/>
  <c r="F190"/>
  <c r="I190"/>
  <c r="C165" i="35"/>
  <c r="Q165" s="1"/>
  <c r="D89" i="37"/>
  <c r="U165" i="35" s="1"/>
  <c r="AI165" s="1"/>
  <c r="Z190" i="113"/>
  <c r="H190"/>
  <c r="Q81"/>
  <c r="C190"/>
  <c r="O190"/>
  <c r="E54"/>
  <c r="C54"/>
  <c r="I163" s="1"/>
  <c r="G54"/>
  <c r="F54"/>
  <c r="D54"/>
  <c r="H54"/>
  <c r="N190"/>
  <c r="M190"/>
  <c r="G190"/>
  <c r="X190"/>
  <c r="AA190"/>
  <c r="AA54"/>
  <c r="Z54"/>
  <c r="Y54"/>
  <c r="W54"/>
  <c r="X54"/>
  <c r="AB54"/>
  <c r="Y190"/>
  <c r="AB190"/>
  <c r="AK81"/>
  <c r="W190"/>
  <c r="AI190"/>
  <c r="Q192"/>
  <c r="Q56"/>
  <c r="O165"/>
  <c r="C166"/>
  <c r="O166"/>
  <c r="Q189"/>
  <c r="Q191"/>
  <c r="C188"/>
  <c r="X165"/>
  <c r="W165" s="1"/>
  <c r="Z165"/>
  <c r="AB165"/>
  <c r="AD165"/>
  <c r="AF165"/>
  <c r="D166"/>
  <c r="F166"/>
  <c r="H166"/>
  <c r="J166"/>
  <c r="L166"/>
  <c r="N166"/>
  <c r="C53"/>
  <c r="C55"/>
  <c r="Y162"/>
  <c r="AA162"/>
  <c r="AC162"/>
  <c r="AE162"/>
  <c r="AG162"/>
  <c r="Y164"/>
  <c r="AA164"/>
  <c r="AC164"/>
  <c r="AE164"/>
  <c r="AG164"/>
  <c r="E165"/>
  <c r="G165"/>
  <c r="I165"/>
  <c r="K165"/>
  <c r="M165"/>
  <c r="Y166"/>
  <c r="AA166"/>
  <c r="AC166"/>
  <c r="AE166"/>
  <c r="AG166"/>
  <c r="X162"/>
  <c r="W162" s="1"/>
  <c r="Z162"/>
  <c r="AB162"/>
  <c r="AD162"/>
  <c r="AF162"/>
  <c r="X164"/>
  <c r="W164" s="1"/>
  <c r="Z164"/>
  <c r="AB164"/>
  <c r="AD164"/>
  <c r="AF164"/>
  <c r="D165"/>
  <c r="C165" s="1"/>
  <c r="F165"/>
  <c r="H165"/>
  <c r="J165"/>
  <c r="L165"/>
  <c r="N165"/>
  <c r="Y165"/>
  <c r="AA165"/>
  <c r="AC165"/>
  <c r="AE165"/>
  <c r="AG165"/>
  <c r="E166"/>
  <c r="G166"/>
  <c r="I166"/>
  <c r="K166"/>
  <c r="M166"/>
  <c r="X166"/>
  <c r="W166" s="1"/>
  <c r="Z166"/>
  <c r="AB166"/>
  <c r="AD166"/>
  <c r="AF166"/>
  <c r="D5"/>
  <c r="D4"/>
  <c r="D3"/>
  <c r="D2"/>
  <c r="Q166" l="1"/>
  <c r="Q165"/>
  <c r="F163"/>
  <c r="D163"/>
  <c r="E163"/>
  <c r="Q54"/>
  <c r="H163"/>
  <c r="O163"/>
  <c r="C163"/>
  <c r="G163"/>
  <c r="Q190"/>
  <c r="Z163"/>
  <c r="Y163"/>
  <c r="AK54"/>
  <c r="AB163"/>
  <c r="X163"/>
  <c r="AA163"/>
  <c r="AI163"/>
  <c r="W163"/>
  <c r="C164"/>
  <c r="O164"/>
  <c r="C162"/>
  <c r="O162"/>
  <c r="E162"/>
  <c r="M164"/>
  <c r="L164"/>
  <c r="E164"/>
  <c r="N162"/>
  <c r="F162"/>
  <c r="M162"/>
  <c r="H164"/>
  <c r="I164"/>
  <c r="J162"/>
  <c r="I162"/>
  <c r="N164"/>
  <c r="J164"/>
  <c r="F164"/>
  <c r="L162"/>
  <c r="H162"/>
  <c r="K164"/>
  <c r="G164"/>
  <c r="K162"/>
  <c r="G162"/>
  <c r="D164"/>
  <c r="D162"/>
  <c r="Q163" l="1"/>
  <c r="Q162"/>
  <c r="Q164"/>
  <c r="J61" i="39"/>
  <c r="H55" i="32"/>
  <c r="G24" i="113" s="1"/>
  <c r="H66" i="32" l="1"/>
  <c r="H64"/>
  <c r="H62"/>
  <c r="H61"/>
  <c r="H98"/>
  <c r="AA131" i="113" s="1"/>
  <c r="H96" i="32"/>
  <c r="AA76" i="113" s="1"/>
  <c r="H95" i="32"/>
  <c r="AA49" i="113" s="1"/>
  <c r="D5" i="35"/>
  <c r="D4"/>
  <c r="D3"/>
  <c r="D2"/>
  <c r="C11" i="19"/>
  <c r="G76" i="113" l="1"/>
  <c r="G49"/>
  <c r="G131"/>
  <c r="I61" i="41"/>
  <c r="H27" i="113" s="1"/>
  <c r="G62" i="41"/>
  <c r="L62"/>
  <c r="J62"/>
  <c r="H61"/>
  <c r="G27" i="113" s="1"/>
  <c r="M62" i="41"/>
  <c r="I62"/>
  <c r="G61"/>
  <c r="F27" i="113" s="1"/>
  <c r="N62" i="41"/>
  <c r="L61"/>
  <c r="K27" i="113" s="1"/>
  <c r="J61" i="41"/>
  <c r="I27" i="113" s="1"/>
  <c r="H62" i="41"/>
  <c r="L84" l="1"/>
  <c r="L82"/>
  <c r="L80"/>
  <c r="L81"/>
  <c r="L79"/>
  <c r="L114"/>
  <c r="AE79" i="113" s="1"/>
  <c r="L113" i="41"/>
  <c r="AE52" i="113" s="1"/>
  <c r="L116" i="41"/>
  <c r="AE134" i="113" s="1"/>
  <c r="L115" i="41"/>
  <c r="AE106" i="113" s="1"/>
  <c r="F62" i="41"/>
  <c r="H58" i="43"/>
  <c r="F57"/>
  <c r="E26" i="113" s="1"/>
  <c r="D58" i="43"/>
  <c r="N61" i="33"/>
  <c r="M25" i="113" s="1"/>
  <c r="L62" i="33"/>
  <c r="J61"/>
  <c r="I25" i="113" s="1"/>
  <c r="H62" i="33"/>
  <c r="F61"/>
  <c r="E25" i="113" s="1"/>
  <c r="D62" i="33"/>
  <c r="G55" i="32"/>
  <c r="F24" i="113" s="1"/>
  <c r="E56" i="32"/>
  <c r="H61" i="40"/>
  <c r="G23" i="113" s="1"/>
  <c r="F62" i="40"/>
  <c r="D61"/>
  <c r="H60" i="39"/>
  <c r="G22" i="113" s="1"/>
  <c r="F61" i="39"/>
  <c r="D60"/>
  <c r="C22" i="113" s="1"/>
  <c r="N63" i="34"/>
  <c r="H62"/>
  <c r="G21" i="113" s="1"/>
  <c r="F63" i="34"/>
  <c r="D62"/>
  <c r="C21" i="113" s="1"/>
  <c r="H61" i="38"/>
  <c r="F60"/>
  <c r="E20" i="113" s="1"/>
  <c r="D61" i="38"/>
  <c r="M56" i="42"/>
  <c r="K55"/>
  <c r="J19" i="113" s="1"/>
  <c r="I56" i="42"/>
  <c r="G55"/>
  <c r="F19" i="113" s="1"/>
  <c r="E56" i="42"/>
  <c r="M60" i="37"/>
  <c r="I60"/>
  <c r="G59"/>
  <c r="F17" i="113" s="1"/>
  <c r="E60" i="37"/>
  <c r="K62" i="41"/>
  <c r="I84"/>
  <c r="I81"/>
  <c r="I79"/>
  <c r="I82"/>
  <c r="I80"/>
  <c r="I115"/>
  <c r="AB106" i="113" s="1"/>
  <c r="I113" i="41"/>
  <c r="AB52" i="113" s="1"/>
  <c r="I114" i="41"/>
  <c r="AB79" i="113" s="1"/>
  <c r="I116" i="41"/>
  <c r="AB134" i="113" s="1"/>
  <c r="E62" i="41"/>
  <c r="I57" i="43"/>
  <c r="H26" i="113" s="1"/>
  <c r="G58" i="43"/>
  <c r="E57"/>
  <c r="D26" i="113" s="1"/>
  <c r="O62" i="33"/>
  <c r="M61"/>
  <c r="L25" i="113" s="1"/>
  <c r="K62" i="33"/>
  <c r="I61"/>
  <c r="H25" i="113" s="1"/>
  <c r="G62" i="33"/>
  <c r="E61"/>
  <c r="D25" i="113" s="1"/>
  <c r="F56" i="32"/>
  <c r="D55"/>
  <c r="C24" i="113" s="1"/>
  <c r="I62" i="40"/>
  <c r="G61"/>
  <c r="F23" i="113" s="1"/>
  <c r="E62" i="40"/>
  <c r="I61" i="39"/>
  <c r="G60"/>
  <c r="F22" i="113" s="1"/>
  <c r="E61" i="39"/>
  <c r="M62" i="34"/>
  <c r="L21" i="113" s="1"/>
  <c r="I63" i="34"/>
  <c r="G62"/>
  <c r="F21" i="113" s="1"/>
  <c r="E63" i="34"/>
  <c r="I61" i="38"/>
  <c r="G60"/>
  <c r="F20" i="113" s="1"/>
  <c r="E61" i="38"/>
  <c r="N56" i="42"/>
  <c r="L55"/>
  <c r="K19" i="113" s="1"/>
  <c r="J56" i="42"/>
  <c r="H55"/>
  <c r="G19" i="113" s="1"/>
  <c r="F56" i="42"/>
  <c r="D55"/>
  <c r="C19" i="113" s="1"/>
  <c r="N60" i="37"/>
  <c r="H60"/>
  <c r="F59"/>
  <c r="E17" i="113" s="1"/>
  <c r="D60" i="37"/>
  <c r="J84" i="41"/>
  <c r="J82"/>
  <c r="J80"/>
  <c r="J81"/>
  <c r="J79"/>
  <c r="J113"/>
  <c r="AC52" i="113" s="1"/>
  <c r="J114" i="41"/>
  <c r="AC79" i="113" s="1"/>
  <c r="J116" i="41"/>
  <c r="AC134" i="113" s="1"/>
  <c r="J115" i="41"/>
  <c r="AC106" i="113" s="1"/>
  <c r="K61" i="41"/>
  <c r="J27" i="113" s="1"/>
  <c r="G84" i="41"/>
  <c r="G81"/>
  <c r="G79"/>
  <c r="G82"/>
  <c r="G80"/>
  <c r="G116"/>
  <c r="Z134" i="113" s="1"/>
  <c r="G115" i="41"/>
  <c r="Z106" i="113" s="1"/>
  <c r="G113" i="41"/>
  <c r="Z52" i="113" s="1"/>
  <c r="G114" i="41"/>
  <c r="Z79" i="113" s="1"/>
  <c r="F61" i="41"/>
  <c r="E27" i="113" s="1"/>
  <c r="H57" i="43"/>
  <c r="G26" i="113" s="1"/>
  <c r="F58" i="43"/>
  <c r="D57"/>
  <c r="C26" i="113" s="1"/>
  <c r="N62" i="33"/>
  <c r="L61"/>
  <c r="K25" i="113" s="1"/>
  <c r="J62" i="33"/>
  <c r="H61"/>
  <c r="G25" i="113" s="1"/>
  <c r="F62" i="33"/>
  <c r="D61"/>
  <c r="C25" i="113" s="1"/>
  <c r="G56" i="32"/>
  <c r="E55"/>
  <c r="D24" i="113" s="1"/>
  <c r="H62" i="40"/>
  <c r="F61"/>
  <c r="E23" i="113" s="1"/>
  <c r="D62" i="40"/>
  <c r="H61" i="39"/>
  <c r="F60"/>
  <c r="E22" i="113" s="1"/>
  <c r="D61" i="39"/>
  <c r="N62" i="34"/>
  <c r="M21" i="113" s="1"/>
  <c r="H63" i="34"/>
  <c r="F62"/>
  <c r="E21" i="113" s="1"/>
  <c r="D63" i="34"/>
  <c r="H60" i="38"/>
  <c r="G20" i="113" s="1"/>
  <c r="F61" i="38"/>
  <c r="D60"/>
  <c r="C20" i="113" s="1"/>
  <c r="M55" i="42"/>
  <c r="L19" i="113" s="1"/>
  <c r="K56" i="42"/>
  <c r="I55"/>
  <c r="H19" i="113" s="1"/>
  <c r="G56" i="42"/>
  <c r="E55"/>
  <c r="D19" i="113" s="1"/>
  <c r="I59" i="37"/>
  <c r="H17" i="113" s="1"/>
  <c r="G60" i="37"/>
  <c r="E59"/>
  <c r="D17" i="113" s="1"/>
  <c r="H84" i="41"/>
  <c r="H82"/>
  <c r="H80"/>
  <c r="H81"/>
  <c r="H79"/>
  <c r="H115"/>
  <c r="AA106" i="113" s="1"/>
  <c r="AA215" s="1"/>
  <c r="H113" i="41"/>
  <c r="AA52" i="113" s="1"/>
  <c r="H116" i="41"/>
  <c r="AA134" i="113" s="1"/>
  <c r="H114" i="41"/>
  <c r="AA79" i="113" s="1"/>
  <c r="E61" i="41"/>
  <c r="D27" i="113" s="1"/>
  <c r="I58" i="43"/>
  <c r="G57"/>
  <c r="F26" i="113" s="1"/>
  <c r="E58" i="43"/>
  <c r="M62" i="33"/>
  <c r="K61"/>
  <c r="J25" i="113" s="1"/>
  <c r="I62" i="33"/>
  <c r="G61"/>
  <c r="F25" i="113" s="1"/>
  <c r="E62" i="33"/>
  <c r="F55" i="32"/>
  <c r="E24" i="113" s="1"/>
  <c r="D56" i="32"/>
  <c r="I61" i="40"/>
  <c r="H23" i="113" s="1"/>
  <c r="Q23" s="1"/>
  <c r="G62" i="40"/>
  <c r="E61"/>
  <c r="D23" i="113" s="1"/>
  <c r="I60" i="39"/>
  <c r="H22" i="113" s="1"/>
  <c r="G61" i="39"/>
  <c r="E60"/>
  <c r="D22" i="113" s="1"/>
  <c r="M63" i="34"/>
  <c r="I62"/>
  <c r="H21" i="113" s="1"/>
  <c r="Q21" s="1"/>
  <c r="G63" i="34"/>
  <c r="E62"/>
  <c r="D21" i="113" s="1"/>
  <c r="I60" i="38"/>
  <c r="H20" i="113" s="1"/>
  <c r="Q20" s="1"/>
  <c r="G61" i="38"/>
  <c r="E60"/>
  <c r="D20" i="113" s="1"/>
  <c r="N55" i="42"/>
  <c r="M19" i="113" s="1"/>
  <c r="N19" s="1"/>
  <c r="O19" s="1"/>
  <c r="L56" i="42"/>
  <c r="J55"/>
  <c r="I19" i="113" s="1"/>
  <c r="H56" i="42"/>
  <c r="F55"/>
  <c r="E19" i="113" s="1"/>
  <c r="D56" i="42"/>
  <c r="L60" i="37"/>
  <c r="H59"/>
  <c r="G17" i="113" s="1"/>
  <c r="F60" i="37"/>
  <c r="D59"/>
  <c r="C17" i="113" s="1"/>
  <c r="AC215" l="1"/>
  <c r="Z215"/>
  <c r="D114" i="40"/>
  <c r="C23" i="113"/>
  <c r="C35" s="1"/>
  <c r="Q19"/>
  <c r="F35"/>
  <c r="F34"/>
  <c r="F36"/>
  <c r="AE215"/>
  <c r="D35"/>
  <c r="D34"/>
  <c r="D36"/>
  <c r="E35"/>
  <c r="E34"/>
  <c r="E36"/>
  <c r="G35"/>
  <c r="G34"/>
  <c r="G36"/>
  <c r="W215"/>
  <c r="AB215"/>
  <c r="F79"/>
  <c r="F188" s="1"/>
  <c r="Z188"/>
  <c r="I79"/>
  <c r="I188" s="1"/>
  <c r="AC188"/>
  <c r="G79"/>
  <c r="G188" s="1"/>
  <c r="AA188"/>
  <c r="H79"/>
  <c r="AB188"/>
  <c r="K79"/>
  <c r="K188" s="1"/>
  <c r="AE188"/>
  <c r="J61" i="42"/>
  <c r="J62"/>
  <c r="J66"/>
  <c r="J64"/>
  <c r="J98"/>
  <c r="AC126" i="113" s="1"/>
  <c r="J96" i="42"/>
  <c r="AC71" i="113" s="1"/>
  <c r="J95" i="42"/>
  <c r="AC44" i="113" s="1"/>
  <c r="N64" i="42"/>
  <c r="N62"/>
  <c r="N66"/>
  <c r="N98"/>
  <c r="AG126" i="113" s="1"/>
  <c r="N96" i="42"/>
  <c r="AG71" i="113" s="1"/>
  <c r="E85" i="34"/>
  <c r="E83"/>
  <c r="E82"/>
  <c r="E81"/>
  <c r="E80"/>
  <c r="E117"/>
  <c r="X128" i="113" s="1"/>
  <c r="E114" i="34"/>
  <c r="X46" i="113" s="1"/>
  <c r="E115" i="34"/>
  <c r="X73" i="113" s="1"/>
  <c r="E116" i="34"/>
  <c r="X100" i="113" s="1"/>
  <c r="E71" i="39"/>
  <c r="E69"/>
  <c r="E68"/>
  <c r="E67"/>
  <c r="E66"/>
  <c r="E103"/>
  <c r="X129" i="113" s="1"/>
  <c r="E101" i="39"/>
  <c r="X74" i="113" s="1"/>
  <c r="E102" i="39"/>
  <c r="X101" i="113" s="1"/>
  <c r="E100" i="39"/>
  <c r="X47" i="113" s="1"/>
  <c r="E85" i="40"/>
  <c r="E83"/>
  <c r="E82"/>
  <c r="E81"/>
  <c r="E80"/>
  <c r="E115"/>
  <c r="X75" i="113" s="1"/>
  <c r="E114" i="40"/>
  <c r="X48" i="113" s="1"/>
  <c r="E117" i="40"/>
  <c r="E116"/>
  <c r="X102" i="113" s="1"/>
  <c r="K72" i="33"/>
  <c r="K70"/>
  <c r="K68"/>
  <c r="K67"/>
  <c r="K101"/>
  <c r="AD50" i="113" s="1"/>
  <c r="K102" i="33"/>
  <c r="AD77" i="113" s="1"/>
  <c r="K104" i="33"/>
  <c r="AD132" i="113" s="1"/>
  <c r="AA244"/>
  <c r="G134"/>
  <c r="G244" s="1"/>
  <c r="G106"/>
  <c r="G215" s="1"/>
  <c r="E70" i="37"/>
  <c r="E68"/>
  <c r="E67"/>
  <c r="E66"/>
  <c r="E65"/>
  <c r="E100"/>
  <c r="X69" i="113" s="1"/>
  <c r="E102" i="37"/>
  <c r="X124" i="113" s="1"/>
  <c r="E99" i="37"/>
  <c r="E101"/>
  <c r="X96" i="113" s="1"/>
  <c r="I70" i="37"/>
  <c r="I68"/>
  <c r="I67"/>
  <c r="I66"/>
  <c r="I65"/>
  <c r="I102"/>
  <c r="AB124" i="113" s="1"/>
  <c r="I101" i="37"/>
  <c r="AB96" i="113" s="1"/>
  <c r="AB205" s="1"/>
  <c r="I99" i="37"/>
  <c r="AB42" i="113" s="1"/>
  <c r="I100" i="37"/>
  <c r="AB69" i="113" s="1"/>
  <c r="E66" i="42"/>
  <c r="E64"/>
  <c r="E62"/>
  <c r="E61"/>
  <c r="E96"/>
  <c r="X71" i="113" s="1"/>
  <c r="E98" i="42"/>
  <c r="X126" i="113" s="1"/>
  <c r="E95" i="42"/>
  <c r="X44" i="113" s="1"/>
  <c r="M66" i="42"/>
  <c r="M64"/>
  <c r="M62"/>
  <c r="M61"/>
  <c r="M96"/>
  <c r="AF71" i="113" s="1"/>
  <c r="M95" i="42"/>
  <c r="AF44" i="113" s="1"/>
  <c r="M98" i="42"/>
  <c r="AF126" i="113" s="1"/>
  <c r="H71" i="38"/>
  <c r="H69"/>
  <c r="H68"/>
  <c r="H67"/>
  <c r="H66"/>
  <c r="H103"/>
  <c r="AA127" i="113" s="1"/>
  <c r="H101" i="38"/>
  <c r="AA72" i="113" s="1"/>
  <c r="H100" i="38"/>
  <c r="AA45" i="113" s="1"/>
  <c r="H102" i="38"/>
  <c r="AA99" i="113" s="1"/>
  <c r="F71" i="39"/>
  <c r="F69"/>
  <c r="F68"/>
  <c r="F67"/>
  <c r="F66"/>
  <c r="F103"/>
  <c r="Y129" i="113" s="1"/>
  <c r="F101" i="39"/>
  <c r="Y74" i="113" s="1"/>
  <c r="F102" i="39"/>
  <c r="Y101" i="113" s="1"/>
  <c r="F100" i="39"/>
  <c r="Y47" i="113" s="1"/>
  <c r="L72" i="33"/>
  <c r="L70"/>
  <c r="L68"/>
  <c r="L67"/>
  <c r="L102"/>
  <c r="AE77" i="113" s="1"/>
  <c r="L104" i="33"/>
  <c r="AE132" i="113" s="1"/>
  <c r="L101" i="33"/>
  <c r="AE50" i="113" s="1"/>
  <c r="F84" i="41"/>
  <c r="F82"/>
  <c r="F80"/>
  <c r="F81"/>
  <c r="F79"/>
  <c r="F114"/>
  <c r="Y79" i="113" s="1"/>
  <c r="F116" i="41"/>
  <c r="Y134" i="113" s="1"/>
  <c r="F113" i="41"/>
  <c r="Y52" i="113" s="1"/>
  <c r="F115" i="41"/>
  <c r="Y106" i="113" s="1"/>
  <c r="Y215" s="1"/>
  <c r="F106"/>
  <c r="F215" s="1"/>
  <c r="K84" i="41"/>
  <c r="K81"/>
  <c r="K79"/>
  <c r="K82"/>
  <c r="K80"/>
  <c r="K115"/>
  <c r="AD106" i="113" s="1"/>
  <c r="AD215" s="1"/>
  <c r="K113" i="41"/>
  <c r="AD52" i="113" s="1"/>
  <c r="K114" i="41"/>
  <c r="AD79" i="113" s="1"/>
  <c r="K116" i="41"/>
  <c r="AD134" i="113" s="1"/>
  <c r="I106"/>
  <c r="I215" s="1"/>
  <c r="F70" i="37"/>
  <c r="F68"/>
  <c r="F67"/>
  <c r="F66"/>
  <c r="F65"/>
  <c r="F101"/>
  <c r="Y96" i="113" s="1"/>
  <c r="F100" i="37"/>
  <c r="Y69" i="113" s="1"/>
  <c r="F99" i="37"/>
  <c r="Y42" i="113" s="1"/>
  <c r="F102" i="37"/>
  <c r="Y124" i="113" s="1"/>
  <c r="O60" i="37"/>
  <c r="L61" i="42"/>
  <c r="L66"/>
  <c r="L64"/>
  <c r="L62"/>
  <c r="L95"/>
  <c r="AE44" i="113" s="1"/>
  <c r="L96" i="42"/>
  <c r="AE71" i="113" s="1"/>
  <c r="L98" i="42"/>
  <c r="AE126" i="113" s="1"/>
  <c r="G85" i="34"/>
  <c r="G83"/>
  <c r="G82"/>
  <c r="G81"/>
  <c r="G80"/>
  <c r="G117"/>
  <c r="Z128" i="113" s="1"/>
  <c r="G114" i="34"/>
  <c r="Z46" i="113" s="1"/>
  <c r="G116" i="34"/>
  <c r="Z100" i="113" s="1"/>
  <c r="G115" i="34"/>
  <c r="Z73" i="113" s="1"/>
  <c r="G71" i="39"/>
  <c r="G69"/>
  <c r="G68"/>
  <c r="G67"/>
  <c r="G66"/>
  <c r="G103"/>
  <c r="Z129" i="113" s="1"/>
  <c r="G101" i="39"/>
  <c r="Z74" i="113" s="1"/>
  <c r="G102" i="39"/>
  <c r="Z101" i="113" s="1"/>
  <c r="I72" i="33"/>
  <c r="I70"/>
  <c r="I68"/>
  <c r="I67"/>
  <c r="I104"/>
  <c r="AB132" i="113" s="1"/>
  <c r="I102" i="33"/>
  <c r="AB77" i="113" s="1"/>
  <c r="I101" i="33"/>
  <c r="AB50" i="113" s="1"/>
  <c r="E65" i="43"/>
  <c r="E63"/>
  <c r="E68"/>
  <c r="E66"/>
  <c r="E64"/>
  <c r="E100"/>
  <c r="E97"/>
  <c r="E99"/>
  <c r="E98"/>
  <c r="AB244" i="113"/>
  <c r="H134"/>
  <c r="H244" s="1"/>
  <c r="H52"/>
  <c r="G70" i="37"/>
  <c r="G68"/>
  <c r="G67"/>
  <c r="G66"/>
  <c r="G65"/>
  <c r="G101"/>
  <c r="Z96" i="113" s="1"/>
  <c r="G102" i="37"/>
  <c r="Z124" i="113" s="1"/>
  <c r="G99" i="37"/>
  <c r="Z42" i="113" s="1"/>
  <c r="G100" i="37"/>
  <c r="Z69" i="113" s="1"/>
  <c r="G66" i="42"/>
  <c r="G64"/>
  <c r="G62"/>
  <c r="G61"/>
  <c r="G96"/>
  <c r="Z71" i="113" s="1"/>
  <c r="G95" i="42"/>
  <c r="Z44" i="113" s="1"/>
  <c r="G98" i="42"/>
  <c r="Z126" i="113" s="1"/>
  <c r="D85" i="34"/>
  <c r="D83"/>
  <c r="D82"/>
  <c r="D81"/>
  <c r="D80"/>
  <c r="D115"/>
  <c r="W73" i="113" s="1"/>
  <c r="AI182" s="1"/>
  <c r="D116" i="34"/>
  <c r="W100" i="113" s="1"/>
  <c r="D117" i="34"/>
  <c r="W128" i="113" s="1"/>
  <c r="AI238" s="1"/>
  <c r="D114" i="34"/>
  <c r="W46" i="113" s="1"/>
  <c r="O63" i="34"/>
  <c r="H71" i="39"/>
  <c r="H69"/>
  <c r="H68"/>
  <c r="H67"/>
  <c r="H66"/>
  <c r="H103"/>
  <c r="AA129" i="113" s="1"/>
  <c r="H101" i="39"/>
  <c r="AA74" i="113" s="1"/>
  <c r="H100" i="39"/>
  <c r="H102"/>
  <c r="AA101" i="113" s="1"/>
  <c r="H83" i="40"/>
  <c r="H85"/>
  <c r="H82"/>
  <c r="H81"/>
  <c r="H80"/>
  <c r="H116"/>
  <c r="AA102" i="113" s="1"/>
  <c r="H115" i="40"/>
  <c r="AA75" i="113" s="1"/>
  <c r="H117" i="40"/>
  <c r="H114"/>
  <c r="AA48" i="113" s="1"/>
  <c r="G66" i="32"/>
  <c r="G64"/>
  <c r="G62"/>
  <c r="G61"/>
  <c r="G98"/>
  <c r="Z131" i="113" s="1"/>
  <c r="G96" i="32"/>
  <c r="Z76" i="113" s="1"/>
  <c r="G95" i="32"/>
  <c r="Z49" i="113" s="1"/>
  <c r="J72" i="33"/>
  <c r="J70"/>
  <c r="J68"/>
  <c r="J67"/>
  <c r="J104"/>
  <c r="AC132" i="113" s="1"/>
  <c r="J101" i="33"/>
  <c r="AC50" i="113" s="1"/>
  <c r="J102" i="33"/>
  <c r="AC77" i="113" s="1"/>
  <c r="O61" i="33"/>
  <c r="N25" i="113" s="1"/>
  <c r="O25" s="1"/>
  <c r="N72" i="33"/>
  <c r="N70"/>
  <c r="N68"/>
  <c r="N67"/>
  <c r="N104"/>
  <c r="AG132" i="113" s="1"/>
  <c r="N102" i="33"/>
  <c r="AG77" i="113" s="1"/>
  <c r="N101" i="33"/>
  <c r="AG50" i="113" s="1"/>
  <c r="AE244"/>
  <c r="K134"/>
  <c r="K244" s="1"/>
  <c r="D70" i="37"/>
  <c r="D68"/>
  <c r="D67"/>
  <c r="D66"/>
  <c r="D65"/>
  <c r="D102"/>
  <c r="W124" i="113" s="1"/>
  <c r="D101" i="37"/>
  <c r="W96" i="113" s="1"/>
  <c r="D100" i="37"/>
  <c r="W69" i="113" s="1"/>
  <c r="W178" s="1"/>
  <c r="H70" i="37"/>
  <c r="H68"/>
  <c r="H67"/>
  <c r="H66"/>
  <c r="H65"/>
  <c r="H101"/>
  <c r="AA96" i="113" s="1"/>
  <c r="AA205" s="1"/>
  <c r="H100" i="37"/>
  <c r="AA69" i="113" s="1"/>
  <c r="H102" i="37"/>
  <c r="AA124" i="113" s="1"/>
  <c r="H99" i="37"/>
  <c r="AA42" i="113" s="1"/>
  <c r="K60" i="37"/>
  <c r="F61" i="42"/>
  <c r="F66"/>
  <c r="F62"/>
  <c r="F64"/>
  <c r="F98"/>
  <c r="Y126" i="113" s="1"/>
  <c r="F96" i="42"/>
  <c r="Y71" i="113" s="1"/>
  <c r="F95" i="42"/>
  <c r="Y44" i="113" s="1"/>
  <c r="E71" i="38"/>
  <c r="E69"/>
  <c r="E68"/>
  <c r="E67"/>
  <c r="E66"/>
  <c r="E102"/>
  <c r="X99" i="113" s="1"/>
  <c r="E101" i="38"/>
  <c r="X72" i="113" s="1"/>
  <c r="E100" i="38"/>
  <c r="X45" i="113" s="1"/>
  <c r="E103" i="38"/>
  <c r="X127" i="113" s="1"/>
  <c r="I71" i="38"/>
  <c r="I69"/>
  <c r="I68"/>
  <c r="I67"/>
  <c r="I66"/>
  <c r="I102"/>
  <c r="AB99" i="113" s="1"/>
  <c r="I103" i="38"/>
  <c r="AB127" i="113" s="1"/>
  <c r="AK127" s="1"/>
  <c r="I100" i="38"/>
  <c r="AB45" i="113" s="1"/>
  <c r="AK45" s="1"/>
  <c r="I101" i="38"/>
  <c r="AB72" i="113" s="1"/>
  <c r="AK72" s="1"/>
  <c r="I85" i="34"/>
  <c r="I83"/>
  <c r="I82"/>
  <c r="I81"/>
  <c r="I80"/>
  <c r="I117"/>
  <c r="AB128" i="113" s="1"/>
  <c r="AK128" s="1"/>
  <c r="I114" i="34"/>
  <c r="AB46" i="113" s="1"/>
  <c r="AK46" s="1"/>
  <c r="I115" i="34"/>
  <c r="AB73" i="113" s="1"/>
  <c r="AK73" s="1"/>
  <c r="I116" i="34"/>
  <c r="AB100" i="113" s="1"/>
  <c r="I71" i="39"/>
  <c r="I69"/>
  <c r="I68"/>
  <c r="I67"/>
  <c r="I66"/>
  <c r="I103"/>
  <c r="AB129" i="113" s="1"/>
  <c r="I100" i="39"/>
  <c r="AB47" i="113" s="1"/>
  <c r="I102" i="39"/>
  <c r="AB101" i="113" s="1"/>
  <c r="AB210" s="1"/>
  <c r="I101" i="39"/>
  <c r="AB74" i="113" s="1"/>
  <c r="I85" i="40"/>
  <c r="I83"/>
  <c r="I82"/>
  <c r="I81"/>
  <c r="I80"/>
  <c r="I114"/>
  <c r="AB48" i="113" s="1"/>
  <c r="AK48" s="1"/>
  <c r="I115" i="40"/>
  <c r="AB75" i="113" s="1"/>
  <c r="AK75" s="1"/>
  <c r="I117" i="40"/>
  <c r="I116"/>
  <c r="AB102" i="113" s="1"/>
  <c r="F66" i="32"/>
  <c r="F64"/>
  <c r="F62"/>
  <c r="F61"/>
  <c r="F95"/>
  <c r="Y49" i="113" s="1"/>
  <c r="F96" i="32"/>
  <c r="Y76" i="113" s="1"/>
  <c r="F98" i="32"/>
  <c r="Y131" i="113" s="1"/>
  <c r="G72" i="33"/>
  <c r="G70"/>
  <c r="G68"/>
  <c r="G67"/>
  <c r="G101"/>
  <c r="Z50" i="113" s="1"/>
  <c r="G102" i="33"/>
  <c r="Z77" i="113" s="1"/>
  <c r="G104" i="33"/>
  <c r="Z132" i="113" s="1"/>
  <c r="G65" i="43"/>
  <c r="G63"/>
  <c r="G68"/>
  <c r="G66"/>
  <c r="G64"/>
  <c r="G100"/>
  <c r="G99"/>
  <c r="G97"/>
  <c r="G98"/>
  <c r="E84" i="41"/>
  <c r="E81"/>
  <c r="E79"/>
  <c r="D79" s="1"/>
  <c r="E82"/>
  <c r="E80"/>
  <c r="E116"/>
  <c r="X134" i="113" s="1"/>
  <c r="E115" i="41"/>
  <c r="X106" i="113" s="1"/>
  <c r="X215" s="1"/>
  <c r="E113" i="41"/>
  <c r="E114"/>
  <c r="X79" i="113" s="1"/>
  <c r="G52"/>
  <c r="I66" i="42"/>
  <c r="I64"/>
  <c r="I62"/>
  <c r="I61"/>
  <c r="I96"/>
  <c r="AB71" i="113" s="1"/>
  <c r="I95" i="42"/>
  <c r="AB44" i="113" s="1"/>
  <c r="I98" i="42"/>
  <c r="AB126" i="113" s="1"/>
  <c r="D71" i="38"/>
  <c r="D69"/>
  <c r="D68"/>
  <c r="D67"/>
  <c r="D66"/>
  <c r="D102"/>
  <c r="W99" i="113" s="1"/>
  <c r="D100" i="38"/>
  <c r="W45" i="113" s="1"/>
  <c r="AI154" s="1"/>
  <c r="D101" i="38"/>
  <c r="W72" i="113" s="1"/>
  <c r="AI181" s="1"/>
  <c r="D103" i="38"/>
  <c r="W127" i="113" s="1"/>
  <c r="AI237" s="1"/>
  <c r="F85" i="34"/>
  <c r="F83"/>
  <c r="F82"/>
  <c r="F81"/>
  <c r="F80"/>
  <c r="F116"/>
  <c r="Y100" i="113" s="1"/>
  <c r="F115" i="34"/>
  <c r="Y73" i="113" s="1"/>
  <c r="F117" i="34"/>
  <c r="Y128" i="113" s="1"/>
  <c r="F114" i="34"/>
  <c r="Y46" i="113" s="1"/>
  <c r="O62" i="34"/>
  <c r="N21" i="113" s="1"/>
  <c r="N85" i="34"/>
  <c r="N83"/>
  <c r="N82"/>
  <c r="N81"/>
  <c r="N80"/>
  <c r="N116"/>
  <c r="AG100" i="113" s="1"/>
  <c r="N115" i="34"/>
  <c r="AG73" i="113" s="1"/>
  <c r="N117" i="34"/>
  <c r="AG128" i="113" s="1"/>
  <c r="N114" i="34"/>
  <c r="AG46" i="113" s="1"/>
  <c r="F82" i="40"/>
  <c r="F85"/>
  <c r="F83"/>
  <c r="F81"/>
  <c r="F80"/>
  <c r="F115"/>
  <c r="Y75" i="113" s="1"/>
  <c r="F116" i="40"/>
  <c r="Y102" i="113" s="1"/>
  <c r="F117" i="40"/>
  <c r="F114"/>
  <c r="Y48" i="113" s="1"/>
  <c r="E66" i="32"/>
  <c r="E64"/>
  <c r="E62"/>
  <c r="E61"/>
  <c r="E98"/>
  <c r="X131" i="113" s="1"/>
  <c r="E96" i="32"/>
  <c r="X76" i="113" s="1"/>
  <c r="E95" i="32"/>
  <c r="X49" i="113" s="1"/>
  <c r="D72" i="33"/>
  <c r="D70"/>
  <c r="D68"/>
  <c r="D67"/>
  <c r="D104"/>
  <c r="W132" i="113" s="1"/>
  <c r="D101" i="33"/>
  <c r="W50" i="113" s="1"/>
  <c r="D102" i="33"/>
  <c r="W77" i="113" s="1"/>
  <c r="W186" s="1"/>
  <c r="H72" i="33"/>
  <c r="H70"/>
  <c r="H68"/>
  <c r="H67"/>
  <c r="H102"/>
  <c r="AA77" i="113" s="1"/>
  <c r="H104" i="33"/>
  <c r="AA132" i="113" s="1"/>
  <c r="H101" i="33"/>
  <c r="AA50" i="113" s="1"/>
  <c r="D68" i="43"/>
  <c r="D66"/>
  <c r="D64"/>
  <c r="D65"/>
  <c r="D63"/>
  <c r="D97"/>
  <c r="D98"/>
  <c r="D100"/>
  <c r="D99"/>
  <c r="H68"/>
  <c r="H66"/>
  <c r="H64"/>
  <c r="H65"/>
  <c r="H63"/>
  <c r="H97"/>
  <c r="H98"/>
  <c r="H100"/>
  <c r="H99"/>
  <c r="F52" i="113"/>
  <c r="Z244"/>
  <c r="F134"/>
  <c r="F244" s="1"/>
  <c r="AC244"/>
  <c r="I134"/>
  <c r="I244" s="1"/>
  <c r="I52"/>
  <c r="O53" i="42"/>
  <c r="D61"/>
  <c r="D64"/>
  <c r="D66"/>
  <c r="D62"/>
  <c r="D95"/>
  <c r="W44" i="113" s="1"/>
  <c r="D96" i="42"/>
  <c r="W71" i="113" s="1"/>
  <c r="D98" i="42"/>
  <c r="W126" i="113" s="1"/>
  <c r="H61" i="42"/>
  <c r="H64"/>
  <c r="H66"/>
  <c r="H62"/>
  <c r="H96"/>
  <c r="AA71" i="113" s="1"/>
  <c r="H95" i="42"/>
  <c r="AA44" i="113" s="1"/>
  <c r="H98" i="42"/>
  <c r="AA126" i="113" s="1"/>
  <c r="G71" i="38"/>
  <c r="G69"/>
  <c r="G68"/>
  <c r="G67"/>
  <c r="G66"/>
  <c r="G102"/>
  <c r="Z99" i="113" s="1"/>
  <c r="G103" i="38"/>
  <c r="Z127" i="113" s="1"/>
  <c r="G101" i="38"/>
  <c r="Z72" i="113" s="1"/>
  <c r="G100" i="38"/>
  <c r="Z45" i="113" s="1"/>
  <c r="M85" i="34"/>
  <c r="M83"/>
  <c r="M82"/>
  <c r="M81"/>
  <c r="M80"/>
  <c r="M117"/>
  <c r="AF128" i="113" s="1"/>
  <c r="M114" i="34"/>
  <c r="AF46" i="113" s="1"/>
  <c r="M115" i="34"/>
  <c r="AF73" i="113" s="1"/>
  <c r="M116" i="34"/>
  <c r="AF100" i="113" s="1"/>
  <c r="G85" i="40"/>
  <c r="G83"/>
  <c r="G82"/>
  <c r="G81"/>
  <c r="G80"/>
  <c r="G117"/>
  <c r="G116"/>
  <c r="Z102" i="113" s="1"/>
  <c r="G115" i="40"/>
  <c r="Z75" i="113" s="1"/>
  <c r="G114" i="40"/>
  <c r="Z48" i="113" s="1"/>
  <c r="D66" i="32"/>
  <c r="D64"/>
  <c r="D62"/>
  <c r="D61"/>
  <c r="D98"/>
  <c r="W131" i="113" s="1"/>
  <c r="AI241" s="1"/>
  <c r="D95" i="32"/>
  <c r="W49" i="113" s="1"/>
  <c r="AI158" s="1"/>
  <c r="D96" i="32"/>
  <c r="W76" i="113" s="1"/>
  <c r="AI185" s="1"/>
  <c r="E72" i="33"/>
  <c r="E70"/>
  <c r="E68"/>
  <c r="E67"/>
  <c r="E104"/>
  <c r="X132" i="113" s="1"/>
  <c r="E101" i="33"/>
  <c r="X50" i="113" s="1"/>
  <c r="E102" i="33"/>
  <c r="X77" i="113" s="1"/>
  <c r="M72" i="33"/>
  <c r="M70"/>
  <c r="M68"/>
  <c r="M67"/>
  <c r="M104"/>
  <c r="AF132" i="113" s="1"/>
  <c r="M102" i="33"/>
  <c r="AF77" i="113" s="1"/>
  <c r="M101" i="33"/>
  <c r="AF50" i="113" s="1"/>
  <c r="I65" i="43"/>
  <c r="I63"/>
  <c r="I68"/>
  <c r="I66"/>
  <c r="I64"/>
  <c r="I100"/>
  <c r="I97"/>
  <c r="I99"/>
  <c r="I98"/>
  <c r="H106" i="113"/>
  <c r="H215" s="1"/>
  <c r="K66" i="42"/>
  <c r="K64"/>
  <c r="K62"/>
  <c r="K61"/>
  <c r="K98"/>
  <c r="AD126" i="113" s="1"/>
  <c r="K96" i="42"/>
  <c r="AD71" i="113" s="1"/>
  <c r="K95" i="42"/>
  <c r="AD44" i="113" s="1"/>
  <c r="F71" i="38"/>
  <c r="F69"/>
  <c r="F68"/>
  <c r="F67"/>
  <c r="F66"/>
  <c r="F100"/>
  <c r="Y45" i="113" s="1"/>
  <c r="F101" i="38"/>
  <c r="Y72" i="113" s="1"/>
  <c r="F103" i="38"/>
  <c r="Y127" i="113" s="1"/>
  <c r="F102" i="38"/>
  <c r="Y99" i="113" s="1"/>
  <c r="H85" i="34"/>
  <c r="H83"/>
  <c r="H82"/>
  <c r="H81"/>
  <c r="H80"/>
  <c r="H115"/>
  <c r="AA73" i="113" s="1"/>
  <c r="H116" i="34"/>
  <c r="AA100" i="113" s="1"/>
  <c r="H117" i="34"/>
  <c r="AA128" i="113" s="1"/>
  <c r="H114" i="34"/>
  <c r="AA46" i="113" s="1"/>
  <c r="O58" i="39"/>
  <c r="D71"/>
  <c r="D69"/>
  <c r="D68"/>
  <c r="D67"/>
  <c r="D66"/>
  <c r="D103"/>
  <c r="W129" i="113" s="1"/>
  <c r="D101" i="39"/>
  <c r="W74" i="113" s="1"/>
  <c r="D100" i="39"/>
  <c r="W47" i="113" s="1"/>
  <c r="D102" i="39"/>
  <c r="W101" i="113" s="1"/>
  <c r="D85" i="40"/>
  <c r="D83"/>
  <c r="D81"/>
  <c r="D82"/>
  <c r="D80"/>
  <c r="D116"/>
  <c r="D115"/>
  <c r="D117"/>
  <c r="F72" i="33"/>
  <c r="F70"/>
  <c r="F68"/>
  <c r="F67"/>
  <c r="F104"/>
  <c r="Y132" i="113" s="1"/>
  <c r="F102" i="33"/>
  <c r="Y77" i="113" s="1"/>
  <c r="F101" i="33"/>
  <c r="Y50" i="113" s="1"/>
  <c r="F68" i="43"/>
  <c r="F66"/>
  <c r="F64"/>
  <c r="F65"/>
  <c r="F63"/>
  <c r="F98"/>
  <c r="F100"/>
  <c r="F97"/>
  <c r="F99"/>
  <c r="K106" i="113"/>
  <c r="K215" s="1"/>
  <c r="K52"/>
  <c r="C36" l="1"/>
  <c r="Y211"/>
  <c r="AG209"/>
  <c r="X208"/>
  <c r="Y210"/>
  <c r="AA208"/>
  <c r="W210"/>
  <c r="AA209"/>
  <c r="W208"/>
  <c r="Y208"/>
  <c r="AF209"/>
  <c r="Z208"/>
  <c r="Y209"/>
  <c r="X210"/>
  <c r="X209"/>
  <c r="AB211"/>
  <c r="AI211"/>
  <c r="AB209"/>
  <c r="AI209"/>
  <c r="AB208"/>
  <c r="AI208"/>
  <c r="AA211"/>
  <c r="X205"/>
  <c r="Z205"/>
  <c r="Z209"/>
  <c r="X211"/>
  <c r="C34"/>
  <c r="Q25"/>
  <c r="W205"/>
  <c r="Z211"/>
  <c r="AA210"/>
  <c r="W209"/>
  <c r="Z210"/>
  <c r="Y205"/>
  <c r="W155"/>
  <c r="AI155"/>
  <c r="H188"/>
  <c r="AD236"/>
  <c r="C126"/>
  <c r="AA178"/>
  <c r="Y178"/>
  <c r="AB178"/>
  <c r="AG180"/>
  <c r="C74"/>
  <c r="C183" s="1"/>
  <c r="W183"/>
  <c r="G73"/>
  <c r="AA182"/>
  <c r="L77"/>
  <c r="AF186"/>
  <c r="D77"/>
  <c r="X186"/>
  <c r="W185"/>
  <c r="AA185"/>
  <c r="G77"/>
  <c r="AA186"/>
  <c r="M73"/>
  <c r="AG182"/>
  <c r="E73"/>
  <c r="Y182"/>
  <c r="D79"/>
  <c r="D188" s="1"/>
  <c r="X188"/>
  <c r="F77"/>
  <c r="Z186"/>
  <c r="E76"/>
  <c r="Y185"/>
  <c r="H73"/>
  <c r="Q73" s="1"/>
  <c r="AB182"/>
  <c r="E71"/>
  <c r="Y180"/>
  <c r="G75"/>
  <c r="G74"/>
  <c r="AA183"/>
  <c r="E79"/>
  <c r="E188" s="1"/>
  <c r="Y188"/>
  <c r="K77"/>
  <c r="AE186"/>
  <c r="E74"/>
  <c r="Y183"/>
  <c r="G72"/>
  <c r="AA181"/>
  <c r="D71"/>
  <c r="X180"/>
  <c r="J77"/>
  <c r="AD186"/>
  <c r="D73"/>
  <c r="X182"/>
  <c r="I71"/>
  <c r="AC180"/>
  <c r="E77"/>
  <c r="Y186"/>
  <c r="E72"/>
  <c r="Y181"/>
  <c r="J71"/>
  <c r="AD180"/>
  <c r="F75"/>
  <c r="L73"/>
  <c r="AF182"/>
  <c r="F72"/>
  <c r="Z181"/>
  <c r="G71"/>
  <c r="AA180"/>
  <c r="C71"/>
  <c r="W180"/>
  <c r="D76"/>
  <c r="X185"/>
  <c r="E75"/>
  <c r="C72"/>
  <c r="W181"/>
  <c r="H71"/>
  <c r="AB180"/>
  <c r="H75"/>
  <c r="Q75" s="1"/>
  <c r="H74"/>
  <c r="AB183"/>
  <c r="H72"/>
  <c r="Q72" s="1"/>
  <c r="AB181"/>
  <c r="D72"/>
  <c r="X181"/>
  <c r="M77"/>
  <c r="AG186"/>
  <c r="I77"/>
  <c r="AC186"/>
  <c r="F76"/>
  <c r="Z185"/>
  <c r="C73"/>
  <c r="W182"/>
  <c r="F71"/>
  <c r="Z180"/>
  <c r="H77"/>
  <c r="AB186"/>
  <c r="F74"/>
  <c r="Z183"/>
  <c r="F73"/>
  <c r="Z182"/>
  <c r="K71"/>
  <c r="AE180"/>
  <c r="J79"/>
  <c r="J188" s="1"/>
  <c r="AD188"/>
  <c r="L71"/>
  <c r="AF180"/>
  <c r="D74"/>
  <c r="D183" s="1"/>
  <c r="X183"/>
  <c r="Z178"/>
  <c r="X178"/>
  <c r="H183"/>
  <c r="AE236"/>
  <c r="AF236"/>
  <c r="X236"/>
  <c r="W236" s="1"/>
  <c r="AA236"/>
  <c r="AB236"/>
  <c r="W156"/>
  <c r="C47"/>
  <c r="W239"/>
  <c r="C129"/>
  <c r="AA155"/>
  <c r="G46"/>
  <c r="G100"/>
  <c r="E99"/>
  <c r="AF159"/>
  <c r="L50"/>
  <c r="AF242"/>
  <c r="L132"/>
  <c r="X159"/>
  <c r="D50"/>
  <c r="W158"/>
  <c r="C49"/>
  <c r="O158" s="1"/>
  <c r="AA158"/>
  <c r="AF238"/>
  <c r="L128"/>
  <c r="F99"/>
  <c r="AA159"/>
  <c r="G50"/>
  <c r="W159"/>
  <c r="C50"/>
  <c r="AG238"/>
  <c r="M128"/>
  <c r="M100"/>
  <c r="Y238"/>
  <c r="E128"/>
  <c r="E100"/>
  <c r="C99"/>
  <c r="D106"/>
  <c r="D215" s="1"/>
  <c r="C215" s="1"/>
  <c r="H48"/>
  <c r="Q48" s="1"/>
  <c r="H101"/>
  <c r="AB239"/>
  <c r="H129"/>
  <c r="AB238"/>
  <c r="H128"/>
  <c r="Q128" s="1"/>
  <c r="AB154"/>
  <c r="H45"/>
  <c r="Q45" s="1"/>
  <c r="H99"/>
  <c r="Q99" s="1"/>
  <c r="X154"/>
  <c r="D45"/>
  <c r="D99"/>
  <c r="AA234"/>
  <c r="G124"/>
  <c r="G96"/>
  <c r="C69"/>
  <c r="C178" s="1"/>
  <c r="C124"/>
  <c r="AG159"/>
  <c r="M50"/>
  <c r="AG242"/>
  <c r="M132"/>
  <c r="O72" i="33"/>
  <c r="O70"/>
  <c r="O68"/>
  <c r="O67"/>
  <c r="O104"/>
  <c r="AH132" i="113" s="1"/>
  <c r="AI132" s="1"/>
  <c r="O101" i="33"/>
  <c r="AH50" i="113" s="1"/>
  <c r="AI50" s="1"/>
  <c r="O102" i="33"/>
  <c r="AH77" i="113" s="1"/>
  <c r="AI77" s="1"/>
  <c r="AC159"/>
  <c r="I50"/>
  <c r="Z158"/>
  <c r="F49"/>
  <c r="Z241"/>
  <c r="F131"/>
  <c r="G48"/>
  <c r="G101"/>
  <c r="C100"/>
  <c r="Z153"/>
  <c r="F44"/>
  <c r="F42"/>
  <c r="F96"/>
  <c r="AB159"/>
  <c r="H50"/>
  <c r="AB242"/>
  <c r="H132"/>
  <c r="F101"/>
  <c r="Z239"/>
  <c r="F129"/>
  <c r="F100"/>
  <c r="Z238"/>
  <c r="F128"/>
  <c r="AE153"/>
  <c r="K44"/>
  <c r="E42"/>
  <c r="E96"/>
  <c r="J106"/>
  <c r="J215" s="1"/>
  <c r="E52"/>
  <c r="AE159"/>
  <c r="K50"/>
  <c r="Y156"/>
  <c r="E47"/>
  <c r="G99"/>
  <c r="H42"/>
  <c r="AB234"/>
  <c r="H124"/>
  <c r="D99" i="37"/>
  <c r="W42" i="113" s="1"/>
  <c r="X42"/>
  <c r="D69"/>
  <c r="AD242"/>
  <c r="J132"/>
  <c r="AD159"/>
  <c r="J50"/>
  <c r="W102"/>
  <c r="W211" s="1"/>
  <c r="D102"/>
  <c r="W48"/>
  <c r="Y157" s="1"/>
  <c r="D48"/>
  <c r="X156"/>
  <c r="D47"/>
  <c r="D100"/>
  <c r="X155"/>
  <c r="D46"/>
  <c r="AH71"/>
  <c r="AI71" s="1"/>
  <c r="M71"/>
  <c r="AC153"/>
  <c r="I44"/>
  <c r="AC236"/>
  <c r="I126"/>
  <c r="Y159"/>
  <c r="E50"/>
  <c r="Y242"/>
  <c r="E132"/>
  <c r="C101"/>
  <c r="AA238"/>
  <c r="G128"/>
  <c r="Y237"/>
  <c r="E127"/>
  <c r="Y154"/>
  <c r="E45"/>
  <c r="AD153"/>
  <c r="J44"/>
  <c r="X242"/>
  <c r="D132"/>
  <c r="C76"/>
  <c r="O185" s="1"/>
  <c r="W241"/>
  <c r="C131"/>
  <c r="AA241"/>
  <c r="Z157"/>
  <c r="F48"/>
  <c r="F102"/>
  <c r="L100"/>
  <c r="AF155"/>
  <c r="L46"/>
  <c r="Z154"/>
  <c r="F45"/>
  <c r="Z237"/>
  <c r="F127"/>
  <c r="AA153"/>
  <c r="G44"/>
  <c r="W153"/>
  <c r="C44"/>
  <c r="AA242"/>
  <c r="G132"/>
  <c r="C77"/>
  <c r="C186" s="1"/>
  <c r="W242"/>
  <c r="C132"/>
  <c r="X158"/>
  <c r="D49"/>
  <c r="X241"/>
  <c r="D131"/>
  <c r="E48"/>
  <c r="E102"/>
  <c r="AG155"/>
  <c r="M46"/>
  <c r="O85" i="34"/>
  <c r="O83"/>
  <c r="O82"/>
  <c r="O81"/>
  <c r="O80"/>
  <c r="O114"/>
  <c r="AH46" i="113" s="1"/>
  <c r="O117" i="34"/>
  <c r="AH128" i="113" s="1"/>
  <c r="O115" i="34"/>
  <c r="AH73" i="113" s="1"/>
  <c r="O116" i="34"/>
  <c r="AH100" i="113" s="1"/>
  <c r="AH209" s="1"/>
  <c r="Y155"/>
  <c r="E46"/>
  <c r="W237"/>
  <c r="C127"/>
  <c r="W154"/>
  <c r="C45"/>
  <c r="O154" s="1"/>
  <c r="AB153"/>
  <c r="H44"/>
  <c r="D113" i="41"/>
  <c r="X52" i="113"/>
  <c r="X244"/>
  <c r="D134"/>
  <c r="D244" s="1"/>
  <c r="C244" s="1"/>
  <c r="Z242"/>
  <c r="F132"/>
  <c r="Z159"/>
  <c r="F50"/>
  <c r="Y241"/>
  <c r="E131"/>
  <c r="Y158"/>
  <c r="E49"/>
  <c r="H102"/>
  <c r="Q102" s="1"/>
  <c r="AB156"/>
  <c r="H47"/>
  <c r="H100"/>
  <c r="Q100" s="1"/>
  <c r="AB155"/>
  <c r="H46"/>
  <c r="Q46" s="1"/>
  <c r="AB237"/>
  <c r="H127"/>
  <c r="Q127" s="1"/>
  <c r="X237"/>
  <c r="D127"/>
  <c r="Y153"/>
  <c r="E44"/>
  <c r="Y236"/>
  <c r="E126"/>
  <c r="J60" i="37"/>
  <c r="G42" i="113"/>
  <c r="G69"/>
  <c r="C96"/>
  <c r="C205" s="1"/>
  <c r="AC242"/>
  <c r="I132"/>
  <c r="G102"/>
  <c r="G100" i="39"/>
  <c r="Z47" i="113" s="1"/>
  <c r="AA47"/>
  <c r="AA239"/>
  <c r="G129"/>
  <c r="W238"/>
  <c r="C128"/>
  <c r="F69"/>
  <c r="Z234"/>
  <c r="F124"/>
  <c r="Z155"/>
  <c r="F46"/>
  <c r="Y234"/>
  <c r="E124"/>
  <c r="E69"/>
  <c r="AD244"/>
  <c r="J134"/>
  <c r="J244" s="1"/>
  <c r="J52"/>
  <c r="E106"/>
  <c r="E215" s="1"/>
  <c r="Y244"/>
  <c r="E134"/>
  <c r="E244" s="1"/>
  <c r="AE242"/>
  <c r="K132"/>
  <c r="E101"/>
  <c r="Y239"/>
  <c r="E129"/>
  <c r="AA154"/>
  <c r="G45"/>
  <c r="AA237"/>
  <c r="G127"/>
  <c r="AF153"/>
  <c r="L44"/>
  <c r="X153"/>
  <c r="D44"/>
  <c r="H69"/>
  <c r="H96"/>
  <c r="D96"/>
  <c r="X234"/>
  <c r="W234" s="1"/>
  <c r="D124"/>
  <c r="W75"/>
  <c r="D75"/>
  <c r="D101"/>
  <c r="X239"/>
  <c r="D129"/>
  <c r="X238"/>
  <c r="D128"/>
  <c r="AG236"/>
  <c r="AH126"/>
  <c r="AI126" s="1"/>
  <c r="M126"/>
  <c r="Z236"/>
  <c r="H205" l="1"/>
  <c r="F182"/>
  <c r="H239"/>
  <c r="L209"/>
  <c r="D178"/>
  <c r="D210"/>
  <c r="C210" s="1"/>
  <c r="E178"/>
  <c r="X184"/>
  <c r="AI184"/>
  <c r="O208"/>
  <c r="AK126"/>
  <c r="AI236"/>
  <c r="AI180"/>
  <c r="AK71"/>
  <c r="C48"/>
  <c r="O157" s="1"/>
  <c r="AI157"/>
  <c r="O209"/>
  <c r="O50"/>
  <c r="AK50"/>
  <c r="AI159"/>
  <c r="O237"/>
  <c r="O241"/>
  <c r="C182"/>
  <c r="O182"/>
  <c r="AI242"/>
  <c r="AK132"/>
  <c r="O132"/>
  <c r="Q132" s="1"/>
  <c r="O238"/>
  <c r="AI186"/>
  <c r="O77"/>
  <c r="AK77"/>
  <c r="C181"/>
  <c r="O181"/>
  <c r="L180"/>
  <c r="K180"/>
  <c r="H180"/>
  <c r="D180"/>
  <c r="D237"/>
  <c r="C237" s="1"/>
  <c r="H181"/>
  <c r="H237"/>
  <c r="D181"/>
  <c r="E183"/>
  <c r="G183"/>
  <c r="E180"/>
  <c r="D182"/>
  <c r="F183"/>
  <c r="F178"/>
  <c r="D185"/>
  <c r="G181"/>
  <c r="M180"/>
  <c r="G178"/>
  <c r="I180"/>
  <c r="F180"/>
  <c r="C180"/>
  <c r="H178"/>
  <c r="I159"/>
  <c r="AH182"/>
  <c r="AH186"/>
  <c r="G180"/>
  <c r="F181"/>
  <c r="L182"/>
  <c r="J180"/>
  <c r="E181"/>
  <c r="H182"/>
  <c r="E182"/>
  <c r="M182"/>
  <c r="G182"/>
  <c r="C75"/>
  <c r="W184"/>
  <c r="AH180"/>
  <c r="AB184"/>
  <c r="Y184"/>
  <c r="Z184"/>
  <c r="AA184"/>
  <c r="F186"/>
  <c r="D186"/>
  <c r="I186"/>
  <c r="E186"/>
  <c r="C185"/>
  <c r="G185"/>
  <c r="J186"/>
  <c r="K186"/>
  <c r="E185"/>
  <c r="G186"/>
  <c r="L186"/>
  <c r="H186"/>
  <c r="F185"/>
  <c r="M186"/>
  <c r="D239"/>
  <c r="C239" s="1"/>
  <c r="D158"/>
  <c r="C158" s="1"/>
  <c r="F158"/>
  <c r="X157"/>
  <c r="W157"/>
  <c r="C42"/>
  <c r="E210"/>
  <c r="D238"/>
  <c r="C238" s="1"/>
  <c r="D241"/>
  <c r="C241" s="1"/>
  <c r="D208"/>
  <c r="C208" s="1"/>
  <c r="H208"/>
  <c r="F241"/>
  <c r="E241" s="1"/>
  <c r="E158"/>
  <c r="H159"/>
  <c r="F237"/>
  <c r="E237" s="1"/>
  <c r="F154"/>
  <c r="E154" s="1"/>
  <c r="G210"/>
  <c r="D154"/>
  <c r="C154" s="1"/>
  <c r="H154"/>
  <c r="G154" s="1"/>
  <c r="H210"/>
  <c r="L126"/>
  <c r="M236"/>
  <c r="N126"/>
  <c r="O126" s="1"/>
  <c r="D234"/>
  <c r="C234" s="1"/>
  <c r="AA156"/>
  <c r="G47"/>
  <c r="P109" i="41"/>
  <c r="W52" i="113"/>
  <c r="N100"/>
  <c r="AH238"/>
  <c r="N128"/>
  <c r="C102"/>
  <c r="H234"/>
  <c r="G234" s="1"/>
  <c r="N77"/>
  <c r="N186" s="1"/>
  <c r="AH242"/>
  <c r="N132"/>
  <c r="G205"/>
  <c r="D205"/>
  <c r="F234"/>
  <c r="E234" s="1"/>
  <c r="Z156"/>
  <c r="F47"/>
  <c r="F156" s="1"/>
  <c r="E156" s="1"/>
  <c r="D126"/>
  <c r="E236"/>
  <c r="D52"/>
  <c r="N73"/>
  <c r="N182" s="1"/>
  <c r="AH155"/>
  <c r="N46"/>
  <c r="H126"/>
  <c r="I236"/>
  <c r="C46"/>
  <c r="X151"/>
  <c r="W151" s="1"/>
  <c r="D42"/>
  <c r="E205"/>
  <c r="F205"/>
  <c r="AH159"/>
  <c r="N50"/>
  <c r="G153"/>
  <c r="F153" s="1"/>
  <c r="H238"/>
  <c r="G238" s="1"/>
  <c r="G239"/>
  <c r="E209"/>
  <c r="M209"/>
  <c r="G159"/>
  <c r="F159" s="1"/>
  <c r="F208"/>
  <c r="L238"/>
  <c r="L242"/>
  <c r="K242" s="1"/>
  <c r="E208"/>
  <c r="G209"/>
  <c r="AA151"/>
  <c r="E153"/>
  <c r="D153" s="1"/>
  <c r="C153" s="1"/>
  <c r="AH236"/>
  <c r="G237"/>
  <c r="H209"/>
  <c r="H156"/>
  <c r="F242"/>
  <c r="E242" s="1"/>
  <c r="D242"/>
  <c r="C242" s="1"/>
  <c r="E159"/>
  <c r="D159" s="1"/>
  <c r="C159" s="1"/>
  <c r="I153"/>
  <c r="H153" s="1"/>
  <c r="D209"/>
  <c r="C209" s="1"/>
  <c r="D156"/>
  <c r="C156" s="1"/>
  <c r="J242"/>
  <c r="I242" s="1"/>
  <c r="AB151"/>
  <c r="G208"/>
  <c r="K159"/>
  <c r="J159" s="1"/>
  <c r="Y151"/>
  <c r="K153"/>
  <c r="J153" s="1"/>
  <c r="F238"/>
  <c r="E238" s="1"/>
  <c r="F209"/>
  <c r="F239"/>
  <c r="E239" s="1"/>
  <c r="F210"/>
  <c r="H242"/>
  <c r="G242" s="1"/>
  <c r="Z151"/>
  <c r="AA157"/>
  <c r="M159"/>
  <c r="L159" s="1"/>
  <c r="AB157"/>
  <c r="Q126" l="1"/>
  <c r="Q154"/>
  <c r="C157"/>
  <c r="Q208"/>
  <c r="Q237"/>
  <c r="O236"/>
  <c r="O242"/>
  <c r="Q242" s="1"/>
  <c r="O159"/>
  <c r="Q159" s="1"/>
  <c r="Q50"/>
  <c r="Q209"/>
  <c r="Q181"/>
  <c r="Q182"/>
  <c r="C211"/>
  <c r="O211"/>
  <c r="C184"/>
  <c r="O184"/>
  <c r="D155"/>
  <c r="C155" s="1"/>
  <c r="O155"/>
  <c r="O186"/>
  <c r="Q186" s="1"/>
  <c r="Q77"/>
  <c r="Q238"/>
  <c r="X161"/>
  <c r="F211"/>
  <c r="E211"/>
  <c r="C151"/>
  <c r="D236"/>
  <c r="C236" s="1"/>
  <c r="G184"/>
  <c r="E184"/>
  <c r="H211"/>
  <c r="D211"/>
  <c r="G211"/>
  <c r="F151"/>
  <c r="E151"/>
  <c r="H151"/>
  <c r="F184"/>
  <c r="H184"/>
  <c r="D184"/>
  <c r="H157"/>
  <c r="Q157" s="1"/>
  <c r="H155"/>
  <c r="G155" s="1"/>
  <c r="L155"/>
  <c r="F155"/>
  <c r="E155" s="1"/>
  <c r="D157"/>
  <c r="G157"/>
  <c r="F157"/>
  <c r="E157"/>
  <c r="N242"/>
  <c r="N159"/>
  <c r="D151"/>
  <c r="G126"/>
  <c r="H236"/>
  <c r="N155"/>
  <c r="N238"/>
  <c r="W161"/>
  <c r="C52"/>
  <c r="AB161"/>
  <c r="Z161"/>
  <c r="AC161"/>
  <c r="AE161"/>
  <c r="AA161"/>
  <c r="Y161"/>
  <c r="AD161"/>
  <c r="K126"/>
  <c r="L236"/>
  <c r="G156"/>
  <c r="G151"/>
  <c r="Q155" l="1"/>
  <c r="Q184"/>
  <c r="Q211"/>
  <c r="Q236"/>
  <c r="D161"/>
  <c r="C161" s="1"/>
  <c r="J126"/>
  <c r="K236"/>
  <c r="F161"/>
  <c r="E161" s="1"/>
  <c r="H161"/>
  <c r="G161" s="1"/>
  <c r="J161"/>
  <c r="I161" s="1"/>
  <c r="M155"/>
  <c r="F126"/>
  <c r="G236"/>
  <c r="M238"/>
  <c r="M242"/>
  <c r="J236" l="1"/>
  <c r="F236"/>
  <c r="N19" i="118" l="1"/>
  <c r="M19"/>
  <c r="L19"/>
  <c r="K19"/>
  <c r="J19"/>
  <c r="I19"/>
  <c r="H19"/>
  <c r="G19"/>
  <c r="F19"/>
  <c r="E19"/>
  <c r="D19"/>
  <c r="C19"/>
  <c r="M18"/>
  <c r="L18"/>
  <c r="K18"/>
  <c r="J18"/>
  <c r="I18"/>
  <c r="N17" s="1"/>
  <c r="M17" s="1"/>
  <c r="L17" s="1"/>
  <c r="K17" s="1"/>
  <c r="J17" s="1"/>
  <c r="I17" s="1"/>
  <c r="H17" s="1"/>
  <c r="G17" s="1"/>
  <c r="F17" s="1"/>
  <c r="E17" s="1"/>
  <c r="D17" s="1"/>
  <c r="C17" s="1"/>
  <c r="N16"/>
  <c r="M16"/>
  <c r="L16"/>
  <c r="K16"/>
  <c r="J16"/>
  <c r="I16"/>
  <c r="H16"/>
  <c r="G16"/>
  <c r="F16"/>
  <c r="E16"/>
  <c r="D16"/>
  <c r="C16"/>
  <c r="N15"/>
  <c r="M15"/>
  <c r="L15"/>
  <c r="K15"/>
  <c r="J15"/>
  <c r="I15"/>
  <c r="H15"/>
  <c r="G15"/>
  <c r="F15"/>
  <c r="E15"/>
  <c r="D15" l="1"/>
  <c r="C15"/>
  <c r="N14" s="1"/>
  <c r="M14" s="1"/>
  <c r="L14" s="1"/>
  <c r="K14" s="1"/>
  <c r="J14" s="1"/>
  <c r="I14" s="1"/>
  <c r="H14" s="1"/>
  <c r="G14" s="1"/>
  <c r="F14" s="1"/>
  <c r="E14" s="1"/>
  <c r="D14"/>
  <c r="C14" s="1"/>
  <c r="D5"/>
  <c r="D4"/>
  <c r="D3"/>
  <c r="D2"/>
  <c r="C54" i="15"/>
  <c r="C44"/>
  <c r="C45" s="1"/>
  <c r="C34"/>
  <c r="C35" s="1"/>
  <c r="C22"/>
  <c r="C23" s="1"/>
  <c r="D5"/>
  <c r="D4"/>
  <c r="D3"/>
  <c r="D2"/>
  <c r="C55" l="1"/>
  <c r="N21" i="118"/>
  <c r="M21" l="1"/>
  <c r="O45" i="84"/>
  <c r="O49" i="83"/>
  <c r="O49" i="82"/>
  <c r="O47" i="81"/>
  <c r="O61" i="79"/>
  <c r="O51" i="33"/>
  <c r="O53" s="1"/>
  <c r="N172" i="35" s="1"/>
  <c r="O45" i="32"/>
  <c r="O47" s="1"/>
  <c r="N171" i="35" s="1"/>
  <c r="O45" i="42"/>
  <c r="O47" s="1"/>
  <c r="N166" i="35" s="1"/>
  <c r="O166" l="1"/>
  <c r="N176"/>
  <c r="O172"/>
  <c r="O85" i="32"/>
  <c r="AF171" i="35" s="1"/>
  <c r="O112" i="122"/>
  <c r="O138" i="81"/>
  <c r="O140" s="1"/>
  <c r="O152" s="1"/>
  <c r="O89"/>
  <c r="O49"/>
  <c r="O143" i="83"/>
  <c r="O145" s="1"/>
  <c r="O51"/>
  <c r="O91"/>
  <c r="L21" i="118"/>
  <c r="N45" i="84"/>
  <c r="N134" s="1"/>
  <c r="N49" i="83"/>
  <c r="N49" i="82"/>
  <c r="N47" i="81"/>
  <c r="N61" i="79"/>
  <c r="N51" i="33"/>
  <c r="N53" s="1"/>
  <c r="M172" i="35" s="1"/>
  <c r="N45" i="32"/>
  <c r="N47" s="1"/>
  <c r="M171" i="35" s="1"/>
  <c r="N45" i="42"/>
  <c r="N47" s="1"/>
  <c r="M166" i="35" s="1"/>
  <c r="O85" i="42"/>
  <c r="AF166" i="35" s="1"/>
  <c r="O63" i="42"/>
  <c r="O91" i="33"/>
  <c r="AF172" i="35" s="1"/>
  <c r="AG172" s="1"/>
  <c r="O69" i="33"/>
  <c r="O156" i="79"/>
  <c r="O158" s="1"/>
  <c r="O170" s="1"/>
  <c r="O103"/>
  <c r="O63"/>
  <c r="O142" i="82"/>
  <c r="O144" s="1"/>
  <c r="O156" s="1"/>
  <c r="O91"/>
  <c r="O51"/>
  <c r="O134" i="84"/>
  <c r="O136" s="1"/>
  <c r="O87"/>
  <c r="AG166" i="35" l="1"/>
  <c r="AF176"/>
  <c r="O176"/>
  <c r="M176"/>
  <c r="O151" i="122"/>
  <c r="O153" s="1"/>
  <c r="O165" s="1"/>
  <c r="AH97" i="113" s="1"/>
  <c r="N87" i="84"/>
  <c r="N85" i="32"/>
  <c r="AE171" i="35" s="1"/>
  <c r="O67" i="82"/>
  <c r="O93"/>
  <c r="O103" i="33"/>
  <c r="O97" i="42"/>
  <c r="N156" i="79"/>
  <c r="N158" s="1"/>
  <c r="N170" s="1"/>
  <c r="N63"/>
  <c r="N79" s="1"/>
  <c r="N103"/>
  <c r="N142" i="82"/>
  <c r="N144" s="1"/>
  <c r="N156" s="1"/>
  <c r="N91"/>
  <c r="N51"/>
  <c r="N67" s="1"/>
  <c r="O157" i="83"/>
  <c r="N91"/>
  <c r="N136" i="84"/>
  <c r="O148"/>
  <c r="O79" i="79"/>
  <c r="O105"/>
  <c r="N91" i="33"/>
  <c r="AE172" i="35" s="1"/>
  <c r="N69" i="33"/>
  <c r="N85" i="42"/>
  <c r="AE166" i="35" s="1"/>
  <c r="N63" i="42"/>
  <c r="N112" i="122"/>
  <c r="N151" s="1"/>
  <c r="N153" s="1"/>
  <c r="N138" i="81"/>
  <c r="N140" s="1"/>
  <c r="N152" s="1"/>
  <c r="N89"/>
  <c r="N49"/>
  <c r="N65" s="1"/>
  <c r="N143" i="83"/>
  <c r="N145" s="1"/>
  <c r="N51"/>
  <c r="N67" s="1"/>
  <c r="K21" i="118"/>
  <c r="M45" i="84"/>
  <c r="M49" i="83"/>
  <c r="M49" i="82"/>
  <c r="M47" i="81"/>
  <c r="M61" i="79"/>
  <c r="M51" i="33"/>
  <c r="M53" s="1"/>
  <c r="L172" i="35" s="1"/>
  <c r="M45" i="32"/>
  <c r="M47" s="1"/>
  <c r="L171" i="35" s="1"/>
  <c r="M45" i="42"/>
  <c r="M47" s="1"/>
  <c r="L166" i="35" s="1"/>
  <c r="O67" i="83"/>
  <c r="O93"/>
  <c r="O91" i="81"/>
  <c r="O65"/>
  <c r="AE176" i="35" l="1"/>
  <c r="L176"/>
  <c r="AG176"/>
  <c r="N165" i="122"/>
  <c r="AG97" i="113" s="1"/>
  <c r="N148" i="84"/>
  <c r="M85" i="32"/>
  <c r="AD171" i="35" s="1"/>
  <c r="M63" i="42"/>
  <c r="M85"/>
  <c r="M91" i="33"/>
  <c r="AD172" i="35" s="1"/>
  <c r="M69" i="33"/>
  <c r="N91" i="81"/>
  <c r="N103" s="1"/>
  <c r="O103"/>
  <c r="M112" i="122"/>
  <c r="M151" s="1"/>
  <c r="M153" s="1"/>
  <c r="M138" i="81"/>
  <c r="M140" s="1"/>
  <c r="M152" s="1"/>
  <c r="M89"/>
  <c r="M49"/>
  <c r="M143" i="83"/>
  <c r="M145" s="1"/>
  <c r="M91"/>
  <c r="M51"/>
  <c r="J21" i="118"/>
  <c r="L45" i="84"/>
  <c r="L134" s="1"/>
  <c r="L49" i="83"/>
  <c r="L49" i="82"/>
  <c r="L61" i="79"/>
  <c r="L47" i="81"/>
  <c r="L51" i="33"/>
  <c r="L53" s="1"/>
  <c r="K172" i="35" s="1"/>
  <c r="L45" i="32"/>
  <c r="L47" s="1"/>
  <c r="K171" i="35" s="1"/>
  <c r="L45" i="42"/>
  <c r="L47" s="1"/>
  <c r="K166" i="35" s="1"/>
  <c r="N97" i="42"/>
  <c r="N103" i="33"/>
  <c r="N105" i="79"/>
  <c r="N117" s="1"/>
  <c r="O117"/>
  <c r="N93" i="82"/>
  <c r="N105" s="1"/>
  <c r="O105"/>
  <c r="N157" i="83"/>
  <c r="N93"/>
  <c r="N105" s="1"/>
  <c r="O105"/>
  <c r="M156" i="79"/>
  <c r="M158" s="1"/>
  <c r="M170" s="1"/>
  <c r="M103"/>
  <c r="M63"/>
  <c r="M142" i="82"/>
  <c r="M144" s="1"/>
  <c r="M156" s="1"/>
  <c r="M91"/>
  <c r="M51"/>
  <c r="M134" i="84"/>
  <c r="M136" s="1"/>
  <c r="M87"/>
  <c r="K176" i="35" l="1"/>
  <c r="M97" i="42"/>
  <c r="AD166" i="35"/>
  <c r="AD176" s="1"/>
  <c r="L87" i="84"/>
  <c r="M165" i="122"/>
  <c r="AF97" i="113" s="1"/>
  <c r="L136" i="84"/>
  <c r="L85" i="32"/>
  <c r="AC171" i="35" s="1"/>
  <c r="L85" i="42"/>
  <c r="L63"/>
  <c r="L91" i="33"/>
  <c r="AC172" i="35" s="1"/>
  <c r="L69" i="33"/>
  <c r="M93" i="82"/>
  <c r="M105" s="1"/>
  <c r="M67"/>
  <c r="L138" i="81"/>
  <c r="L140" s="1"/>
  <c r="L152" s="1"/>
  <c r="L89"/>
  <c r="L49"/>
  <c r="L65" s="1"/>
  <c r="L142" i="82"/>
  <c r="L144" s="1"/>
  <c r="L156" s="1"/>
  <c r="L91"/>
  <c r="L51"/>
  <c r="L67" s="1"/>
  <c r="M93" i="83"/>
  <c r="M105" s="1"/>
  <c r="M67"/>
  <c r="M103" i="33"/>
  <c r="M157" i="83"/>
  <c r="M105" i="79"/>
  <c r="M117" s="1"/>
  <c r="M79"/>
  <c r="L112" i="122"/>
  <c r="L151" s="1"/>
  <c r="L153" s="1"/>
  <c r="L156" i="79"/>
  <c r="L158" s="1"/>
  <c r="L170" s="1"/>
  <c r="L103"/>
  <c r="L63"/>
  <c r="L79" s="1"/>
  <c r="L143" i="83"/>
  <c r="L145" s="1"/>
  <c r="L51"/>
  <c r="L67" s="1"/>
  <c r="I21" i="118"/>
  <c r="K45" i="84"/>
  <c r="K134" s="1"/>
  <c r="K136" s="1"/>
  <c r="K49" i="83"/>
  <c r="K49" i="82"/>
  <c r="K47" i="81"/>
  <c r="K61" i="79"/>
  <c r="K51" i="33"/>
  <c r="K53" s="1"/>
  <c r="J172" i="35" s="1"/>
  <c r="K45" i="32"/>
  <c r="K47" s="1"/>
  <c r="J171" i="35" s="1"/>
  <c r="K45" i="42"/>
  <c r="K47" s="1"/>
  <c r="J166" i="35" s="1"/>
  <c r="M65" i="81"/>
  <c r="M91"/>
  <c r="M103" s="1"/>
  <c r="M148" i="84"/>
  <c r="L91" i="83"/>
  <c r="L97" i="42" l="1"/>
  <c r="AC166" i="35"/>
  <c r="AC176" s="1"/>
  <c r="J176"/>
  <c r="L148" i="84"/>
  <c r="L165" i="122"/>
  <c r="AE97" i="113" s="1"/>
  <c r="AK97" s="1"/>
  <c r="K91" i="83"/>
  <c r="L91" i="81"/>
  <c r="L103" s="1"/>
  <c r="K85" i="42"/>
  <c r="K63"/>
  <c r="K91" i="33"/>
  <c r="AB172" i="35" s="1"/>
  <c r="K69" i="33"/>
  <c r="K85" i="32"/>
  <c r="AB171" i="35" s="1"/>
  <c r="K112" i="122"/>
  <c r="K151" s="1"/>
  <c r="K153" s="1"/>
  <c r="K138" i="81"/>
  <c r="K140" s="1"/>
  <c r="K152" s="1"/>
  <c r="K89"/>
  <c r="K49"/>
  <c r="K65" s="1"/>
  <c r="K143" i="83"/>
  <c r="K145" s="1"/>
  <c r="K51"/>
  <c r="K67" s="1"/>
  <c r="H21" i="118"/>
  <c r="J45" i="84"/>
  <c r="J134" s="1"/>
  <c r="J136" s="1"/>
  <c r="J49" i="83"/>
  <c r="J91" s="1"/>
  <c r="J49" i="82"/>
  <c r="J47" i="81"/>
  <c r="J61" i="79"/>
  <c r="J51" i="33"/>
  <c r="J53" s="1"/>
  <c r="I172" i="35" s="1"/>
  <c r="J45" i="32"/>
  <c r="J47" s="1"/>
  <c r="I171" i="35" s="1"/>
  <c r="J45" i="42"/>
  <c r="J47" s="1"/>
  <c r="I166" i="35" s="1"/>
  <c r="L103" i="33"/>
  <c r="K148" i="84"/>
  <c r="K87"/>
  <c r="K156" i="79"/>
  <c r="K158" s="1"/>
  <c r="K170" s="1"/>
  <c r="K103"/>
  <c r="K63"/>
  <c r="K79" s="1"/>
  <c r="K142" i="82"/>
  <c r="K144" s="1"/>
  <c r="K156" s="1"/>
  <c r="K91"/>
  <c r="K51"/>
  <c r="K67" s="1"/>
  <c r="L105" i="79"/>
  <c r="L157" i="83"/>
  <c r="L93"/>
  <c r="L93" i="82"/>
  <c r="K97" i="42" l="1"/>
  <c r="AB166" i="35"/>
  <c r="AB176" s="1"/>
  <c r="I176"/>
  <c r="J87" i="84"/>
  <c r="K165" i="122"/>
  <c r="AD97" i="113" s="1"/>
  <c r="K91" i="81"/>
  <c r="K103" s="1"/>
  <c r="J85" i="42"/>
  <c r="J63"/>
  <c r="J91" i="33"/>
  <c r="AA172" i="35" s="1"/>
  <c r="J69" i="33"/>
  <c r="J85" i="32"/>
  <c r="AA171" i="35" s="1"/>
  <c r="K93" i="83"/>
  <c r="L105"/>
  <c r="K105" i="79"/>
  <c r="L117"/>
  <c r="J156"/>
  <c r="J158" s="1"/>
  <c r="J170" s="1"/>
  <c r="J103"/>
  <c r="J63"/>
  <c r="J79" s="1"/>
  <c r="J142" i="82"/>
  <c r="J144" s="1"/>
  <c r="J156" s="1"/>
  <c r="J91"/>
  <c r="J51"/>
  <c r="J67" s="1"/>
  <c r="J148" i="84"/>
  <c r="K93" i="82"/>
  <c r="L105"/>
  <c r="J112" i="122"/>
  <c r="J151" s="1"/>
  <c r="J153" s="1"/>
  <c r="J138" i="81"/>
  <c r="J140" s="1"/>
  <c r="J152" s="1"/>
  <c r="J89"/>
  <c r="J49"/>
  <c r="J65" s="1"/>
  <c r="J143" i="83"/>
  <c r="J145" s="1"/>
  <c r="J51"/>
  <c r="J67" s="1"/>
  <c r="G21" i="118"/>
  <c r="I45" i="84"/>
  <c r="I134" s="1"/>
  <c r="I136" s="1"/>
  <c r="I49" i="83"/>
  <c r="I91" s="1"/>
  <c r="I49" i="82"/>
  <c r="I47" i="81"/>
  <c r="I61" i="79"/>
  <c r="I51" i="33"/>
  <c r="I53" s="1"/>
  <c r="H172" i="35" s="1"/>
  <c r="I45" i="32"/>
  <c r="I47" s="1"/>
  <c r="H171" i="35" s="1"/>
  <c r="I45" i="42"/>
  <c r="I47" s="1"/>
  <c r="H166" i="35" s="1"/>
  <c r="K103" i="33"/>
  <c r="K157" i="83"/>
  <c r="H176" i="35" l="1"/>
  <c r="J97" i="42"/>
  <c r="AA166" i="35"/>
  <c r="AA176" s="1"/>
  <c r="J165" i="122"/>
  <c r="AC97" i="113" s="1"/>
  <c r="I91" i="33"/>
  <c r="Z172" i="35" s="1"/>
  <c r="I69" i="33"/>
  <c r="I63" i="42"/>
  <c r="I85"/>
  <c r="Z166" i="35" s="1"/>
  <c r="I85" i="32"/>
  <c r="Z171" i="35" s="1"/>
  <c r="I112" i="122"/>
  <c r="I151" s="1"/>
  <c r="I153" s="1"/>
  <c r="I138" i="81"/>
  <c r="I140" s="1"/>
  <c r="I152" s="1"/>
  <c r="I89"/>
  <c r="I49"/>
  <c r="I65" s="1"/>
  <c r="I143" i="83"/>
  <c r="I145" s="1"/>
  <c r="I51"/>
  <c r="I67" s="1"/>
  <c r="F21" i="118"/>
  <c r="H45" i="84"/>
  <c r="H134" s="1"/>
  <c r="H136" s="1"/>
  <c r="H49" i="83"/>
  <c r="H91" s="1"/>
  <c r="H49" i="82"/>
  <c r="H61" i="79"/>
  <c r="H47" i="81"/>
  <c r="H51" i="33"/>
  <c r="H53" s="1"/>
  <c r="G172" i="35" s="1"/>
  <c r="H45" i="32"/>
  <c r="H47" s="1"/>
  <c r="G171" i="35" s="1"/>
  <c r="H45" i="42"/>
  <c r="H47" s="1"/>
  <c r="G166" i="35" s="1"/>
  <c r="J105" i="79"/>
  <c r="K117"/>
  <c r="J93" i="83"/>
  <c r="K105"/>
  <c r="J157"/>
  <c r="I148" i="84"/>
  <c r="I156" i="79"/>
  <c r="I158" s="1"/>
  <c r="I170" s="1"/>
  <c r="I103"/>
  <c r="I63"/>
  <c r="I79" s="1"/>
  <c r="I142" i="82"/>
  <c r="I144" s="1"/>
  <c r="I156" s="1"/>
  <c r="I91"/>
  <c r="I51"/>
  <c r="I67" s="1"/>
  <c r="J93"/>
  <c r="K105"/>
  <c r="J103" i="33"/>
  <c r="I87" i="84"/>
  <c r="J91" i="81"/>
  <c r="Z176" i="35" l="1"/>
  <c r="G176"/>
  <c r="H87" i="84"/>
  <c r="I165" i="122"/>
  <c r="AB97" i="113" s="1"/>
  <c r="AC206" s="1"/>
  <c r="H85" i="42"/>
  <c r="Y166" i="35" s="1"/>
  <c r="H63" i="42"/>
  <c r="H85" i="32"/>
  <c r="H63"/>
  <c r="H91" i="33"/>
  <c r="Y172" i="35" s="1"/>
  <c r="H69" i="33"/>
  <c r="I91" i="81"/>
  <c r="J103"/>
  <c r="I93" i="82"/>
  <c r="J105"/>
  <c r="H112" i="122"/>
  <c r="H151" s="1"/>
  <c r="H153" s="1"/>
  <c r="H156" i="79"/>
  <c r="H158" s="1"/>
  <c r="H170" s="1"/>
  <c r="H103"/>
  <c r="H63"/>
  <c r="H79" s="1"/>
  <c r="H143" i="83"/>
  <c r="H145" s="1"/>
  <c r="H51"/>
  <c r="H67" s="1"/>
  <c r="E21" i="118"/>
  <c r="G45" i="84"/>
  <c r="G134" s="1"/>
  <c r="G136" s="1"/>
  <c r="G49" i="83"/>
  <c r="G91" s="1"/>
  <c r="G49" i="82"/>
  <c r="G47" i="81"/>
  <c r="G61" i="79"/>
  <c r="G51" i="33"/>
  <c r="G53" s="1"/>
  <c r="F172" i="35" s="1"/>
  <c r="G45" i="32"/>
  <c r="G47" s="1"/>
  <c r="F171" i="35" s="1"/>
  <c r="G45" i="42"/>
  <c r="G47" s="1"/>
  <c r="F166" i="35" s="1"/>
  <c r="I97" i="42"/>
  <c r="I157" i="83"/>
  <c r="I93"/>
  <c r="J105"/>
  <c r="I105" i="79"/>
  <c r="J117"/>
  <c r="H138" i="81"/>
  <c r="H140" s="1"/>
  <c r="H152" s="1"/>
  <c r="H89"/>
  <c r="H49"/>
  <c r="H65" s="1"/>
  <c r="H142" i="82"/>
  <c r="H144" s="1"/>
  <c r="H156" s="1"/>
  <c r="H91"/>
  <c r="H51"/>
  <c r="H67" s="1"/>
  <c r="I103" i="33"/>
  <c r="H148" i="84"/>
  <c r="F176" i="35" l="1"/>
  <c r="H97" i="32"/>
  <c r="Y171" i="35"/>
  <c r="Y176" s="1"/>
  <c r="AB206" i="113"/>
  <c r="AI206"/>
  <c r="AH206"/>
  <c r="AG206"/>
  <c r="AF206"/>
  <c r="AE206"/>
  <c r="AD206"/>
  <c r="H165" i="122"/>
  <c r="AA97" i="113" s="1"/>
  <c r="AA206" s="1"/>
  <c r="G87" i="84"/>
  <c r="G85" i="42"/>
  <c r="X166" i="35" s="1"/>
  <c r="G63" i="42"/>
  <c r="G91" i="33"/>
  <c r="X172" i="35" s="1"/>
  <c r="G69" i="33"/>
  <c r="G85" i="32"/>
  <c r="G63"/>
  <c r="H105" i="79"/>
  <c r="I117"/>
  <c r="H93" i="83"/>
  <c r="I105"/>
  <c r="G156" i="79"/>
  <c r="G158" s="1"/>
  <c r="G170" s="1"/>
  <c r="G103"/>
  <c r="G63"/>
  <c r="G79" s="1"/>
  <c r="G142" i="82"/>
  <c r="G144" s="1"/>
  <c r="G156" s="1"/>
  <c r="G91"/>
  <c r="G51"/>
  <c r="G67" s="1"/>
  <c r="H93"/>
  <c r="I105"/>
  <c r="H103" i="33"/>
  <c r="G148" i="84"/>
  <c r="G112" i="122"/>
  <c r="G151" s="1"/>
  <c r="G153" s="1"/>
  <c r="G138" i="81"/>
  <c r="G140" s="1"/>
  <c r="G152" s="1"/>
  <c r="G89"/>
  <c r="G49"/>
  <c r="G65" s="1"/>
  <c r="G143" i="83"/>
  <c r="G145" s="1"/>
  <c r="G51"/>
  <c r="G67" s="1"/>
  <c r="D21" i="118"/>
  <c r="F45" i="84"/>
  <c r="F134" s="1"/>
  <c r="F136" s="1"/>
  <c r="F49" i="83"/>
  <c r="F49" i="82"/>
  <c r="F47" i="81"/>
  <c r="F61" i="79"/>
  <c r="F51" i="33"/>
  <c r="F53" s="1"/>
  <c r="E172" i="35" s="1"/>
  <c r="F45" i="32"/>
  <c r="F47" s="1"/>
  <c r="E171" i="35" s="1"/>
  <c r="F45" i="42"/>
  <c r="F47" s="1"/>
  <c r="E166" i="35" s="1"/>
  <c r="H91" i="81"/>
  <c r="I103"/>
  <c r="H97" i="42"/>
  <c r="H157" i="83"/>
  <c r="G97" i="32" l="1"/>
  <c r="X171" i="35"/>
  <c r="X176" s="1"/>
  <c r="E176"/>
  <c r="G165" i="122"/>
  <c r="Z97" i="113" s="1"/>
  <c r="Z206" s="1"/>
  <c r="F85" i="32"/>
  <c r="F63"/>
  <c r="F85" i="42"/>
  <c r="W166" i="35" s="1"/>
  <c r="F63" i="42"/>
  <c r="F91" i="33"/>
  <c r="W172" i="35" s="1"/>
  <c r="F69" i="33"/>
  <c r="G91" i="81"/>
  <c r="H103"/>
  <c r="F112" i="122"/>
  <c r="F151" s="1"/>
  <c r="F153" s="1"/>
  <c r="F138" i="81"/>
  <c r="F140" s="1"/>
  <c r="F152" s="1"/>
  <c r="F89"/>
  <c r="F49"/>
  <c r="F65" s="1"/>
  <c r="F143" i="83"/>
  <c r="F145" s="1"/>
  <c r="F51"/>
  <c r="F67" s="1"/>
  <c r="C21" i="118"/>
  <c r="E45" i="84"/>
  <c r="E134" s="1"/>
  <c r="E136" s="1"/>
  <c r="E49" i="83"/>
  <c r="E49" i="82"/>
  <c r="E47" i="81"/>
  <c r="E61" i="79"/>
  <c r="E51" i="33"/>
  <c r="E53" s="1"/>
  <c r="D172" i="35" s="1"/>
  <c r="E45" i="32"/>
  <c r="E47" s="1"/>
  <c r="D171" i="35" s="1"/>
  <c r="E45" i="42"/>
  <c r="E47" s="1"/>
  <c r="D166" i="35" s="1"/>
  <c r="G93" i="82"/>
  <c r="H105"/>
  <c r="G93" i="83"/>
  <c r="H105"/>
  <c r="G105" i="79"/>
  <c r="H117"/>
  <c r="G157" i="83"/>
  <c r="F91"/>
  <c r="F148" i="84"/>
  <c r="F156" i="79"/>
  <c r="F158" s="1"/>
  <c r="F170" s="1"/>
  <c r="F103"/>
  <c r="F63"/>
  <c r="F79" s="1"/>
  <c r="F142" i="82"/>
  <c r="F144" s="1"/>
  <c r="F156" s="1"/>
  <c r="F91"/>
  <c r="F51"/>
  <c r="F67" s="1"/>
  <c r="G103" i="33"/>
  <c r="G97" i="42"/>
  <c r="F87" i="84"/>
  <c r="F97" i="32" l="1"/>
  <c r="W171" i="35"/>
  <c r="W176" s="1"/>
  <c r="D176"/>
  <c r="F165" i="122"/>
  <c r="Y97" i="113" s="1"/>
  <c r="Y206" s="1"/>
  <c r="E91" i="83"/>
  <c r="D45" i="84"/>
  <c r="D47" s="1"/>
  <c r="E87"/>
  <c r="E63" i="42"/>
  <c r="E85"/>
  <c r="E91" i="33"/>
  <c r="V172" i="35" s="1"/>
  <c r="E69" i="33"/>
  <c r="E85" i="32"/>
  <c r="V171" i="35" s="1"/>
  <c r="E63" i="32"/>
  <c r="E156" i="79"/>
  <c r="E158" s="1"/>
  <c r="E103"/>
  <c r="E63"/>
  <c r="E79" s="1"/>
  <c r="E142" i="82"/>
  <c r="E144" s="1"/>
  <c r="E156" s="1"/>
  <c r="E91"/>
  <c r="E51"/>
  <c r="E67" s="1"/>
  <c r="F103" i="33"/>
  <c r="F97" i="42"/>
  <c r="E148" i="84"/>
  <c r="F105" i="79"/>
  <c r="G117"/>
  <c r="F93" i="83"/>
  <c r="G105"/>
  <c r="F93" i="82"/>
  <c r="G105"/>
  <c r="E112" i="122"/>
  <c r="E151" s="1"/>
  <c r="E153" s="1"/>
  <c r="E138" i="81"/>
  <c r="E140" s="1"/>
  <c r="E152" s="1"/>
  <c r="E89"/>
  <c r="E49"/>
  <c r="E65" s="1"/>
  <c r="E143" i="83"/>
  <c r="E145" s="1"/>
  <c r="E51"/>
  <c r="E67" s="1"/>
  <c r="D49"/>
  <c r="D49" i="82"/>
  <c r="D61" i="79"/>
  <c r="D47" i="81"/>
  <c r="D51" i="33"/>
  <c r="D53" s="1"/>
  <c r="C172" i="35" s="1"/>
  <c r="Q172" s="1"/>
  <c r="D45" i="32"/>
  <c r="D47" s="1"/>
  <c r="C171" i="35" s="1"/>
  <c r="Q171" s="1"/>
  <c r="D45" i="42"/>
  <c r="O43" s="1"/>
  <c r="N132" i="35" s="1"/>
  <c r="F91" i="81"/>
  <c r="G103"/>
  <c r="F157" i="83"/>
  <c r="O132" i="35" l="1"/>
  <c r="N142"/>
  <c r="E97" i="42"/>
  <c r="V166" i="35"/>
  <c r="V176" s="1"/>
  <c r="D112" i="122"/>
  <c r="D151" s="1"/>
  <c r="D153" s="1"/>
  <c r="E165"/>
  <c r="X97" i="113" s="1"/>
  <c r="X206" s="1"/>
  <c r="N43" i="42"/>
  <c r="M132" i="35" s="1"/>
  <c r="M142" s="1"/>
  <c r="O83" i="42"/>
  <c r="AF132" i="35" s="1"/>
  <c r="O61" i="42"/>
  <c r="D69" i="33"/>
  <c r="D138" i="81"/>
  <c r="D140" s="1"/>
  <c r="D152" s="1"/>
  <c r="D89"/>
  <c r="D49"/>
  <c r="D142" i="82"/>
  <c r="D144" s="1"/>
  <c r="D156" s="1"/>
  <c r="D91"/>
  <c r="D51"/>
  <c r="D67" s="1"/>
  <c r="D134" i="84"/>
  <c r="D136" s="1"/>
  <c r="D148" s="1"/>
  <c r="D87"/>
  <c r="E157" i="83"/>
  <c r="E170" i="79"/>
  <c r="D47" i="42"/>
  <c r="C166" i="35" s="1"/>
  <c r="E91" i="81"/>
  <c r="E103" s="1"/>
  <c r="F103"/>
  <c r="D63" i="32"/>
  <c r="D156" i="79"/>
  <c r="D158" s="1"/>
  <c r="D170" s="1"/>
  <c r="O169" s="1"/>
  <c r="N169" s="1"/>
  <c r="D103"/>
  <c r="O101" s="1"/>
  <c r="D63"/>
  <c r="D79" s="1"/>
  <c r="D143" i="83"/>
  <c r="D145" s="1"/>
  <c r="D51"/>
  <c r="D67" s="1"/>
  <c r="D91"/>
  <c r="E93" i="82"/>
  <c r="F105"/>
  <c r="E93" i="83"/>
  <c r="F105"/>
  <c r="E105" i="79"/>
  <c r="F117"/>
  <c r="D85" i="32"/>
  <c r="E97"/>
  <c r="D91" i="33"/>
  <c r="U172" i="35" s="1"/>
  <c r="AI172" s="1"/>
  <c r="E103" i="33"/>
  <c r="Q132" i="35" l="1"/>
  <c r="O142"/>
  <c r="Q142" s="1"/>
  <c r="C176"/>
  <c r="Q176" s="1"/>
  <c r="Q166"/>
  <c r="D97" i="32"/>
  <c r="U171" i="35"/>
  <c r="AI171" s="1"/>
  <c r="AG132"/>
  <c r="AF142"/>
  <c r="D126" i="122"/>
  <c r="C97" i="113" s="1"/>
  <c r="D165" i="122"/>
  <c r="W97" i="113" s="1"/>
  <c r="W206" s="1"/>
  <c r="N83" i="42"/>
  <c r="AE132" i="35" s="1"/>
  <c r="AE142" s="1"/>
  <c r="N61" i="42"/>
  <c r="O95"/>
  <c r="M169" i="79"/>
  <c r="AG81" i="113"/>
  <c r="AG190" s="1"/>
  <c r="N101" i="79"/>
  <c r="N115" s="1"/>
  <c r="M54" i="113" s="1"/>
  <c r="O115" i="79"/>
  <c r="N54" i="113" s="1"/>
  <c r="O120" i="122"/>
  <c r="N120" s="1"/>
  <c r="M120" s="1"/>
  <c r="L120" s="1"/>
  <c r="K120" s="1"/>
  <c r="J120" s="1"/>
  <c r="I120" s="1"/>
  <c r="H120" s="1"/>
  <c r="G120" s="1"/>
  <c r="F120" s="1"/>
  <c r="E120" s="1"/>
  <c r="D120" s="1"/>
  <c r="D157" i="83"/>
  <c r="D103" i="33"/>
  <c r="D105" i="79"/>
  <c r="D117" s="1"/>
  <c r="E117"/>
  <c r="D93" i="83"/>
  <c r="D105" s="1"/>
  <c r="E105"/>
  <c r="D93" i="82"/>
  <c r="D105" s="1"/>
  <c r="E105"/>
  <c r="D85" i="42"/>
  <c r="U166" i="35" s="1"/>
  <c r="D63" i="42"/>
  <c r="D63" i="84"/>
  <c r="D89"/>
  <c r="D101" s="1"/>
  <c r="C110" i="113" s="1"/>
  <c r="D91" i="81"/>
  <c r="D103" s="1"/>
  <c r="D65"/>
  <c r="U176" i="35" l="1"/>
  <c r="AI176" s="1"/>
  <c r="AI166"/>
  <c r="AI132"/>
  <c r="AG142"/>
  <c r="AI142" s="1"/>
  <c r="O206" i="113"/>
  <c r="O219"/>
  <c r="M206"/>
  <c r="L206"/>
  <c r="F206"/>
  <c r="C206"/>
  <c r="G206"/>
  <c r="E206"/>
  <c r="H206"/>
  <c r="J206"/>
  <c r="N206"/>
  <c r="D206"/>
  <c r="I206"/>
  <c r="K206"/>
  <c r="N95" i="42"/>
  <c r="AG44" i="113" s="1"/>
  <c r="C219"/>
  <c r="G219"/>
  <c r="K219"/>
  <c r="F219"/>
  <c r="J219"/>
  <c r="N219"/>
  <c r="E219"/>
  <c r="I219"/>
  <c r="M219"/>
  <c r="D219"/>
  <c r="H219"/>
  <c r="L219"/>
  <c r="D97" i="42"/>
  <c r="N163" i="113"/>
  <c r="M163" s="1"/>
  <c r="L163" s="1"/>
  <c r="K163" s="1"/>
  <c r="J163" s="1"/>
  <c r="L169" i="79"/>
  <c r="AF81" i="113"/>
  <c r="AF190" s="1"/>
  <c r="Q206" l="1"/>
  <c r="Q219"/>
  <c r="AH44"/>
  <c r="AI44" s="1"/>
  <c r="AG153"/>
  <c r="M44"/>
  <c r="K169" i="79"/>
  <c r="AD81" i="113" s="1"/>
  <c r="AD190" s="1"/>
  <c r="AE81"/>
  <c r="AE190" s="1"/>
  <c r="AI153" l="1"/>
  <c r="AK44"/>
  <c r="AH153"/>
  <c r="N44"/>
  <c r="O44" s="1"/>
  <c r="M153"/>
  <c r="L153" s="1"/>
  <c r="Q44" l="1"/>
  <c r="O153"/>
  <c r="Q153" s="1"/>
  <c r="I56" i="32" l="1"/>
  <c r="J56"/>
  <c r="L55"/>
  <c r="L61" i="40"/>
  <c r="N61" i="39"/>
  <c r="K62" i="40"/>
  <c r="O56" i="32"/>
  <c r="M58" i="43"/>
  <c r="L58"/>
  <c r="AH80" i="113"/>
  <c r="AH81"/>
  <c r="AH82"/>
  <c r="AH83"/>
  <c r="AI83" s="1"/>
  <c r="AH84"/>
  <c r="N71"/>
  <c r="O71" s="1"/>
  <c r="N209"/>
  <c r="N153"/>
  <c r="Z98"/>
  <c r="Z103"/>
  <c r="Z104"/>
  <c r="F107"/>
  <c r="F109"/>
  <c r="F111"/>
  <c r="Y98"/>
  <c r="Y103"/>
  <c r="Y104"/>
  <c r="E107"/>
  <c r="E109"/>
  <c r="E111"/>
  <c r="AB98"/>
  <c r="AB207" s="1"/>
  <c r="AB104"/>
  <c r="H107"/>
  <c r="Q107" s="1"/>
  <c r="H109"/>
  <c r="Q109" s="1"/>
  <c r="H111"/>
  <c r="Q111" s="1"/>
  <c r="X98"/>
  <c r="X103"/>
  <c r="X104"/>
  <c r="D107"/>
  <c r="D109"/>
  <c r="D111"/>
  <c r="AA98"/>
  <c r="AA103"/>
  <c r="AA104"/>
  <c r="G107"/>
  <c r="G109"/>
  <c r="G111"/>
  <c r="W98"/>
  <c r="W103"/>
  <c r="W104"/>
  <c r="C107"/>
  <c r="C109"/>
  <c r="C111"/>
  <c r="N236"/>
  <c r="J59" i="37"/>
  <c r="AH53" i="113"/>
  <c r="AH54"/>
  <c r="AH55"/>
  <c r="AH56"/>
  <c r="AI56" s="1"/>
  <c r="AH57"/>
  <c r="J60" i="39"/>
  <c r="AG98" i="113"/>
  <c r="AH104"/>
  <c r="N107"/>
  <c r="N108"/>
  <c r="N109"/>
  <c r="N111"/>
  <c r="AH107"/>
  <c r="AH108"/>
  <c r="AH109"/>
  <c r="AH110"/>
  <c r="AH111"/>
  <c r="AB110"/>
  <c r="AB219" s="1"/>
  <c r="AG108"/>
  <c r="AF108"/>
  <c r="AE108"/>
  <c r="AK108" s="1"/>
  <c r="AD108"/>
  <c r="AC108"/>
  <c r="AB109"/>
  <c r="AB107"/>
  <c r="AG110"/>
  <c r="AG219" s="1"/>
  <c r="AF110"/>
  <c r="AE110"/>
  <c r="AD110"/>
  <c r="AC110"/>
  <c r="AC219" s="1"/>
  <c r="AA110"/>
  <c r="Z110"/>
  <c r="Y110"/>
  <c r="X110"/>
  <c r="X219" s="1"/>
  <c r="W110"/>
  <c r="X107"/>
  <c r="X109"/>
  <c r="X111"/>
  <c r="Z107"/>
  <c r="Z109"/>
  <c r="Z111"/>
  <c r="AB111"/>
  <c r="AD98"/>
  <c r="AD104"/>
  <c r="AD107"/>
  <c r="AD109"/>
  <c r="AD111"/>
  <c r="AF98"/>
  <c r="AF104"/>
  <c r="AF107"/>
  <c r="AF109"/>
  <c r="AF111"/>
  <c r="AG111"/>
  <c r="AE111"/>
  <c r="AC111"/>
  <c r="AA111"/>
  <c r="AG104"/>
  <c r="AG107"/>
  <c r="AG109"/>
  <c r="W107"/>
  <c r="W109"/>
  <c r="W111"/>
  <c r="Y107"/>
  <c r="Y109"/>
  <c r="Y218" s="1"/>
  <c r="Y111"/>
  <c r="AA107"/>
  <c r="AA109"/>
  <c r="AC98"/>
  <c r="AC104"/>
  <c r="AC107"/>
  <c r="AC109"/>
  <c r="AE98"/>
  <c r="AE104"/>
  <c r="AE107"/>
  <c r="AK107" s="1"/>
  <c r="AE109"/>
  <c r="AK109" s="1"/>
  <c r="AH135"/>
  <c r="AH136"/>
  <c r="AH137"/>
  <c r="AH138"/>
  <c r="AI138" s="1"/>
  <c r="AH139"/>
  <c r="AB130"/>
  <c r="AK130" s="1"/>
  <c r="G158"/>
  <c r="K161"/>
  <c r="AG163"/>
  <c r="AF163"/>
  <c r="AE163"/>
  <c r="AD163"/>
  <c r="AC163"/>
  <c r="J107"/>
  <c r="J108"/>
  <c r="J109"/>
  <c r="J111"/>
  <c r="L107"/>
  <c r="L108"/>
  <c r="L109"/>
  <c r="L111"/>
  <c r="I107"/>
  <c r="I108"/>
  <c r="I109"/>
  <c r="I111"/>
  <c r="K107"/>
  <c r="K108"/>
  <c r="K109"/>
  <c r="K111"/>
  <c r="M107"/>
  <c r="M108"/>
  <c r="M109"/>
  <c r="M111"/>
  <c r="W130"/>
  <c r="Y130"/>
  <c r="AA130"/>
  <c r="X130"/>
  <c r="Z130"/>
  <c r="G241"/>
  <c r="AG246"/>
  <c r="AF246"/>
  <c r="AE246"/>
  <c r="AD246"/>
  <c r="AC246"/>
  <c r="J61" i="38"/>
  <c r="W220" i="113" l="1"/>
  <c r="AD207"/>
  <c r="AG207"/>
  <c r="Z218"/>
  <c r="AH213"/>
  <c r="J99" i="37"/>
  <c r="AC42" i="113" s="1"/>
  <c r="I42" s="1"/>
  <c r="I151" s="1"/>
  <c r="I17"/>
  <c r="L117" i="40"/>
  <c r="AE130" i="113" s="1"/>
  <c r="K130" s="1"/>
  <c r="K23"/>
  <c r="J100" i="39"/>
  <c r="AC47" i="113" s="1"/>
  <c r="AC156" s="1"/>
  <c r="I22"/>
  <c r="L95" i="32"/>
  <c r="AE49" i="113" s="1"/>
  <c r="K49" s="1"/>
  <c r="K158" s="1"/>
  <c r="K24"/>
  <c r="AC213"/>
  <c r="AA207"/>
  <c r="AE213"/>
  <c r="AG213"/>
  <c r="AF213"/>
  <c r="AE220"/>
  <c r="AK111"/>
  <c r="D104"/>
  <c r="X213"/>
  <c r="G103"/>
  <c r="E104"/>
  <c r="Y213"/>
  <c r="J104"/>
  <c r="AD213"/>
  <c r="G104"/>
  <c r="AA213"/>
  <c r="H104"/>
  <c r="AB213"/>
  <c r="F103"/>
  <c r="AE207"/>
  <c r="AC207"/>
  <c r="AF207"/>
  <c r="W207"/>
  <c r="X207"/>
  <c r="C104"/>
  <c r="C213" s="1"/>
  <c r="W213"/>
  <c r="E103"/>
  <c r="D103"/>
  <c r="F104"/>
  <c r="Z213"/>
  <c r="Z207"/>
  <c r="Y207"/>
  <c r="AE218"/>
  <c r="AC218"/>
  <c r="AA218"/>
  <c r="AG218"/>
  <c r="AF218"/>
  <c r="AH218"/>
  <c r="E108"/>
  <c r="C108"/>
  <c r="M217" s="1"/>
  <c r="F108"/>
  <c r="D108"/>
  <c r="H108"/>
  <c r="Q108" s="1"/>
  <c r="G108"/>
  <c r="AC220"/>
  <c r="AD220"/>
  <c r="W219"/>
  <c r="AA219"/>
  <c r="AF219"/>
  <c r="AA220"/>
  <c r="AF220"/>
  <c r="Z219"/>
  <c r="AE219"/>
  <c r="Y220"/>
  <c r="AG220"/>
  <c r="Z220"/>
  <c r="Y219"/>
  <c r="AD219"/>
  <c r="AH220"/>
  <c r="AA108"/>
  <c r="Z108"/>
  <c r="Y108"/>
  <c r="W108"/>
  <c r="X108"/>
  <c r="AB108"/>
  <c r="AC217" s="1"/>
  <c r="AB218"/>
  <c r="AI218"/>
  <c r="AI110"/>
  <c r="AK110" s="1"/>
  <c r="AH219"/>
  <c r="AE216"/>
  <c r="AC216"/>
  <c r="AA216"/>
  <c r="AG216"/>
  <c r="AF216"/>
  <c r="AB220"/>
  <c r="AI220"/>
  <c r="AD218"/>
  <c r="X220"/>
  <c r="Y216"/>
  <c r="Z216"/>
  <c r="W216"/>
  <c r="X216"/>
  <c r="AD216"/>
  <c r="AB216"/>
  <c r="AI216"/>
  <c r="AH216"/>
  <c r="W218"/>
  <c r="X218"/>
  <c r="AI104"/>
  <c r="O104" s="1"/>
  <c r="Q104" s="1"/>
  <c r="M104"/>
  <c r="L104"/>
  <c r="AI240"/>
  <c r="AI165"/>
  <c r="AK56"/>
  <c r="C220"/>
  <c r="O220"/>
  <c r="AI248"/>
  <c r="AK138"/>
  <c r="C218"/>
  <c r="O218"/>
  <c r="C103"/>
  <c r="Q71"/>
  <c r="O180"/>
  <c r="Q180" s="1"/>
  <c r="C216"/>
  <c r="O216"/>
  <c r="AI192"/>
  <c r="AK83"/>
  <c r="J220"/>
  <c r="K61" i="38"/>
  <c r="K58" i="43"/>
  <c r="L61" i="39"/>
  <c r="O62" i="41"/>
  <c r="P62"/>
  <c r="K56" i="32"/>
  <c r="J63" i="34"/>
  <c r="J62" i="40"/>
  <c r="K61" i="39"/>
  <c r="M61" i="38"/>
  <c r="L60" i="39"/>
  <c r="P61" i="41"/>
  <c r="O27" i="113" s="1"/>
  <c r="J67" i="39"/>
  <c r="O61" i="38"/>
  <c r="J57" i="43"/>
  <c r="O62" i="40"/>
  <c r="K57" i="43"/>
  <c r="J26" i="113" s="1"/>
  <c r="L62" i="40"/>
  <c r="L63" i="34"/>
  <c r="J101" i="39"/>
  <c r="AC74" i="113" s="1"/>
  <c r="I74" s="1"/>
  <c r="I183" s="1"/>
  <c r="O59" i="37"/>
  <c r="N17" i="113" s="1"/>
  <c r="J58" i="43"/>
  <c r="L85" i="40"/>
  <c r="J61"/>
  <c r="M57" i="43"/>
  <c r="L62" i="32"/>
  <c r="M56"/>
  <c r="J65" i="37"/>
  <c r="K61" i="40"/>
  <c r="J60" i="38"/>
  <c r="H56" i="32"/>
  <c r="J100" i="37"/>
  <c r="AC69" i="113" s="1"/>
  <c r="AC178" s="1"/>
  <c r="K55" i="32"/>
  <c r="M60" i="39"/>
  <c r="L64" i="32"/>
  <c r="L56"/>
  <c r="J68" i="39"/>
  <c r="O61"/>
  <c r="J70" i="37"/>
  <c r="J103" i="39"/>
  <c r="AC129" i="113" s="1"/>
  <c r="I129" s="1"/>
  <c r="I239" s="1"/>
  <c r="J102" i="39"/>
  <c r="AC101" i="113" s="1"/>
  <c r="AC210" s="1"/>
  <c r="K60" i="39"/>
  <c r="L66" i="32"/>
  <c r="L63"/>
  <c r="M62" i="40"/>
  <c r="J69" i="39"/>
  <c r="L61" i="38"/>
  <c r="M61" i="41"/>
  <c r="N60" i="39"/>
  <c r="M22" i="113" s="1"/>
  <c r="L61" i="32"/>
  <c r="J71" i="39"/>
  <c r="J66"/>
  <c r="L97" i="32"/>
  <c r="AE103" i="113" s="1"/>
  <c r="L98" i="32"/>
  <c r="AE131" i="113" s="1"/>
  <c r="K131" s="1"/>
  <c r="K241" s="1"/>
  <c r="I55" i="32"/>
  <c r="L57" i="43"/>
  <c r="O60" i="38"/>
  <c r="L80" i="40"/>
  <c r="J66" i="37"/>
  <c r="J101"/>
  <c r="AC96" i="113" s="1"/>
  <c r="AC205" s="1"/>
  <c r="L115" i="40"/>
  <c r="AE75" i="113" s="1"/>
  <c r="AE184" s="1"/>
  <c r="N61" i="41"/>
  <c r="L114" i="40"/>
  <c r="AE48" i="113" s="1"/>
  <c r="J62" i="34"/>
  <c r="K59" i="37"/>
  <c r="O55" i="32"/>
  <c r="N24" i="113" s="1"/>
  <c r="L82" i="40"/>
  <c r="M61" i="39"/>
  <c r="J67" i="37"/>
  <c r="J102"/>
  <c r="AC124" i="113" s="1"/>
  <c r="I124" s="1"/>
  <c r="I234" s="1"/>
  <c r="L116" i="40"/>
  <c r="AE102" i="113" s="1"/>
  <c r="N61" i="40"/>
  <c r="N60" i="38"/>
  <c r="M20" i="113" s="1"/>
  <c r="N59" i="37"/>
  <c r="M17" i="113" s="1"/>
  <c r="N57" i="43"/>
  <c r="M26" i="113" s="1"/>
  <c r="N26" s="1"/>
  <c r="O26" s="1"/>
  <c r="L83" i="40"/>
  <c r="L81"/>
  <c r="J68" i="37"/>
  <c r="L96" i="32"/>
  <c r="AE76" i="113" s="1"/>
  <c r="AE185" s="1"/>
  <c r="J98"/>
  <c r="D218"/>
  <c r="K216"/>
  <c r="I216"/>
  <c r="E218"/>
  <c r="F218"/>
  <c r="D130"/>
  <c r="C130"/>
  <c r="AH248"/>
  <c r="AH245"/>
  <c r="AH165"/>
  <c r="C98"/>
  <c r="D98"/>
  <c r="F98"/>
  <c r="H130"/>
  <c r="Q130" s="1"/>
  <c r="AH247"/>
  <c r="AH163"/>
  <c r="G98"/>
  <c r="H98"/>
  <c r="E98"/>
  <c r="N180"/>
  <c r="AH249"/>
  <c r="H218"/>
  <c r="G218"/>
  <c r="M218"/>
  <c r="L218"/>
  <c r="J218"/>
  <c r="AH164"/>
  <c r="E130"/>
  <c r="G130"/>
  <c r="AH246"/>
  <c r="I98"/>
  <c r="AH166"/>
  <c r="AH162"/>
  <c r="X240"/>
  <c r="I218"/>
  <c r="K98"/>
  <c r="L98"/>
  <c r="N218"/>
  <c r="F216"/>
  <c r="AH193"/>
  <c r="AH191"/>
  <c r="AH189"/>
  <c r="D216"/>
  <c r="E220"/>
  <c r="F220"/>
  <c r="AH192"/>
  <c r="AH190"/>
  <c r="I104"/>
  <c r="L220"/>
  <c r="N216"/>
  <c r="H216"/>
  <c r="J216"/>
  <c r="M220"/>
  <c r="L216"/>
  <c r="N220"/>
  <c r="K104"/>
  <c r="K220"/>
  <c r="G220"/>
  <c r="G216"/>
  <c r="D220"/>
  <c r="H220"/>
  <c r="E216"/>
  <c r="F130"/>
  <c r="I220"/>
  <c r="M216"/>
  <c r="AB240"/>
  <c r="Y240"/>
  <c r="W240"/>
  <c r="K218"/>
  <c r="N104"/>
  <c r="M98"/>
  <c r="AH98"/>
  <c r="AH207" s="1"/>
  <c r="Z240"/>
  <c r="AA240"/>
  <c r="F213" l="1"/>
  <c r="AE240"/>
  <c r="K68" i="43"/>
  <c r="E212" i="113"/>
  <c r="AE158"/>
  <c r="O70" i="37"/>
  <c r="N115" i="40"/>
  <c r="AG75" i="113" s="1"/>
  <c r="M75" s="1"/>
  <c r="M184" s="1"/>
  <c r="M23"/>
  <c r="N114" i="41"/>
  <c r="AG79" i="113" s="1"/>
  <c r="AG188" s="1"/>
  <c r="M27"/>
  <c r="O102" i="38"/>
  <c r="AH99" i="113" s="1"/>
  <c r="AH208" s="1"/>
  <c r="N20"/>
  <c r="L98" i="43"/>
  <c r="AE78" i="113" s="1"/>
  <c r="K78" s="1"/>
  <c r="K26"/>
  <c r="M114" i="41"/>
  <c r="AF79" i="113" s="1"/>
  <c r="L79" s="1"/>
  <c r="L188" s="1"/>
  <c r="L27"/>
  <c r="K63" i="32"/>
  <c r="J24" i="113"/>
  <c r="K82" i="40"/>
  <c r="J23" i="113"/>
  <c r="O17"/>
  <c r="Q17" s="1"/>
  <c r="J116" i="34"/>
  <c r="AC100" i="113" s="1"/>
  <c r="I100" s="1"/>
  <c r="I21"/>
  <c r="I95" i="32"/>
  <c r="AB49" i="113" s="1"/>
  <c r="AK49" s="1"/>
  <c r="H24"/>
  <c r="J68" i="38"/>
  <c r="I20" i="113"/>
  <c r="L103" i="39"/>
  <c r="AE129" i="113" s="1"/>
  <c r="AE239" s="1"/>
  <c r="K22"/>
  <c r="D213"/>
  <c r="AC151"/>
  <c r="Q26"/>
  <c r="M97" i="43"/>
  <c r="AF51" i="113" s="1"/>
  <c r="L51" s="1"/>
  <c r="L26"/>
  <c r="J116" i="40"/>
  <c r="AC102" i="113" s="1"/>
  <c r="I23"/>
  <c r="J65" i="43"/>
  <c r="I26" i="113"/>
  <c r="M71" i="39"/>
  <c r="L22" i="113"/>
  <c r="AE211"/>
  <c r="AK102"/>
  <c r="K102" i="37"/>
  <c r="AD124" i="113" s="1"/>
  <c r="AD234" s="1"/>
  <c r="J17"/>
  <c r="K101" i="39"/>
  <c r="AD74" i="113" s="1"/>
  <c r="J74" s="1"/>
  <c r="J183" s="1"/>
  <c r="J22"/>
  <c r="Q27"/>
  <c r="I47"/>
  <c r="I156" s="1"/>
  <c r="O101" i="37"/>
  <c r="AH96" i="113" s="1"/>
  <c r="AH205" s="1"/>
  <c r="M213"/>
  <c r="D212"/>
  <c r="L213"/>
  <c r="H213"/>
  <c r="C212"/>
  <c r="I213"/>
  <c r="J213"/>
  <c r="K213"/>
  <c r="G212"/>
  <c r="D217"/>
  <c r="I217"/>
  <c r="F212"/>
  <c r="G213"/>
  <c r="E213"/>
  <c r="AK103"/>
  <c r="AK104"/>
  <c r="AI213"/>
  <c r="J217"/>
  <c r="N217"/>
  <c r="H217"/>
  <c r="E217"/>
  <c r="G217"/>
  <c r="O217"/>
  <c r="C217"/>
  <c r="K217"/>
  <c r="L217"/>
  <c r="F217"/>
  <c r="AE217"/>
  <c r="AH217"/>
  <c r="AF217"/>
  <c r="X217"/>
  <c r="AA217"/>
  <c r="AI219"/>
  <c r="AG217"/>
  <c r="Z217"/>
  <c r="AD217"/>
  <c r="W217"/>
  <c r="AB217"/>
  <c r="AI217"/>
  <c r="Y217"/>
  <c r="K103"/>
  <c r="K212" s="1"/>
  <c r="AI98"/>
  <c r="Q216"/>
  <c r="Q218"/>
  <c r="Q220"/>
  <c r="O213"/>
  <c r="C240"/>
  <c r="O240"/>
  <c r="O212"/>
  <c r="J69" i="38"/>
  <c r="J115" i="40"/>
  <c r="AC75" i="113" s="1"/>
  <c r="I75" s="1"/>
  <c r="I184" s="1"/>
  <c r="P116" i="41"/>
  <c r="AI134" i="113" s="1"/>
  <c r="J85" i="40"/>
  <c r="AC239" i="113"/>
  <c r="K115" i="40"/>
  <c r="AD75" i="113" s="1"/>
  <c r="AD184" s="1"/>
  <c r="L71" i="39"/>
  <c r="M64" i="43"/>
  <c r="N113" i="41"/>
  <c r="AG52" i="113" s="1"/>
  <c r="AG161" s="1"/>
  <c r="AC183"/>
  <c r="O95" i="32"/>
  <c r="AH49" i="113" s="1"/>
  <c r="AH158" s="1"/>
  <c r="M68" i="43"/>
  <c r="O100" i="38"/>
  <c r="AH45" i="113" s="1"/>
  <c r="J102" i="38"/>
  <c r="AC99" i="113" s="1"/>
  <c r="AC208" s="1"/>
  <c r="P80" i="41"/>
  <c r="K66" i="32"/>
  <c r="K98"/>
  <c r="AD131" i="113" s="1"/>
  <c r="J131" s="1"/>
  <c r="J241" s="1"/>
  <c r="L100" i="39"/>
  <c r="AE47" i="113" s="1"/>
  <c r="K47" s="1"/>
  <c r="P114" i="41"/>
  <c r="AI79" i="113" s="1"/>
  <c r="AE241"/>
  <c r="K76"/>
  <c r="K185" s="1"/>
  <c r="L67" i="39"/>
  <c r="J66" i="43"/>
  <c r="J63"/>
  <c r="J97"/>
  <c r="AC51" i="113" s="1"/>
  <c r="J100" i="43"/>
  <c r="AC133" i="113" s="1"/>
  <c r="J68" i="43"/>
  <c r="J64"/>
  <c r="J99"/>
  <c r="AC105" i="113" s="1"/>
  <c r="P81" i="41"/>
  <c r="P79"/>
  <c r="L102" i="39"/>
  <c r="AE101" i="113" s="1"/>
  <c r="AE210" s="1"/>
  <c r="L68" i="39"/>
  <c r="J98" i="43"/>
  <c r="AC78" i="113" s="1"/>
  <c r="P115" i="41"/>
  <c r="AI106" i="113" s="1"/>
  <c r="L101" i="39"/>
  <c r="AE74" i="113" s="1"/>
  <c r="AE183" s="1"/>
  <c r="L66" i="39"/>
  <c r="P82" i="41"/>
  <c r="P113"/>
  <c r="AI52" i="113" s="1"/>
  <c r="L69" i="39"/>
  <c r="P84" i="41"/>
  <c r="O68" i="37"/>
  <c r="O67"/>
  <c r="K97" i="43"/>
  <c r="AD51" i="113" s="1"/>
  <c r="K98" i="43"/>
  <c r="AD78" i="113" s="1"/>
  <c r="K64" i="43"/>
  <c r="K63"/>
  <c r="K65"/>
  <c r="K100"/>
  <c r="AD133" i="113" s="1"/>
  <c r="J114" i="34"/>
  <c r="AC46" i="113" s="1"/>
  <c r="AC155" s="1"/>
  <c r="O65" i="37"/>
  <c r="O99"/>
  <c r="AH42" i="113" s="1"/>
  <c r="L62" i="34"/>
  <c r="K99" i="43"/>
  <c r="AD105" i="113" s="1"/>
  <c r="K66" i="43"/>
  <c r="J115" i="34"/>
  <c r="AC73" i="113" s="1"/>
  <c r="AC182" s="1"/>
  <c r="O100" i="37"/>
  <c r="AH69" i="113" s="1"/>
  <c r="AI69" s="1"/>
  <c r="AK69" s="1"/>
  <c r="M100" i="39"/>
  <c r="AF47" i="113" s="1"/>
  <c r="L47" s="1"/>
  <c r="L156" s="1"/>
  <c r="M66" i="39"/>
  <c r="J83" i="40"/>
  <c r="J80"/>
  <c r="M103" i="39"/>
  <c r="AF129" i="113" s="1"/>
  <c r="L129" s="1"/>
  <c r="L239" s="1"/>
  <c r="M67" i="39"/>
  <c r="J117" i="40"/>
  <c r="AC130" i="113" s="1"/>
  <c r="I130" s="1"/>
  <c r="I240" s="1"/>
  <c r="J114" i="40"/>
  <c r="AC48" i="113" s="1"/>
  <c r="I48" s="1"/>
  <c r="I157" s="1"/>
  <c r="I96"/>
  <c r="I205" s="1"/>
  <c r="O66" i="37"/>
  <c r="J66" i="38"/>
  <c r="O102" i="37"/>
  <c r="AH124" i="113" s="1"/>
  <c r="AI124" s="1"/>
  <c r="M102" i="39"/>
  <c r="AF101" i="113" s="1"/>
  <c r="J82" i="40"/>
  <c r="J81"/>
  <c r="N55" i="32"/>
  <c r="M24" i="113" s="1"/>
  <c r="J101" i="38"/>
  <c r="AC72" i="113" s="1"/>
  <c r="J103" i="38"/>
  <c r="AC127" i="113" s="1"/>
  <c r="L59" i="37"/>
  <c r="K17" i="113" s="1"/>
  <c r="K97" i="32"/>
  <c r="AD103" i="113" s="1"/>
  <c r="K96" i="32"/>
  <c r="AD76" i="113" s="1"/>
  <c r="K64" i="32"/>
  <c r="K62"/>
  <c r="K61"/>
  <c r="K95"/>
  <c r="AD49" i="113" s="1"/>
  <c r="K60" i="38"/>
  <c r="J20" i="113" s="1"/>
  <c r="M99" i="43"/>
  <c r="AF105" i="113" s="1"/>
  <c r="AC234"/>
  <c r="I101"/>
  <c r="I210" s="1"/>
  <c r="J67" i="38"/>
  <c r="M63" i="43"/>
  <c r="J100" i="38"/>
  <c r="AC45" i="113" s="1"/>
  <c r="M66" i="43"/>
  <c r="O61" i="40"/>
  <c r="M100" i="43"/>
  <c r="AF133" i="113" s="1"/>
  <c r="M68" i="39"/>
  <c r="M101"/>
  <c r="AF74" i="113" s="1"/>
  <c r="M69" i="39"/>
  <c r="K114" i="40"/>
  <c r="AD48" i="113" s="1"/>
  <c r="K80" i="40"/>
  <c r="K85"/>
  <c r="K83"/>
  <c r="K81"/>
  <c r="K117"/>
  <c r="AD130" i="113" s="1"/>
  <c r="K116" i="40"/>
  <c r="AD102" i="113" s="1"/>
  <c r="AD211" s="1"/>
  <c r="M55" i="32"/>
  <c r="L24" i="113" s="1"/>
  <c r="M60" i="38"/>
  <c r="L20" i="113" s="1"/>
  <c r="I69"/>
  <c r="I178" s="1"/>
  <c r="K75"/>
  <c r="K184" s="1"/>
  <c r="O61" i="41"/>
  <c r="J71" i="38"/>
  <c r="M98" i="43"/>
  <c r="AF78" i="113" s="1"/>
  <c r="M65" i="43"/>
  <c r="I64" i="32"/>
  <c r="I63"/>
  <c r="I62"/>
  <c r="I98"/>
  <c r="AB131" i="113" s="1"/>
  <c r="AK131" s="1"/>
  <c r="I66" i="32"/>
  <c r="I61"/>
  <c r="N103" i="39"/>
  <c r="AG129" i="113" s="1"/>
  <c r="N68" i="39"/>
  <c r="N100"/>
  <c r="AG47" i="113" s="1"/>
  <c r="N102" i="39"/>
  <c r="AG101" i="113" s="1"/>
  <c r="AG210" s="1"/>
  <c r="N67" i="39"/>
  <c r="N101"/>
  <c r="AG74" i="113" s="1"/>
  <c r="N66" i="39"/>
  <c r="N71"/>
  <c r="N69"/>
  <c r="N114" i="40"/>
  <c r="AG48" i="113" s="1"/>
  <c r="M48" s="1"/>
  <c r="N58" i="43"/>
  <c r="K100" i="39"/>
  <c r="AD47" i="113" s="1"/>
  <c r="K67" i="39"/>
  <c r="K102"/>
  <c r="AD101" i="113" s="1"/>
  <c r="AD210" s="1"/>
  <c r="K103" i="39"/>
  <c r="AD129" i="113" s="1"/>
  <c r="K66" i="39"/>
  <c r="K71"/>
  <c r="K69"/>
  <c r="K68"/>
  <c r="I97" i="32"/>
  <c r="AB103" i="113" s="1"/>
  <c r="AE212" s="1"/>
  <c r="M113" i="41"/>
  <c r="AF52" i="113" s="1"/>
  <c r="M80" i="41"/>
  <c r="M84"/>
  <c r="M116"/>
  <c r="AF134" i="113" s="1"/>
  <c r="M115" i="41"/>
  <c r="AF106" i="113" s="1"/>
  <c r="AF215" s="1"/>
  <c r="M81" i="41"/>
  <c r="M79"/>
  <c r="M82"/>
  <c r="I96" i="32"/>
  <c r="AB76" i="113" s="1"/>
  <c r="AK76" s="1"/>
  <c r="L97" i="43"/>
  <c r="AE51" i="113" s="1"/>
  <c r="L100" i="43"/>
  <c r="AE133" i="113" s="1"/>
  <c r="L66" i="43"/>
  <c r="L99"/>
  <c r="AE105" i="113" s="1"/>
  <c r="L64" i="43"/>
  <c r="L65"/>
  <c r="L63"/>
  <c r="L68"/>
  <c r="K99" i="37"/>
  <c r="AD42" i="113" s="1"/>
  <c r="K100" i="37"/>
  <c r="AD69" i="113" s="1"/>
  <c r="K68" i="37"/>
  <c r="K65"/>
  <c r="K67"/>
  <c r="K66"/>
  <c r="K70"/>
  <c r="M61" i="40"/>
  <c r="L23" i="113" s="1"/>
  <c r="K63" i="34"/>
  <c r="J83"/>
  <c r="J117"/>
  <c r="AC128" i="113" s="1"/>
  <c r="J85" i="34"/>
  <c r="J82"/>
  <c r="J80"/>
  <c r="J81"/>
  <c r="O101" i="38"/>
  <c r="AH72" i="113" s="1"/>
  <c r="O103" i="38"/>
  <c r="AH127" i="113" s="1"/>
  <c r="O66" i="38"/>
  <c r="O71"/>
  <c r="O67"/>
  <c r="O69"/>
  <c r="O68"/>
  <c r="K102" i="113"/>
  <c r="K211" s="1"/>
  <c r="N56" i="32"/>
  <c r="N100" i="38"/>
  <c r="AG45" i="113" s="1"/>
  <c r="N66" i="38"/>
  <c r="N71"/>
  <c r="N101"/>
  <c r="AG72" i="113" s="1"/>
  <c r="N67" i="38"/>
  <c r="N69"/>
  <c r="N68"/>
  <c r="N103"/>
  <c r="AG127" i="113" s="1"/>
  <c r="N102" i="38"/>
  <c r="AG99" i="113" s="1"/>
  <c r="AG208" s="1"/>
  <c r="N61" i="38"/>
  <c r="N62" i="40"/>
  <c r="N80" i="41"/>
  <c r="N81"/>
  <c r="N82"/>
  <c r="N115"/>
  <c r="AG106" i="113" s="1"/>
  <c r="AG215" s="1"/>
  <c r="N116" i="41"/>
  <c r="AG134" i="113" s="1"/>
  <c r="N79" i="41"/>
  <c r="N84"/>
  <c r="L60" i="38"/>
  <c r="K20" i="113" s="1"/>
  <c r="O60" i="39"/>
  <c r="N22" i="113" s="1"/>
  <c r="O22" s="1"/>
  <c r="N102" i="37"/>
  <c r="AG124" i="113" s="1"/>
  <c r="N99" i="37"/>
  <c r="AG42" i="113" s="1"/>
  <c r="N101" i="37"/>
  <c r="AG96" i="113" s="1"/>
  <c r="AG205" s="1"/>
  <c r="N66" i="37"/>
  <c r="N100"/>
  <c r="AG69" i="113" s="1"/>
  <c r="N65" i="37"/>
  <c r="N70"/>
  <c r="N68"/>
  <c r="N67"/>
  <c r="N97" i="43"/>
  <c r="AG51" i="113" s="1"/>
  <c r="N98" i="43"/>
  <c r="AG78" i="113" s="1"/>
  <c r="N63" i="43"/>
  <c r="N68"/>
  <c r="N99"/>
  <c r="AG105" i="113" s="1"/>
  <c r="N100" i="43"/>
  <c r="AG133" i="113" s="1"/>
  <c r="N66" i="43"/>
  <c r="N65"/>
  <c r="N64"/>
  <c r="K62" i="34"/>
  <c r="J21" i="113" s="1"/>
  <c r="N116" i="40"/>
  <c r="AG102" i="113" s="1"/>
  <c r="AG211" s="1"/>
  <c r="N82" i="40"/>
  <c r="N117"/>
  <c r="AG130" i="113" s="1"/>
  <c r="N80" i="40"/>
  <c r="N81"/>
  <c r="N83"/>
  <c r="N85"/>
  <c r="J55" i="32"/>
  <c r="I24" i="113" s="1"/>
  <c r="O96" i="32"/>
  <c r="AH76" i="113" s="1"/>
  <c r="O98" i="32"/>
  <c r="AH131" i="113" s="1"/>
  <c r="O61" i="32"/>
  <c r="O62"/>
  <c r="O97"/>
  <c r="AH103" i="113" s="1"/>
  <c r="O63" i="32"/>
  <c r="O66"/>
  <c r="O64"/>
  <c r="AE157" i="113"/>
  <c r="K48"/>
  <c r="K157" s="1"/>
  <c r="M59" i="37"/>
  <c r="L17" i="113" s="1"/>
  <c r="K101" i="37"/>
  <c r="AD96" i="113" s="1"/>
  <c r="AD205" s="1"/>
  <c r="I207"/>
  <c r="F207"/>
  <c r="L207"/>
  <c r="H207"/>
  <c r="G240"/>
  <c r="H240"/>
  <c r="G207"/>
  <c r="E240"/>
  <c r="D240"/>
  <c r="C207"/>
  <c r="J207"/>
  <c r="K207"/>
  <c r="D207"/>
  <c r="E207"/>
  <c r="F240"/>
  <c r="N98"/>
  <c r="O98" s="1"/>
  <c r="Q98" s="1"/>
  <c r="M207"/>
  <c r="N213"/>
  <c r="K240"/>
  <c r="M79" l="1"/>
  <c r="M188" s="1"/>
  <c r="AP27"/>
  <c r="J124"/>
  <c r="J234" s="1"/>
  <c r="I36"/>
  <c r="AB158"/>
  <c r="AI96"/>
  <c r="AD183"/>
  <c r="M36"/>
  <c r="I35"/>
  <c r="AF188"/>
  <c r="M35"/>
  <c r="K129"/>
  <c r="K239" s="1"/>
  <c r="N96"/>
  <c r="N205" s="1"/>
  <c r="I34"/>
  <c r="J34"/>
  <c r="J35"/>
  <c r="J36"/>
  <c r="L35"/>
  <c r="L34"/>
  <c r="L36"/>
  <c r="AA105"/>
  <c r="Z105"/>
  <c r="Y105"/>
  <c r="W105"/>
  <c r="X105"/>
  <c r="AB105"/>
  <c r="AB214" s="1"/>
  <c r="Z51"/>
  <c r="Y51"/>
  <c r="X51"/>
  <c r="W51"/>
  <c r="AG160" s="1"/>
  <c r="AA51"/>
  <c r="AB51"/>
  <c r="I102"/>
  <c r="I211" s="1"/>
  <c r="AC211"/>
  <c r="Q24"/>
  <c r="H36"/>
  <c r="H35"/>
  <c r="H34"/>
  <c r="Q22"/>
  <c r="AP22"/>
  <c r="O113" i="41"/>
  <c r="AH52" i="113" s="1"/>
  <c r="AH161" s="1"/>
  <c r="N27"/>
  <c r="L101"/>
  <c r="L210" s="1"/>
  <c r="AF210"/>
  <c r="N42"/>
  <c r="AI42"/>
  <c r="AK42" s="1"/>
  <c r="I78"/>
  <c r="Y78"/>
  <c r="W78"/>
  <c r="AC187" s="1"/>
  <c r="X78"/>
  <c r="AB78"/>
  <c r="AA78"/>
  <c r="Z78"/>
  <c r="AA133"/>
  <c r="Z133"/>
  <c r="Y133"/>
  <c r="W133"/>
  <c r="AF243" s="1"/>
  <c r="X133"/>
  <c r="AB133"/>
  <c r="AB143" s="1"/>
  <c r="O79"/>
  <c r="AI188"/>
  <c r="AK79"/>
  <c r="O134"/>
  <c r="Q134" s="1"/>
  <c r="AI244"/>
  <c r="AK134"/>
  <c r="AC209"/>
  <c r="AP28"/>
  <c r="AP18"/>
  <c r="AP29"/>
  <c r="AP17"/>
  <c r="AP31"/>
  <c r="O34"/>
  <c r="AP30"/>
  <c r="O35"/>
  <c r="AP32"/>
  <c r="O36"/>
  <c r="AP21"/>
  <c r="AP20"/>
  <c r="AP24"/>
  <c r="AP23"/>
  <c r="AP19"/>
  <c r="AP25"/>
  <c r="AG184"/>
  <c r="AH212"/>
  <c r="M34"/>
  <c r="AP26"/>
  <c r="L114" i="34"/>
  <c r="AE46" i="113" s="1"/>
  <c r="K46" s="1"/>
  <c r="K155" s="1"/>
  <c r="K21"/>
  <c r="K35" s="1"/>
  <c r="J105"/>
  <c r="O80" i="40"/>
  <c r="N23" i="113"/>
  <c r="O52"/>
  <c r="AK52"/>
  <c r="AI161"/>
  <c r="O106"/>
  <c r="Q106" s="1"/>
  <c r="AK106"/>
  <c r="AI215"/>
  <c r="N99"/>
  <c r="N208" s="1"/>
  <c r="L115" i="34"/>
  <c r="AE73" i="113" s="1"/>
  <c r="K73" s="1"/>
  <c r="K182" s="1"/>
  <c r="H49"/>
  <c r="Q49" s="1"/>
  <c r="Q213"/>
  <c r="AD212"/>
  <c r="AB212"/>
  <c r="AI212"/>
  <c r="AA212"/>
  <c r="Y212"/>
  <c r="Z212"/>
  <c r="X212"/>
  <c r="W212"/>
  <c r="AK98"/>
  <c r="AI207"/>
  <c r="Q217"/>
  <c r="AC184"/>
  <c r="AK124"/>
  <c r="AI234"/>
  <c r="O124"/>
  <c r="Q124" s="1"/>
  <c r="Q240"/>
  <c r="O207"/>
  <c r="Q207" s="1"/>
  <c r="O69"/>
  <c r="Q69" s="1"/>
  <c r="AI178"/>
  <c r="AE156"/>
  <c r="N45"/>
  <c r="N154" s="1"/>
  <c r="AH154"/>
  <c r="L81" i="34"/>
  <c r="I73" i="113"/>
  <c r="I182" s="1"/>
  <c r="L117" i="34"/>
  <c r="AE128" i="113" s="1"/>
  <c r="AE238" s="1"/>
  <c r="L116" i="34"/>
  <c r="AE100" i="113" s="1"/>
  <c r="L82" i="34"/>
  <c r="L85"/>
  <c r="L83"/>
  <c r="J75" i="113"/>
  <c r="J184" s="1"/>
  <c r="I99"/>
  <c r="I208" s="1"/>
  <c r="M52"/>
  <c r="M161" s="1"/>
  <c r="N49"/>
  <c r="N158" s="1"/>
  <c r="AD241"/>
  <c r="AF156"/>
  <c r="O84" i="41"/>
  <c r="O82"/>
  <c r="K74" i="113"/>
  <c r="K183" s="1"/>
  <c r="I46"/>
  <c r="I155" s="1"/>
  <c r="AF239"/>
  <c r="K101"/>
  <c r="K210" s="1"/>
  <c r="I105"/>
  <c r="I51"/>
  <c r="I133"/>
  <c r="L80" i="34"/>
  <c r="J133" i="113"/>
  <c r="AH234"/>
  <c r="N124"/>
  <c r="AH178"/>
  <c r="N69"/>
  <c r="N178" s="1"/>
  <c r="AC157"/>
  <c r="O114" i="41"/>
  <c r="AH79" i="113" s="1"/>
  <c r="N79" s="1"/>
  <c r="O80" i="41"/>
  <c r="O116"/>
  <c r="AH134" i="113" s="1"/>
  <c r="N134" s="1"/>
  <c r="O85" i="40"/>
  <c r="AC240" i="113"/>
  <c r="J51"/>
  <c r="J78"/>
  <c r="O79" i="41"/>
  <c r="L105" i="113"/>
  <c r="O115" i="41"/>
  <c r="AH106" i="113" s="1"/>
  <c r="AH215" s="1"/>
  <c r="O81" i="41"/>
  <c r="O114" i="40"/>
  <c r="AH151" i="113"/>
  <c r="J130"/>
  <c r="J240" s="1"/>
  <c r="AD240"/>
  <c r="AF183"/>
  <c r="L74"/>
  <c r="L183" s="1"/>
  <c r="I127"/>
  <c r="I237" s="1"/>
  <c r="AC237"/>
  <c r="J48"/>
  <c r="J157" s="1"/>
  <c r="AD157"/>
  <c r="AC154"/>
  <c r="I45"/>
  <c r="I154" s="1"/>
  <c r="AG157"/>
  <c r="O82" i="40"/>
  <c r="O116"/>
  <c r="O115"/>
  <c r="J103" i="113"/>
  <c r="J212" s="1"/>
  <c r="AC181"/>
  <c r="I72"/>
  <c r="I181" s="1"/>
  <c r="J102"/>
  <c r="J211" s="1"/>
  <c r="J49"/>
  <c r="J158" s="1"/>
  <c r="AD158"/>
  <c r="AD185"/>
  <c r="J76"/>
  <c r="J185" s="1"/>
  <c r="L99" i="37"/>
  <c r="AE42" i="113" s="1"/>
  <c r="L101" i="37"/>
  <c r="AE96" i="113" s="1"/>
  <c r="AE205" s="1"/>
  <c r="L102" i="37"/>
  <c r="AE124" i="113" s="1"/>
  <c r="L67" i="37"/>
  <c r="L65"/>
  <c r="L100"/>
  <c r="AE69" i="113" s="1"/>
  <c r="L70" i="37"/>
  <c r="L66"/>
  <c r="L68"/>
  <c r="L78" i="113"/>
  <c r="M101" i="38"/>
  <c r="AF72" i="113" s="1"/>
  <c r="M69" i="38"/>
  <c r="M100"/>
  <c r="AF45" i="113" s="1"/>
  <c r="M102" i="38"/>
  <c r="AF99" i="113" s="1"/>
  <c r="AF208" s="1"/>
  <c r="M71" i="38"/>
  <c r="M68"/>
  <c r="M66"/>
  <c r="M67"/>
  <c r="M103"/>
  <c r="AF127" i="113" s="1"/>
  <c r="M61" i="32"/>
  <c r="M62"/>
  <c r="M63"/>
  <c r="M97"/>
  <c r="AF103" i="113" s="1"/>
  <c r="AF212" s="1"/>
  <c r="M64" i="32"/>
  <c r="M96"/>
  <c r="AF76" i="113" s="1"/>
  <c r="M66" i="32"/>
  <c r="M98"/>
  <c r="AF131" i="113" s="1"/>
  <c r="M95" i="32"/>
  <c r="AF49" i="113" s="1"/>
  <c r="L133"/>
  <c r="K69" i="38"/>
  <c r="K68"/>
  <c r="K67"/>
  <c r="K103"/>
  <c r="AD127" i="113" s="1"/>
  <c r="K66" i="38"/>
  <c r="K71"/>
  <c r="K101"/>
  <c r="AD72" i="113" s="1"/>
  <c r="K100" i="38"/>
  <c r="AD45" i="113" s="1"/>
  <c r="K102" i="38"/>
  <c r="AD99" i="113" s="1"/>
  <c r="AD208" s="1"/>
  <c r="N98" i="32"/>
  <c r="AG131" i="113" s="1"/>
  <c r="AG142" s="1"/>
  <c r="N95" i="32"/>
  <c r="AG49" i="113" s="1"/>
  <c r="N97" i="32"/>
  <c r="AG103" i="113" s="1"/>
  <c r="AG212" s="1"/>
  <c r="N62" i="32"/>
  <c r="N96"/>
  <c r="AG76" i="113" s="1"/>
  <c r="AG87" s="1"/>
  <c r="N61" i="32"/>
  <c r="N66"/>
  <c r="N64"/>
  <c r="N63"/>
  <c r="O117" i="40"/>
  <c r="O81"/>
  <c r="O83"/>
  <c r="H76" i="113"/>
  <c r="Q76" s="1"/>
  <c r="AB185"/>
  <c r="AD239"/>
  <c r="J129"/>
  <c r="J239" s="1"/>
  <c r="M129"/>
  <c r="M239" s="1"/>
  <c r="AG239"/>
  <c r="L134"/>
  <c r="L244" s="1"/>
  <c r="AF244"/>
  <c r="L52"/>
  <c r="L161" s="1"/>
  <c r="AF161"/>
  <c r="J47"/>
  <c r="J156" s="1"/>
  <c r="AD156"/>
  <c r="M74"/>
  <c r="M183" s="1"/>
  <c r="AG183"/>
  <c r="L106"/>
  <c r="L215" s="1"/>
  <c r="M47"/>
  <c r="M156" s="1"/>
  <c r="AG156"/>
  <c r="H103"/>
  <c r="Q103" s="1"/>
  <c r="J101"/>
  <c r="J210" s="1"/>
  <c r="M101"/>
  <c r="M210" s="1"/>
  <c r="H131"/>
  <c r="Q131" s="1"/>
  <c r="AB241"/>
  <c r="K105"/>
  <c r="K51"/>
  <c r="K133"/>
  <c r="AG181"/>
  <c r="M72"/>
  <c r="M99" i="37"/>
  <c r="AF42" i="113" s="1"/>
  <c r="M67" i="37"/>
  <c r="M68"/>
  <c r="M101"/>
  <c r="AF96" i="113" s="1"/>
  <c r="AF205" s="1"/>
  <c r="M66" i="37"/>
  <c r="M100"/>
  <c r="AF69" i="113" s="1"/>
  <c r="M65" i="37"/>
  <c r="M70"/>
  <c r="M102"/>
  <c r="AF124" i="113" s="1"/>
  <c r="N103"/>
  <c r="N76"/>
  <c r="AH185"/>
  <c r="J95" i="32"/>
  <c r="AC49" i="113" s="1"/>
  <c r="J97" i="32"/>
  <c r="AC103" i="113" s="1"/>
  <c r="AC212" s="1"/>
  <c r="J64" i="32"/>
  <c r="J96"/>
  <c r="AC76" i="113" s="1"/>
  <c r="J61" i="32"/>
  <c r="J66"/>
  <c r="J98"/>
  <c r="AC131" i="113" s="1"/>
  <c r="AC143" s="1"/>
  <c r="J62" i="32"/>
  <c r="J63"/>
  <c r="M102" i="113"/>
  <c r="M211" s="1"/>
  <c r="K115" i="34"/>
  <c r="AD73" i="113" s="1"/>
  <c r="K82" i="34"/>
  <c r="K114"/>
  <c r="AD46" i="113" s="1"/>
  <c r="K117" i="34"/>
  <c r="AD128" i="113" s="1"/>
  <c r="K81" i="34"/>
  <c r="K116"/>
  <c r="AD100" i="113" s="1"/>
  <c r="K80" i="34"/>
  <c r="K85"/>
  <c r="K83"/>
  <c r="M51" i="113"/>
  <c r="AH51"/>
  <c r="AI51" s="1"/>
  <c r="AG178"/>
  <c r="M69"/>
  <c r="M178" s="1"/>
  <c r="M124"/>
  <c r="AG234"/>
  <c r="O100" i="39"/>
  <c r="AH47" i="113" s="1"/>
  <c r="AI47" s="1"/>
  <c r="O103" i="39"/>
  <c r="AH129" i="113" s="1"/>
  <c r="AI129" s="1"/>
  <c r="O67" i="39"/>
  <c r="O66"/>
  <c r="O71"/>
  <c r="O102"/>
  <c r="AH101" i="113" s="1"/>
  <c r="O68" i="39"/>
  <c r="O101"/>
  <c r="AH74" i="113" s="1"/>
  <c r="AI74" s="1"/>
  <c r="O69" i="39"/>
  <c r="L100" i="38"/>
  <c r="AE45" i="113" s="1"/>
  <c r="L102" i="38"/>
  <c r="AE99" i="113" s="1"/>
  <c r="L67" i="38"/>
  <c r="L66"/>
  <c r="L71"/>
  <c r="L103"/>
  <c r="AE127" i="113" s="1"/>
  <c r="L69" i="38"/>
  <c r="L68"/>
  <c r="L101"/>
  <c r="AE72" i="113" s="1"/>
  <c r="AG237"/>
  <c r="M127"/>
  <c r="M45"/>
  <c r="M154" s="1"/>
  <c r="AG154"/>
  <c r="J96"/>
  <c r="J205" s="1"/>
  <c r="M134"/>
  <c r="M244" s="1"/>
  <c r="AG244"/>
  <c r="AH237"/>
  <c r="N127"/>
  <c r="J69"/>
  <c r="J178" s="1"/>
  <c r="AD178"/>
  <c r="N131"/>
  <c r="AH241"/>
  <c r="M105"/>
  <c r="AH105"/>
  <c r="M42"/>
  <c r="M151" s="1"/>
  <c r="AG151"/>
  <c r="M99"/>
  <c r="M130"/>
  <c r="M240" s="1"/>
  <c r="AG240"/>
  <c r="M116" i="40"/>
  <c r="AF102" i="113" s="1"/>
  <c r="AF211" s="1"/>
  <c r="M117" i="40"/>
  <c r="AF130" i="113" s="1"/>
  <c r="M80" i="40"/>
  <c r="M85"/>
  <c r="M81"/>
  <c r="M115"/>
  <c r="AF75" i="113" s="1"/>
  <c r="M83" i="40"/>
  <c r="M82"/>
  <c r="M114"/>
  <c r="AF48" i="113" s="1"/>
  <c r="M133"/>
  <c r="AH133"/>
  <c r="AI133" s="1"/>
  <c r="M78"/>
  <c r="AH78"/>
  <c r="AI78" s="1"/>
  <c r="M96"/>
  <c r="M106"/>
  <c r="M215" s="1"/>
  <c r="N72"/>
  <c r="AH181"/>
  <c r="I128"/>
  <c r="AC238"/>
  <c r="J42"/>
  <c r="J151" s="1"/>
  <c r="AD151"/>
  <c r="I209"/>
  <c r="K156"/>
  <c r="M157"/>
  <c r="N207"/>
  <c r="AI205" l="1"/>
  <c r="AK96"/>
  <c r="AE182"/>
  <c r="O96"/>
  <c r="Q96" s="1"/>
  <c r="AK51"/>
  <c r="AE155"/>
  <c r="AF214"/>
  <c r="AG187"/>
  <c r="AC243"/>
  <c r="AE243"/>
  <c r="AB113"/>
  <c r="BF98" s="1"/>
  <c r="AF187"/>
  <c r="AD160"/>
  <c r="AD243"/>
  <c r="AG243"/>
  <c r="AB115"/>
  <c r="AB224" s="1"/>
  <c r="AD187"/>
  <c r="AB243"/>
  <c r="AB187"/>
  <c r="AB117"/>
  <c r="AB114"/>
  <c r="AB223" s="1"/>
  <c r="AA61"/>
  <c r="AA59"/>
  <c r="AA60"/>
  <c r="AA63"/>
  <c r="Z63"/>
  <c r="Z61"/>
  <c r="Z59"/>
  <c r="Z60"/>
  <c r="Y113"/>
  <c r="Y114"/>
  <c r="Y115"/>
  <c r="Y224" s="1"/>
  <c r="Y117"/>
  <c r="Y243"/>
  <c r="Y145"/>
  <c r="Y142"/>
  <c r="Y143"/>
  <c r="Y141"/>
  <c r="AA187"/>
  <c r="AA87"/>
  <c r="AA90"/>
  <c r="AA88"/>
  <c r="AA86"/>
  <c r="Y187"/>
  <c r="Y88"/>
  <c r="Y86"/>
  <c r="Y90"/>
  <c r="Y87"/>
  <c r="AB59"/>
  <c r="AB61"/>
  <c r="AB63"/>
  <c r="AB60"/>
  <c r="Y60"/>
  <c r="Y61"/>
  <c r="Y63"/>
  <c r="Y59"/>
  <c r="W117"/>
  <c r="W114"/>
  <c r="W115"/>
  <c r="W113"/>
  <c r="W243"/>
  <c r="W142"/>
  <c r="W252" s="1"/>
  <c r="W141"/>
  <c r="W251" s="1"/>
  <c r="W145"/>
  <c r="W255" s="1"/>
  <c r="W143"/>
  <c r="W253" s="1"/>
  <c r="Z187"/>
  <c r="Z90"/>
  <c r="Z88"/>
  <c r="Z86"/>
  <c r="Z87"/>
  <c r="W86"/>
  <c r="W195" s="1"/>
  <c r="W87"/>
  <c r="W196" s="1"/>
  <c r="W88"/>
  <c r="W197" s="1"/>
  <c r="W90"/>
  <c r="W199" s="1"/>
  <c r="X160"/>
  <c r="X60"/>
  <c r="X63"/>
  <c r="X59"/>
  <c r="X61"/>
  <c r="X214"/>
  <c r="X113"/>
  <c r="X115"/>
  <c r="X117"/>
  <c r="X114"/>
  <c r="AA214"/>
  <c r="AA117"/>
  <c r="AA115"/>
  <c r="AA114"/>
  <c r="AA113"/>
  <c r="AB141"/>
  <c r="BF133" s="1"/>
  <c r="N52"/>
  <c r="N161" s="1"/>
  <c r="AB145"/>
  <c r="AB87"/>
  <c r="AD214"/>
  <c r="N35"/>
  <c r="Z243"/>
  <c r="Z143"/>
  <c r="Z141"/>
  <c r="Z142"/>
  <c r="Z145"/>
  <c r="X141"/>
  <c r="X145"/>
  <c r="X142"/>
  <c r="X143"/>
  <c r="AA143"/>
  <c r="AA142"/>
  <c r="AA145"/>
  <c r="AA141"/>
  <c r="X88"/>
  <c r="X90"/>
  <c r="X86"/>
  <c r="X87"/>
  <c r="W60"/>
  <c r="W169" s="1"/>
  <c r="W61"/>
  <c r="W170" s="1"/>
  <c r="W59"/>
  <c r="W63"/>
  <c r="Z114"/>
  <c r="Z115"/>
  <c r="Z117"/>
  <c r="Z113"/>
  <c r="AB86"/>
  <c r="BF74" s="1"/>
  <c r="AB142"/>
  <c r="AB90"/>
  <c r="AB88"/>
  <c r="H158"/>
  <c r="Q158" s="1"/>
  <c r="K34"/>
  <c r="AH48"/>
  <c r="N48" s="1"/>
  <c r="N157" s="1"/>
  <c r="O244"/>
  <c r="Q244" s="1"/>
  <c r="O215"/>
  <c r="Q215" s="1"/>
  <c r="O188"/>
  <c r="Q188" s="1"/>
  <c r="Q79"/>
  <c r="W160"/>
  <c r="AF160"/>
  <c r="AI105"/>
  <c r="AH214"/>
  <c r="G51"/>
  <c r="F51"/>
  <c r="E51"/>
  <c r="C51"/>
  <c r="J160" s="1"/>
  <c r="D51"/>
  <c r="H51"/>
  <c r="AR19"/>
  <c r="AR26"/>
  <c r="AR22"/>
  <c r="AR18"/>
  <c r="AR29"/>
  <c r="AR27"/>
  <c r="AR23"/>
  <c r="AR32"/>
  <c r="AR28"/>
  <c r="AR24"/>
  <c r="AR20"/>
  <c r="AR30"/>
  <c r="AR17"/>
  <c r="AR25"/>
  <c r="AR21"/>
  <c r="AR31"/>
  <c r="W187"/>
  <c r="AE187"/>
  <c r="Q36"/>
  <c r="Z214"/>
  <c r="AG214"/>
  <c r="K36"/>
  <c r="Q35"/>
  <c r="AA160"/>
  <c r="Z160"/>
  <c r="Y214"/>
  <c r="AE208"/>
  <c r="AK99"/>
  <c r="AH75"/>
  <c r="N75" s="1"/>
  <c r="N184" s="1"/>
  <c r="AU29"/>
  <c r="AU18"/>
  <c r="AU24"/>
  <c r="AU23"/>
  <c r="AU25"/>
  <c r="AU31"/>
  <c r="AU30"/>
  <c r="AU19"/>
  <c r="AU21"/>
  <c r="AU20"/>
  <c r="AU26"/>
  <c r="AU32"/>
  <c r="AU17"/>
  <c r="AU22"/>
  <c r="AU28"/>
  <c r="AU27"/>
  <c r="E78"/>
  <c r="C78"/>
  <c r="I187" s="1"/>
  <c r="D78"/>
  <c r="H78"/>
  <c r="H88" s="1"/>
  <c r="G78"/>
  <c r="F78"/>
  <c r="E133"/>
  <c r="C133"/>
  <c r="K243" s="1"/>
  <c r="D133"/>
  <c r="H133"/>
  <c r="H141" s="1"/>
  <c r="G133"/>
  <c r="F133"/>
  <c r="G105"/>
  <c r="F105"/>
  <c r="E105"/>
  <c r="C105"/>
  <c r="J214" s="1"/>
  <c r="D105"/>
  <c r="H105"/>
  <c r="H115" s="1"/>
  <c r="K100"/>
  <c r="K209" s="1"/>
  <c r="AE209"/>
  <c r="AK100"/>
  <c r="Q52"/>
  <c r="O161"/>
  <c r="Q161" s="1"/>
  <c r="AI101"/>
  <c r="AH210"/>
  <c r="AD209"/>
  <c r="AH130"/>
  <c r="AH240" s="1"/>
  <c r="AH102"/>
  <c r="AH211" s="1"/>
  <c r="N36"/>
  <c r="N34"/>
  <c r="O42"/>
  <c r="Q42" s="1"/>
  <c r="AI151"/>
  <c r="Q34"/>
  <c r="AV29"/>
  <c r="AV30"/>
  <c r="AV31"/>
  <c r="AV32"/>
  <c r="AV18"/>
  <c r="AV20"/>
  <c r="AV17"/>
  <c r="AV22"/>
  <c r="AV24"/>
  <c r="AV21"/>
  <c r="AV26"/>
  <c r="AV27"/>
  <c r="AV28"/>
  <c r="AV25"/>
  <c r="AV19"/>
  <c r="AV23"/>
  <c r="AE160"/>
  <c r="AC160"/>
  <c r="AE214"/>
  <c r="X243"/>
  <c r="AA243"/>
  <c r="X187"/>
  <c r="AB160"/>
  <c r="Y160"/>
  <c r="W214"/>
  <c r="AC214"/>
  <c r="AG113"/>
  <c r="AY69"/>
  <c r="AY70"/>
  <c r="AI86"/>
  <c r="AK86" s="1"/>
  <c r="AY75"/>
  <c r="AY73"/>
  <c r="AY80"/>
  <c r="AY82"/>
  <c r="AY81"/>
  <c r="AY71"/>
  <c r="AY76"/>
  <c r="AI243"/>
  <c r="AY133"/>
  <c r="AK133"/>
  <c r="AI183"/>
  <c r="AK74"/>
  <c r="AY74"/>
  <c r="O74"/>
  <c r="AI90"/>
  <c r="AI156"/>
  <c r="AY47"/>
  <c r="O47"/>
  <c r="AK47"/>
  <c r="AI60"/>
  <c r="AY53"/>
  <c r="AY52"/>
  <c r="AI61"/>
  <c r="AY54"/>
  <c r="AY43"/>
  <c r="AY44"/>
  <c r="AY49"/>
  <c r="AY57"/>
  <c r="AY48"/>
  <c r="AY45"/>
  <c r="AY50"/>
  <c r="AI63"/>
  <c r="AY42"/>
  <c r="AI59"/>
  <c r="AY46"/>
  <c r="AY55"/>
  <c r="AY56"/>
  <c r="O205"/>
  <c r="Q205" s="1"/>
  <c r="AK78"/>
  <c r="AY78"/>
  <c r="AI187"/>
  <c r="AI239"/>
  <c r="AY129"/>
  <c r="AK129"/>
  <c r="O129"/>
  <c r="Q129" s="1"/>
  <c r="AI145"/>
  <c r="AI160"/>
  <c r="AY51"/>
  <c r="O178"/>
  <c r="Q178" s="1"/>
  <c r="O234"/>
  <c r="Q234" s="1"/>
  <c r="AY138"/>
  <c r="AY136"/>
  <c r="AY127"/>
  <c r="AY130"/>
  <c r="AY139"/>
  <c r="AY135"/>
  <c r="AI141"/>
  <c r="AY137"/>
  <c r="AY77"/>
  <c r="AY72"/>
  <c r="AY79"/>
  <c r="AY126"/>
  <c r="AI143"/>
  <c r="AI142"/>
  <c r="AY125"/>
  <c r="AY134"/>
  <c r="AY83"/>
  <c r="AY84"/>
  <c r="AI88"/>
  <c r="AI87"/>
  <c r="AY132"/>
  <c r="AY131"/>
  <c r="AY128"/>
  <c r="AY124"/>
  <c r="K128"/>
  <c r="K238" s="1"/>
  <c r="AG145"/>
  <c r="AG143"/>
  <c r="AG88"/>
  <c r="AH188"/>
  <c r="AC142"/>
  <c r="AG86"/>
  <c r="AG141"/>
  <c r="N106"/>
  <c r="AG90"/>
  <c r="AC145"/>
  <c r="AD87"/>
  <c r="AH244"/>
  <c r="N151"/>
  <c r="N234"/>
  <c r="AD113"/>
  <c r="M49"/>
  <c r="M63" s="1"/>
  <c r="AG158"/>
  <c r="AG63"/>
  <c r="AG59"/>
  <c r="AF158"/>
  <c r="L49"/>
  <c r="L158" s="1"/>
  <c r="L99"/>
  <c r="L208" s="1"/>
  <c r="M103"/>
  <c r="M212" s="1"/>
  <c r="L76"/>
  <c r="L185" s="1"/>
  <c r="AF185"/>
  <c r="L72"/>
  <c r="L181" s="1"/>
  <c r="AF181"/>
  <c r="K42"/>
  <c r="K151" s="1"/>
  <c r="AE151"/>
  <c r="J72"/>
  <c r="J181" s="1"/>
  <c r="AD181"/>
  <c r="L127"/>
  <c r="L237" s="1"/>
  <c r="AF237"/>
  <c r="AE178"/>
  <c r="K69"/>
  <c r="K96"/>
  <c r="K205" s="1"/>
  <c r="AG61"/>
  <c r="AG60"/>
  <c r="AC141"/>
  <c r="AG115"/>
  <c r="AD115"/>
  <c r="J99"/>
  <c r="J208" s="1"/>
  <c r="M76"/>
  <c r="M185" s="1"/>
  <c r="AG185"/>
  <c r="M131"/>
  <c r="M241" s="1"/>
  <c r="AG241"/>
  <c r="AD154"/>
  <c r="J45"/>
  <c r="J154" s="1"/>
  <c r="J127"/>
  <c r="J237" s="1"/>
  <c r="AD237"/>
  <c r="L131"/>
  <c r="L241" s="1"/>
  <c r="AF241"/>
  <c r="L103"/>
  <c r="L212" s="1"/>
  <c r="AF154"/>
  <c r="L45"/>
  <c r="L154" s="1"/>
  <c r="K124"/>
  <c r="K234" s="1"/>
  <c r="AE234"/>
  <c r="AG114"/>
  <c r="AG117"/>
  <c r="H185"/>
  <c r="Q185" s="1"/>
  <c r="AD88"/>
  <c r="AD86"/>
  <c r="H212"/>
  <c r="Q212" s="1"/>
  <c r="H241"/>
  <c r="Q241" s="1"/>
  <c r="N181"/>
  <c r="N188"/>
  <c r="N244"/>
  <c r="K45"/>
  <c r="AE154"/>
  <c r="AE61"/>
  <c r="AE63"/>
  <c r="AE59"/>
  <c r="AE60"/>
  <c r="N101"/>
  <c r="M234"/>
  <c r="N51"/>
  <c r="O51" s="1"/>
  <c r="AD238"/>
  <c r="J128"/>
  <c r="AD145"/>
  <c r="AD143"/>
  <c r="AD141"/>
  <c r="AD142"/>
  <c r="I103"/>
  <c r="AC115"/>
  <c r="AC113"/>
  <c r="AC114"/>
  <c r="AC117"/>
  <c r="AF234"/>
  <c r="AF142"/>
  <c r="L124"/>
  <c r="AF141"/>
  <c r="AF143"/>
  <c r="AF151"/>
  <c r="L42"/>
  <c r="AF60"/>
  <c r="AF59"/>
  <c r="AF61"/>
  <c r="M205"/>
  <c r="N78"/>
  <c r="O78" s="1"/>
  <c r="N133"/>
  <c r="O133" s="1"/>
  <c r="Q133" s="1"/>
  <c r="L102"/>
  <c r="AF117"/>
  <c r="N105"/>
  <c r="O105" s="1"/>
  <c r="Q105" s="1"/>
  <c r="N241"/>
  <c r="M237"/>
  <c r="AE90"/>
  <c r="K72"/>
  <c r="AE86"/>
  <c r="AE181"/>
  <c r="AE88"/>
  <c r="AE87"/>
  <c r="K99"/>
  <c r="AE114"/>
  <c r="AE115"/>
  <c r="AE117"/>
  <c r="AE113"/>
  <c r="AH160"/>
  <c r="J73"/>
  <c r="AD182"/>
  <c r="AD90"/>
  <c r="N185"/>
  <c r="AF86"/>
  <c r="AF88"/>
  <c r="AF178"/>
  <c r="AF87"/>
  <c r="L69"/>
  <c r="AH187"/>
  <c r="L48"/>
  <c r="AF157"/>
  <c r="AF63"/>
  <c r="AF240"/>
  <c r="L130"/>
  <c r="AF145"/>
  <c r="M208"/>
  <c r="AE145"/>
  <c r="K127"/>
  <c r="AE143"/>
  <c r="AE237"/>
  <c r="AE142"/>
  <c r="AE141"/>
  <c r="AH183"/>
  <c r="N74"/>
  <c r="N47"/>
  <c r="AH156"/>
  <c r="AC241"/>
  <c r="I131"/>
  <c r="I241" s="1"/>
  <c r="I76"/>
  <c r="AC185"/>
  <c r="AC90"/>
  <c r="AC87"/>
  <c r="AC86"/>
  <c r="AC88"/>
  <c r="N212"/>
  <c r="M181"/>
  <c r="I238"/>
  <c r="AH243"/>
  <c r="L75"/>
  <c r="AF90"/>
  <c r="AF184"/>
  <c r="N237"/>
  <c r="AH239"/>
  <c r="N129"/>
  <c r="J100"/>
  <c r="AD117"/>
  <c r="AD114"/>
  <c r="AD155"/>
  <c r="J46"/>
  <c r="AD59"/>
  <c r="AD63"/>
  <c r="AD61"/>
  <c r="AD60"/>
  <c r="I49"/>
  <c r="AC158"/>
  <c r="AC63"/>
  <c r="AC60"/>
  <c r="AC59"/>
  <c r="AC61"/>
  <c r="L96"/>
  <c r="AF114"/>
  <c r="AF115"/>
  <c r="AF113"/>
  <c r="AK59" l="1"/>
  <c r="Z222"/>
  <c r="H87"/>
  <c r="AH115"/>
  <c r="AH224" s="1"/>
  <c r="AE253"/>
  <c r="BF80"/>
  <c r="BF69"/>
  <c r="X196"/>
  <c r="BF132"/>
  <c r="BF135"/>
  <c r="BF109"/>
  <c r="BF111"/>
  <c r="AF196"/>
  <c r="BF77"/>
  <c r="BF83"/>
  <c r="BF84"/>
  <c r="BF81"/>
  <c r="AG222"/>
  <c r="AF224"/>
  <c r="AD226"/>
  <c r="AE195"/>
  <c r="AC224"/>
  <c r="AG169"/>
  <c r="BF78"/>
  <c r="BF73"/>
  <c r="AG251"/>
  <c r="AC222"/>
  <c r="BF108"/>
  <c r="AF222"/>
  <c r="AF195"/>
  <c r="AH113"/>
  <c r="AH222" s="1"/>
  <c r="BF100"/>
  <c r="BF97"/>
  <c r="X222"/>
  <c r="W226"/>
  <c r="BF101"/>
  <c r="AH88"/>
  <c r="AH197" s="1"/>
  <c r="BF104"/>
  <c r="BF110"/>
  <c r="AD224"/>
  <c r="AD222"/>
  <c r="AC255"/>
  <c r="AH90"/>
  <c r="AH199" s="1"/>
  <c r="AI117"/>
  <c r="Z226"/>
  <c r="X195"/>
  <c r="Y222"/>
  <c r="AD223"/>
  <c r="AE197"/>
  <c r="AF253"/>
  <c r="AD253"/>
  <c r="AE170"/>
  <c r="AD197"/>
  <c r="AG223"/>
  <c r="AG253"/>
  <c r="AY97"/>
  <c r="Y223"/>
  <c r="AB197"/>
  <c r="AC170"/>
  <c r="M214"/>
  <c r="AG170"/>
  <c r="W223"/>
  <c r="AY99"/>
  <c r="Z223"/>
  <c r="X197"/>
  <c r="AA253"/>
  <c r="AA223"/>
  <c r="X223"/>
  <c r="AF199"/>
  <c r="BF124"/>
  <c r="AC195"/>
  <c r="AD252"/>
  <c r="H143"/>
  <c r="BF139"/>
  <c r="BF131"/>
  <c r="BF103"/>
  <c r="BF107"/>
  <c r="BF102"/>
  <c r="BF96"/>
  <c r="AD195"/>
  <c r="N130"/>
  <c r="N240" s="1"/>
  <c r="AY96"/>
  <c r="BA102" s="1"/>
  <c r="BB102" s="1"/>
  <c r="AY100"/>
  <c r="AY110"/>
  <c r="AB222"/>
  <c r="K214"/>
  <c r="W222"/>
  <c r="X226"/>
  <c r="BF130"/>
  <c r="AY103"/>
  <c r="AI114"/>
  <c r="AK114" s="1"/>
  <c r="AP82"/>
  <c r="AF251"/>
  <c r="BF137"/>
  <c r="BF136"/>
  <c r="BF105"/>
  <c r="BF99"/>
  <c r="BF106"/>
  <c r="AY109"/>
  <c r="X199"/>
  <c r="AA252"/>
  <c r="AA222"/>
  <c r="AC196"/>
  <c r="AF255"/>
  <c r="AE196"/>
  <c r="AG172"/>
  <c r="L214"/>
  <c r="X172"/>
  <c r="AH141"/>
  <c r="BD129" s="1"/>
  <c r="AF223"/>
  <c r="AC169"/>
  <c r="AD169"/>
  <c r="AC197"/>
  <c r="AH60"/>
  <c r="AH169" s="1"/>
  <c r="AE255"/>
  <c r="AE223"/>
  <c r="AF226"/>
  <c r="AF169"/>
  <c r="AC226"/>
  <c r="AD255"/>
  <c r="AE169"/>
  <c r="H90"/>
  <c r="H86"/>
  <c r="AG224"/>
  <c r="BF71"/>
  <c r="AH142"/>
  <c r="AH252" s="1"/>
  <c r="BF72"/>
  <c r="AG197"/>
  <c r="AG255"/>
  <c r="AY111"/>
  <c r="AI115"/>
  <c r="AI224" s="1"/>
  <c r="AY107"/>
  <c r="AY106"/>
  <c r="BF70"/>
  <c r="AY105"/>
  <c r="AB226"/>
  <c r="AA255"/>
  <c r="Z253"/>
  <c r="AA224"/>
  <c r="W224"/>
  <c r="Y172"/>
  <c r="AB172"/>
  <c r="Y255"/>
  <c r="AD172"/>
  <c r="AE226"/>
  <c r="M243"/>
  <c r="AE172"/>
  <c r="AD196"/>
  <c r="Y226"/>
  <c r="AB255"/>
  <c r="AC172"/>
  <c r="AH143"/>
  <c r="AH253" s="1"/>
  <c r="AH59"/>
  <c r="AH168" s="1"/>
  <c r="AF172"/>
  <c r="AH145"/>
  <c r="BE128" s="1"/>
  <c r="AF197"/>
  <c r="AC223"/>
  <c r="AG226"/>
  <c r="BF76"/>
  <c r="BF82"/>
  <c r="BF79"/>
  <c r="BF75"/>
  <c r="AI113"/>
  <c r="AI222" s="1"/>
  <c r="AY108"/>
  <c r="AY98"/>
  <c r="AY104"/>
  <c r="AY102"/>
  <c r="O101"/>
  <c r="H214"/>
  <c r="AG196"/>
  <c r="AC253"/>
  <c r="Z224"/>
  <c r="X255"/>
  <c r="Z255"/>
  <c r="AB196"/>
  <c r="AB253"/>
  <c r="AA226"/>
  <c r="X224"/>
  <c r="Z196"/>
  <c r="Y195"/>
  <c r="AA197"/>
  <c r="Y251"/>
  <c r="F187"/>
  <c r="F88"/>
  <c r="F87"/>
  <c r="F86"/>
  <c r="F90"/>
  <c r="G243"/>
  <c r="G143"/>
  <c r="G142"/>
  <c r="G145"/>
  <c r="G141"/>
  <c r="D187"/>
  <c r="D90"/>
  <c r="D87"/>
  <c r="D88"/>
  <c r="D86"/>
  <c r="G63"/>
  <c r="G61"/>
  <c r="G60"/>
  <c r="G59"/>
  <c r="C214"/>
  <c r="C117"/>
  <c r="C226" s="1"/>
  <c r="C115"/>
  <c r="C224" s="1"/>
  <c r="C113"/>
  <c r="C222" s="1"/>
  <c r="C114"/>
  <c r="C223" s="1"/>
  <c r="F243"/>
  <c r="F143"/>
  <c r="F145"/>
  <c r="F141"/>
  <c r="F142"/>
  <c r="C243"/>
  <c r="C141"/>
  <c r="C251" s="1"/>
  <c r="C142"/>
  <c r="C252" s="1"/>
  <c r="C145"/>
  <c r="C255" s="1"/>
  <c r="C143"/>
  <c r="C253" s="1"/>
  <c r="H59"/>
  <c r="H63"/>
  <c r="H60"/>
  <c r="H61"/>
  <c r="F60"/>
  <c r="F59"/>
  <c r="F61"/>
  <c r="F63"/>
  <c r="Z172"/>
  <c r="W172"/>
  <c r="Y170"/>
  <c r="AA170"/>
  <c r="M187"/>
  <c r="H113"/>
  <c r="AW99" s="1"/>
  <c r="AH184"/>
  <c r="AB252"/>
  <c r="X168"/>
  <c r="W168" s="1"/>
  <c r="Y199"/>
  <c r="AA195"/>
  <c r="Z170"/>
  <c r="AA168"/>
  <c r="AH61"/>
  <c r="AH170" s="1"/>
  <c r="AH87"/>
  <c r="AH196" s="1"/>
  <c r="AE252"/>
  <c r="AD199"/>
  <c r="AF168"/>
  <c r="AH114"/>
  <c r="AH223" s="1"/>
  <c r="AE168"/>
  <c r="H145"/>
  <c r="H117"/>
  <c r="BF138"/>
  <c r="BF126"/>
  <c r="BF128"/>
  <c r="BF134"/>
  <c r="BF125"/>
  <c r="AC251"/>
  <c r="AG168"/>
  <c r="AC252"/>
  <c r="AY101"/>
  <c r="L187"/>
  <c r="H187"/>
  <c r="AG252"/>
  <c r="AA251"/>
  <c r="X253"/>
  <c r="Z251"/>
  <c r="X169"/>
  <c r="Z197"/>
  <c r="Y168"/>
  <c r="AB169"/>
  <c r="Y196"/>
  <c r="AA196"/>
  <c r="Y252"/>
  <c r="Z168"/>
  <c r="AA169"/>
  <c r="F214"/>
  <c r="F115"/>
  <c r="F224" s="1"/>
  <c r="F114"/>
  <c r="F117"/>
  <c r="F113"/>
  <c r="C87"/>
  <c r="C196" s="1"/>
  <c r="C90"/>
  <c r="C199" s="1"/>
  <c r="C86"/>
  <c r="C195" s="1"/>
  <c r="C88"/>
  <c r="C197" s="1"/>
  <c r="M160"/>
  <c r="C59"/>
  <c r="C63"/>
  <c r="C172" s="1"/>
  <c r="C60"/>
  <c r="C61"/>
  <c r="E214"/>
  <c r="E113"/>
  <c r="E117"/>
  <c r="E115"/>
  <c r="E224" s="1"/>
  <c r="E114"/>
  <c r="E243"/>
  <c r="E143"/>
  <c r="E141"/>
  <c r="E145"/>
  <c r="E142"/>
  <c r="D61"/>
  <c r="D60"/>
  <c r="D63"/>
  <c r="D59"/>
  <c r="D214"/>
  <c r="D113"/>
  <c r="D117"/>
  <c r="D115"/>
  <c r="D114"/>
  <c r="G214"/>
  <c r="G113"/>
  <c r="G115"/>
  <c r="G114"/>
  <c r="G117"/>
  <c r="D145"/>
  <c r="D142"/>
  <c r="D141"/>
  <c r="D143"/>
  <c r="D253" s="1"/>
  <c r="G187"/>
  <c r="G88"/>
  <c r="G90"/>
  <c r="G86"/>
  <c r="G87"/>
  <c r="E187"/>
  <c r="E90"/>
  <c r="E88"/>
  <c r="E86"/>
  <c r="E87"/>
  <c r="E60"/>
  <c r="E169" s="1"/>
  <c r="E63"/>
  <c r="E61"/>
  <c r="E59"/>
  <c r="BF55"/>
  <c r="BF54"/>
  <c r="BF45"/>
  <c r="BF51"/>
  <c r="BF44"/>
  <c r="BF46"/>
  <c r="BF53"/>
  <c r="BF50"/>
  <c r="BF52"/>
  <c r="BF57"/>
  <c r="BF42"/>
  <c r="BF48"/>
  <c r="AB168"/>
  <c r="BF49"/>
  <c r="BF43"/>
  <c r="BF47"/>
  <c r="BF56"/>
  <c r="H224"/>
  <c r="AB170"/>
  <c r="AD170"/>
  <c r="H142"/>
  <c r="X252"/>
  <c r="X170"/>
  <c r="Z199"/>
  <c r="AC168"/>
  <c r="AD168"/>
  <c r="AC199"/>
  <c r="AH63"/>
  <c r="AH172" s="1"/>
  <c r="AH86"/>
  <c r="AH195" s="1"/>
  <c r="AE251"/>
  <c r="AE199"/>
  <c r="AF170"/>
  <c r="AF252"/>
  <c r="AD251"/>
  <c r="AH117"/>
  <c r="AH226" s="1"/>
  <c r="H114"/>
  <c r="BF127"/>
  <c r="BF129"/>
  <c r="AB251"/>
  <c r="M172"/>
  <c r="AB195"/>
  <c r="AG199"/>
  <c r="AG195"/>
  <c r="J187"/>
  <c r="AB199"/>
  <c r="X251"/>
  <c r="Z252"/>
  <c r="Z195"/>
  <c r="Y169"/>
  <c r="Y197"/>
  <c r="AA199"/>
  <c r="Y253"/>
  <c r="Z169"/>
  <c r="AA172"/>
  <c r="AS24"/>
  <c r="AT24"/>
  <c r="AS26"/>
  <c r="AT26"/>
  <c r="O151"/>
  <c r="Q151" s="1"/>
  <c r="AS21"/>
  <c r="AT21"/>
  <c r="AS22"/>
  <c r="AT22"/>
  <c r="C187"/>
  <c r="K187"/>
  <c r="AS31"/>
  <c r="AT31"/>
  <c r="AS30"/>
  <c r="AT30"/>
  <c r="AS32"/>
  <c r="AT32"/>
  <c r="AS18"/>
  <c r="AT18"/>
  <c r="AK105"/>
  <c r="AI214"/>
  <c r="I160"/>
  <c r="K160"/>
  <c r="AH157"/>
  <c r="N102"/>
  <c r="N211" s="1"/>
  <c r="I214"/>
  <c r="D243"/>
  <c r="H160"/>
  <c r="F160"/>
  <c r="AS25"/>
  <c r="AT25"/>
  <c r="AS27"/>
  <c r="AT27"/>
  <c r="C160"/>
  <c r="L160"/>
  <c r="AS20"/>
  <c r="AT20"/>
  <c r="AS23"/>
  <c r="AT23"/>
  <c r="AK101"/>
  <c r="AI210"/>
  <c r="AS17"/>
  <c r="AT17"/>
  <c r="AS28"/>
  <c r="AT28"/>
  <c r="AS29"/>
  <c r="AT29"/>
  <c r="AS19"/>
  <c r="AT19"/>
  <c r="J243"/>
  <c r="D160"/>
  <c r="G160"/>
  <c r="H243"/>
  <c r="I243"/>
  <c r="L243"/>
  <c r="E160"/>
  <c r="AE222"/>
  <c r="AK113"/>
  <c r="AE224"/>
  <c r="AI195"/>
  <c r="BD84"/>
  <c r="BD80"/>
  <c r="BD77"/>
  <c r="BD75"/>
  <c r="BD70"/>
  <c r="BD82"/>
  <c r="BD83"/>
  <c r="BD78"/>
  <c r="BD76"/>
  <c r="BD81"/>
  <c r="BD73"/>
  <c r="BD72"/>
  <c r="AP137"/>
  <c r="BD69"/>
  <c r="BD74"/>
  <c r="BD79"/>
  <c r="BD71"/>
  <c r="AP127"/>
  <c r="AP132"/>
  <c r="AP131"/>
  <c r="AP130"/>
  <c r="O87"/>
  <c r="AP128"/>
  <c r="AP136"/>
  <c r="AP83"/>
  <c r="AP126"/>
  <c r="AP139"/>
  <c r="AP124"/>
  <c r="AI252"/>
  <c r="AK142"/>
  <c r="AI255"/>
  <c r="AK145"/>
  <c r="O183"/>
  <c r="Q183" s="1"/>
  <c r="AP74"/>
  <c r="Q74"/>
  <c r="O90"/>
  <c r="O187"/>
  <c r="AP78"/>
  <c r="Q78"/>
  <c r="AI199"/>
  <c r="BE70"/>
  <c r="BE72"/>
  <c r="BE74"/>
  <c r="BE76"/>
  <c r="BE78"/>
  <c r="BE80"/>
  <c r="BE82"/>
  <c r="BE84"/>
  <c r="BE69"/>
  <c r="AK90"/>
  <c r="BE71"/>
  <c r="BE79"/>
  <c r="BE83"/>
  <c r="BE73"/>
  <c r="BE81"/>
  <c r="BE77"/>
  <c r="BE75"/>
  <c r="BD102"/>
  <c r="AI253"/>
  <c r="AK143"/>
  <c r="O239"/>
  <c r="Q239" s="1"/>
  <c r="AP129"/>
  <c r="O145"/>
  <c r="AP77"/>
  <c r="AP72"/>
  <c r="AP73"/>
  <c r="AP138"/>
  <c r="O141"/>
  <c r="Q141" s="1"/>
  <c r="AP134"/>
  <c r="O88"/>
  <c r="AP76"/>
  <c r="AP75"/>
  <c r="AP69"/>
  <c r="O214"/>
  <c r="O160"/>
  <c r="Q51"/>
  <c r="AP51"/>
  <c r="AI168"/>
  <c r="BD43"/>
  <c r="BD47"/>
  <c r="BD51"/>
  <c r="BD55"/>
  <c r="BD44"/>
  <c r="BD48"/>
  <c r="BD52"/>
  <c r="BD56"/>
  <c r="BD45"/>
  <c r="BD53"/>
  <c r="BD42"/>
  <c r="BD57"/>
  <c r="BD46"/>
  <c r="BD54"/>
  <c r="BD50"/>
  <c r="BD49"/>
  <c r="O156"/>
  <c r="Q156" s="1"/>
  <c r="Q47"/>
  <c r="AP47"/>
  <c r="O63"/>
  <c r="AP48"/>
  <c r="AP54"/>
  <c r="AP46"/>
  <c r="AP50"/>
  <c r="O61"/>
  <c r="AP45"/>
  <c r="AP55"/>
  <c r="O60"/>
  <c r="AP49"/>
  <c r="O59"/>
  <c r="AP52"/>
  <c r="AP56"/>
  <c r="AP53"/>
  <c r="AP42"/>
  <c r="AP44"/>
  <c r="AP43"/>
  <c r="AP57"/>
  <c r="AI197"/>
  <c r="AK88"/>
  <c r="AI251"/>
  <c r="AK141"/>
  <c r="AI170"/>
  <c r="AK61"/>
  <c r="O243"/>
  <c r="AP133"/>
  <c r="AK87"/>
  <c r="AI196"/>
  <c r="AI172"/>
  <c r="BE44"/>
  <c r="BE48"/>
  <c r="BE52"/>
  <c r="BE56"/>
  <c r="BE45"/>
  <c r="BE49"/>
  <c r="BE53"/>
  <c r="BE57"/>
  <c r="BE46"/>
  <c r="BE54"/>
  <c r="BE47"/>
  <c r="BE55"/>
  <c r="BE43"/>
  <c r="BE51"/>
  <c r="BE42"/>
  <c r="AK63"/>
  <c r="BE50"/>
  <c r="AI169"/>
  <c r="AK60"/>
  <c r="AP81"/>
  <c r="AP80"/>
  <c r="O143"/>
  <c r="O142"/>
  <c r="Q142" s="1"/>
  <c r="AP135"/>
  <c r="AP125"/>
  <c r="AP71"/>
  <c r="O86"/>
  <c r="Q86" s="1"/>
  <c r="AP70"/>
  <c r="AP79"/>
  <c r="AP84"/>
  <c r="N215"/>
  <c r="M117"/>
  <c r="M113"/>
  <c r="M87"/>
  <c r="M86"/>
  <c r="M88"/>
  <c r="M115"/>
  <c r="M224" s="1"/>
  <c r="M90"/>
  <c r="I142"/>
  <c r="M145"/>
  <c r="K178"/>
  <c r="M158"/>
  <c r="M61"/>
  <c r="M59"/>
  <c r="I141"/>
  <c r="M143"/>
  <c r="M141"/>
  <c r="I143"/>
  <c r="I145"/>
  <c r="N90"/>
  <c r="M142"/>
  <c r="M114"/>
  <c r="M60"/>
  <c r="AW125"/>
  <c r="AW126"/>
  <c r="AW131"/>
  <c r="AW136"/>
  <c r="AW124"/>
  <c r="AW130"/>
  <c r="AW133"/>
  <c r="AW138"/>
  <c r="AW139"/>
  <c r="AW137"/>
  <c r="AW128"/>
  <c r="AW129"/>
  <c r="AW134"/>
  <c r="AW127"/>
  <c r="AW132"/>
  <c r="AW135"/>
  <c r="L184"/>
  <c r="L90"/>
  <c r="BA54"/>
  <c r="BB54" s="1"/>
  <c r="BA55"/>
  <c r="BB55" s="1"/>
  <c r="BA43"/>
  <c r="BB43" s="1"/>
  <c r="BA52"/>
  <c r="BB52" s="1"/>
  <c r="BA47"/>
  <c r="BB47" s="1"/>
  <c r="BA57"/>
  <c r="BB57" s="1"/>
  <c r="BA46"/>
  <c r="BB46" s="1"/>
  <c r="BA49"/>
  <c r="BB49" s="1"/>
  <c r="BA45"/>
  <c r="BB45" s="1"/>
  <c r="BA48"/>
  <c r="BB48" s="1"/>
  <c r="BA50"/>
  <c r="BB50" s="1"/>
  <c r="BA44"/>
  <c r="BB44" s="1"/>
  <c r="BA42"/>
  <c r="BB42" s="1"/>
  <c r="BA56"/>
  <c r="BB56" s="1"/>
  <c r="BA53"/>
  <c r="BB53" s="1"/>
  <c r="BA51"/>
  <c r="BB51" s="1"/>
  <c r="N156"/>
  <c r="N63"/>
  <c r="N59"/>
  <c r="N60"/>
  <c r="N61"/>
  <c r="L211"/>
  <c r="L117"/>
  <c r="L151"/>
  <c r="L59"/>
  <c r="L60"/>
  <c r="L61"/>
  <c r="L234"/>
  <c r="L142"/>
  <c r="L143"/>
  <c r="L141"/>
  <c r="I212"/>
  <c r="I115"/>
  <c r="I117"/>
  <c r="I113"/>
  <c r="I114"/>
  <c r="N160"/>
  <c r="L205"/>
  <c r="L114"/>
  <c r="L115"/>
  <c r="L113"/>
  <c r="J209"/>
  <c r="J115"/>
  <c r="J113"/>
  <c r="J117"/>
  <c r="J114"/>
  <c r="BA131"/>
  <c r="BB131" s="1"/>
  <c r="BA138"/>
  <c r="BB138" s="1"/>
  <c r="BA126"/>
  <c r="BB126" s="1"/>
  <c r="BA130"/>
  <c r="BB130" s="1"/>
  <c r="BA134"/>
  <c r="BB134" s="1"/>
  <c r="BA137"/>
  <c r="BB137" s="1"/>
  <c r="BA124"/>
  <c r="BB124" s="1"/>
  <c r="BA129"/>
  <c r="BB129" s="1"/>
  <c r="BA133"/>
  <c r="BB133" s="1"/>
  <c r="BA136"/>
  <c r="BB136" s="1"/>
  <c r="BA125"/>
  <c r="BB125" s="1"/>
  <c r="BA128"/>
  <c r="BB128" s="1"/>
  <c r="BA132"/>
  <c r="BB132" s="1"/>
  <c r="BA135"/>
  <c r="BB135" s="1"/>
  <c r="BA127"/>
  <c r="BB127" s="1"/>
  <c r="BA139"/>
  <c r="BB139" s="1"/>
  <c r="N239"/>
  <c r="J155"/>
  <c r="J63"/>
  <c r="J60"/>
  <c r="J61"/>
  <c r="J59"/>
  <c r="BA76"/>
  <c r="BB76" s="1"/>
  <c r="BA82"/>
  <c r="BB82" s="1"/>
  <c r="BA69"/>
  <c r="BB69" s="1"/>
  <c r="BA80"/>
  <c r="BB80" s="1"/>
  <c r="BA71"/>
  <c r="BB71" s="1"/>
  <c r="BA84"/>
  <c r="BB84" s="1"/>
  <c r="BA73"/>
  <c r="BB73" s="1"/>
  <c r="BA81"/>
  <c r="BB81" s="1"/>
  <c r="BA78"/>
  <c r="BB78" s="1"/>
  <c r="BA70"/>
  <c r="BB70" s="1"/>
  <c r="BA83"/>
  <c r="BB83" s="1"/>
  <c r="BA75"/>
  <c r="BB75" s="1"/>
  <c r="BA77"/>
  <c r="BB77" s="1"/>
  <c r="BA79"/>
  <c r="BB79" s="1"/>
  <c r="BA74"/>
  <c r="BB74" s="1"/>
  <c r="BA72"/>
  <c r="BB72" s="1"/>
  <c r="K145"/>
  <c r="K237"/>
  <c r="K143"/>
  <c r="K142"/>
  <c r="K141"/>
  <c r="L240"/>
  <c r="L145"/>
  <c r="L157"/>
  <c r="L63"/>
  <c r="K208"/>
  <c r="K117"/>
  <c r="K115"/>
  <c r="K113"/>
  <c r="K114"/>
  <c r="N187"/>
  <c r="N210"/>
  <c r="K154"/>
  <c r="K59"/>
  <c r="K60"/>
  <c r="K61"/>
  <c r="K63"/>
  <c r="N183"/>
  <c r="N86"/>
  <c r="N88"/>
  <c r="N87"/>
  <c r="K90"/>
  <c r="K87"/>
  <c r="K88"/>
  <c r="K86"/>
  <c r="K181"/>
  <c r="N214"/>
  <c r="I158"/>
  <c r="I61"/>
  <c r="I59"/>
  <c r="I63"/>
  <c r="I60"/>
  <c r="I185"/>
  <c r="I90"/>
  <c r="I86"/>
  <c r="I88"/>
  <c r="I87"/>
  <c r="L178"/>
  <c r="L86"/>
  <c r="L88"/>
  <c r="L87"/>
  <c r="J182"/>
  <c r="J90"/>
  <c r="J86"/>
  <c r="J88"/>
  <c r="J87"/>
  <c r="N243"/>
  <c r="J238"/>
  <c r="J145"/>
  <c r="J141"/>
  <c r="J142"/>
  <c r="J143"/>
  <c r="Q160" l="1"/>
  <c r="N145"/>
  <c r="Q145"/>
  <c r="AP110"/>
  <c r="Q101"/>
  <c r="Q143"/>
  <c r="I224"/>
  <c r="AW107"/>
  <c r="Q87"/>
  <c r="N115"/>
  <c r="N224" s="1"/>
  <c r="BE137"/>
  <c r="AP99"/>
  <c r="O115"/>
  <c r="AP109"/>
  <c r="K224"/>
  <c r="L224"/>
  <c r="J197"/>
  <c r="BE124"/>
  <c r="BE134"/>
  <c r="BE132"/>
  <c r="BD131"/>
  <c r="BD111"/>
  <c r="K169"/>
  <c r="M169"/>
  <c r="BD109"/>
  <c r="BE129"/>
  <c r="BD139"/>
  <c r="BD108"/>
  <c r="BD138"/>
  <c r="J195"/>
  <c r="L172"/>
  <c r="AW109"/>
  <c r="M223"/>
  <c r="BE106"/>
  <c r="K195"/>
  <c r="N113"/>
  <c r="AW100"/>
  <c r="BE111"/>
  <c r="AK115"/>
  <c r="E195"/>
  <c r="E223"/>
  <c r="F223"/>
  <c r="K172"/>
  <c r="AW102"/>
  <c r="M195"/>
  <c r="BE108"/>
  <c r="N142"/>
  <c r="N252" s="1"/>
  <c r="N114"/>
  <c r="N223" s="1"/>
  <c r="AW101"/>
  <c r="AW103"/>
  <c r="BE104"/>
  <c r="BE109"/>
  <c r="Q243"/>
  <c r="Q187"/>
  <c r="AI226"/>
  <c r="M168"/>
  <c r="BE105"/>
  <c r="L195"/>
  <c r="I195"/>
  <c r="I172"/>
  <c r="N143"/>
  <c r="N253" s="1"/>
  <c r="N117"/>
  <c r="N226" s="1"/>
  <c r="J172"/>
  <c r="N141"/>
  <c r="N251" s="1"/>
  <c r="AW110"/>
  <c r="AW108"/>
  <c r="AW97"/>
  <c r="BE107"/>
  <c r="BE102"/>
  <c r="E172"/>
  <c r="G195"/>
  <c r="D222"/>
  <c r="E251"/>
  <c r="J169"/>
  <c r="BD124"/>
  <c r="BE139"/>
  <c r="BE136"/>
  <c r="BD126"/>
  <c r="BD133"/>
  <c r="BD125"/>
  <c r="BD97"/>
  <c r="BD99"/>
  <c r="BD106"/>
  <c r="D169"/>
  <c r="BA98"/>
  <c r="BB98" s="1"/>
  <c r="AH251"/>
  <c r="L169"/>
  <c r="AP111"/>
  <c r="BE96"/>
  <c r="BE101"/>
  <c r="BE99"/>
  <c r="BE110"/>
  <c r="BE126"/>
  <c r="BE133"/>
  <c r="BE125"/>
  <c r="BD136"/>
  <c r="BD134"/>
  <c r="BD135"/>
  <c r="BD127"/>
  <c r="BD96"/>
  <c r="BD105"/>
  <c r="BD103"/>
  <c r="BD110"/>
  <c r="AP96"/>
  <c r="D172"/>
  <c r="H255"/>
  <c r="H195"/>
  <c r="BE138"/>
  <c r="BE131"/>
  <c r="BD128"/>
  <c r="BD104"/>
  <c r="E197"/>
  <c r="G226"/>
  <c r="L197"/>
  <c r="I197"/>
  <c r="I169"/>
  <c r="K197"/>
  <c r="AH255"/>
  <c r="I253"/>
  <c r="M197"/>
  <c r="AP97"/>
  <c r="BE100"/>
  <c r="BE103"/>
  <c r="BE97"/>
  <c r="BE98"/>
  <c r="BE130"/>
  <c r="BE135"/>
  <c r="BE127"/>
  <c r="BD132"/>
  <c r="BD130"/>
  <c r="BD137"/>
  <c r="O169"/>
  <c r="BD100"/>
  <c r="BD107"/>
  <c r="BD101"/>
  <c r="BD98"/>
  <c r="AK117"/>
  <c r="L253"/>
  <c r="AP103"/>
  <c r="AP107"/>
  <c r="BA109"/>
  <c r="BB109" s="1"/>
  <c r="AW80"/>
  <c r="O114"/>
  <c r="AP98"/>
  <c r="O210"/>
  <c r="Q210" s="1"/>
  <c r="AP106"/>
  <c r="AP102"/>
  <c r="AI223"/>
  <c r="H172"/>
  <c r="H253"/>
  <c r="O117"/>
  <c r="AP105"/>
  <c r="BA103"/>
  <c r="BB103" s="1"/>
  <c r="AP100"/>
  <c r="AP104"/>
  <c r="O113"/>
  <c r="AP101"/>
  <c r="AP108"/>
  <c r="BA101"/>
  <c r="BB101" s="1"/>
  <c r="AW73"/>
  <c r="BA104"/>
  <c r="BB104" s="1"/>
  <c r="K223"/>
  <c r="J223"/>
  <c r="I222"/>
  <c r="L251"/>
  <c r="AW84"/>
  <c r="H169"/>
  <c r="BA107"/>
  <c r="BB107" s="1"/>
  <c r="L223"/>
  <c r="I223"/>
  <c r="AW74"/>
  <c r="BA99"/>
  <c r="BB99" s="1"/>
  <c r="BA106"/>
  <c r="BB106" s="1"/>
  <c r="AW77"/>
  <c r="I251"/>
  <c r="F251"/>
  <c r="J251"/>
  <c r="I168"/>
  <c r="K199"/>
  <c r="BA96"/>
  <c r="BB96" s="1"/>
  <c r="J252"/>
  <c r="J199"/>
  <c r="BA110"/>
  <c r="BB110" s="1"/>
  <c r="BA111"/>
  <c r="BB111" s="1"/>
  <c r="BA105"/>
  <c r="BB105" s="1"/>
  <c r="K222"/>
  <c r="K251"/>
  <c r="L222"/>
  <c r="AW82"/>
  <c r="AW81"/>
  <c r="AW79"/>
  <c r="AW76"/>
  <c r="M252"/>
  <c r="M251"/>
  <c r="M170"/>
  <c r="I252"/>
  <c r="M222"/>
  <c r="H252"/>
  <c r="D251"/>
  <c r="G223"/>
  <c r="D223"/>
  <c r="F222"/>
  <c r="F172"/>
  <c r="G169"/>
  <c r="D197"/>
  <c r="G251"/>
  <c r="F197"/>
  <c r="BA108"/>
  <c r="BB108" s="1"/>
  <c r="BA100"/>
  <c r="BB100" s="1"/>
  <c r="AW78"/>
  <c r="AW70"/>
  <c r="AW83"/>
  <c r="G222"/>
  <c r="J196"/>
  <c r="I199"/>
  <c r="K170"/>
  <c r="BA97"/>
  <c r="BB97" s="1"/>
  <c r="K252"/>
  <c r="J222"/>
  <c r="L252"/>
  <c r="L168"/>
  <c r="L199"/>
  <c r="H251"/>
  <c r="AW69"/>
  <c r="AW75"/>
  <c r="AW71"/>
  <c r="AW72"/>
  <c r="Q214"/>
  <c r="H223"/>
  <c r="D252"/>
  <c r="E222"/>
  <c r="F252"/>
  <c r="F199"/>
  <c r="D170"/>
  <c r="C170"/>
  <c r="AW42"/>
  <c r="AW56"/>
  <c r="AW46"/>
  <c r="AW47"/>
  <c r="AW52"/>
  <c r="AW57"/>
  <c r="AW48"/>
  <c r="AW55"/>
  <c r="AW45"/>
  <c r="AW43"/>
  <c r="AW53"/>
  <c r="AW51"/>
  <c r="AW50"/>
  <c r="AW44"/>
  <c r="AW49"/>
  <c r="AW54"/>
  <c r="H168"/>
  <c r="F170"/>
  <c r="G170"/>
  <c r="D196"/>
  <c r="G255"/>
  <c r="K196"/>
  <c r="J170"/>
  <c r="O170"/>
  <c r="E170"/>
  <c r="G196"/>
  <c r="H226"/>
  <c r="H196"/>
  <c r="F253"/>
  <c r="J253"/>
  <c r="K168"/>
  <c r="J168"/>
  <c r="L170"/>
  <c r="L226"/>
  <c r="AW104"/>
  <c r="AW98"/>
  <c r="AW111"/>
  <c r="AW96"/>
  <c r="I255"/>
  <c r="M199"/>
  <c r="M196"/>
  <c r="H199"/>
  <c r="E196"/>
  <c r="G197"/>
  <c r="G224"/>
  <c r="D224"/>
  <c r="E252"/>
  <c r="F226"/>
  <c r="F255"/>
  <c r="G168"/>
  <c r="D195"/>
  <c r="G253"/>
  <c r="F196"/>
  <c r="D168"/>
  <c r="C168"/>
  <c r="F169"/>
  <c r="C169"/>
  <c r="K255"/>
  <c r="J226"/>
  <c r="I226"/>
  <c r="M255"/>
  <c r="D255"/>
  <c r="D226"/>
  <c r="E255"/>
  <c r="H170"/>
  <c r="J255"/>
  <c r="L196"/>
  <c r="I196"/>
  <c r="I170"/>
  <c r="K226"/>
  <c r="L255"/>
  <c r="K253"/>
  <c r="J224"/>
  <c r="AW105"/>
  <c r="H222"/>
  <c r="AW106"/>
  <c r="M253"/>
  <c r="M226"/>
  <c r="E199"/>
  <c r="G199"/>
  <c r="E253"/>
  <c r="E226"/>
  <c r="H197"/>
  <c r="F168"/>
  <c r="E168" s="1"/>
  <c r="G172"/>
  <c r="D199"/>
  <c r="G252"/>
  <c r="F195"/>
  <c r="O196"/>
  <c r="O197"/>
  <c r="Q88"/>
  <c r="O195"/>
  <c r="Q195" s="1"/>
  <c r="AU71"/>
  <c r="AU75"/>
  <c r="AU79"/>
  <c r="AU83"/>
  <c r="AU70"/>
  <c r="AU78"/>
  <c r="AU69"/>
  <c r="AU72"/>
  <c r="AU76"/>
  <c r="AU80"/>
  <c r="AU84"/>
  <c r="AU74"/>
  <c r="AU82"/>
  <c r="AU73"/>
  <c r="AU81"/>
  <c r="AU77"/>
  <c r="O252"/>
  <c r="O168"/>
  <c r="Q168" s="1"/>
  <c r="AU42"/>
  <c r="AU43"/>
  <c r="AU45"/>
  <c r="AU47"/>
  <c r="AU49"/>
  <c r="AU51"/>
  <c r="AU53"/>
  <c r="AU55"/>
  <c r="AU57"/>
  <c r="AU50"/>
  <c r="AU44"/>
  <c r="AU48"/>
  <c r="AU52"/>
  <c r="AU56"/>
  <c r="AU46"/>
  <c r="AU54"/>
  <c r="O255"/>
  <c r="Q255" s="1"/>
  <c r="AV124"/>
  <c r="AV135"/>
  <c r="AV126"/>
  <c r="AV128"/>
  <c r="AV130"/>
  <c r="AV132"/>
  <c r="AV134"/>
  <c r="AV136"/>
  <c r="AV138"/>
  <c r="AV125"/>
  <c r="AV127"/>
  <c r="AV129"/>
  <c r="AV131"/>
  <c r="AV133"/>
  <c r="AV137"/>
  <c r="AV139"/>
  <c r="O253"/>
  <c r="O172"/>
  <c r="AV44"/>
  <c r="AV46"/>
  <c r="AV48"/>
  <c r="AV50"/>
  <c r="AV52"/>
  <c r="AV54"/>
  <c r="AV56"/>
  <c r="Q63"/>
  <c r="AV43"/>
  <c r="AV47"/>
  <c r="AV51"/>
  <c r="AV55"/>
  <c r="AV49"/>
  <c r="AV42"/>
  <c r="AV45"/>
  <c r="AV53"/>
  <c r="AV57"/>
  <c r="O251"/>
  <c r="Q251" s="1"/>
  <c r="AU126"/>
  <c r="AU128"/>
  <c r="AU130"/>
  <c r="AU132"/>
  <c r="AU134"/>
  <c r="AU136"/>
  <c r="AU138"/>
  <c r="AU124"/>
  <c r="AU127"/>
  <c r="AU135"/>
  <c r="AU129"/>
  <c r="AU137"/>
  <c r="AU125"/>
  <c r="AU133"/>
  <c r="AU131"/>
  <c r="AU139"/>
  <c r="O199"/>
  <c r="AV70"/>
  <c r="AV74"/>
  <c r="AV78"/>
  <c r="AV82"/>
  <c r="AV77"/>
  <c r="AV71"/>
  <c r="AV75"/>
  <c r="AV79"/>
  <c r="AV83"/>
  <c r="AV73"/>
  <c r="AV81"/>
  <c r="AV72"/>
  <c r="Q90"/>
  <c r="AV76"/>
  <c r="AV84"/>
  <c r="AV69"/>
  <c r="AV80"/>
  <c r="N199"/>
  <c r="AR75"/>
  <c r="AS75" s="1"/>
  <c r="AR76"/>
  <c r="AS76" s="1"/>
  <c r="AR82"/>
  <c r="AS82" s="1"/>
  <c r="AR84"/>
  <c r="AS84" s="1"/>
  <c r="AR79"/>
  <c r="AS79" s="1"/>
  <c r="AR80"/>
  <c r="AS80" s="1"/>
  <c r="AR77"/>
  <c r="AS77" s="1"/>
  <c r="AR73"/>
  <c r="AS73" s="1"/>
  <c r="AR83"/>
  <c r="AS83" s="1"/>
  <c r="AR69"/>
  <c r="AS69" s="1"/>
  <c r="AR71"/>
  <c r="AS71" s="1"/>
  <c r="AR72"/>
  <c r="AS72" s="1"/>
  <c r="AR70"/>
  <c r="AS70" s="1"/>
  <c r="AR78"/>
  <c r="AS78" s="1"/>
  <c r="AR81"/>
  <c r="AS81" s="1"/>
  <c r="AR74"/>
  <c r="AS74" s="1"/>
  <c r="AR131"/>
  <c r="AS131" s="1"/>
  <c r="AR139"/>
  <c r="AS139" s="1"/>
  <c r="AR128"/>
  <c r="AS128" s="1"/>
  <c r="AR137"/>
  <c r="AS137" s="1"/>
  <c r="AR127"/>
  <c r="AS127" s="1"/>
  <c r="AR132"/>
  <c r="AS132" s="1"/>
  <c r="AR136"/>
  <c r="AS136" s="1"/>
  <c r="AR126"/>
  <c r="AS126" s="1"/>
  <c r="AR130"/>
  <c r="AS130" s="1"/>
  <c r="AR138"/>
  <c r="AS138" s="1"/>
  <c r="AR135"/>
  <c r="AS135" s="1"/>
  <c r="AR124"/>
  <c r="AS124" s="1"/>
  <c r="AR129"/>
  <c r="AS129" s="1"/>
  <c r="AR134"/>
  <c r="AS134" s="1"/>
  <c r="AR125"/>
  <c r="AS125" s="1"/>
  <c r="AR133"/>
  <c r="AS133" s="1"/>
  <c r="BC79"/>
  <c r="BC70"/>
  <c r="BC84"/>
  <c r="BC82"/>
  <c r="BC139"/>
  <c r="BC128"/>
  <c r="BC129"/>
  <c r="BC130"/>
  <c r="AR45"/>
  <c r="AS45" s="1"/>
  <c r="AR57"/>
  <c r="AS57" s="1"/>
  <c r="AR55"/>
  <c r="AS55" s="1"/>
  <c r="AR56"/>
  <c r="AS56" s="1"/>
  <c r="AR47"/>
  <c r="AS47" s="1"/>
  <c r="AR48"/>
  <c r="AS48" s="1"/>
  <c r="AR54"/>
  <c r="AS54" s="1"/>
  <c r="AR51"/>
  <c r="AS51" s="1"/>
  <c r="AR52"/>
  <c r="AS52" s="1"/>
  <c r="AR43"/>
  <c r="AS43" s="1"/>
  <c r="AR46"/>
  <c r="AS46" s="1"/>
  <c r="AR44"/>
  <c r="AS44" s="1"/>
  <c r="AR53"/>
  <c r="AS53" s="1"/>
  <c r="AR50"/>
  <c r="AS50" s="1"/>
  <c r="AR42"/>
  <c r="AS42" s="1"/>
  <c r="AR49"/>
  <c r="AS49" s="1"/>
  <c r="N172"/>
  <c r="BC51"/>
  <c r="BC44"/>
  <c r="BC49"/>
  <c r="BC52"/>
  <c r="N197"/>
  <c r="BC74"/>
  <c r="BC83"/>
  <c r="BC73"/>
  <c r="BC69"/>
  <c r="BC132"/>
  <c r="BC133"/>
  <c r="BC134"/>
  <c r="BC131"/>
  <c r="N168"/>
  <c r="Q59"/>
  <c r="BC42"/>
  <c r="BC45"/>
  <c r="BC47"/>
  <c r="BC54"/>
  <c r="N255"/>
  <c r="N196"/>
  <c r="BC102"/>
  <c r="BC72"/>
  <c r="BC75"/>
  <c r="BC81"/>
  <c r="BC80"/>
  <c r="BC135"/>
  <c r="BC136"/>
  <c r="BC137"/>
  <c r="BC138"/>
  <c r="Q60"/>
  <c r="N169"/>
  <c r="BC56"/>
  <c r="BC48"/>
  <c r="BC57"/>
  <c r="BC55"/>
  <c r="N195"/>
  <c r="BC77"/>
  <c r="BC78"/>
  <c r="BC71"/>
  <c r="BC76"/>
  <c r="BC127"/>
  <c r="BC125"/>
  <c r="BC124"/>
  <c r="BC126"/>
  <c r="N170"/>
  <c r="Q61"/>
  <c r="BC53"/>
  <c r="BC50"/>
  <c r="BC46"/>
  <c r="BC43"/>
  <c r="Q172" l="1"/>
  <c r="AV111"/>
  <c r="Q117"/>
  <c r="O223"/>
  <c r="Q114"/>
  <c r="Q170"/>
  <c r="AU111"/>
  <c r="Q113"/>
  <c r="O224"/>
  <c r="Q224" s="1"/>
  <c r="Q115"/>
  <c r="AV99"/>
  <c r="Q197"/>
  <c r="Q253"/>
  <c r="N222"/>
  <c r="AV105"/>
  <c r="AU100"/>
  <c r="AV96"/>
  <c r="AU105"/>
  <c r="AR99"/>
  <c r="AS99" s="1"/>
  <c r="BC106"/>
  <c r="AV106"/>
  <c r="BC97"/>
  <c r="BC103"/>
  <c r="BC100"/>
  <c r="AR111"/>
  <c r="AS111" s="1"/>
  <c r="AR101"/>
  <c r="AS101" s="1"/>
  <c r="AR96"/>
  <c r="AS96" s="1"/>
  <c r="AR106"/>
  <c r="AS106" s="1"/>
  <c r="AU96"/>
  <c r="AU99"/>
  <c r="BC109"/>
  <c r="AR105"/>
  <c r="AS105" s="1"/>
  <c r="AR103"/>
  <c r="AS103" s="1"/>
  <c r="AU102"/>
  <c r="AU103"/>
  <c r="BC104"/>
  <c r="BC98"/>
  <c r="AR109"/>
  <c r="AS109" s="1"/>
  <c r="AU109"/>
  <c r="AU106"/>
  <c r="Q169"/>
  <c r="AR104"/>
  <c r="AS104" s="1"/>
  <c r="AR108"/>
  <c r="AS108" s="1"/>
  <c r="AR107"/>
  <c r="AS107" s="1"/>
  <c r="AR97"/>
  <c r="AS97" s="1"/>
  <c r="AV101"/>
  <c r="AV108"/>
  <c r="AV98"/>
  <c r="O226"/>
  <c r="Q226" s="1"/>
  <c r="AU101"/>
  <c r="AU108"/>
  <c r="AU98"/>
  <c r="O222"/>
  <c r="Q222" s="1"/>
  <c r="AR100"/>
  <c r="AS100" s="1"/>
  <c r="AV97"/>
  <c r="AV102"/>
  <c r="AV100"/>
  <c r="AV103"/>
  <c r="AR98"/>
  <c r="AS98" s="1"/>
  <c r="AR110"/>
  <c r="AS110" s="1"/>
  <c r="AR102"/>
  <c r="AS102" s="1"/>
  <c r="AV109"/>
  <c r="AV110"/>
  <c r="AV104"/>
  <c r="AV107"/>
  <c r="AU97"/>
  <c r="AU110"/>
  <c r="AU104"/>
  <c r="AU107"/>
  <c r="BC107"/>
  <c r="Q252"/>
  <c r="Q223"/>
  <c r="Q199"/>
  <c r="BC101"/>
  <c r="BC110"/>
  <c r="BC111"/>
  <c r="BC105"/>
  <c r="BC99"/>
  <c r="BC96"/>
  <c r="BC108"/>
  <c r="Q196"/>
  <c r="AT53"/>
  <c r="AT52"/>
  <c r="AT47"/>
  <c r="AT45"/>
  <c r="AT129"/>
  <c r="AT130"/>
  <c r="AT127"/>
  <c r="AT131"/>
  <c r="AT70"/>
  <c r="AT83"/>
  <c r="AT79"/>
  <c r="AT75"/>
  <c r="AT50"/>
  <c r="AT43"/>
  <c r="AT48"/>
  <c r="AT57"/>
  <c r="AT134"/>
  <c r="AT138"/>
  <c r="AT132"/>
  <c r="AT139"/>
  <c r="AT78"/>
  <c r="AT69"/>
  <c r="AT80"/>
  <c r="AT76"/>
  <c r="AT42"/>
  <c r="AT46"/>
  <c r="AT54"/>
  <c r="AT55"/>
  <c r="AT125"/>
  <c r="AT135"/>
  <c r="AT136"/>
  <c r="AT128"/>
  <c r="AT81"/>
  <c r="AT71"/>
  <c r="AT77"/>
  <c r="AT82"/>
  <c r="AT49"/>
  <c r="AT44"/>
  <c r="AT51"/>
  <c r="AT56"/>
  <c r="AT133"/>
  <c r="AT124"/>
  <c r="AT126"/>
  <c r="AT137"/>
  <c r="AT74"/>
  <c r="AT72"/>
  <c r="AT73"/>
  <c r="AT84"/>
  <c r="C24" i="15"/>
  <c r="C25" s="1"/>
  <c r="C46"/>
  <c r="C47" s="1"/>
  <c r="C48" s="1"/>
  <c r="C49" s="1"/>
  <c r="C36"/>
  <c r="C37" s="1"/>
  <c r="C38" s="1"/>
  <c r="C39" s="1"/>
  <c r="C56"/>
  <c r="C57"/>
  <c r="C58" s="1"/>
  <c r="C59" s="1"/>
  <c r="AT106" i="113" l="1"/>
  <c r="AT109"/>
  <c r="AT99"/>
  <c r="AT103"/>
  <c r="AT111"/>
  <c r="AT104"/>
  <c r="AT101"/>
  <c r="AT98"/>
  <c r="AT105"/>
  <c r="AT100"/>
  <c r="AT96"/>
  <c r="AT108"/>
  <c r="AT110"/>
  <c r="AT102"/>
  <c r="AT107"/>
  <c r="AT97"/>
</calcChain>
</file>

<file path=xl/comments1.xml><?xml version="1.0" encoding="utf-8"?>
<comments xmlns="http://schemas.openxmlformats.org/spreadsheetml/2006/main">
  <authors>
    <author>duncan.kernohan</author>
  </authors>
  <commentList>
    <comment ref="B10" authorId="0">
      <text>
        <r>
          <rPr>
            <b/>
            <sz val="9"/>
            <color indexed="81"/>
            <rFont val="Tahoma"/>
            <family val="2"/>
          </rPr>
          <t>duncan.kernohan:</t>
        </r>
        <r>
          <rPr>
            <sz val="9"/>
            <color indexed="81"/>
            <rFont val="Tahoma"/>
            <family val="2"/>
          </rPr>
          <t xml:space="preserve">
Used to reduce costs from airports where retail costs are not defined in company accounts. </t>
        </r>
      </text>
    </comment>
  </commentList>
</comments>
</file>

<file path=xl/comments10.xml><?xml version="1.0" encoding="utf-8"?>
<comments xmlns="http://schemas.openxmlformats.org/spreadsheetml/2006/main">
  <authors>
    <author>Kernohan, Duncan</author>
  </authors>
  <commentList>
    <comment ref="B43"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11.xml><?xml version="1.0" encoding="utf-8"?>
<comments xmlns="http://schemas.openxmlformats.org/spreadsheetml/2006/main">
  <authors>
    <author>Kernohan, Duncan</author>
  </authors>
  <commentList>
    <comment ref="B47"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12.xml><?xml version="1.0" encoding="utf-8"?>
<comments xmlns="http://schemas.openxmlformats.org/spreadsheetml/2006/main">
  <authors>
    <author>Kernohan, Duncan</author>
    <author>duncan.kernohan</author>
  </authors>
  <commentList>
    <comment ref="B58" authorId="0">
      <text>
        <r>
          <rPr>
            <b/>
            <sz val="9"/>
            <color indexed="81"/>
            <rFont val="Tahoma"/>
            <family val="2"/>
          </rPr>
          <t>Kernohan, Duncan:</t>
        </r>
        <r>
          <rPr>
            <sz val="9"/>
            <color indexed="81"/>
            <rFont val="Tahoma"/>
            <family val="2"/>
          </rPr>
          <t xml:space="preserve">
Costs not accounted by staff, depreciation and 'other' items.</t>
        </r>
      </text>
    </comment>
    <comment ref="B64" authorId="1">
      <text>
        <r>
          <rPr>
            <b/>
            <sz val="9"/>
            <color indexed="81"/>
            <rFont val="Tahoma"/>
            <family val="2"/>
          </rPr>
          <t>duncan.kernohan:</t>
        </r>
        <r>
          <rPr>
            <sz val="9"/>
            <color indexed="81"/>
            <rFont val="Tahoma"/>
            <family val="2"/>
          </rPr>
          <t xml:space="preserve">
Including retail, ANS and the disposal of assets.</t>
        </r>
      </text>
    </comment>
    <comment ref="B112" authorId="1">
      <text>
        <r>
          <rPr>
            <b/>
            <sz val="9"/>
            <color indexed="81"/>
            <rFont val="Tahoma"/>
            <family val="2"/>
          </rPr>
          <t>duncan.kernohan:</t>
        </r>
        <r>
          <rPr>
            <sz val="9"/>
            <color indexed="81"/>
            <rFont val="Tahoma"/>
            <family val="2"/>
          </rPr>
          <t xml:space="preserve">
Including retail, ANS and the disposal of assets.</t>
        </r>
      </text>
    </comment>
    <comment ref="B132" authorId="1">
      <text>
        <r>
          <rPr>
            <b/>
            <sz val="9"/>
            <color indexed="81"/>
            <rFont val="Tahoma"/>
            <family val="2"/>
          </rPr>
          <t>duncan.kernohan:</t>
        </r>
        <r>
          <rPr>
            <sz val="9"/>
            <color indexed="81"/>
            <rFont val="Tahoma"/>
            <family val="2"/>
          </rPr>
          <t xml:space="preserve">
Indicates general price level in country relative to the UK.</t>
        </r>
      </text>
    </comment>
    <comment ref="B133"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3.xml><?xml version="1.0" encoding="utf-8"?>
<comments xmlns="http://schemas.openxmlformats.org/spreadsheetml/2006/main">
  <authors>
    <author>Kernohan, Duncan</author>
    <author>duncan.kernohan</author>
  </authors>
  <commentList>
    <comment ref="B55" authorId="0">
      <text>
        <r>
          <rPr>
            <b/>
            <sz val="9"/>
            <color indexed="81"/>
            <rFont val="Tahoma"/>
            <family val="2"/>
          </rPr>
          <t>Kernohan, Duncan:</t>
        </r>
        <r>
          <rPr>
            <sz val="9"/>
            <color indexed="81"/>
            <rFont val="Tahoma"/>
            <family val="2"/>
          </rPr>
          <t xml:space="preserve">
Costs not accounted by staff, depreciation and 'other' items.</t>
        </r>
      </text>
    </comment>
    <comment ref="B123" authorId="1">
      <text>
        <r>
          <rPr>
            <b/>
            <sz val="9"/>
            <color indexed="81"/>
            <rFont val="Tahoma"/>
            <family val="2"/>
          </rPr>
          <t>duncan.kernohan:</t>
        </r>
        <r>
          <rPr>
            <sz val="9"/>
            <color indexed="81"/>
            <rFont val="Tahoma"/>
            <family val="2"/>
          </rPr>
          <t xml:space="preserve">
Indicates general price level in country relative to the UK.</t>
        </r>
      </text>
    </comment>
    <comment ref="B124"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4.xml><?xml version="1.0" encoding="utf-8"?>
<comments xmlns="http://schemas.openxmlformats.org/spreadsheetml/2006/main">
  <authors>
    <author>Kernohan, Duncan</author>
    <author>duncan.kernohan</author>
  </authors>
  <commentList>
    <comment ref="B41" authorId="0">
      <text>
        <r>
          <rPr>
            <b/>
            <sz val="9"/>
            <color indexed="81"/>
            <rFont val="Tahoma"/>
            <family val="2"/>
          </rPr>
          <t>Kernohan, Duncan:</t>
        </r>
        <r>
          <rPr>
            <sz val="9"/>
            <color indexed="81"/>
            <rFont val="Tahoma"/>
            <family val="2"/>
          </rPr>
          <t xml:space="preserve">
Costs not accounted by staff, depreciation and 'other' items.</t>
        </r>
      </text>
    </comment>
    <comment ref="B109" authorId="1">
      <text>
        <r>
          <rPr>
            <b/>
            <sz val="9"/>
            <color indexed="81"/>
            <rFont val="Tahoma"/>
            <family val="2"/>
          </rPr>
          <t>duncan.kernohan:</t>
        </r>
        <r>
          <rPr>
            <sz val="9"/>
            <color indexed="81"/>
            <rFont val="Tahoma"/>
            <family val="2"/>
          </rPr>
          <t xml:space="preserve">
Indicates general price level in country relative to the UK.</t>
        </r>
      </text>
    </comment>
    <comment ref="B110"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5.xml><?xml version="1.0" encoding="utf-8"?>
<comments xmlns="http://schemas.openxmlformats.org/spreadsheetml/2006/main">
  <authors>
    <author>Kernohan, Duncan</author>
    <author>duncan.kernohan</author>
  </authors>
  <commentList>
    <comment ref="B43" authorId="0">
      <text>
        <r>
          <rPr>
            <b/>
            <sz val="9"/>
            <color indexed="81"/>
            <rFont val="Tahoma"/>
            <family val="2"/>
          </rPr>
          <t>Kernohan, Duncan:</t>
        </r>
        <r>
          <rPr>
            <sz val="9"/>
            <color indexed="81"/>
            <rFont val="Tahoma"/>
            <family val="2"/>
          </rPr>
          <t xml:space="preserve">
Costs not accounted by staff, depreciation and 'other' items.</t>
        </r>
      </text>
    </comment>
    <comment ref="B111" authorId="1">
      <text>
        <r>
          <rPr>
            <b/>
            <sz val="9"/>
            <color indexed="81"/>
            <rFont val="Tahoma"/>
            <family val="2"/>
          </rPr>
          <t>duncan.kernohan:</t>
        </r>
        <r>
          <rPr>
            <sz val="9"/>
            <color indexed="81"/>
            <rFont val="Tahoma"/>
            <family val="2"/>
          </rPr>
          <t xml:space="preserve">
Indicates general price level in country relative to the UK.</t>
        </r>
      </text>
    </comment>
    <comment ref="B112"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6.xml><?xml version="1.0" encoding="utf-8"?>
<comments xmlns="http://schemas.openxmlformats.org/spreadsheetml/2006/main">
  <authors>
    <author>Kernohan, Duncan</author>
    <author>duncan.kernohan</author>
  </authors>
  <commentList>
    <comment ref="B43" authorId="0">
      <text>
        <r>
          <rPr>
            <b/>
            <sz val="9"/>
            <color indexed="81"/>
            <rFont val="Tahoma"/>
            <family val="2"/>
          </rPr>
          <t>Kernohan, Duncan:</t>
        </r>
        <r>
          <rPr>
            <sz val="9"/>
            <color indexed="81"/>
            <rFont val="Tahoma"/>
            <family val="2"/>
          </rPr>
          <t xml:space="preserve">
Costs not accounted by staff, depreciation and 'other' items.</t>
        </r>
      </text>
    </comment>
    <comment ref="B111" authorId="1">
      <text>
        <r>
          <rPr>
            <b/>
            <sz val="9"/>
            <color indexed="81"/>
            <rFont val="Tahoma"/>
            <family val="2"/>
          </rPr>
          <t>duncan.kernohan:</t>
        </r>
        <r>
          <rPr>
            <sz val="9"/>
            <color indexed="81"/>
            <rFont val="Tahoma"/>
            <family val="2"/>
          </rPr>
          <t xml:space="preserve">
Indicates general price level in country relative to the UK.</t>
        </r>
      </text>
    </comment>
    <comment ref="B112"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7.xml><?xml version="1.0" encoding="utf-8"?>
<comments xmlns="http://schemas.openxmlformats.org/spreadsheetml/2006/main">
  <authors>
    <author>Kernohan, Duncan</author>
    <author>duncan.kernohan</author>
  </authors>
  <commentList>
    <comment ref="B39" authorId="0">
      <text>
        <r>
          <rPr>
            <b/>
            <sz val="9"/>
            <color indexed="81"/>
            <rFont val="Tahoma"/>
            <family val="2"/>
          </rPr>
          <t>Kernohan, Duncan:</t>
        </r>
        <r>
          <rPr>
            <sz val="9"/>
            <color indexed="81"/>
            <rFont val="Tahoma"/>
            <family val="2"/>
          </rPr>
          <t xml:space="preserve">
Costs not accounted by staff, depreciation and 'other' items.</t>
        </r>
      </text>
    </comment>
    <comment ref="B107" authorId="1">
      <text>
        <r>
          <rPr>
            <b/>
            <sz val="9"/>
            <color indexed="81"/>
            <rFont val="Tahoma"/>
            <family val="2"/>
          </rPr>
          <t>duncan.kernohan:</t>
        </r>
        <r>
          <rPr>
            <sz val="9"/>
            <color indexed="81"/>
            <rFont val="Tahoma"/>
            <family val="2"/>
          </rPr>
          <t xml:space="preserve">
Indicates general price level in country relative to the UK.</t>
        </r>
      </text>
    </comment>
    <comment ref="B108" authorId="1">
      <text>
        <r>
          <rPr>
            <b/>
            <sz val="9"/>
            <color indexed="81"/>
            <rFont val="Tahoma"/>
            <family val="2"/>
          </rPr>
          <t>duncan.kernohan:</t>
        </r>
        <r>
          <rPr>
            <sz val="9"/>
            <color indexed="81"/>
            <rFont val="Tahoma"/>
            <family val="2"/>
          </rPr>
          <t xml:space="preserve">
Indicates general wage level relative to the UK.</t>
        </r>
      </text>
    </comment>
  </commentList>
</comments>
</file>

<file path=xl/comments18.xml><?xml version="1.0" encoding="utf-8"?>
<comments xmlns="http://schemas.openxmlformats.org/spreadsheetml/2006/main">
  <authors>
    <author>duncan.kernohan</author>
  </authors>
  <commentList>
    <comment ref="AJ15" authorId="0">
      <text>
        <r>
          <rPr>
            <b/>
            <sz val="9"/>
            <color indexed="81"/>
            <rFont val="Tahoma"/>
            <family val="2"/>
          </rPr>
          <t>duncan.kernohan:</t>
        </r>
        <r>
          <rPr>
            <sz val="9"/>
            <color indexed="81"/>
            <rFont val="Tahoma"/>
            <family val="2"/>
          </rPr>
          <t xml:space="preserve">
2012 figures based on 2011 data as new data not available at time of writing. </t>
        </r>
      </text>
    </comment>
  </commentList>
</comments>
</file>

<file path=xl/comments19.xml><?xml version="1.0" encoding="utf-8"?>
<comments xmlns="http://schemas.openxmlformats.org/spreadsheetml/2006/main">
  <authors>
    <author>duncan.kernohan</author>
  </authors>
  <commentList>
    <comment ref="BC16" authorId="0">
      <text>
        <r>
          <rPr>
            <b/>
            <sz val="9"/>
            <color indexed="81"/>
            <rFont val="Tahoma"/>
            <family val="2"/>
          </rPr>
          <t>duncan.kernohan:</t>
        </r>
        <r>
          <rPr>
            <sz val="9"/>
            <color indexed="81"/>
            <rFont val="Tahoma"/>
            <family val="2"/>
          </rPr>
          <t xml:space="preserve">
Figures based on 2011.
</t>
        </r>
      </text>
    </comment>
  </commentList>
</comments>
</file>

<file path=xl/comments2.xml><?xml version="1.0" encoding="utf-8"?>
<comments xmlns="http://schemas.openxmlformats.org/spreadsheetml/2006/main">
  <authors>
    <author>duncan.kernohan</author>
    <author>Kernohan, Duncan</author>
  </authors>
  <commentList>
    <comment ref="C29" authorId="0">
      <text>
        <r>
          <rPr>
            <b/>
            <sz val="9"/>
            <color indexed="81"/>
            <rFont val="Tahoma"/>
            <family val="2"/>
          </rPr>
          <t>duncan.kernohan:</t>
        </r>
        <r>
          <rPr>
            <sz val="9"/>
            <color indexed="81"/>
            <rFont val="Tahoma"/>
            <family val="2"/>
          </rPr>
          <t xml:space="preserve">
Excluded from regulatory costs.</t>
        </r>
      </text>
    </comment>
    <comment ref="C36" authorId="0">
      <text>
        <r>
          <rPr>
            <b/>
            <sz val="9"/>
            <color indexed="81"/>
            <rFont val="Tahoma"/>
            <family val="2"/>
          </rPr>
          <t>duncan.kernohan:</t>
        </r>
        <r>
          <rPr>
            <sz val="9"/>
            <color indexed="81"/>
            <rFont val="Tahoma"/>
            <family val="2"/>
          </rPr>
          <t xml:space="preserve">
Excluded from adjusted costs form time consistency.</t>
        </r>
      </text>
    </comment>
    <comment ref="C37" authorId="0">
      <text>
        <r>
          <rPr>
            <b/>
            <sz val="9"/>
            <color indexed="81"/>
            <rFont val="Tahoma"/>
            <family val="2"/>
          </rPr>
          <t>duncan.kernohan:</t>
        </r>
        <r>
          <rPr>
            <sz val="9"/>
            <color indexed="81"/>
            <rFont val="Tahoma"/>
            <family val="2"/>
          </rPr>
          <t xml:space="preserve">
Excluded from regulatory costs.
</t>
        </r>
      </text>
    </comment>
    <comment ref="C40" authorId="0">
      <text>
        <r>
          <rPr>
            <b/>
            <sz val="9"/>
            <color indexed="81"/>
            <rFont val="Tahoma"/>
            <family val="2"/>
          </rPr>
          <t>duncan.kernohan:</t>
        </r>
        <r>
          <rPr>
            <sz val="9"/>
            <color indexed="81"/>
            <rFont val="Tahoma"/>
            <family val="2"/>
          </rPr>
          <t xml:space="preserve">
Excluded from regulatory costs.</t>
        </r>
      </text>
    </comment>
    <comment ref="B45" authorId="1">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3.xml><?xml version="1.0" encoding="utf-8"?>
<comments xmlns="http://schemas.openxmlformats.org/spreadsheetml/2006/main">
  <authors>
    <author>Kernohan, Duncan</author>
  </authors>
  <commentList>
    <comment ref="B39"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4.xml><?xml version="1.0" encoding="utf-8"?>
<comments xmlns="http://schemas.openxmlformats.org/spreadsheetml/2006/main">
  <authors>
    <author>Kernohan, Duncan</author>
  </authors>
  <commentList>
    <comment ref="B46"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5.xml><?xml version="1.0" encoding="utf-8"?>
<comments xmlns="http://schemas.openxmlformats.org/spreadsheetml/2006/main">
  <authors>
    <author>Kernohan, Duncan</author>
  </authors>
  <commentList>
    <comment ref="B48"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6.xml><?xml version="1.0" encoding="utf-8"?>
<comments xmlns="http://schemas.openxmlformats.org/spreadsheetml/2006/main">
  <authors>
    <author>Kernohan, Duncan</author>
  </authors>
  <commentList>
    <comment ref="B46"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7.xml><?xml version="1.0" encoding="utf-8"?>
<comments xmlns="http://schemas.openxmlformats.org/spreadsheetml/2006/main">
  <authors>
    <author>duncan.kernohan</author>
    <author>Kernohan, Duncan</author>
  </authors>
  <commentList>
    <comment ref="C34" authorId="0">
      <text>
        <r>
          <rPr>
            <b/>
            <sz val="9"/>
            <color indexed="81"/>
            <rFont val="Tahoma"/>
            <family val="2"/>
          </rPr>
          <t>duncan.kernohan:</t>
        </r>
        <r>
          <rPr>
            <sz val="9"/>
            <color indexed="81"/>
            <rFont val="Tahoma"/>
            <family val="2"/>
          </rPr>
          <t xml:space="preserve">
Subtract rail costs to consolidate analysis.</t>
        </r>
      </text>
    </comment>
    <comment ref="C37" authorId="0">
      <text>
        <r>
          <rPr>
            <b/>
            <sz val="9"/>
            <color indexed="81"/>
            <rFont val="Tahoma"/>
            <family val="2"/>
          </rPr>
          <t>duncan.kernohan:</t>
        </r>
        <r>
          <rPr>
            <sz val="9"/>
            <color indexed="81"/>
            <rFont val="Tahoma"/>
            <family val="2"/>
          </rPr>
          <t xml:space="preserve">
Added from regulatory accounts and subtracted from general expenses.</t>
        </r>
      </text>
    </comment>
    <comment ref="B47" authorId="1">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8.xml><?xml version="1.0" encoding="utf-8"?>
<comments xmlns="http://schemas.openxmlformats.org/spreadsheetml/2006/main">
  <authors>
    <author>Kernohan, Duncan</author>
  </authors>
  <commentList>
    <comment ref="B39"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comments9.xml><?xml version="1.0" encoding="utf-8"?>
<comments xmlns="http://schemas.openxmlformats.org/spreadsheetml/2006/main">
  <authors>
    <author>Kernohan, Duncan</author>
  </authors>
  <commentList>
    <comment ref="B45" authorId="0">
      <text>
        <r>
          <rPr>
            <b/>
            <sz val="9"/>
            <color indexed="81"/>
            <rFont val="Tahoma"/>
            <family val="2"/>
          </rPr>
          <t>Kernohan, Duncan:</t>
        </r>
        <r>
          <rPr>
            <sz val="9"/>
            <color indexed="81"/>
            <rFont val="Tahoma"/>
            <family val="2"/>
          </rPr>
          <t xml:space="preserve">
Costs not accounted by staff, depreciation and 'other' items.</t>
        </r>
      </text>
    </comment>
  </commentList>
</comments>
</file>

<file path=xl/sharedStrings.xml><?xml version="1.0" encoding="utf-8"?>
<sst xmlns="http://schemas.openxmlformats.org/spreadsheetml/2006/main" count="8708" uniqueCount="1354">
  <si>
    <t>Table 20</t>
  </si>
  <si>
    <t xml:space="preserve"> RPI all items: 1947 to 2011</t>
  </si>
  <si>
    <t xml:space="preserve"> Annual</t>
  </si>
  <si>
    <t xml:space="preserve"> </t>
  </si>
  <si>
    <t xml:space="preserve"> average</t>
  </si>
  <si>
    <t xml:space="preserve"> Jan</t>
  </si>
  <si>
    <t xml:space="preserve"> Feb</t>
  </si>
  <si>
    <t xml:space="preserve"> Mar</t>
  </si>
  <si>
    <t xml:space="preserve"> Apr</t>
  </si>
  <si>
    <t xml:space="preserve"> May</t>
  </si>
  <si>
    <t xml:space="preserve"> Jun</t>
  </si>
  <si>
    <t xml:space="preserve"> Jul</t>
  </si>
  <si>
    <t xml:space="preserve"> Aug</t>
  </si>
  <si>
    <t xml:space="preserve"> Sep</t>
  </si>
  <si>
    <t xml:space="preserve"> Oct</t>
  </si>
  <si>
    <t xml:space="preserve"> Nov</t>
  </si>
  <si>
    <t xml:space="preserve"> Dec</t>
  </si>
  <si>
    <t>Annual average to March of year</t>
  </si>
  <si>
    <t>CHAW</t>
  </si>
  <si>
    <t xml:space="preserve"> January 1987=100</t>
  </si>
  <si>
    <t xml:space="preserve">Source: </t>
  </si>
  <si>
    <t>Average RPI for year of accounts (CHAW)</t>
  </si>
  <si>
    <t>2003/04</t>
  </si>
  <si>
    <t>2004/05</t>
  </si>
  <si>
    <t>2005/06</t>
  </si>
  <si>
    <t>2006/07</t>
  </si>
  <si>
    <t>2007/08</t>
  </si>
  <si>
    <t>2008/09</t>
  </si>
  <si>
    <t>2009/10</t>
  </si>
  <si>
    <t>2010/11</t>
  </si>
  <si>
    <t>Depreciation</t>
  </si>
  <si>
    <t>rpt_yr_mnth</t>
  </si>
  <si>
    <t>rpt_apt_cd</t>
  </si>
  <si>
    <t>SumOfterminal_pax</t>
  </si>
  <si>
    <t>MAN</t>
  </si>
  <si>
    <t>GATWICK</t>
  </si>
  <si>
    <t>HEATHROW</t>
  </si>
  <si>
    <t>LONDON CITY</t>
  </si>
  <si>
    <t>LUTON</t>
  </si>
  <si>
    <t>SOUTHEND</t>
  </si>
  <si>
    <t>STANSTED</t>
  </si>
  <si>
    <t>METRO LONDON HELIPORT</t>
  </si>
  <si>
    <t>ABERDEEN</t>
  </si>
  <si>
    <t>BARRA</t>
  </si>
  <si>
    <t>BELFAST CITY (GEORGE BEST)</t>
  </si>
  <si>
    <t>BELFAST INTERNATIONAL</t>
  </si>
  <si>
    <t>BENBECULA</t>
  </si>
  <si>
    <t>BIGGIN HILL</t>
  </si>
  <si>
    <t>BIRMINGHAM</t>
  </si>
  <si>
    <t>BLACKPOOL</t>
  </si>
  <si>
    <t>BOURNEMOUTH</t>
  </si>
  <si>
    <t>BRISTOL</t>
  </si>
  <si>
    <t>CAMBRIDGE</t>
  </si>
  <si>
    <t>CAMPBELTOWN</t>
  </si>
  <si>
    <t>CARDIFF WALES</t>
  </si>
  <si>
    <t>CARLISLE</t>
  </si>
  <si>
    <t>CITY OF DERRY (EGLINTON)</t>
  </si>
  <si>
    <t>COVENTRY</t>
  </si>
  <si>
    <t>DONCASTER SHEFFIELD</t>
  </si>
  <si>
    <t>DUNDEE</t>
  </si>
  <si>
    <t>DURHAM TEES VALLEY</t>
  </si>
  <si>
    <t>EAST MIDLANDS INTERNATIONAL</t>
  </si>
  <si>
    <t>EDINBURGH</t>
  </si>
  <si>
    <t>EXETER</t>
  </si>
  <si>
    <t>GLASGOW</t>
  </si>
  <si>
    <t>GLOUCESTERSHIRE</t>
  </si>
  <si>
    <t>HAWARDEN</t>
  </si>
  <si>
    <t>HUMBERSIDE</t>
  </si>
  <si>
    <t>INVERNESS</t>
  </si>
  <si>
    <t>ISLAY</t>
  </si>
  <si>
    <t>ISLES OF SCILLY (ST.MARYS)</t>
  </si>
  <si>
    <t>ISLES OF SCILLY (TRESCO)</t>
  </si>
  <si>
    <t>KIRKWALL</t>
  </si>
  <si>
    <t>LANDS END (ST JUST)</t>
  </si>
  <si>
    <t>LEEDS BRADFORD</t>
  </si>
  <si>
    <t>LERWICK (TINGWALL)</t>
  </si>
  <si>
    <t>LIVERPOOL (JOHN LENNON)</t>
  </si>
  <si>
    <t>LYDD</t>
  </si>
  <si>
    <t>MANCHESTER</t>
  </si>
  <si>
    <t>MANSTON (KENT INT)</t>
  </si>
  <si>
    <t>NEWCASTLE</t>
  </si>
  <si>
    <t>NEWQUAY</t>
  </si>
  <si>
    <t>NORWICH</t>
  </si>
  <si>
    <t>OXFORD (KIDLINGTON)</t>
  </si>
  <si>
    <t>PENZANCE HELIPORT</t>
  </si>
  <si>
    <t>PLYMOUTH</t>
  </si>
  <si>
    <t>PRESTWICK</t>
  </si>
  <si>
    <t>SCATSTA</t>
  </si>
  <si>
    <t>SHOREHAM</t>
  </si>
  <si>
    <t>SOUTHAMPTON</t>
  </si>
  <si>
    <t>STORNOWAY</t>
  </si>
  <si>
    <t>SUMBURGH</t>
  </si>
  <si>
    <t>SWANSEA</t>
  </si>
  <si>
    <t>TIREE</t>
  </si>
  <si>
    <t>WICK</t>
  </si>
  <si>
    <t>ALDERNEY</t>
  </si>
  <si>
    <t>GUERNSEY</t>
  </si>
  <si>
    <t>ISLE OF MAN</t>
  </si>
  <si>
    <t>JERSEY</t>
  </si>
  <si>
    <t>BARROW-IN-FURNESS</t>
  </si>
  <si>
    <t>SHEFFIELD CITY</t>
  </si>
  <si>
    <t>UNST</t>
  </si>
  <si>
    <t>LGW</t>
  </si>
  <si>
    <t>STN</t>
  </si>
  <si>
    <t>LTN</t>
  </si>
  <si>
    <t>Heathrow</t>
  </si>
  <si>
    <t>Total</t>
  </si>
  <si>
    <t>Gatwick</t>
  </si>
  <si>
    <t>1999/00</t>
  </si>
  <si>
    <t>2000/01</t>
  </si>
  <si>
    <t>2001/02</t>
  </si>
  <si>
    <t>2002/03</t>
  </si>
  <si>
    <t>Stansted</t>
  </si>
  <si>
    <t>Southampton</t>
  </si>
  <si>
    <t>Glasgow</t>
  </si>
  <si>
    <t>Edinburgh</t>
  </si>
  <si>
    <t>Aberdeen</t>
  </si>
  <si>
    <t>LHR</t>
  </si>
  <si>
    <t>SOU</t>
  </si>
  <si>
    <t>EDI</t>
  </si>
  <si>
    <t>GLA</t>
  </si>
  <si>
    <t>ABZ</t>
  </si>
  <si>
    <t>END</t>
  </si>
  <si>
    <t>Legend</t>
  </si>
  <si>
    <t>Contents</t>
  </si>
  <si>
    <t>User Instructions</t>
  </si>
  <si>
    <t>Issued by</t>
  </si>
  <si>
    <t>Developed by</t>
  </si>
  <si>
    <t>Source Data</t>
  </si>
  <si>
    <t>Description</t>
  </si>
  <si>
    <t>Version</t>
  </si>
  <si>
    <t>Precursor</t>
  </si>
  <si>
    <t>Version Control</t>
  </si>
  <si>
    <t>Project No</t>
  </si>
  <si>
    <t>Owner</t>
  </si>
  <si>
    <t>Workbook Properties</t>
  </si>
  <si>
    <t>File</t>
  </si>
  <si>
    <t>Project</t>
  </si>
  <si>
    <t>Sheet</t>
  </si>
  <si>
    <t>RPI data</t>
  </si>
  <si>
    <t>Duncan Kernohan</t>
  </si>
  <si>
    <t>Freight Data - Tonnes by Airport / Year</t>
  </si>
  <si>
    <t>Airport</t>
  </si>
  <si>
    <t>Source:</t>
  </si>
  <si>
    <t>http://www.caa.co.uk/docs/80/airport_data/2010Annual/Table_13_2_Freight_2000_2010.pdf</t>
  </si>
  <si>
    <t>CAA Airport Statistics</t>
  </si>
  <si>
    <t xml:space="preserve">Terminal Pax </t>
  </si>
  <si>
    <t>http://www.caa.co.uk/docs/80/airport_data/2010Annual/Table_10_3_Terminal_Pax_2000_2010.pdf</t>
  </si>
  <si>
    <t>Air Transport Movements</t>
  </si>
  <si>
    <t>ROCHESTER (UK)</t>
  </si>
  <si>
    <t xml:space="preserve">Airport </t>
  </si>
  <si>
    <t>BEMBRIDGE</t>
  </si>
  <si>
    <t>Aircraft Movements</t>
  </si>
  <si>
    <t>http://www.caa.co.uk/docs/80/airport_data/2010Annual/Table_03_2_Aircraft_Movements_2000_2010.pdf</t>
  </si>
  <si>
    <t>http://www.caa.co.uk/docs/80/airport_data/2010Annual/Table_04_2_Air_Transport_Movements_2000_2010.pdf</t>
  </si>
  <si>
    <t>Birmingham</t>
  </si>
  <si>
    <t>Luton</t>
  </si>
  <si>
    <t>Price Base</t>
  </si>
  <si>
    <r>
      <t xml:space="preserve"> </t>
    </r>
    <r>
      <rPr>
        <b/>
        <sz val="10"/>
        <rFont val="Arial"/>
        <family val="2"/>
      </rPr>
      <t>Key:</t>
    </r>
    <r>
      <rPr>
        <sz val="10"/>
        <color theme="1"/>
        <rFont val="Arial"/>
        <family val="2"/>
      </rPr>
      <t xml:space="preserve">     -  zero or negligible     ..  not available</t>
    </r>
  </si>
  <si>
    <t>Year</t>
  </si>
  <si>
    <t>March</t>
  </si>
  <si>
    <t>Financial Year</t>
  </si>
  <si>
    <t>Calender Year</t>
  </si>
  <si>
    <t>End</t>
  </si>
  <si>
    <t>Year End</t>
  </si>
  <si>
    <t>Wages and Salaries</t>
  </si>
  <si>
    <t>Social Security Costs</t>
  </si>
  <si>
    <t>£000's</t>
  </si>
  <si>
    <t>Hire of plant and machinery</t>
  </si>
  <si>
    <t>Other fees to auditors</t>
  </si>
  <si>
    <t>Depreciation on Owned Assets</t>
  </si>
  <si>
    <t>Depreciation on Leased Assets</t>
  </si>
  <si>
    <t>Exceptional Items</t>
  </si>
  <si>
    <t>Luton Data - Statutory Accounts</t>
  </si>
  <si>
    <t>December</t>
  </si>
  <si>
    <t>Other Leases</t>
  </si>
  <si>
    <t>December (9)</t>
  </si>
  <si>
    <t>Aggregate Emoluments (Including Pension Contributions)</t>
  </si>
  <si>
    <t>Loss on Sale of Fixed Assets</t>
  </si>
  <si>
    <t>Manchester Data - Statutory Accounts</t>
  </si>
  <si>
    <t>External Charges</t>
  </si>
  <si>
    <t>Impairment of Property Plant and Equipment</t>
  </si>
  <si>
    <t>London Gatwick Data - Statutory Accounts</t>
  </si>
  <si>
    <t>Retail Expenditure</t>
  </si>
  <si>
    <t>Rent and Rates</t>
  </si>
  <si>
    <t>Police Costs</t>
  </si>
  <si>
    <t>General Expenses</t>
  </si>
  <si>
    <t>Distribution Fee</t>
  </si>
  <si>
    <t>Other Staff Costs</t>
  </si>
  <si>
    <t>Pension Costs</t>
  </si>
  <si>
    <t>December (6)</t>
  </si>
  <si>
    <t>Intergroup Charges</t>
  </si>
  <si>
    <t>Amortisation</t>
  </si>
  <si>
    <t>Birmingham Data - Statutory Accounts</t>
  </si>
  <si>
    <t>Stansted Data - Statutory Accounts</t>
  </si>
  <si>
    <t>London Heathrow Data - Statutory Accounts</t>
  </si>
  <si>
    <t>Glasgow Data - Statutory Accounts</t>
  </si>
  <si>
    <t>Edinburgh Data - Statutory Accounts</t>
  </si>
  <si>
    <t>Aberdeen Data - Statutory Accounts</t>
  </si>
  <si>
    <t>Reorganisation Charges</t>
  </si>
  <si>
    <t>Auditors Remuneration</t>
  </si>
  <si>
    <t>Maintenance Expenditure</t>
  </si>
  <si>
    <t>Utility Costs</t>
  </si>
  <si>
    <t>Amortisation of Intangible Assets</t>
  </si>
  <si>
    <t>Manchester</t>
  </si>
  <si>
    <t>London City</t>
  </si>
  <si>
    <t xml:space="preserve">Maintenance </t>
  </si>
  <si>
    <t>Intra-group Charges</t>
  </si>
  <si>
    <t>Operating Cost - Nominal (£k)</t>
  </si>
  <si>
    <t>Operating Cost - Real (£k)</t>
  </si>
  <si>
    <t>Employees</t>
  </si>
  <si>
    <t>SumOfnum_flights</t>
  </si>
  <si>
    <t>BHX</t>
  </si>
  <si>
    <t>Input from CAA</t>
  </si>
  <si>
    <t>Monthly Data - Flights and Terminal Passengers</t>
  </si>
  <si>
    <t>Month</t>
  </si>
  <si>
    <t>Code</t>
  </si>
  <si>
    <t>London Gatwick</t>
  </si>
  <si>
    <t>London Heathrow</t>
  </si>
  <si>
    <t>Annual Passengers - Financial Year</t>
  </si>
  <si>
    <t>Monthly Passenger Demand - Years and Months</t>
  </si>
  <si>
    <t>Monthly Flights - Years and Months</t>
  </si>
  <si>
    <t>Annual Flights - Financial Year</t>
  </si>
  <si>
    <t xml:space="preserve">Total </t>
  </si>
  <si>
    <t>2006 (d9)</t>
  </si>
  <si>
    <t>Airport Codes</t>
  </si>
  <si>
    <t>Passenger / Flight Data</t>
  </si>
  <si>
    <t>Data for Calender Change</t>
  </si>
  <si>
    <t>Passengers</t>
  </si>
  <si>
    <t>Flights</t>
  </si>
  <si>
    <t>2006 (d6)</t>
  </si>
  <si>
    <t>2004 (d9)</t>
  </si>
  <si>
    <t>Annual Flights</t>
  </si>
  <si>
    <t>Annual Passengers</t>
  </si>
  <si>
    <t>Average</t>
  </si>
  <si>
    <t>Calendar Matrix</t>
  </si>
  <si>
    <t>Calendar Matrix (Operating Costs</t>
  </si>
  <si>
    <t>Annual Passengers - Calendar Year</t>
  </si>
  <si>
    <t>Annual Flights - Calendar Year</t>
  </si>
  <si>
    <t>Annual Growth</t>
  </si>
  <si>
    <t>Staff Costs</t>
  </si>
  <si>
    <t>Staff Cost - Nominal (£k)</t>
  </si>
  <si>
    <t>Staff Cost - Real (£k)</t>
  </si>
  <si>
    <t>Rank</t>
  </si>
  <si>
    <t>Southampton Data - Statutory Accounts</t>
  </si>
  <si>
    <t>Birmingham*</t>
  </si>
  <si>
    <t>2011/2012</t>
  </si>
  <si>
    <t>2011/12</t>
  </si>
  <si>
    <t>EAST MIDLANDS</t>
  </si>
  <si>
    <t>LIVERPOOL</t>
  </si>
  <si>
    <t xml:space="preserve">OXFORD (KIDLINGTON) </t>
  </si>
  <si>
    <t>GAT</t>
  </si>
  <si>
    <t>BHD</t>
  </si>
  <si>
    <t>Profit Margin</t>
  </si>
  <si>
    <t>Pax / Staff</t>
  </si>
  <si>
    <t>Staff Cost / Staff</t>
  </si>
  <si>
    <t>Other Costs</t>
  </si>
  <si>
    <t>CRI</t>
  </si>
  <si>
    <t>http://www.ons.gov.uk/ons/rel/cpi/consumer-price-indices/july-2012/cpi-time-series-data.html</t>
  </si>
  <si>
    <t>Aerodrome Navigation service charges</t>
  </si>
  <si>
    <t>Aerodrome Navigation Charges</t>
  </si>
  <si>
    <t xml:space="preserve">Car Parking </t>
  </si>
  <si>
    <t>Electricity Distribution Fee</t>
  </si>
  <si>
    <t>Own work capitalised</t>
  </si>
  <si>
    <t>ATMs</t>
  </si>
  <si>
    <t>Staff Cost / Pax</t>
  </si>
  <si>
    <t>Other</t>
  </si>
  <si>
    <t>First version adapted for CAA Q6 review</t>
  </si>
  <si>
    <t>DFK</t>
  </si>
  <si>
    <t xml:space="preserve">DFK </t>
  </si>
  <si>
    <t>V:\ERCP\airports reg\Q6\Opex review\Airport Benchmark Model\Financial Data</t>
  </si>
  <si>
    <t>Period</t>
  </si>
  <si>
    <t>1987/88</t>
  </si>
  <si>
    <t>1988/89</t>
  </si>
  <si>
    <t>1989/90</t>
  </si>
  <si>
    <t>1990/91</t>
  </si>
  <si>
    <t>1991/92</t>
  </si>
  <si>
    <t>1992/93</t>
  </si>
  <si>
    <t>1993/94</t>
  </si>
  <si>
    <t>1994/95</t>
  </si>
  <si>
    <t>1995/96</t>
  </si>
  <si>
    <t>1996/97</t>
  </si>
  <si>
    <t>1997/98</t>
  </si>
  <si>
    <t>1998/99</t>
  </si>
  <si>
    <t>latest average RPI - y/August 2012</t>
  </si>
  <si>
    <t>http://www.ons.gov.uk/ons/datasets-and-tables/data-selector.html?cdid=CHAW&amp;dataset=mm23&amp;table-id=2.1</t>
  </si>
  <si>
    <t>Grand Total</t>
  </si>
  <si>
    <t>Staff Costs Total</t>
  </si>
  <si>
    <t>Depreciation Total</t>
  </si>
  <si>
    <t>Other Costs Total</t>
  </si>
  <si>
    <t>Exceptional Items Total</t>
  </si>
  <si>
    <t>Adjusted Ordinary Opex (ordinary opex - depreciation - ANS)</t>
  </si>
  <si>
    <t>Turnover (per accounts)</t>
  </si>
  <si>
    <t>Other Total</t>
  </si>
  <si>
    <t>Aerodrome navigation service charge</t>
  </si>
  <si>
    <t>9 months to December 2006</t>
  </si>
  <si>
    <t xml:space="preserve">Intra-group charges </t>
  </si>
  <si>
    <t>Intra-group costs</t>
  </si>
  <si>
    <t>9 months to December 2004</t>
  </si>
  <si>
    <t>Ordinary Opex / Pax</t>
  </si>
  <si>
    <t>Adjusted Opex / Pax</t>
  </si>
  <si>
    <t>Ordinary Opex (per accounts - including staff, depriciation and other, excluding exceptionals)</t>
  </si>
  <si>
    <t>Analysis - Nominal</t>
  </si>
  <si>
    <t>Analysis - Real</t>
  </si>
  <si>
    <t>Price Multiplier</t>
  </si>
  <si>
    <t>Statutory Accounts - Real</t>
  </si>
  <si>
    <t>6 months to December 2006</t>
  </si>
  <si>
    <t>Birmingham Data - Statutory Accounts - Real</t>
  </si>
  <si>
    <t>London Gatwick Data - Statutory Accounts - Real</t>
  </si>
  <si>
    <t>Glasgow Data - Statutory Accounts - Real</t>
  </si>
  <si>
    <t>Heathrow Data - Statutory Accounts - Real</t>
  </si>
  <si>
    <t>Luton Data - Statutory Accounts - Real</t>
  </si>
  <si>
    <t>Southampton Data - Statutory Accounts - Real</t>
  </si>
  <si>
    <t>Stansted Data - Statutory Accounts - Real</t>
  </si>
  <si>
    <t>Employment</t>
  </si>
  <si>
    <t>Real Price Base =  2011/12</t>
  </si>
  <si>
    <t>Passengers - Annual Adjustment</t>
  </si>
  <si>
    <t>Flights - Annual Adjustment</t>
  </si>
  <si>
    <t>Manchester Data - Statutory Accounts - Real</t>
  </si>
  <si>
    <t>A. Operating Cost - Nominal (£k)</t>
  </si>
  <si>
    <t>A. Operating Cost - Real (£k)</t>
  </si>
  <si>
    <t>Passengers - Calender and Financial Years</t>
  </si>
  <si>
    <t>Flights - Calender and Financial Years</t>
  </si>
  <si>
    <t>Lookup Data</t>
  </si>
  <si>
    <t>Row</t>
  </si>
  <si>
    <t>Total Expenditure (per accounts - including staff, depriciation, other and exceptionals)</t>
  </si>
  <si>
    <t>Total Expenditure - Nominal (£k)</t>
  </si>
  <si>
    <t>Total Expenditure - Real (£k)</t>
  </si>
  <si>
    <t>FRA</t>
  </si>
  <si>
    <t>Europe</t>
  </si>
  <si>
    <t>ALB</t>
  </si>
  <si>
    <t>AUS</t>
  </si>
  <si>
    <t>IND</t>
  </si>
  <si>
    <t>MCO</t>
  </si>
  <si>
    <t>PHL</t>
  </si>
  <si>
    <t>North America</t>
  </si>
  <si>
    <t>CAN</t>
  </si>
  <si>
    <t>HKG</t>
  </si>
  <si>
    <t>HND</t>
  </si>
  <si>
    <t>PER</t>
  </si>
  <si>
    <r>
      <rPr>
        <sz val="10"/>
        <color rgb="FFFF0000"/>
        <rFont val="Calibri"/>
        <family val="2"/>
      </rPr>
      <t>€</t>
    </r>
    <r>
      <rPr>
        <sz val="10"/>
        <color rgb="FFFF0000"/>
        <rFont val="Arial"/>
        <family val="2"/>
      </rPr>
      <t>000's</t>
    </r>
  </si>
  <si>
    <t>Energy</t>
  </si>
  <si>
    <t>Marketing and related costs</t>
  </si>
  <si>
    <t>Regulatory Levy</t>
  </si>
  <si>
    <t>Insurance</t>
  </si>
  <si>
    <t>End Date</t>
  </si>
  <si>
    <t>EUR/GBP</t>
  </si>
  <si>
    <t>Dublin Data - Statutory Accounts - Euros</t>
  </si>
  <si>
    <t>Analysis - Nominal - Euros</t>
  </si>
  <si>
    <t>Analysis - Nominal - HKD</t>
  </si>
  <si>
    <t>Operational contracted services</t>
  </si>
  <si>
    <t>Other operating expenses</t>
  </si>
  <si>
    <t>Government Services</t>
  </si>
  <si>
    <t>Occupancy Expenses</t>
  </si>
  <si>
    <t>HKD/GBP</t>
  </si>
  <si>
    <t>Hong Kong - Statutory Accounts - HKD</t>
  </si>
  <si>
    <t>Copenhagen - Statutory Accounts - DKK</t>
  </si>
  <si>
    <t>Pensions</t>
  </si>
  <si>
    <t>Other Social Security Costs</t>
  </si>
  <si>
    <t>Other  expenses</t>
  </si>
  <si>
    <t>Capitalisation</t>
  </si>
  <si>
    <t>Administrative Expenses</t>
  </si>
  <si>
    <t>DKK/GBP</t>
  </si>
  <si>
    <t>USD/GBP</t>
  </si>
  <si>
    <t>CHF/GBP</t>
  </si>
  <si>
    <t>Police and Security</t>
  </si>
  <si>
    <t>Maintenance and Materials</t>
  </si>
  <si>
    <t>Sales Marketing and Admin</t>
  </si>
  <si>
    <t>Energy and Waste</t>
  </si>
  <si>
    <t>Other Operating Expenses</t>
  </si>
  <si>
    <t>Other Expenses / Revenues</t>
  </si>
  <si>
    <t>Zurich - Statutory Accounts - CHF</t>
  </si>
  <si>
    <t>Analysis - Nominal - CHF</t>
  </si>
  <si>
    <t>Analysis - Nominal - DKK</t>
  </si>
  <si>
    <t>CHF000's</t>
  </si>
  <si>
    <t>DKK000's</t>
  </si>
  <si>
    <t>HKD000's</t>
  </si>
  <si>
    <t>Labour Cost Multiplier</t>
  </si>
  <si>
    <t>Currency</t>
  </si>
  <si>
    <t>000's</t>
  </si>
  <si>
    <t>Material Costs</t>
  </si>
  <si>
    <t>Purchased Services</t>
  </si>
  <si>
    <t>Euro</t>
  </si>
  <si>
    <t>Pensions and social security</t>
  </si>
  <si>
    <t>CHI</t>
  </si>
  <si>
    <t>FIN</t>
  </si>
  <si>
    <t>SWE</t>
  </si>
  <si>
    <t>Auckland</t>
  </si>
  <si>
    <t>Athens</t>
  </si>
  <si>
    <t>Brisbane</t>
  </si>
  <si>
    <t>Mumbai</t>
  </si>
  <si>
    <t>Brussels</t>
  </si>
  <si>
    <t>Copenhagen</t>
  </si>
  <si>
    <t>Cape Town</t>
  </si>
  <si>
    <t>Hong Kong</t>
  </si>
  <si>
    <t>Melbourne</t>
  </si>
  <si>
    <t>Singapore</t>
  </si>
  <si>
    <t>Stockholm</t>
  </si>
  <si>
    <t>Sydney</t>
  </si>
  <si>
    <t>Zurich</t>
  </si>
  <si>
    <t>Country Name</t>
  </si>
  <si>
    <t>Country Code</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</si>
  <si>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</si>
  <si>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</si>
  <si>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</si>
  <si>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</si>
  <si>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</si>
  <si>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</si>
  <si>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</si>
  <si>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</si>
  <si>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</si>
  <si>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</si>
  <si>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</si>
  <si>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</si>
  <si>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</si>
  <si>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</si>
  <si>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</si>
  <si>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</si>
  <si>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</si>
  <si>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</si>
  <si>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</si>
  <si>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</si>
  <si>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</si>
  <si>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</si>
  <si>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</si>
  <si>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</si>
  <si>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</si>
  <si>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</si>
  <si>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</si>
  <si>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</si>
  <si>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</si>
  <si>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</si>
  <si>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</si>
  <si>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</si>
  <si>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Arab World</t>
  </si>
  <si>
    <t>ARB</t>
  </si>
  <si>
    <t>Caribbean small states</t>
  </si>
  <si>
    <t>CSS</t>
  </si>
  <si>
    <t>East Asia &amp; Pacific (all income levels)</t>
  </si>
  <si>
    <t>EAS</t>
  </si>
  <si>
    <t>East Asia &amp; Pacific (developing only)</t>
  </si>
  <si>
    <t>EAP</t>
  </si>
  <si>
    <t>Euro area</t>
  </si>
  <si>
    <t>EMU</t>
  </si>
  <si>
    <t>Europe &amp; Central Asia (all income levels)</t>
  </si>
  <si>
    <t>ECS</t>
  </si>
  <si>
    <t>Europe &amp; Central Asia (developing only)</t>
  </si>
  <si>
    <t>ECA</t>
  </si>
  <si>
    <t>European Union</t>
  </si>
  <si>
    <t>EUU</t>
  </si>
  <si>
    <t>Heavily indebted poor countries (HIPC)</t>
  </si>
  <si>
    <t>HPC</t>
  </si>
  <si>
    <t>High income</t>
  </si>
  <si>
    <t>HIC</t>
  </si>
  <si>
    <t>High income: nonOECD</t>
  </si>
  <si>
    <t>NOC</t>
  </si>
  <si>
    <t>High income: OECD</t>
  </si>
  <si>
    <t>OEC</t>
  </si>
  <si>
    <t>Latin America &amp; Caribbean (all income levels)</t>
  </si>
  <si>
    <t>LCN</t>
  </si>
  <si>
    <t>Latin America &amp; Caribbean (developing only)</t>
  </si>
  <si>
    <t>LAC</t>
  </si>
  <si>
    <t>Least developed countries: UN classification</t>
  </si>
  <si>
    <t>LDC</t>
  </si>
  <si>
    <t>Low &amp; middle income</t>
  </si>
  <si>
    <t>LMY</t>
  </si>
  <si>
    <t>Low income</t>
  </si>
  <si>
    <t>LIC</t>
  </si>
  <si>
    <t>Lower middle income</t>
  </si>
  <si>
    <t>LMC</t>
  </si>
  <si>
    <t>Middle East &amp; North Africa (all income levels)</t>
  </si>
  <si>
    <t>MEA</t>
  </si>
  <si>
    <t>Middle East &amp; North Africa (developing only)</t>
  </si>
  <si>
    <t>MNA</t>
  </si>
  <si>
    <t>Middle income</t>
  </si>
  <si>
    <t>MIC</t>
  </si>
  <si>
    <t>NAC</t>
  </si>
  <si>
    <t>Not classified</t>
  </si>
  <si>
    <t>INX</t>
  </si>
  <si>
    <t>OECD members</t>
  </si>
  <si>
    <t>OED</t>
  </si>
  <si>
    <t>Other small states</t>
  </si>
  <si>
    <t>OSS</t>
  </si>
  <si>
    <t>Pacific island small states</t>
  </si>
  <si>
    <t>PSS</t>
  </si>
  <si>
    <t>Small states</t>
  </si>
  <si>
    <t>SST</t>
  </si>
  <si>
    <t>South Asia</t>
  </si>
  <si>
    <t>SAS</t>
  </si>
  <si>
    <t>Sub-Saharan Africa (all income levels)</t>
  </si>
  <si>
    <t>SSF</t>
  </si>
  <si>
    <t>Sub-Saharan Africa (developing only)</t>
  </si>
  <si>
    <t>SSA</t>
  </si>
  <si>
    <t>Upper middle income</t>
  </si>
  <si>
    <t>UMC</t>
  </si>
  <si>
    <t>World</t>
  </si>
  <si>
    <t>WLD</t>
  </si>
  <si>
    <t>Afghanistan</t>
  </si>
  <si>
    <t>AFG</t>
  </si>
  <si>
    <t>Albania</t>
  </si>
  <si>
    <t>Algeria</t>
  </si>
  <si>
    <t>DZA</t>
  </si>
  <si>
    <t>American Samoa</t>
  </si>
  <si>
    <t>ASM</t>
  </si>
  <si>
    <t>Andorra</t>
  </si>
  <si>
    <t>AND</t>
  </si>
  <si>
    <t>Angola</t>
  </si>
  <si>
    <t>AGO</t>
  </si>
  <si>
    <t>Antigua and Barbuda</t>
  </si>
  <si>
    <t>ATG</t>
  </si>
  <si>
    <t>Argentina</t>
  </si>
  <si>
    <t>ARG</t>
  </si>
  <si>
    <t>Armenia</t>
  </si>
  <si>
    <t>ARM</t>
  </si>
  <si>
    <t>Aruba</t>
  </si>
  <si>
    <t>ABW</t>
  </si>
  <si>
    <t>Australia</t>
  </si>
  <si>
    <t>Austria</t>
  </si>
  <si>
    <t>AUT</t>
  </si>
  <si>
    <t>Azerbaijan</t>
  </si>
  <si>
    <t>AZE</t>
  </si>
  <si>
    <t>Bahamas, The</t>
  </si>
  <si>
    <t>BHS</t>
  </si>
  <si>
    <t>Bahrain</t>
  </si>
  <si>
    <t>BHR</t>
  </si>
  <si>
    <t>Bangladesh</t>
  </si>
  <si>
    <t>BGD</t>
  </si>
  <si>
    <t>Barbados</t>
  </si>
  <si>
    <t>BRB</t>
  </si>
  <si>
    <t>Belarus</t>
  </si>
  <si>
    <t>BLR</t>
  </si>
  <si>
    <t>Belgium</t>
  </si>
  <si>
    <t>BEL</t>
  </si>
  <si>
    <t>Belize</t>
  </si>
  <si>
    <t>BLZ</t>
  </si>
  <si>
    <t>Benin</t>
  </si>
  <si>
    <t>BEN</t>
  </si>
  <si>
    <t>Bermuda</t>
  </si>
  <si>
    <t>BMU</t>
  </si>
  <si>
    <t>Bhutan</t>
  </si>
  <si>
    <t>BTN</t>
  </si>
  <si>
    <t>Bolivia</t>
  </si>
  <si>
    <t>BOL</t>
  </si>
  <si>
    <t>Bosnia and Herzegovina</t>
  </si>
  <si>
    <t>BIH</t>
  </si>
  <si>
    <t>Botswana</t>
  </si>
  <si>
    <t>BWA</t>
  </si>
  <si>
    <t>Brazil</t>
  </si>
  <si>
    <t>BRA</t>
  </si>
  <si>
    <t>Brunei Darussalam</t>
  </si>
  <si>
    <t>BRN</t>
  </si>
  <si>
    <t>Bulgaria</t>
  </si>
  <si>
    <t>BGR</t>
  </si>
  <si>
    <t>Burkina Faso</t>
  </si>
  <si>
    <t>BFA</t>
  </si>
  <si>
    <t>Burundi</t>
  </si>
  <si>
    <t>BDI</t>
  </si>
  <si>
    <t>Cambodia</t>
  </si>
  <si>
    <t>KHM</t>
  </si>
  <si>
    <t>Cameroon</t>
  </si>
  <si>
    <t>CMR</t>
  </si>
  <si>
    <t>Canada</t>
  </si>
  <si>
    <t>Cape Verde</t>
  </si>
  <si>
    <t>CPV</t>
  </si>
  <si>
    <t>Cayman Islands</t>
  </si>
  <si>
    <t>CYM</t>
  </si>
  <si>
    <t>Central African Republic</t>
  </si>
  <si>
    <t>CAF</t>
  </si>
  <si>
    <t>Chad</t>
  </si>
  <si>
    <t>TCD</t>
  </si>
  <si>
    <t>Channel Islands</t>
  </si>
  <si>
    <t>Chile</t>
  </si>
  <si>
    <t>CHL</t>
  </si>
  <si>
    <t>China</t>
  </si>
  <si>
    <t>CHN</t>
  </si>
  <si>
    <t>Colombia</t>
  </si>
  <si>
    <t>COL</t>
  </si>
  <si>
    <t>Comoros</t>
  </si>
  <si>
    <t>COM</t>
  </si>
  <si>
    <t>Congo, Dem. Rep.</t>
  </si>
  <si>
    <t>COD</t>
  </si>
  <si>
    <t>Congo, Rep.</t>
  </si>
  <si>
    <t>COG</t>
  </si>
  <si>
    <t>Costa Rica</t>
  </si>
  <si>
    <t>Cote d'Ivoire</t>
  </si>
  <si>
    <t>CIV</t>
  </si>
  <si>
    <t>Croatia</t>
  </si>
  <si>
    <t>HRV</t>
  </si>
  <si>
    <t>Cuba</t>
  </si>
  <si>
    <t>CUB</t>
  </si>
  <si>
    <t>Curacao</t>
  </si>
  <si>
    <t>CUW</t>
  </si>
  <si>
    <t>Cyprus</t>
  </si>
  <si>
    <t>CYP</t>
  </si>
  <si>
    <t>Czech Republic</t>
  </si>
  <si>
    <t>CZE</t>
  </si>
  <si>
    <t>Denmark</t>
  </si>
  <si>
    <t>DNK</t>
  </si>
  <si>
    <t>Djibouti</t>
  </si>
  <si>
    <t>DJI</t>
  </si>
  <si>
    <t>Dominica</t>
  </si>
  <si>
    <t>DMA</t>
  </si>
  <si>
    <t>Dominican Republic</t>
  </si>
  <si>
    <t>DOM</t>
  </si>
  <si>
    <t>Ecuador</t>
  </si>
  <si>
    <t>ECU</t>
  </si>
  <si>
    <t>Egypt, Arab Rep.</t>
  </si>
  <si>
    <t>EGY</t>
  </si>
  <si>
    <t>El Salvador</t>
  </si>
  <si>
    <t>SLV</t>
  </si>
  <si>
    <t>Equatorial Guinea</t>
  </si>
  <si>
    <t>GNQ</t>
  </si>
  <si>
    <t>Eritrea</t>
  </si>
  <si>
    <t>ERI</t>
  </si>
  <si>
    <t>Estonia</t>
  </si>
  <si>
    <t>EST</t>
  </si>
  <si>
    <t>Ethiopia</t>
  </si>
  <si>
    <t>ETH</t>
  </si>
  <si>
    <t>Faeroe Islands</t>
  </si>
  <si>
    <t>FRO</t>
  </si>
  <si>
    <t>Fiji</t>
  </si>
  <si>
    <t>FJI</t>
  </si>
  <si>
    <t>Finland</t>
  </si>
  <si>
    <t>France</t>
  </si>
  <si>
    <t>French Polynesia</t>
  </si>
  <si>
    <t>PYF</t>
  </si>
  <si>
    <t>Gabon</t>
  </si>
  <si>
    <t>GAB</t>
  </si>
  <si>
    <t>Gambia, The</t>
  </si>
  <si>
    <t>GMB</t>
  </si>
  <si>
    <t>Georgia</t>
  </si>
  <si>
    <t>GEO</t>
  </si>
  <si>
    <t>Germany</t>
  </si>
  <si>
    <t>DEU</t>
  </si>
  <si>
    <t>Ghana</t>
  </si>
  <si>
    <t>GHA</t>
  </si>
  <si>
    <t>Greece</t>
  </si>
  <si>
    <t>GRC</t>
  </si>
  <si>
    <t>Greenland</t>
  </si>
  <si>
    <t>GRL</t>
  </si>
  <si>
    <t>Grenada</t>
  </si>
  <si>
    <t>GRD</t>
  </si>
  <si>
    <t>Guam</t>
  </si>
  <si>
    <t>GUM</t>
  </si>
  <si>
    <t>Guatemala</t>
  </si>
  <si>
    <t>GTM</t>
  </si>
  <si>
    <t>Guinea</t>
  </si>
  <si>
    <t>GIN</t>
  </si>
  <si>
    <t>Guinea-Bissau</t>
  </si>
  <si>
    <t>GNB</t>
  </si>
  <si>
    <t>Guyana</t>
  </si>
  <si>
    <t>GUY</t>
  </si>
  <si>
    <t>Haiti</t>
  </si>
  <si>
    <t>HTI</t>
  </si>
  <si>
    <t>Honduras</t>
  </si>
  <si>
    <t>Hong Kong SAR, China</t>
  </si>
  <si>
    <t>Hungary</t>
  </si>
  <si>
    <t>HUN</t>
  </si>
  <si>
    <t>Iceland</t>
  </si>
  <si>
    <t>ISL</t>
  </si>
  <si>
    <t>India</t>
  </si>
  <si>
    <t>Indonesia</t>
  </si>
  <si>
    <t>IDN</t>
  </si>
  <si>
    <t>Iran, Islamic Rep.</t>
  </si>
  <si>
    <t>IRN</t>
  </si>
  <si>
    <t>Iraq</t>
  </si>
  <si>
    <t>IRQ</t>
  </si>
  <si>
    <t>Ireland</t>
  </si>
  <si>
    <t>IRL</t>
  </si>
  <si>
    <t>Isle of Man</t>
  </si>
  <si>
    <t>IMN</t>
  </si>
  <si>
    <t>Israel</t>
  </si>
  <si>
    <t>ISR</t>
  </si>
  <si>
    <t>Italy</t>
  </si>
  <si>
    <t>ITA</t>
  </si>
  <si>
    <t>Jamaica</t>
  </si>
  <si>
    <t>JAM</t>
  </si>
  <si>
    <t>Japan</t>
  </si>
  <si>
    <t>JPN</t>
  </si>
  <si>
    <t>Jordan</t>
  </si>
  <si>
    <t>JOR</t>
  </si>
  <si>
    <t>Kazakhstan</t>
  </si>
  <si>
    <t>KAZ</t>
  </si>
  <si>
    <t>Kenya</t>
  </si>
  <si>
    <t>KEN</t>
  </si>
  <si>
    <t>Kiribati</t>
  </si>
  <si>
    <t>KIR</t>
  </si>
  <si>
    <t>Korea, Dem. Rep.</t>
  </si>
  <si>
    <t>PRK</t>
  </si>
  <si>
    <t>Korea, Rep.</t>
  </si>
  <si>
    <t>KOR</t>
  </si>
  <si>
    <t>Kosovo</t>
  </si>
  <si>
    <t>KSV</t>
  </si>
  <si>
    <t>Kuwait</t>
  </si>
  <si>
    <t>KWT</t>
  </si>
  <si>
    <t>Kyrgyz Republic</t>
  </si>
  <si>
    <t>KGZ</t>
  </si>
  <si>
    <t>Lao PDR</t>
  </si>
  <si>
    <t>LAO</t>
  </si>
  <si>
    <t>Latvia</t>
  </si>
  <si>
    <t>LVA</t>
  </si>
  <si>
    <t>Lebanon</t>
  </si>
  <si>
    <t>LBN</t>
  </si>
  <si>
    <t>Lesotho</t>
  </si>
  <si>
    <t>LSO</t>
  </si>
  <si>
    <t>Liberia</t>
  </si>
  <si>
    <t>LBR</t>
  </si>
  <si>
    <t>Libya</t>
  </si>
  <si>
    <t>LBY</t>
  </si>
  <si>
    <t>Liechtenstein</t>
  </si>
  <si>
    <t>LIE</t>
  </si>
  <si>
    <t>Lithuania</t>
  </si>
  <si>
    <t>LTU</t>
  </si>
  <si>
    <t>Luxembourg</t>
  </si>
  <si>
    <t>LUX</t>
  </si>
  <si>
    <t>Macao SAR, China</t>
  </si>
  <si>
    <t>MAC</t>
  </si>
  <si>
    <t>Macedonia, FYR</t>
  </si>
  <si>
    <t>MKD</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</si>
  <si>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</si>
  <si>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</si>
  <si>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</si>
  <si>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</si>
  <si>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</si>
  <si>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</si>
  <si>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</si>
  <si>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</si>
  <si>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</si>
  <si>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</si>
  <si>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</si>
  <si>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</si>
  <si>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</si>
  <si>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</si>
  <si>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</si>
  <si>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</si>
  <si>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</si>
  <si>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</si>
  <si>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</si>
  <si>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</si>
  <si>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 Fed. Sts.</t>
  </si>
  <si>
    <t>FSM</t>
  </si>
  <si>
    <t>Moldova</t>
  </si>
  <si>
    <t>MDA</t>
  </si>
  <si>
    <t>Monaco</t>
  </si>
  <si>
    <t>Mongolia</t>
  </si>
  <si>
    <t>MNG</t>
  </si>
  <si>
    <t>Montenegro</t>
  </si>
  <si>
    <t>MNE</t>
  </si>
  <si>
    <t>Morocco</t>
  </si>
  <si>
    <t>MAR</t>
  </si>
  <si>
    <t>Mozambique</t>
  </si>
  <si>
    <t>MOZ</t>
  </si>
  <si>
    <t>Myanmar</t>
  </si>
  <si>
    <t>MMR</t>
  </si>
  <si>
    <t>Namibia</t>
  </si>
  <si>
    <t>NAM</t>
  </si>
  <si>
    <t>Nepal</t>
  </si>
  <si>
    <t>NPL</t>
  </si>
  <si>
    <t>Netherlands</t>
  </si>
  <si>
    <t>NLD</t>
  </si>
  <si>
    <t>New Caledonia</t>
  </si>
  <si>
    <t>NCL</t>
  </si>
  <si>
    <t>New Zealand</t>
  </si>
  <si>
    <t>NZL</t>
  </si>
  <si>
    <t>Nicaragua</t>
  </si>
  <si>
    <t>NIC</t>
  </si>
  <si>
    <t>Niger</t>
  </si>
  <si>
    <t>NER</t>
  </si>
  <si>
    <t>Nigeria</t>
  </si>
  <si>
    <t>NGA</t>
  </si>
  <si>
    <t>Northern Mariana Islands</t>
  </si>
  <si>
    <t>MNP</t>
  </si>
  <si>
    <t>Norway</t>
  </si>
  <si>
    <t>NOR</t>
  </si>
  <si>
    <t>Oman</t>
  </si>
  <si>
    <t>OMN</t>
  </si>
  <si>
    <t>Pakistan</t>
  </si>
  <si>
    <t>PAK</t>
  </si>
  <si>
    <t>Palau</t>
  </si>
  <si>
    <t>PLW</t>
  </si>
  <si>
    <t>Panama</t>
  </si>
  <si>
    <t>PAN</t>
  </si>
  <si>
    <t>Papua New Guinea</t>
  </si>
  <si>
    <t>PNG</t>
  </si>
  <si>
    <t>Paraguay</t>
  </si>
  <si>
    <t>PRY</t>
  </si>
  <si>
    <t>Peru</t>
  </si>
  <si>
    <t>Philippines</t>
  </si>
  <si>
    <t>Poland</t>
  </si>
  <si>
    <t>POL</t>
  </si>
  <si>
    <t>Portugal</t>
  </si>
  <si>
    <t>PRT</t>
  </si>
  <si>
    <t>Puerto Rico</t>
  </si>
  <si>
    <t>PRI</t>
  </si>
  <si>
    <t>Qatar</t>
  </si>
  <si>
    <t>QAT</t>
  </si>
  <si>
    <t>Romania</t>
  </si>
  <si>
    <t>ROU</t>
  </si>
  <si>
    <t>Russian Federation</t>
  </si>
  <si>
    <t>RUS</t>
  </si>
  <si>
    <t>Rwanda</t>
  </si>
  <si>
    <t>RWA</t>
  </si>
  <si>
    <t>Samoa</t>
  </si>
  <si>
    <t>WSM</t>
  </si>
  <si>
    <t>San Marino</t>
  </si>
  <si>
    <t>SMR</t>
  </si>
  <si>
    <t>Sao Tome and Principe</t>
  </si>
  <si>
    <t>STP</t>
  </si>
  <si>
    <t>Saudi Arabia</t>
  </si>
  <si>
    <t>SAU</t>
  </si>
  <si>
    <t>Senegal</t>
  </si>
  <si>
    <t>SEN</t>
  </si>
  <si>
    <t>Serbia</t>
  </si>
  <si>
    <t>SRB</t>
  </si>
  <si>
    <t>Seychelles</t>
  </si>
  <si>
    <t>SYC</t>
  </si>
  <si>
    <t>Sierra Leone</t>
  </si>
  <si>
    <t>SLE</t>
  </si>
  <si>
    <t>SGP</t>
  </si>
  <si>
    <t>Sint Maarten (Dutch part)</t>
  </si>
  <si>
    <t>SXM</t>
  </si>
  <si>
    <t>Slovak Republic</t>
  </si>
  <si>
    <t>SVK</t>
  </si>
  <si>
    <t>Slovenia</t>
  </si>
  <si>
    <t>SVN</t>
  </si>
  <si>
    <t>Solomon Islands</t>
  </si>
  <si>
    <t>SLB</t>
  </si>
  <si>
    <t>Somalia</t>
  </si>
  <si>
    <t>SOM</t>
  </si>
  <si>
    <t>South Africa</t>
  </si>
  <si>
    <t>ZAF</t>
  </si>
  <si>
    <t>South Sudan</t>
  </si>
  <si>
    <t>SSD</t>
  </si>
  <si>
    <t>Spain</t>
  </si>
  <si>
    <t>ESP</t>
  </si>
  <si>
    <t>Sri Lanka</t>
  </si>
  <si>
    <t>LKA</t>
  </si>
  <si>
    <t>St. Kitts and Nevis</t>
  </si>
  <si>
    <t>KNA</t>
  </si>
  <si>
    <t>St. Lucia</t>
  </si>
  <si>
    <t>LCA</t>
  </si>
  <si>
    <t>St. Martin (French part)</t>
  </si>
  <si>
    <t>MAF</t>
  </si>
  <si>
    <t>St. Vincent and the Grenadines</t>
  </si>
  <si>
    <t>VCT</t>
  </si>
  <si>
    <t>Sudan</t>
  </si>
  <si>
    <t>SDN</t>
  </si>
  <si>
    <t>Suriname</t>
  </si>
  <si>
    <t>SUR</t>
  </si>
  <si>
    <t>Swaziland</t>
  </si>
  <si>
    <t>SWZ</t>
  </si>
  <si>
    <t>Sweden</t>
  </si>
  <si>
    <t>Switzerland</t>
  </si>
  <si>
    <t>CHE</t>
  </si>
  <si>
    <t>Syrian Arab Republic</t>
  </si>
  <si>
    <t>SYR</t>
  </si>
  <si>
    <t>Tajikistan</t>
  </si>
  <si>
    <t>TJK</t>
  </si>
  <si>
    <t>Tanzania</t>
  </si>
  <si>
    <t>TZA</t>
  </si>
  <si>
    <t>Thailand</t>
  </si>
  <si>
    <t>THA</t>
  </si>
  <si>
    <t>Timor-Leste</t>
  </si>
  <si>
    <t>TLS</t>
  </si>
  <si>
    <t>Togo</t>
  </si>
  <si>
    <t>TGO</t>
  </si>
  <si>
    <t>Tonga</t>
  </si>
  <si>
    <t>TON</t>
  </si>
  <si>
    <t>Trinidad and Tobago</t>
  </si>
  <si>
    <t>TTO</t>
  </si>
  <si>
    <t>Tunisia</t>
  </si>
  <si>
    <t>TUN</t>
  </si>
  <si>
    <t>Turkey</t>
  </si>
  <si>
    <t>TUR</t>
  </si>
  <si>
    <t>Turkmenistan</t>
  </si>
  <si>
    <t>TKM</t>
  </si>
  <si>
    <t>Turks and Caicos Islands</t>
  </si>
  <si>
    <t>TCA</t>
  </si>
  <si>
    <t>Tuvalu</t>
  </si>
  <si>
    <t>TUV</t>
  </si>
  <si>
    <t>Uganda</t>
  </si>
  <si>
    <t>UGA</t>
  </si>
  <si>
    <t>Ukraine</t>
  </si>
  <si>
    <t>UKR</t>
  </si>
  <si>
    <t>United Arab Emirates</t>
  </si>
  <si>
    <t>ARE</t>
  </si>
  <si>
    <t>United Kingdom</t>
  </si>
  <si>
    <t>GBR</t>
  </si>
  <si>
    <t>United States</t>
  </si>
  <si>
    <t>USA</t>
  </si>
  <si>
    <t>Uruguay</t>
  </si>
  <si>
    <t>URY</t>
  </si>
  <si>
    <t>Uzbekistan</t>
  </si>
  <si>
    <t>UZB</t>
  </si>
  <si>
    <t>Vanuatu</t>
  </si>
  <si>
    <t>VUT</t>
  </si>
  <si>
    <t>Venezuela, RB</t>
  </si>
  <si>
    <t>VEN</t>
  </si>
  <si>
    <t>Vietnam</t>
  </si>
  <si>
    <t>VNM</t>
  </si>
  <si>
    <t>Virgin Islands (U.S.)</t>
  </si>
  <si>
    <t>VIR</t>
  </si>
  <si>
    <t>West Bank and Gaza</t>
  </si>
  <si>
    <t>PSE</t>
  </si>
  <si>
    <t>Yemen, Rep.</t>
  </si>
  <si>
    <t>YEM</t>
  </si>
  <si>
    <t>Zambia</t>
  </si>
  <si>
    <t>ZMB</t>
  </si>
  <si>
    <t>Zimbabwe</t>
  </si>
  <si>
    <t>ZWE</t>
  </si>
  <si>
    <t>URL:</t>
  </si>
  <si>
    <t>World Bank Databank</t>
  </si>
  <si>
    <t>Investment Properties</t>
  </si>
  <si>
    <t>Land Held for Development</t>
  </si>
  <si>
    <t>Terminal Complexes</t>
  </si>
  <si>
    <t>Airfield</t>
  </si>
  <si>
    <t>Rail Assets</t>
  </si>
  <si>
    <t>Other land and buildings</t>
  </si>
  <si>
    <t>Assets in the course of construction</t>
  </si>
  <si>
    <t>£m</t>
  </si>
  <si>
    <t>Assests - Nominal -  Net Book Value End of Year</t>
  </si>
  <si>
    <t>Group occupied properties</t>
  </si>
  <si>
    <t>Other Land and Buildings</t>
  </si>
  <si>
    <t>SDR/GBP</t>
  </si>
  <si>
    <t>1.04619  </t>
  </si>
  <si>
    <t>1.04611  </t>
  </si>
  <si>
    <t>1.04066  </t>
  </si>
  <si>
    <t>1.03996  </t>
  </si>
  <si>
    <t>1.02658  </t>
  </si>
  <si>
    <t>1.04873  </t>
  </si>
  <si>
    <t>1.0246  </t>
  </si>
  <si>
    <t>1.01793  </t>
  </si>
  <si>
    <t>1.00596  </t>
  </si>
  <si>
    <t>1.0104  </t>
  </si>
  <si>
    <t>0.99864  </t>
  </si>
  <si>
    <t>1.01196  </t>
  </si>
  <si>
    <t>1.00022  </t>
  </si>
  <si>
    <t>1.03094  </t>
  </si>
  <si>
    <t>1.01494  </t>
  </si>
  <si>
    <t>1.03201  </t>
  </si>
  <si>
    <t>1.01739  </t>
  </si>
  <si>
    <t>1.01771  </t>
  </si>
  <si>
    <t>1.02263  </t>
  </si>
  <si>
    <t>1.02087  </t>
  </si>
  <si>
    <t>1.01596  </t>
  </si>
  <si>
    <t>1.01435  </t>
  </si>
  <si>
    <t>0.997865  </t>
  </si>
  <si>
    <t>1.03305  </t>
  </si>
  <si>
    <t>1.02305  </t>
  </si>
  <si>
    <t>1.01699  </t>
  </si>
  <si>
    <t>1.06648  </t>
  </si>
  <si>
    <t>1.06685  </t>
  </si>
  <si>
    <t>0.989698  </t>
  </si>
  <si>
    <t>0.95915  </t>
  </si>
  <si>
    <t>0.946458  </t>
  </si>
  <si>
    <t>1.08675  </t>
  </si>
  <si>
    <t>1.15578  </t>
  </si>
  <si>
    <t>1.22187  </t>
  </si>
  <si>
    <t>1.2192  </t>
  </si>
  <si>
    <t>1.21125  </t>
  </si>
  <si>
    <t>1.20918  </t>
  </si>
  <si>
    <t>1.23156  </t>
  </si>
  <si>
    <t>1.25007  </t>
  </si>
  <si>
    <t>1.26778  </t>
  </si>
  <si>
    <t>1.29948  </t>
  </si>
  <si>
    <t>1.31918  </t>
  </si>
  <si>
    <t>1.31793  </t>
  </si>
  <si>
    <t>1.32659  </t>
  </si>
  <si>
    <t>1.307  </t>
  </si>
  <si>
    <t>1.30864  </t>
  </si>
  <si>
    <t>1.30038  </t>
  </si>
  <si>
    <t>1.31034  </t>
  </si>
  <si>
    <t>1.29745  </t>
  </si>
  <si>
    <t>1.28287  </t>
  </si>
  <si>
    <t>1.28154  </t>
  </si>
  <si>
    <t>1.25638  </t>
  </si>
  <si>
    <t>1.23999  </t>
  </si>
  <si>
    <t>1.25815  </t>
  </si>
  <si>
    <t>1.20408  </t>
  </si>
  <si>
    <t>1.21705  </t>
  </si>
  <si>
    <t>1.22548  </t>
  </si>
  <si>
    <t>1.21266  </t>
  </si>
  <si>
    <t>1.22943  </t>
  </si>
  <si>
    <t>1.21859  </t>
  </si>
  <si>
    <t>1.2213  </t>
  </si>
  <si>
    <t>1.23128  </t>
  </si>
  <si>
    <t>1.23266  </t>
  </si>
  <si>
    <t>1.24607  </t>
  </si>
  <si>
    <t>1.25464  </t>
  </si>
  <si>
    <t>1.23901  </t>
  </si>
  <si>
    <t>1.24365  </t>
  </si>
  <si>
    <t>1.24181  </t>
  </si>
  <si>
    <t>1.22451  </t>
  </si>
  <si>
    <t>1.2274  </t>
  </si>
  <si>
    <t>1.23562  </t>
  </si>
  <si>
    <t>1.22135  </t>
  </si>
  <si>
    <t>1.23903  </t>
  </si>
  <si>
    <t>1.20103  </t>
  </si>
  <si>
    <t>1.18147  </t>
  </si>
  <si>
    <t>1.17052  </t>
  </si>
  <si>
    <t>1.15708  </t>
  </si>
  <si>
    <t>1.17792  </t>
  </si>
  <si>
    <t>1.15332  </t>
  </si>
  <si>
    <t>1.14989  </t>
  </si>
  <si>
    <t>1.15461  </t>
  </si>
  <si>
    <t>1.19931  </t>
  </si>
  <si>
    <t>1.18556  </t>
  </si>
  <si>
    <t>1.18036  </t>
  </si>
  <si>
    <t>1.18221  </t>
  </si>
  <si>
    <t>1.18368  </t>
  </si>
  <si>
    <t>1.1364  </t>
  </si>
  <si>
    <t>1.14916  </t>
  </si>
  <si>
    <t>1.14109  </t>
  </si>
  <si>
    <t>1.13772  </t>
  </si>
  <si>
    <t>1.15411  </t>
  </si>
  <si>
    <t>1.12592  </t>
  </si>
  <si>
    <t>1.1389  </t>
  </si>
  <si>
    <t>1.13334  </t>
  </si>
  <si>
    <t>1.13264  </t>
  </si>
  <si>
    <t>1.13002  </t>
  </si>
  <si>
    <t>1.13115  </t>
  </si>
  <si>
    <t>1.12033  </t>
  </si>
  <si>
    <t>1.12769  </t>
  </si>
  <si>
    <t>1.10838  </t>
  </si>
  <si>
    <t>1.13238  </t>
  </si>
  <si>
    <t>1.11527  </t>
  </si>
  <si>
    <t>1.14075  </t>
  </si>
  <si>
    <t>1.1308  </t>
  </si>
  <si>
    <t>1.13241  </t>
  </si>
  <si>
    <t>1.1843  </t>
  </si>
  <si>
    <t>1.18922  </t>
  </si>
  <si>
    <t>1.20018  </t>
  </si>
  <si>
    <t>Dublin - Notes</t>
  </si>
  <si>
    <t>Aberdeen Notes</t>
  </si>
  <si>
    <t>Birmingham - Notes</t>
  </si>
  <si>
    <t>Edinburgh - Notes</t>
  </si>
  <si>
    <t>London Gatwick - Notes</t>
  </si>
  <si>
    <t>Glasgow - Notes</t>
  </si>
  <si>
    <t>London Heathrow -Notes</t>
  </si>
  <si>
    <t>Luton - Notes</t>
  </si>
  <si>
    <t>Manchester Data - Notes</t>
  </si>
  <si>
    <t>Southampton Data - Notes</t>
  </si>
  <si>
    <t>Stansted - Notes</t>
  </si>
  <si>
    <t>Hong Kong - Notes</t>
  </si>
  <si>
    <t>Copenhagen - Notes</t>
  </si>
  <si>
    <t>Zurich - Notes</t>
  </si>
  <si>
    <t>Munich - Notes</t>
  </si>
  <si>
    <t>Rail Costs</t>
  </si>
  <si>
    <t>Average RPI 2011/12 (CHAW)</t>
  </si>
  <si>
    <t>April</t>
  </si>
  <si>
    <t>Munich</t>
  </si>
  <si>
    <t>Amsterdam</t>
  </si>
  <si>
    <t>Frankfurt</t>
  </si>
  <si>
    <t>Dublin</t>
  </si>
  <si>
    <t>SkyTrax Airport Quality Survey</t>
  </si>
  <si>
    <t>Hong Kong International</t>
  </si>
  <si>
    <t>Singapore Changi</t>
  </si>
  <si>
    <t>Incheon International</t>
  </si>
  <si>
    <t>Amsterdam Schiphol</t>
  </si>
  <si>
    <t>Beijing Capital International</t>
  </si>
  <si>
    <t>Kuala Lumpur</t>
  </si>
  <si>
    <t>Vancouver</t>
  </si>
  <si>
    <t>Central Japan</t>
  </si>
  <si>
    <t>Tokyo</t>
  </si>
  <si>
    <t>Shanghai Hongqiao</t>
  </si>
  <si>
    <t>Abu Dhabi</t>
  </si>
  <si>
    <t>Kansai</t>
  </si>
  <si>
    <t>Narita</t>
  </si>
  <si>
    <t>Barcelona</t>
  </si>
  <si>
    <t>Helsinki</t>
  </si>
  <si>
    <t>Seoul Gimpo</t>
  </si>
  <si>
    <t>Cincinnanti / Northern Kentucky</t>
  </si>
  <si>
    <t>Bangkok Suvarnabhumi</t>
  </si>
  <si>
    <t>Dubai</t>
  </si>
  <si>
    <t>Hamburg</t>
  </si>
  <si>
    <t>Taiwan Taoyuan</t>
  </si>
  <si>
    <t>Jorge Chavez</t>
  </si>
  <si>
    <t>O.R Tambo</t>
  </si>
  <si>
    <t>Shanghai PuDong</t>
  </si>
  <si>
    <t>King Shaka</t>
  </si>
  <si>
    <t>Dusseldorf</t>
  </si>
  <si>
    <t>Madrid Barajas</t>
  </si>
  <si>
    <t>San Francisco</t>
  </si>
  <si>
    <t>Moscow</t>
  </si>
  <si>
    <t>Link</t>
  </si>
  <si>
    <t>http://www.worldairportawards.com/awards_2012/top40airports.htm</t>
  </si>
  <si>
    <t>World Best Airports - All Airports</t>
  </si>
  <si>
    <t>Steer Davies Gleave Benchmarking</t>
  </si>
  <si>
    <t>Opex per Pax</t>
  </si>
  <si>
    <t>Opex per Flight</t>
  </si>
  <si>
    <t>Staff Cost per Employee</t>
  </si>
  <si>
    <t>UK = 1</t>
  </si>
  <si>
    <t>Link:</t>
  </si>
  <si>
    <t>PPP Multiplier</t>
  </si>
  <si>
    <t>PPP Indicies - Conersion Factor (Local Currency Unit / $)</t>
  </si>
  <si>
    <t>Exchange Rate (LCU/£)</t>
  </si>
  <si>
    <t>GDP per person employed is gross domestic product (GDP) divided by total employment in the economy. Purchasing power parity (PPP) GDP is GDP converted to 1990 constant international dollars using PPP rates. An international dollar has the same purchasing power over GDP that a U.S. dollar has in the United States.</t>
  </si>
  <si>
    <t>http://data.worldbank.org/indicator/SL.GDP.PCAP.EM.KD/countries/1W?display=default</t>
  </si>
  <si>
    <t>1961</t>
  </si>
  <si>
    <t>1962</t>
  </si>
  <si>
    <t>1963</t>
  </si>
  <si>
    <t>1964</t>
  </si>
  <si>
    <t>1965</t>
  </si>
  <si>
    <t>1966</t>
  </si>
  <si>
    <t>1967</t>
  </si>
  <si>
    <t>1968</t>
  </si>
  <si>
    <t>1969</t>
  </si>
  <si>
    <t>1970</t>
  </si>
  <si>
    <t>1971</t>
  </si>
  <si>
    <t>1972</t>
  </si>
  <si>
    <t>1973</t>
  </si>
  <si>
    <t>1974</t>
  </si>
  <si>
    <t>1975</t>
  </si>
  <si>
    <t>1976</t>
  </si>
  <si>
    <t>1977</t>
  </si>
  <si>
    <t>1978</t>
  </si>
  <si>
    <t>1979</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</si>
  <si>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</si>
  <si>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GDP per employee - US$ 1990 - PPP</t>
  </si>
  <si>
    <t>Oanda</t>
  </si>
  <si>
    <t>Purchasing power parity conversion factor is the number of units of a country's currency required to buy the same amount of goods and services in the domestic market as a U.S. dollar would buy in the United States. The ratio of PPP conversion factor to market exchange rate is the result obtained by dividing the PPP conversion factor by the market exchange rate. The ratio, also referred to as the national price level, makes it possible to compare the cost of the bundle of goods that make up gross domestic product (GDP) across countries. It tells how many dollars are needed to buy a dollar's worth of goods in the country as compared to the United States.</t>
  </si>
  <si>
    <t>http://data.worldbank.org/indicator/PA.NUS.PPPC.RF</t>
  </si>
  <si>
    <t>2012</t>
  </si>
  <si>
    <t>Cost Residual (Ordinary Opex - Elements)</t>
  </si>
  <si>
    <t>International Analysis</t>
  </si>
  <si>
    <t xml:space="preserve">Dublin </t>
  </si>
  <si>
    <t>Airport / Year</t>
  </si>
  <si>
    <t>Total Opex / Pax</t>
  </si>
  <si>
    <t>Average 2011</t>
  </si>
  <si>
    <t>Average 2005</t>
  </si>
  <si>
    <t>*2010 data used</t>
  </si>
  <si>
    <t>Adjusted Ordinary Opex (ordinary opex - depreciation - ANS - retail)</t>
  </si>
  <si>
    <t>Average RPI 2011/12</t>
  </si>
  <si>
    <t>Average RPI for year of accounts</t>
  </si>
  <si>
    <t>Removal of regultaory opex estimate</t>
  </si>
  <si>
    <t>Pax / Employee</t>
  </si>
  <si>
    <t>Staff Cost / Employee</t>
  </si>
  <si>
    <t>Sample Average</t>
  </si>
  <si>
    <t>Total Opex per Passenger</t>
  </si>
  <si>
    <t>Ordinary Opex per Passenger</t>
  </si>
  <si>
    <t>Adjusted Opex per Passenger</t>
  </si>
  <si>
    <t>Staff Costs per Passenger</t>
  </si>
  <si>
    <t>Min</t>
  </si>
  <si>
    <t>Max</t>
  </si>
  <si>
    <t>% Change</t>
  </si>
  <si>
    <t>Parameters</t>
  </si>
  <si>
    <t>Retail Estimate</t>
  </si>
  <si>
    <t>Dublin Data - Statutory Accounts - REAL - £ - with factor cost adjustments</t>
  </si>
  <si>
    <t>Analysis - REAL - £ - with factor cost adjustments</t>
  </si>
  <si>
    <t>Hong Kong Data - Statutory Accounts - REAL - £ - with factor cost adjustments</t>
  </si>
  <si>
    <t>Zurich Data - Statutory Accounts - REAL - £ with factor cost adjustments</t>
  </si>
  <si>
    <t>Munich Data - Statutory Accounts - REAL - £ - with factor cost adjustments</t>
  </si>
  <si>
    <t>Dublin Data - Statutory Accounts - REAL - £</t>
  </si>
  <si>
    <t>Analysis - REAL - £</t>
  </si>
  <si>
    <t>Hong Kong Data - Statutory Accounts - REAL - £</t>
  </si>
  <si>
    <t>Copenhagen Data - Statutory Accounts - REAL - £</t>
  </si>
  <si>
    <t>Zurich Data - Statutory Accounts - REAL - £</t>
  </si>
  <si>
    <t>Munich Data - Statutory Accounts - REAL - £</t>
  </si>
  <si>
    <t>Rankings - Real with Exchange Rate Conversion</t>
  </si>
  <si>
    <t>Rankings - Real with Exchange Rate Conversion and Factor Cost Adjustment</t>
  </si>
  <si>
    <t>GDP per person - US$ - nominal</t>
  </si>
  <si>
    <t>Relative Price Level</t>
  </si>
  <si>
    <t>Passengers (Schiphol)</t>
  </si>
  <si>
    <t>Passengers (Group)</t>
  </si>
  <si>
    <t>Euro 000's</t>
  </si>
  <si>
    <t>Restructuring</t>
  </si>
  <si>
    <t xml:space="preserve">Sale of investment property </t>
  </si>
  <si>
    <t>ATMs (Group)</t>
  </si>
  <si>
    <t>Employees (Group)</t>
  </si>
  <si>
    <t>Amsterdam Data - Statutory Accounts - REAL - £</t>
  </si>
  <si>
    <t>Analysis - Nominal - Euro</t>
  </si>
  <si>
    <t>Schiphol</t>
  </si>
  <si>
    <t>Amsterdam Data - Statutory Accounts - REAL - £ - with factor cost adjustments</t>
  </si>
  <si>
    <t>Addition of Amsterdam to sample</t>
  </si>
  <si>
    <t>% Change from 2005</t>
  </si>
  <si>
    <t>Amsterdam - Statutory Accounts - Euro - Group</t>
  </si>
  <si>
    <t>ANS</t>
  </si>
  <si>
    <t>Average (ex AMS)</t>
  </si>
  <si>
    <t>Average 2011 (ex AMS)</t>
  </si>
  <si>
    <t>Personnel</t>
  </si>
  <si>
    <t>Final version used in initial proposals</t>
  </si>
  <si>
    <t>Update for final proposals with 2012 data</t>
  </si>
  <si>
    <t>...</t>
  </si>
  <si>
    <t>2012/13</t>
  </si>
  <si>
    <t>Contracted services</t>
  </si>
  <si>
    <t>Communications / energy / waste</t>
  </si>
  <si>
    <t>Materials / equipment / supplies</t>
  </si>
  <si>
    <t>Insurance/ claims / settlements</t>
  </si>
  <si>
    <t>Maintenance</t>
  </si>
  <si>
    <t>Lease / rent / concessions</t>
  </si>
  <si>
    <t>General &amp; administrative</t>
  </si>
  <si>
    <t>Airside operations</t>
  </si>
  <si>
    <t>Terminal and landside operations</t>
  </si>
  <si>
    <t>Airport security</t>
  </si>
  <si>
    <t>Adminsitration</t>
  </si>
  <si>
    <t xml:space="preserve">Sales and marketing </t>
  </si>
  <si>
    <t>ACI Survey Data - European Airports</t>
  </si>
  <si>
    <t>Catorgry /report</t>
  </si>
  <si>
    <t>Catorgry / report</t>
  </si>
  <si>
    <t>Summary of 2009 Data</t>
  </si>
  <si>
    <t>Security (inc staff)</t>
  </si>
  <si>
    <t>Personnel (excl secuirty)</t>
  </si>
  <si>
    <t>Sales &amp; Marketing</t>
  </si>
  <si>
    <t>Other costs</t>
  </si>
  <si>
    <t>%</t>
  </si>
  <si>
    <t>Total (Euro Bn)</t>
  </si>
  <si>
    <t>Ordinary Profit Margin</t>
  </si>
  <si>
    <t xml:space="preserve">This sheet provides the conversion factors to convert different currencies into units of equivilent purchasing power. </t>
  </si>
  <si>
    <t>Munich - Statutory Accounts - Euro</t>
  </si>
  <si>
    <t>http://www.oanda.com/currency/converter/</t>
  </si>
  <si>
    <t>Year (January to December average)</t>
  </si>
  <si>
    <t>Data used to convert prices into common currency</t>
  </si>
  <si>
    <t>Source: ACI Survey</t>
  </si>
  <si>
    <t>https://www.aci-europe.org/policy/position-papers.html?view=group&amp;group=1&amp;id=6</t>
  </si>
  <si>
    <t>Average Retail Spending as Proportion of Total - Based on airport accounts</t>
  </si>
  <si>
    <t>Grand Total - Group Opex</t>
  </si>
  <si>
    <t xml:space="preserve">Cleaning </t>
  </si>
  <si>
    <t>Security</t>
  </si>
  <si>
    <t>Other subcontracted activities</t>
  </si>
  <si>
    <t>Energy and water</t>
  </si>
  <si>
    <t>Cost of retail sales</t>
  </si>
  <si>
    <t>Contract staff</t>
  </si>
  <si>
    <t>Commercial expenses</t>
  </si>
  <si>
    <t>Consultancy and audit fees</t>
  </si>
  <si>
    <t>Costs related to investments</t>
  </si>
  <si>
    <t>Other expenses</t>
  </si>
  <si>
    <t>Technology operating costs</t>
  </si>
  <si>
    <t>Cleaning contracts and materials</t>
  </si>
  <si>
    <t>CUTE operating lease costs</t>
  </si>
  <si>
    <t>Fees and professional services</t>
  </si>
  <si>
    <t>Aviation customer support</t>
  </si>
  <si>
    <t>Telephone print and stationary</t>
  </si>
  <si>
    <t>Employee related overheads</t>
  </si>
  <si>
    <t>Other overheads</t>
  </si>
  <si>
    <t xml:space="preserve">PRM </t>
  </si>
  <si>
    <t>Travel and subsistence</t>
  </si>
  <si>
    <t>Car park and direct overheads</t>
  </si>
  <si>
    <t>Three runway system costs</t>
  </si>
  <si>
    <t>Average 2012</t>
  </si>
  <si>
    <t>Average 2012 (ex AMS)</t>
  </si>
  <si>
    <t>Other Charges</t>
  </si>
  <si>
    <t>Core Costs</t>
  </si>
  <si>
    <t>Core Costs Total</t>
  </si>
  <si>
    <t>Other Charges Total</t>
  </si>
  <si>
    <t>Social security</t>
  </si>
  <si>
    <t>Capitalised</t>
  </si>
  <si>
    <t>Excluded costs</t>
  </si>
  <si>
    <t>2012/2013</t>
  </si>
  <si>
    <t xml:space="preserve">GDP per Capita </t>
  </si>
  <si>
    <t>US$</t>
  </si>
  <si>
    <t>GDP per employee</t>
  </si>
  <si>
    <t>Labour costs</t>
  </si>
  <si>
    <t>Excludes exceptionals</t>
  </si>
  <si>
    <t>1st</t>
  </si>
  <si>
    <t>2nd</t>
  </si>
  <si>
    <t>3rd</t>
  </si>
  <si>
    <t>Moscow Sheremteyevo</t>
  </si>
  <si>
    <t>Mata Airport</t>
  </si>
  <si>
    <t>Edinbrugh</t>
  </si>
  <si>
    <t>4th</t>
  </si>
  <si>
    <t>5th</t>
  </si>
  <si>
    <t>Keflavik</t>
  </si>
  <si>
    <t>Porto</t>
  </si>
  <si>
    <t xml:space="preserve">Porto </t>
  </si>
  <si>
    <t>Helsinki and Munich</t>
  </si>
  <si>
    <t>Helsinki and Porto</t>
  </si>
  <si>
    <t>Overall</t>
  </si>
  <si>
    <t>Seoul Inchoen</t>
  </si>
  <si>
    <t xml:space="preserve">Bejing </t>
  </si>
  <si>
    <t>New Dehli</t>
  </si>
  <si>
    <t>ASQ Awards</t>
  </si>
  <si>
    <t>Summary of ACI ASQ awards by airport</t>
  </si>
  <si>
    <t>http://www.aci.aero/Airport-Service-Quality/ASQ-Awards/2012-Winners</t>
  </si>
  <si>
    <t>Vienna Airport</t>
  </si>
  <si>
    <t>Denver International</t>
  </si>
  <si>
    <t>Gold Coast Airport</t>
  </si>
  <si>
    <t>Toronto Pearson Airport</t>
  </si>
  <si>
    <t>Oslo Airport</t>
  </si>
  <si>
    <t>Dallas Fort Worth</t>
  </si>
  <si>
    <t>Billund Airport</t>
  </si>
  <si>
    <t>Guangzhou Baiyun International</t>
  </si>
  <si>
    <t>Cologne</t>
  </si>
  <si>
    <t>Prague Ruzyne</t>
  </si>
  <si>
    <t>Porto Francisco</t>
  </si>
  <si>
    <t>Guayacuil</t>
  </si>
  <si>
    <t>Istanbul Ataturk</t>
  </si>
  <si>
    <t>Bahrain International</t>
  </si>
  <si>
    <t>Hartsfield Jackson Atlanta</t>
  </si>
  <si>
    <t>Malta International</t>
  </si>
  <si>
    <t>Lisbon International</t>
  </si>
  <si>
    <t>Delhi International</t>
  </si>
  <si>
    <t>Doha International</t>
  </si>
  <si>
    <t>Haikou Meilan International</t>
  </si>
  <si>
    <t>Minneapolis</t>
  </si>
  <si>
    <t>Bangalore</t>
  </si>
  <si>
    <t>Halifax Stanfield</t>
  </si>
  <si>
    <t>Brussels Airport</t>
  </si>
  <si>
    <t>Christchurch</t>
  </si>
  <si>
    <t xml:space="preserve">Seattle-Tacoma </t>
  </si>
  <si>
    <t>Panama Tocumen</t>
  </si>
  <si>
    <t>Nice Cote Azur</t>
  </si>
  <si>
    <t>JFK International</t>
  </si>
  <si>
    <t>Adelaide</t>
  </si>
  <si>
    <t>Detriot Metro</t>
  </si>
  <si>
    <t>Hydrebad Rajiv Gandhi</t>
  </si>
  <si>
    <t>Paris Charles de Gaulle</t>
  </si>
  <si>
    <t>Montreal Trudeau</t>
  </si>
  <si>
    <t>Perth International</t>
  </si>
  <si>
    <t>2000 = 1</t>
  </si>
  <si>
    <t>Analysis</t>
  </si>
  <si>
    <t>Update for final proposals with ATRS and Leigh Fisher studies</t>
  </si>
  <si>
    <t>Model incorporating new structure and foreign company data</t>
  </si>
  <si>
    <t>Summary of airport opex structure - % of cost</t>
  </si>
  <si>
    <t>Summary of functional costs areas - % of cost</t>
  </si>
  <si>
    <t>Cost Category</t>
  </si>
  <si>
    <t>Sub-Category</t>
  </si>
  <si>
    <t>Ordinary Opex (per accounts - including staff, depreciation and other, excluding exceptional)</t>
  </si>
  <si>
    <t>Total Opex (ordinary + exceptional)</t>
  </si>
  <si>
    <t>Operating Profit (pre-exceptional)</t>
  </si>
  <si>
    <t>Impairment</t>
  </si>
  <si>
    <t xml:space="preserve">Exceptional Total </t>
  </si>
  <si>
    <t>Ordinary Profit (pre-exceptional)</t>
  </si>
  <si>
    <t>Assets - Nominal -  Net Book Value End of Year</t>
  </si>
  <si>
    <t>Plant Equipment and other assets</t>
  </si>
  <si>
    <t>Airport Opex Benchmarking 2013</t>
  </si>
  <si>
    <t>Documentation</t>
  </si>
  <si>
    <t>http://www.caa.co.uk/application.aspx?catid=33&amp;pagetype=65&amp;appid=11&amp;mode=detail&amp;id=5589</t>
  </si>
  <si>
    <t>Contact</t>
  </si>
  <si>
    <t>duncan.kernohan@caa.co.uk</t>
  </si>
  <si>
    <r>
      <rPr>
        <sz val="10"/>
        <rFont val="Wingdings"/>
        <charset val="2"/>
      </rPr>
      <t>"</t>
    </r>
    <r>
      <rPr>
        <sz val="10"/>
        <rFont val="Arial"/>
        <family val="2"/>
      </rPr>
      <t>denotes infromation redacted for confidentiallity</t>
    </r>
  </si>
  <si>
    <t>Exchange Rate Data - Summary</t>
  </si>
  <si>
    <t>Raw Data</t>
  </si>
  <si>
    <t>Pink cells denote special treatment of data such as removal or modelled on previous year</t>
  </si>
  <si>
    <t>Light grey denotes that cell is based on calculations outside of sheet</t>
  </si>
  <si>
    <t>Dark grey denotes that cell is based on calcuations within sheet</t>
  </si>
  <si>
    <t xml:space="preserve">This sheet contains the benchmarking analysis used in the final propsals. </t>
  </si>
  <si>
    <t>UK Analysis</t>
  </si>
  <si>
    <t>Total opex per passenger - £ 2011/12 - with exchange rate conversion and factor cost adjustment</t>
  </si>
  <si>
    <t>Total opex per passenger - £ 2011/12 with exchange rate conversion</t>
  </si>
  <si>
    <t>Ordinary opex per passenger - £ 2011/12 with exchange rate conversion</t>
  </si>
  <si>
    <t>Adjusted opex per passenger - £ 2011/12 with exchange rate conversion</t>
  </si>
  <si>
    <t>Staff cost per passenger - £ 2011/12 with exchange rate conversion</t>
  </si>
  <si>
    <t>Ordinary opex per passenger - INDEX - real with exchange rate conversion</t>
  </si>
  <si>
    <t>Total opex per passenger - INDEX - real with exchange rate conversion</t>
  </si>
  <si>
    <t>Adjusted opex per passenger - INDEX real with exchange rate conversion</t>
  </si>
  <si>
    <t>Staff cost per passenger - INDEX real with exchange rate conversion</t>
  </si>
  <si>
    <t>Ordinary opex per passenger - £ 2011/12 - with exchange rate conversion and factor cost adjustment</t>
  </si>
  <si>
    <t>Adjusted opex per passenger - £ 2011/12- with basic exchange rate conversion and factor cost adjustment</t>
  </si>
  <si>
    <t>Staff cost per passenger - £ 2011/12 - with basic exchange rate conversion and factor cost adjustment</t>
  </si>
  <si>
    <t>Total opex per passenger - INDEX - real with exchange rate conversion and factor cost adjustment</t>
  </si>
  <si>
    <t>Ordinary opex per passenger - INDEX - real with exchange rate conversion and factor cost adjustment</t>
  </si>
  <si>
    <t>Adjusted opex per passenger - INDEX- real with exchange rate conversion and factor cost adjustment</t>
  </si>
  <si>
    <t>Staff cost per passenger - INDEX - real with exchange rate conversion and factor cost adjustment</t>
  </si>
  <si>
    <t>Draft version</t>
  </si>
</sst>
</file>

<file path=xl/styles.xml><?xml version="1.0" encoding="utf-8"?>
<styleSheet xmlns="http://schemas.openxmlformats.org/spreadsheetml/2006/main">
  <numFmts count="4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0.0"/>
    <numFmt numFmtId="167" formatCode="&quot;&quot;"/>
    <numFmt numFmtId="168" formatCode="#,##0.00%;[Red]\(#,##0.00%\);&quot;-&quot;"/>
    <numFmt numFmtId="169" formatCode="#,##0;[Red]\(#,##0\);&quot;-&quot;"/>
    <numFmt numFmtId="170" formatCode="#,##0.00;[Red]\(#,##0.00\);&quot;-&quot;"/>
    <numFmt numFmtId="171" formatCode="_(* #,##0_);_(* \(#,##0\)"/>
    <numFmt numFmtId="172" formatCode="mmm\-yyyy"/>
    <numFmt numFmtId="173" formatCode="dd\ mmm\ yy"/>
    <numFmt numFmtId="174" formatCode="#,##0;\(#,##0\)"/>
    <numFmt numFmtId="175" formatCode="#,##0;\-#,##0;\-"/>
    <numFmt numFmtId="176" formatCode="#,##0_ ;[Red]\(#,##0\);\-\ "/>
    <numFmt numFmtId="177" formatCode="#,##0;\(#,##0\);\-"/>
    <numFmt numFmtId="178" formatCode="&quot;þ&quot;;&quot;ý&quot;;&quot;¨&quot;"/>
    <numFmt numFmtId="179" formatCode="&quot;þ&quot;;;&quot;o&quot;;"/>
    <numFmt numFmtId="180" formatCode="#,##0.00\ ;[Red]\(#,##0.00\)"/>
    <numFmt numFmtId="181" formatCode="#,##0_);\(#,##0\);&quot;- &quot;;&quot;  &quot;@"/>
    <numFmt numFmtId="182" formatCode="[Green]&quot;é&quot;;[Red]&quot;ê&quot;;&quot;ù&quot;;"/>
    <numFmt numFmtId="183" formatCode="_([$€-2]* #,##0.00_);_([$€-2]* \(#,##0.00\);_([$€-2]* &quot;-&quot;??_)"/>
    <numFmt numFmtId="184" formatCode="#,##0;\(#,##0\);0"/>
    <numFmt numFmtId="185" formatCode="_(* #,##0.0_%_);_(* \(#,##0.0_%\);_(* &quot; - &quot;_%_);_(@_)"/>
    <numFmt numFmtId="186" formatCode="_(* #,##0.0%_);_(* \(#,##0.0%\);_(* &quot; - &quot;\%_);_(@_)"/>
    <numFmt numFmtId="187" formatCode="_(* #,##0.0_);_(* \(#,##0.0\);_(* &quot; - &quot;_);_(@_)"/>
    <numFmt numFmtId="188" formatCode="_(* #,##0.00_);_(* \(#,##0.00\);_(* &quot; - &quot;_);_(@_)"/>
    <numFmt numFmtId="189" formatCode="_(* #,##0.000_);_(* \(#,##0.000\);_(* &quot; - &quot;_);_(@_)"/>
    <numFmt numFmtId="190" formatCode="#,##0;\(#,##0\);&quot;-&quot;"/>
    <numFmt numFmtId="191" formatCode="#,##0.0000_);\(#,##0.0000\);&quot;- &quot;;&quot;  &quot;@"/>
    <numFmt numFmtId="192" formatCode="#,##0\ ;[Red]\(#,##0\);\-\ "/>
    <numFmt numFmtId="193" formatCode="&quot;Lookup&quot;\ 0"/>
    <numFmt numFmtId="194" formatCode="###0_);\(###0\);&quot;- &quot;;&quot;  &quot;@"/>
    <numFmt numFmtId="195" formatCode="#,##0_ ;\-#,##0\ "/>
    <numFmt numFmtId="196" formatCode="0.0%"/>
    <numFmt numFmtId="197" formatCode="#,##0.000"/>
    <numFmt numFmtId="198" formatCode="0.000"/>
    <numFmt numFmtId="199" formatCode="_-* #,##0.000_-;\-* #,##0.000_-;_-* &quot;-&quot;??_-;_-@_-"/>
    <numFmt numFmtId="200" formatCode="#,##0.0_ ;\-#,##0.0\ "/>
    <numFmt numFmtId="201" formatCode="#,##0.00_ ;\-#,##0.00\ "/>
    <numFmt numFmtId="202" formatCode="dd\.mm\.yy"/>
    <numFmt numFmtId="203" formatCode="0_ ;\-0\ "/>
    <numFmt numFmtId="204" formatCode="_-* #,##0.00000_-;\-* #,##0.00000_-;_-* &quot;-&quot;??_-;_-@_-"/>
  </numFmts>
  <fonts count="93">
    <font>
      <sz val="11"/>
      <color theme="1"/>
      <name val="Calibri"/>
      <family val="2"/>
      <scheme val="minor"/>
    </font>
    <font>
      <sz val="11"/>
      <color theme="1"/>
      <name val="Calibri"/>
      <family val="2"/>
      <scheme val="minor"/>
    </font>
    <font>
      <b/>
      <sz val="11"/>
      <color theme="1"/>
      <name val="Calibri"/>
      <family val="2"/>
      <scheme val="minor"/>
    </font>
    <font>
      <u/>
      <sz val="10"/>
      <color indexed="12"/>
      <name val="Arial"/>
      <family val="2"/>
    </font>
    <font>
      <b/>
      <sz val="10"/>
      <name val="Arial"/>
      <family val="2"/>
    </font>
    <font>
      <sz val="10"/>
      <name val="Arial"/>
      <family val="2"/>
    </font>
    <font>
      <b/>
      <sz val="11"/>
      <color rgb="FFFF0000"/>
      <name val="Calibri"/>
      <family val="2"/>
      <scheme val="minor"/>
    </font>
    <font>
      <b/>
      <sz val="13"/>
      <name val="Arial"/>
      <family val="2"/>
    </font>
    <font>
      <sz val="10"/>
      <color indexed="22"/>
      <name val="Arial"/>
      <family val="2"/>
    </font>
    <font>
      <sz val="8"/>
      <name val="Arial"/>
      <family val="2"/>
    </font>
    <font>
      <b/>
      <sz val="8"/>
      <name val="Arial"/>
      <family val="2"/>
    </font>
    <font>
      <sz val="20"/>
      <color rgb="FFFF0000"/>
      <name val="Arial"/>
      <family val="2"/>
    </font>
    <font>
      <sz val="11"/>
      <name val="Times New Roman"/>
      <family val="1"/>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b/>
      <u val="singleAccounting"/>
      <sz val="11"/>
      <name val="Arial"/>
      <family val="2"/>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indexed="54"/>
      <name val="Arial"/>
      <family val="2"/>
    </font>
    <font>
      <sz val="9"/>
      <color indexed="8"/>
      <name val="Arial"/>
      <family val="2"/>
    </font>
    <font>
      <sz val="10"/>
      <name val="Times New Roman"/>
      <family val="1"/>
    </font>
    <font>
      <sz val="8"/>
      <name val="Helvetica"/>
      <family val="2"/>
    </font>
    <font>
      <sz val="10"/>
      <color indexed="19"/>
      <name val="Arial"/>
      <family val="2"/>
    </font>
    <font>
      <b/>
      <sz val="16"/>
      <color indexed="24"/>
      <name val="Univers 45 Light"/>
      <family val="2"/>
    </font>
    <font>
      <b/>
      <sz val="14"/>
      <name val="Arial"/>
      <family val="2"/>
    </font>
    <font>
      <b/>
      <sz val="10"/>
      <name val="Helv"/>
    </font>
    <font>
      <sz val="10"/>
      <color indexed="10"/>
      <name val="Arial"/>
      <family val="2"/>
    </font>
    <font>
      <b/>
      <sz val="10"/>
      <color indexed="57"/>
      <name val="Arial"/>
      <family val="2"/>
    </font>
    <font>
      <b/>
      <sz val="24"/>
      <name val="Helvetica"/>
      <family val="2"/>
    </font>
    <font>
      <sz val="20"/>
      <color indexed="10"/>
      <name val="Arial"/>
      <family val="2"/>
    </font>
    <font>
      <sz val="9"/>
      <color indexed="81"/>
      <name val="Tahoma"/>
      <family val="2"/>
    </font>
    <font>
      <b/>
      <sz val="48"/>
      <name val="Arial"/>
      <family val="2"/>
    </font>
    <font>
      <b/>
      <sz val="10"/>
      <color theme="1"/>
      <name val="Arial"/>
      <family val="2"/>
    </font>
    <font>
      <sz val="10"/>
      <color theme="1"/>
      <name val="Arial"/>
      <family val="2"/>
    </font>
    <font>
      <sz val="10"/>
      <color theme="1"/>
      <name val="Calibri"/>
      <family val="2"/>
      <scheme val="minor"/>
    </font>
    <font>
      <b/>
      <sz val="10"/>
      <color rgb="FFFF0000"/>
      <name val="Arial"/>
      <family val="2"/>
    </font>
    <font>
      <sz val="10"/>
      <name val="Calibri"/>
      <family val="2"/>
      <scheme val="minor"/>
    </font>
    <font>
      <b/>
      <sz val="10"/>
      <color theme="1"/>
      <name val="Calibri"/>
      <family val="2"/>
      <scheme val="minor"/>
    </font>
    <font>
      <sz val="10"/>
      <color rgb="FFFF0000"/>
      <name val="Arial"/>
      <family val="2"/>
    </font>
    <font>
      <b/>
      <sz val="9"/>
      <color indexed="81"/>
      <name val="Tahoma"/>
      <family val="2"/>
    </font>
    <font>
      <sz val="10"/>
      <name val="Arial"/>
      <family val="2"/>
    </font>
    <font>
      <sz val="10"/>
      <name val="Arial"/>
      <family val="2"/>
    </font>
    <font>
      <sz val="10"/>
      <color theme="0" tint="-0.249977111117893"/>
      <name val="Arial"/>
      <family val="2"/>
    </font>
    <font>
      <sz val="10"/>
      <color theme="0" tint="-0.34998626667073579"/>
      <name val="Arial"/>
      <family val="2"/>
    </font>
    <font>
      <b/>
      <sz val="10"/>
      <color theme="0"/>
      <name val="Arial"/>
      <family val="2"/>
    </font>
    <font>
      <sz val="10"/>
      <color rgb="FFFF0000"/>
      <name val="Calibri"/>
      <family val="2"/>
    </font>
    <font>
      <sz val="10"/>
      <color rgb="FF000000"/>
      <name val="Arial"/>
      <family val="2"/>
    </font>
    <font>
      <b/>
      <sz val="10"/>
      <color rgb="FF000000"/>
      <name val="Arial"/>
      <family val="2"/>
    </font>
    <font>
      <b/>
      <sz val="8"/>
      <color rgb="FF000000"/>
      <name val="Arial"/>
      <family val="2"/>
    </font>
    <font>
      <sz val="10"/>
      <name val="Wingdings"/>
      <charset val="2"/>
    </font>
  </fonts>
  <fills count="36">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theme="3" tint="0.79998168889431442"/>
        <bgColor indexed="64"/>
      </patternFill>
    </fill>
    <fill>
      <patternFill patternType="solid">
        <fgColor theme="9"/>
        <bgColor indexed="64"/>
      </patternFill>
    </fill>
    <fill>
      <patternFill patternType="solid">
        <fgColor rgb="FFFFFFFF"/>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FF99"/>
        <bgColor indexed="64"/>
      </patternFill>
    </fill>
  </fills>
  <borders count="35">
    <border>
      <left/>
      <right/>
      <top/>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s>
  <cellStyleXfs count="153">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5" fillId="0" borderId="0"/>
    <xf numFmtId="168" fontId="12" fillId="4" borderId="0" applyBorder="0">
      <alignment horizontal="center"/>
      <protection locked="0"/>
    </xf>
    <xf numFmtId="168" fontId="12" fillId="0" borderId="0" applyFill="0" applyBorder="0">
      <alignment horizontal="center"/>
    </xf>
    <xf numFmtId="0" fontId="5" fillId="0" borderId="0" applyNumberFormat="0" applyFill="0" applyBorder="0" applyAlignment="0" applyProtection="0"/>
    <xf numFmtId="0" fontId="13" fillId="0" borderId="0" applyFont="0" applyFill="0" applyBorder="0" applyAlignment="0" applyProtection="0"/>
    <xf numFmtId="0" fontId="5" fillId="0" borderId="0" applyFont="0" applyFill="0" applyBorder="0" applyAlignment="0" applyProtection="0"/>
    <xf numFmtId="169" fontId="12" fillId="4" borderId="0" applyBorder="0">
      <alignment horizontal="center"/>
      <protection locked="0"/>
    </xf>
    <xf numFmtId="169" fontId="12" fillId="0" borderId="0" applyFill="0" applyBorder="0">
      <alignment horizontal="center"/>
    </xf>
    <xf numFmtId="170" fontId="12" fillId="4" borderId="0" applyBorder="0">
      <alignment horizontal="center"/>
      <protection locked="0"/>
    </xf>
    <xf numFmtId="170" fontId="12" fillId="0" borderId="0" applyFill="0" applyBorder="0">
      <alignment horizontal="center"/>
    </xf>
    <xf numFmtId="0" fontId="5" fillId="0" borderId="0"/>
    <xf numFmtId="0" fontId="14" fillId="0" borderId="19">
      <alignment horizontal="center" vertical="center"/>
    </xf>
    <xf numFmtId="0" fontId="15" fillId="3" borderId="19"/>
    <xf numFmtId="0" fontId="16" fillId="0" borderId="0" applyFont="0" applyFill="0" applyBorder="0" applyAlignment="0" applyProtection="0"/>
    <xf numFmtId="171" fontId="17" fillId="3" borderId="19" applyBorder="0"/>
    <xf numFmtId="0" fontId="15" fillId="3" borderId="19">
      <alignment horizontal="center"/>
      <protection locked="0"/>
    </xf>
    <xf numFmtId="172" fontId="18" fillId="0" borderId="0" applyNumberFormat="0" applyFont="0" applyAlignment="0">
      <alignment vertical="top"/>
    </xf>
    <xf numFmtId="0" fontId="19" fillId="0" borderId="0"/>
    <xf numFmtId="173" fontId="20" fillId="5" borderId="12">
      <alignment horizontal="center"/>
    </xf>
    <xf numFmtId="174" fontId="5" fillId="6" borderId="20" applyNumberFormat="0">
      <alignment vertical="center"/>
    </xf>
    <xf numFmtId="175" fontId="5" fillId="7" borderId="20" applyNumberFormat="0">
      <alignment vertical="center"/>
    </xf>
    <xf numFmtId="1" fontId="5" fillId="8" borderId="20" applyNumberFormat="0">
      <alignment vertical="center"/>
    </xf>
    <xf numFmtId="174" fontId="5" fillId="8" borderId="20" applyNumberFormat="0">
      <alignment vertical="center"/>
    </xf>
    <xf numFmtId="174" fontId="5" fillId="9" borderId="20" applyNumberFormat="0">
      <alignment vertical="center"/>
    </xf>
    <xf numFmtId="176" fontId="21" fillId="0" borderId="0"/>
    <xf numFmtId="3" fontId="5" fillId="0" borderId="20" applyNumberFormat="0">
      <alignment vertical="center"/>
    </xf>
    <xf numFmtId="177" fontId="22" fillId="10" borderId="20" applyNumberFormat="0" applyFont="0" applyAlignment="0">
      <alignment vertical="center"/>
    </xf>
    <xf numFmtId="174" fontId="22" fillId="11" borderId="20" applyNumberFormat="0">
      <alignment vertical="center"/>
    </xf>
    <xf numFmtId="178" fontId="23" fillId="0" borderId="0" applyFill="0" applyBorder="0" applyProtection="0">
      <alignment horizontal="center" vertical="center"/>
    </xf>
    <xf numFmtId="179" fontId="24" fillId="4" borderId="21">
      <alignment horizontal="center" vertical="center"/>
      <protection locked="0"/>
    </xf>
    <xf numFmtId="179" fontId="25" fillId="0" borderId="0" applyFill="0" applyBorder="0">
      <alignment horizontal="center" vertical="center"/>
    </xf>
    <xf numFmtId="0" fontId="26" fillId="0" borderId="0" applyNumberFormat="0">
      <alignment horizontal="center" wrapText="1"/>
    </xf>
    <xf numFmtId="180" fontId="5" fillId="0" borderId="0" applyFont="0" applyFill="0" applyBorder="0" applyAlignment="0" applyProtection="0"/>
    <xf numFmtId="0" fontId="5" fillId="0" borderId="22" applyFont="0" applyFill="0" applyBorder="0" applyAlignment="0" applyProtection="0">
      <alignment horizontal="right"/>
    </xf>
    <xf numFmtId="0" fontId="27" fillId="0" borderId="0" applyFill="0" applyBorder="0"/>
    <xf numFmtId="174" fontId="28" fillId="12" borderId="0" applyFont="0" applyAlignment="0">
      <alignment vertical="center" wrapText="1"/>
    </xf>
    <xf numFmtId="174" fontId="29" fillId="12" borderId="12" applyNumberFormat="0" applyBorder="0" applyAlignment="0">
      <alignment vertical="center" wrapText="1"/>
    </xf>
    <xf numFmtId="0" fontId="30" fillId="0" borderId="0"/>
    <xf numFmtId="0" fontId="30" fillId="0" borderId="0"/>
    <xf numFmtId="38" fontId="31" fillId="3" borderId="23"/>
    <xf numFmtId="0" fontId="5" fillId="0" borderId="0" applyFont="0" applyFill="0" applyBorder="0" applyAlignment="0" applyProtection="0"/>
    <xf numFmtId="181" fontId="5" fillId="13" borderId="0" applyNumberFormat="0" applyFont="0" applyBorder="0" applyAlignment="0" applyProtection="0"/>
    <xf numFmtId="41" fontId="5" fillId="0" borderId="0" applyFont="0" applyFill="0" applyBorder="0" applyAlignment="0" applyProtection="0"/>
    <xf numFmtId="43" fontId="5" fillId="0" borderId="0" applyFont="0" applyFill="0" applyBorder="0" applyAlignment="0" applyProtection="0"/>
    <xf numFmtId="182" fontId="32" fillId="0" borderId="0" applyFill="0" applyBorder="0">
      <alignment horizontal="center" vertical="center"/>
    </xf>
    <xf numFmtId="183" fontId="5" fillId="0" borderId="0" applyFont="0" applyFill="0" applyBorder="0" applyAlignment="0" applyProtection="0"/>
    <xf numFmtId="0" fontId="5" fillId="14" borderId="24" applyNumberFormat="0">
      <alignment vertical="center"/>
    </xf>
    <xf numFmtId="184" fontId="5" fillId="15" borderId="0" applyNumberFormat="0" applyFont="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85" fontId="35" fillId="0" borderId="0">
      <alignment horizontal="right" vertical="top"/>
    </xf>
    <xf numFmtId="186" fontId="36" fillId="0" borderId="0">
      <alignment horizontal="right" vertical="top"/>
    </xf>
    <xf numFmtId="0" fontId="35" fillId="0" borderId="0">
      <alignment horizontal="right" vertical="top"/>
    </xf>
    <xf numFmtId="0" fontId="36" fillId="0" borderId="0" applyFill="0" applyBorder="0">
      <alignment horizontal="right" vertical="top"/>
    </xf>
    <xf numFmtId="187" fontId="36" fillId="0" borderId="0" applyFill="0" applyBorder="0">
      <alignment horizontal="right" vertical="top"/>
    </xf>
    <xf numFmtId="188" fontId="36" fillId="0" borderId="0" applyFill="0" applyBorder="0">
      <alignment horizontal="right" vertical="top"/>
    </xf>
    <xf numFmtId="189" fontId="36" fillId="0" borderId="0" applyFill="0" applyBorder="0">
      <alignment horizontal="right" vertical="top"/>
    </xf>
    <xf numFmtId="0" fontId="37" fillId="0" borderId="0">
      <alignment horizontal="center" wrapText="1"/>
    </xf>
    <xf numFmtId="190" fontId="38" fillId="0" borderId="0" applyFill="0" applyBorder="0">
      <alignment vertical="top"/>
    </xf>
    <xf numFmtId="190" fontId="39" fillId="0" borderId="0" applyFill="0" applyBorder="0" applyProtection="0">
      <alignment vertical="top"/>
    </xf>
    <xf numFmtId="190" fontId="40" fillId="0" borderId="0">
      <alignment vertical="top"/>
    </xf>
    <xf numFmtId="41" fontId="36" fillId="0" borderId="0" applyFill="0" applyBorder="0" applyAlignment="0" applyProtection="0">
      <alignment horizontal="right" vertical="top"/>
    </xf>
    <xf numFmtId="190" fontId="29" fillId="0" borderId="0"/>
    <xf numFmtId="0" fontId="36" fillId="0" borderId="0" applyFill="0" applyBorder="0">
      <alignment horizontal="left" vertical="top"/>
    </xf>
    <xf numFmtId="191" fontId="5" fillId="0" borderId="0" applyFont="0" applyFill="0" applyBorder="0" applyAlignment="0" applyProtection="0"/>
    <xf numFmtId="177" fontId="4" fillId="0" borderId="0">
      <alignment vertical="top"/>
    </xf>
    <xf numFmtId="0" fontId="5" fillId="9" borderId="25" applyNumberFormat="0">
      <alignment vertical="center"/>
    </xf>
    <xf numFmtId="0" fontId="41" fillId="0" borderId="0" applyNumberFormat="0" applyFill="0" applyBorder="0" applyAlignment="0" applyProtection="0"/>
    <xf numFmtId="0" fontId="30" fillId="0" borderId="0"/>
    <xf numFmtId="181" fontId="42" fillId="0" borderId="0" applyNumberFormat="0" applyFill="0" applyBorder="0" applyAlignment="0" applyProtection="0"/>
    <xf numFmtId="0" fontId="22" fillId="0" borderId="0"/>
    <xf numFmtId="176" fontId="22" fillId="0" borderId="0"/>
    <xf numFmtId="0" fontId="43" fillId="9" borderId="26" applyNumberFormat="0">
      <alignment vertical="center"/>
    </xf>
    <xf numFmtId="184" fontId="44" fillId="0" borderId="0" applyNumberFormat="0" applyFill="0" applyBorder="0" applyAlignment="0" applyProtection="0"/>
    <xf numFmtId="0" fontId="45" fillId="16" borderId="0"/>
    <xf numFmtId="0" fontId="46" fillId="0" borderId="0" applyFill="0" applyBorder="0" applyProtection="0">
      <alignment horizontal="right"/>
    </xf>
    <xf numFmtId="192" fontId="34" fillId="0" borderId="0" applyFont="0" applyBorder="0" applyAlignment="0"/>
    <xf numFmtId="177" fontId="47" fillId="0" borderId="0">
      <alignment vertical="top"/>
    </xf>
    <xf numFmtId="0" fontId="48" fillId="3" borderId="27"/>
    <xf numFmtId="174" fontId="49" fillId="3" borderId="21" applyNumberFormat="0">
      <alignment vertical="center"/>
      <protection locked="0"/>
    </xf>
    <xf numFmtId="0" fontId="49" fillId="17" borderId="21" applyNumberFormat="0">
      <alignment vertical="center"/>
      <protection locked="0"/>
    </xf>
    <xf numFmtId="0" fontId="5" fillId="3" borderId="28" applyNumberFormat="0" applyAlignment="0">
      <protection locked="0"/>
    </xf>
    <xf numFmtId="0" fontId="50" fillId="0" borderId="0" applyNumberFormat="0" applyFill="0" applyBorder="0" applyProtection="0">
      <alignment horizontal="centerContinuous" wrapText="1"/>
    </xf>
    <xf numFmtId="38" fontId="51" fillId="0" borderId="0"/>
    <xf numFmtId="38" fontId="52" fillId="0" borderId="0"/>
    <xf numFmtId="38" fontId="53" fillId="0" borderId="0"/>
    <xf numFmtId="38" fontId="54" fillId="0" borderId="0"/>
    <xf numFmtId="0" fontId="12" fillId="0" borderId="0"/>
    <xf numFmtId="0" fontId="12" fillId="0" borderId="0"/>
    <xf numFmtId="177" fontId="55" fillId="0" borderId="0" applyFont="0">
      <alignment vertical="top"/>
    </xf>
    <xf numFmtId="0" fontId="56" fillId="0" borderId="0" applyNumberFormat="0" applyFill="0" applyBorder="0" applyAlignment="0" applyProtection="0"/>
    <xf numFmtId="193" fontId="57" fillId="0" borderId="0" applyFill="0">
      <alignment horizontal="center"/>
    </xf>
    <xf numFmtId="0" fontId="58" fillId="0" borderId="0" applyNumberForma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59" fillId="0" borderId="0" applyNumberFormat="0" applyFill="0">
      <alignment vertical="center"/>
    </xf>
    <xf numFmtId="0" fontId="5" fillId="0" borderId="0" applyFont="0" applyFill="0" applyBorder="0" applyAlignment="0" applyProtection="0"/>
    <xf numFmtId="0" fontId="5" fillId="0" borderId="0" applyFont="0" applyFill="0" applyBorder="0" applyAlignment="0" applyProtection="0"/>
    <xf numFmtId="0" fontId="49" fillId="6" borderId="29" applyNumberFormat="0" applyFont="0" applyFill="0" applyAlignment="0" applyProtection="0">
      <alignment vertical="center"/>
      <protection locked="0"/>
    </xf>
    <xf numFmtId="0" fontId="60" fillId="0" borderId="0" applyNumberFormat="0" applyBorder="0">
      <alignment horizontal="left" vertical="top"/>
    </xf>
    <xf numFmtId="0" fontId="49" fillId="6" borderId="29" applyNumberFormat="0" applyFont="0" applyFill="0" applyAlignment="0" applyProtection="0">
      <alignment vertical="center"/>
      <protection locked="0"/>
    </xf>
    <xf numFmtId="0" fontId="5" fillId="0" borderId="0"/>
    <xf numFmtId="184" fontId="61" fillId="0" borderId="0" applyNumberFormat="0" applyFill="0" applyBorder="0" applyAlignment="0" applyProtection="0"/>
    <xf numFmtId="194" fontId="5" fillId="0" borderId="0" applyFont="0" applyFill="0" applyBorder="0" applyAlignment="0" applyProtection="0"/>
    <xf numFmtId="0" fontId="5" fillId="0" borderId="19"/>
    <xf numFmtId="0" fontId="5" fillId="0" borderId="0" applyFont="0" applyFill="0" applyBorder="0" applyAlignment="0" applyProtection="0"/>
    <xf numFmtId="14" fontId="5" fillId="0" borderId="0" applyFont="0" applyFill="0" applyBorder="0" applyAlignment="0" applyProtection="0"/>
    <xf numFmtId="0" fontId="5" fillId="0" borderId="0" applyFont="0" applyFill="0" applyBorder="0" applyAlignment="0" applyProtection="0"/>
    <xf numFmtId="171" fontId="62" fillId="0" borderId="19" applyBorder="0"/>
    <xf numFmtId="1" fontId="5" fillId="0" borderId="0" applyFont="0" applyFill="0" applyBorder="0" applyAlignment="0" applyProtection="0"/>
    <xf numFmtId="0" fontId="30" fillId="0" borderId="0"/>
    <xf numFmtId="9" fontId="63" fillId="0" borderId="0" applyFont="0" applyFill="0" applyBorder="0" applyAlignment="0" applyProtection="0"/>
    <xf numFmtId="10" fontId="63" fillId="0" borderId="0" applyFont="0" applyFill="0" applyBorder="0" applyAlignment="0" applyProtection="0"/>
    <xf numFmtId="9" fontId="63" fillId="0" borderId="0" applyFont="0" applyFill="0" applyBorder="0" applyAlignment="0" applyProtection="0"/>
    <xf numFmtId="0" fontId="9" fillId="18" borderId="30" applyNumberFormat="0" applyFont="0" applyBorder="0" applyAlignment="0" applyProtection="0"/>
    <xf numFmtId="0" fontId="5" fillId="0" borderId="0" applyFill="0" applyBorder="0" applyProtection="0">
      <alignment vertical="center"/>
    </xf>
    <xf numFmtId="174" fontId="28" fillId="12" borderId="0">
      <alignment vertical="center"/>
    </xf>
    <xf numFmtId="174" fontId="18" fillId="19" borderId="0"/>
    <xf numFmtId="0" fontId="64" fillId="0" borderId="0" applyNumberFormat="0" applyFill="0" applyBorder="0" applyAlignment="0" applyProtection="0"/>
    <xf numFmtId="0" fontId="22" fillId="20" borderId="20" applyNumberFormat="0">
      <alignment horizontal="center" vertical="center"/>
      <protection locked="0"/>
    </xf>
    <xf numFmtId="0" fontId="5" fillId="21" borderId="0"/>
    <xf numFmtId="0" fontId="5" fillId="0" borderId="0" applyNumberFormat="0" applyFill="0" applyBorder="0" applyAlignment="0" applyProtection="0"/>
    <xf numFmtId="0" fontId="34" fillId="0" borderId="10" applyFont="0" applyFill="0" applyAlignment="0" applyProtection="0"/>
    <xf numFmtId="184" fontId="65" fillId="0" borderId="31" applyNumberFormat="0" applyFont="0" applyFill="0" applyAlignment="0" applyProtection="0"/>
    <xf numFmtId="0" fontId="9" fillId="0" borderId="32" applyNumberFormat="0" applyFont="0" applyFill="0" applyAlignment="0" applyProtection="0">
      <alignment horizontal="right"/>
    </xf>
    <xf numFmtId="0" fontId="34" fillId="0" borderId="0" applyFont="0" applyFill="0" applyBorder="0" applyAlignment="0" applyProtection="0"/>
    <xf numFmtId="174" fontId="28" fillId="22" borderId="0" applyNumberFormat="0">
      <alignment vertical="center"/>
    </xf>
    <xf numFmtId="174" fontId="66" fillId="6" borderId="0" applyNumberFormat="0">
      <alignment vertical="center"/>
    </xf>
    <xf numFmtId="174" fontId="67" fillId="0" borderId="0" applyNumberFormat="0">
      <alignment vertical="center"/>
    </xf>
    <xf numFmtId="174" fontId="18" fillId="0" borderId="0" applyNumberFormat="0">
      <alignment vertical="center"/>
    </xf>
    <xf numFmtId="0" fontId="68" fillId="0" borderId="0">
      <alignment vertical="center"/>
    </xf>
    <xf numFmtId="181" fontId="69" fillId="0" borderId="0" applyNumberFormat="0" applyFill="0" applyBorder="0" applyAlignment="0" applyProtection="0"/>
    <xf numFmtId="184" fontId="65" fillId="0" borderId="33" applyNumberFormat="0" applyFont="0" applyFill="0" applyAlignment="0" applyProtection="0"/>
    <xf numFmtId="0" fontId="34" fillId="0" borderId="34" applyFont="0" applyFill="0" applyAlignment="0" applyProtection="0"/>
    <xf numFmtId="174" fontId="22" fillId="23" borderId="0" applyNumberFormat="0" applyFont="0" applyBorder="0" applyAlignment="0" applyProtection="0"/>
    <xf numFmtId="0" fontId="70" fillId="0" borderId="0">
      <alignment vertical="center"/>
    </xf>
    <xf numFmtId="0" fontId="71" fillId="0" borderId="0" applyNumberForma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16" fillId="0" borderId="0"/>
    <xf numFmtId="0" fontId="5" fillId="24" borderId="0" applyNumberFormat="0" applyFont="0" applyBorder="0" applyAlignment="0" applyProtection="0"/>
    <xf numFmtId="0" fontId="77" fillId="0" borderId="0"/>
    <xf numFmtId="9" fontId="1" fillId="0" borderId="0" applyFont="0" applyFill="0" applyBorder="0" applyAlignment="0" applyProtection="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cellStyleXfs>
  <cellXfs count="406">
    <xf numFmtId="0" fontId="0" fillId="0" borderId="0" xfId="0"/>
    <xf numFmtId="0" fontId="2" fillId="0" borderId="0" xfId="0" applyFont="1"/>
    <xf numFmtId="0" fontId="4" fillId="0" borderId="0" xfId="0" applyFont="1"/>
    <xf numFmtId="0" fontId="4" fillId="0" borderId="0" xfId="0" applyFont="1" applyAlignment="1">
      <alignment horizontal="left"/>
    </xf>
    <xf numFmtId="0" fontId="5" fillId="0" borderId="0" xfId="0" applyFont="1"/>
    <xf numFmtId="0" fontId="5" fillId="0" borderId="0" xfId="3"/>
    <xf numFmtId="0" fontId="5" fillId="2" borderId="4" xfId="3" applyFill="1" applyBorder="1"/>
    <xf numFmtId="0" fontId="7" fillId="2" borderId="3" xfId="3" applyFont="1" applyFill="1" applyBorder="1"/>
    <xf numFmtId="0" fontId="5" fillId="3" borderId="8" xfId="3" applyFill="1" applyBorder="1"/>
    <xf numFmtId="0" fontId="5" fillId="3" borderId="7" xfId="3" applyFill="1" applyBorder="1"/>
    <xf numFmtId="0" fontId="5" fillId="3" borderId="6" xfId="3" applyFill="1" applyBorder="1"/>
    <xf numFmtId="0" fontId="5" fillId="3" borderId="2" xfId="3" applyFill="1" applyBorder="1"/>
    <xf numFmtId="0" fontId="5" fillId="3" borderId="0" xfId="3" applyFill="1" applyBorder="1"/>
    <xf numFmtId="0" fontId="5" fillId="3" borderId="5" xfId="3" applyFill="1" applyBorder="1"/>
    <xf numFmtId="0" fontId="5" fillId="3" borderId="11" xfId="3" applyFill="1" applyBorder="1"/>
    <xf numFmtId="0" fontId="5" fillId="3" borderId="10" xfId="3" applyFill="1" applyBorder="1"/>
    <xf numFmtId="0" fontId="5" fillId="3" borderId="9" xfId="3" applyFill="1" applyBorder="1"/>
    <xf numFmtId="15" fontId="5" fillId="3" borderId="13" xfId="3" applyNumberFormat="1" applyFill="1" applyBorder="1" applyAlignment="1">
      <alignment horizontal="center"/>
    </xf>
    <xf numFmtId="0" fontId="5" fillId="3" borderId="14" xfId="3" applyFill="1" applyBorder="1" applyAlignment="1">
      <alignment horizontal="center"/>
    </xf>
    <xf numFmtId="164" fontId="4" fillId="3" borderId="13" xfId="3" applyNumberFormat="1" applyFont="1" applyFill="1" applyBorder="1" applyAlignment="1">
      <alignment horizontal="center"/>
    </xf>
    <xf numFmtId="164" fontId="4" fillId="3" borderId="6" xfId="3" applyNumberFormat="1" applyFont="1" applyFill="1" applyBorder="1" applyAlignment="1">
      <alignment horizontal="center"/>
    </xf>
    <xf numFmtId="15" fontId="5" fillId="3" borderId="15" xfId="3" applyNumberFormat="1" applyFill="1" applyBorder="1" applyAlignment="1">
      <alignment horizontal="center"/>
    </xf>
    <xf numFmtId="0" fontId="5" fillId="3" borderId="16" xfId="3" applyFill="1" applyBorder="1" applyAlignment="1">
      <alignment horizontal="center"/>
    </xf>
    <xf numFmtId="164" fontId="4" fillId="3" borderId="15" xfId="3" applyNumberFormat="1" applyFont="1" applyFill="1" applyBorder="1" applyAlignment="1">
      <alignment horizontal="center"/>
    </xf>
    <xf numFmtId="164" fontId="4" fillId="3" borderId="5" xfId="3" applyNumberFormat="1" applyFont="1" applyFill="1" applyBorder="1" applyAlignment="1">
      <alignment horizontal="center"/>
    </xf>
    <xf numFmtId="15" fontId="5" fillId="3" borderId="17" xfId="3" applyNumberFormat="1" applyFill="1" applyBorder="1" applyAlignment="1">
      <alignment horizontal="center"/>
    </xf>
    <xf numFmtId="0" fontId="5" fillId="3" borderId="18" xfId="3" applyFill="1" applyBorder="1" applyAlignment="1">
      <alignment horizontal="center"/>
    </xf>
    <xf numFmtId="164" fontId="4" fillId="3" borderId="17" xfId="3" applyNumberFormat="1" applyFont="1" applyFill="1" applyBorder="1" applyAlignment="1">
      <alignment horizontal="center"/>
    </xf>
    <xf numFmtId="164" fontId="4" fillId="3" borderId="9" xfId="3" applyNumberFormat="1" applyFont="1" applyFill="1" applyBorder="1" applyAlignment="1">
      <alignment horizontal="center"/>
    </xf>
    <xf numFmtId="0" fontId="4" fillId="0" borderId="0" xfId="3" applyFont="1" applyAlignment="1">
      <alignment horizontal="centerContinuous"/>
    </xf>
    <xf numFmtId="0" fontId="4" fillId="0" borderId="0" xfId="3" applyFont="1"/>
    <xf numFmtId="0" fontId="4" fillId="0" borderId="0" xfId="3" applyFont="1" applyAlignment="1">
      <alignment horizontal="center"/>
    </xf>
    <xf numFmtId="0" fontId="8" fillId="0" borderId="0" xfId="3" applyFont="1" applyAlignment="1">
      <alignment horizontal="left"/>
    </xf>
    <xf numFmtId="164" fontId="5" fillId="3" borderId="12" xfId="3" quotePrefix="1" applyNumberFormat="1" applyFill="1" applyBorder="1"/>
    <xf numFmtId="0" fontId="5" fillId="0" borderId="0" xfId="3" applyAlignment="1">
      <alignment vertical="top"/>
    </xf>
    <xf numFmtId="0" fontId="5" fillId="0" borderId="0" xfId="3" applyFill="1" applyBorder="1"/>
    <xf numFmtId="0" fontId="5" fillId="3" borderId="8" xfId="3" applyFill="1" applyBorder="1" applyAlignment="1">
      <alignment horizontal="left"/>
    </xf>
    <xf numFmtId="0" fontId="5" fillId="3" borderId="7" xfId="3" applyFill="1" applyBorder="1" applyAlignment="1">
      <alignment horizontal="left"/>
    </xf>
    <xf numFmtId="0" fontId="5" fillId="3" borderId="6" xfId="3" applyFill="1" applyBorder="1" applyAlignment="1">
      <alignment horizontal="left"/>
    </xf>
    <xf numFmtId="0" fontId="5" fillId="3" borderId="2" xfId="3" applyFill="1" applyBorder="1" applyAlignment="1">
      <alignment horizontal="left"/>
    </xf>
    <xf numFmtId="0" fontId="5" fillId="3" borderId="0" xfId="3" applyFill="1" applyBorder="1" applyAlignment="1">
      <alignment horizontal="left"/>
    </xf>
    <xf numFmtId="0" fontId="5" fillId="3" borderId="5" xfId="3" applyFill="1" applyBorder="1" applyAlignment="1">
      <alignment horizontal="left"/>
    </xf>
    <xf numFmtId="0" fontId="5" fillId="3" borderId="11" xfId="3" applyFill="1" applyBorder="1" applyAlignment="1">
      <alignment horizontal="left"/>
    </xf>
    <xf numFmtId="0" fontId="5" fillId="3" borderId="10" xfId="3" applyFill="1" applyBorder="1" applyAlignment="1">
      <alignment horizontal="left"/>
    </xf>
    <xf numFmtId="0" fontId="5" fillId="3" borderId="9" xfId="3" applyFill="1" applyBorder="1" applyAlignment="1">
      <alignment horizontal="left"/>
    </xf>
    <xf numFmtId="0" fontId="5" fillId="2" borderId="7" xfId="3" applyFill="1" applyBorder="1"/>
    <xf numFmtId="167" fontId="9" fillId="2" borderId="7" xfId="3" applyNumberFormat="1" applyFont="1" applyFill="1" applyBorder="1" applyAlignment="1">
      <alignment horizontal="left"/>
    </xf>
    <xf numFmtId="0" fontId="9" fillId="2" borderId="7" xfId="3" applyFont="1" applyFill="1" applyBorder="1"/>
    <xf numFmtId="0" fontId="10" fillId="2" borderId="6" xfId="3" applyFont="1" applyFill="1" applyBorder="1"/>
    <xf numFmtId="0" fontId="5" fillId="2" borderId="0" xfId="3" applyFill="1" applyBorder="1"/>
    <xf numFmtId="164" fontId="9" fillId="2" borderId="0" xfId="3" applyNumberFormat="1" applyFont="1" applyFill="1" applyBorder="1" applyAlignment="1">
      <alignment horizontal="left"/>
    </xf>
    <xf numFmtId="0" fontId="9" fillId="2" borderId="0" xfId="3" applyFont="1" applyFill="1" applyBorder="1"/>
    <xf numFmtId="0" fontId="10" fillId="2" borderId="5" xfId="3" applyFont="1" applyFill="1" applyBorder="1"/>
    <xf numFmtId="167" fontId="9" fillId="2" borderId="0" xfId="3" applyNumberFormat="1" applyFont="1" applyFill="1" applyBorder="1" applyAlignment="1">
      <alignment horizontal="left"/>
    </xf>
    <xf numFmtId="0" fontId="5" fillId="2" borderId="10" xfId="3" applyFill="1" applyBorder="1"/>
    <xf numFmtId="167" fontId="9" fillId="2" borderId="10" xfId="3" applyNumberFormat="1" applyFont="1" applyFill="1" applyBorder="1" applyAlignment="1">
      <alignment horizontal="left"/>
    </xf>
    <xf numFmtId="0" fontId="9" fillId="2" borderId="10" xfId="3" applyFont="1" applyFill="1" applyBorder="1"/>
    <xf numFmtId="0" fontId="10" fillId="2" borderId="9" xfId="3" applyFont="1" applyFill="1" applyBorder="1"/>
    <xf numFmtId="0" fontId="11" fillId="0" borderId="0" xfId="3" applyFont="1"/>
    <xf numFmtId="0" fontId="72" fillId="0" borderId="0" xfId="3" applyFont="1"/>
    <xf numFmtId="0" fontId="5" fillId="0" borderId="0" xfId="3" applyFill="1"/>
    <xf numFmtId="0" fontId="9" fillId="2" borderId="0" xfId="3" applyFont="1" applyFill="1" applyBorder="1" applyAlignment="1">
      <alignment horizontal="left"/>
    </xf>
    <xf numFmtId="0" fontId="74" fillId="2" borderId="0" xfId="3" applyFont="1" applyFill="1" applyBorder="1"/>
    <xf numFmtId="0" fontId="9" fillId="2" borderId="0" xfId="3" applyNumberFormat="1" applyFont="1" applyFill="1" applyBorder="1" applyAlignment="1">
      <alignment horizontal="left"/>
    </xf>
    <xf numFmtId="0" fontId="7" fillId="0" borderId="0" xfId="3" applyFont="1" applyFill="1" applyBorder="1"/>
    <xf numFmtId="0" fontId="4" fillId="0" borderId="0" xfId="3" applyFont="1" applyFill="1" applyBorder="1"/>
    <xf numFmtId="0" fontId="5" fillId="0" borderId="0" xfId="3" applyFont="1" applyAlignment="1">
      <alignment horizontal="center" vertical="center"/>
    </xf>
    <xf numFmtId="0" fontId="75" fillId="0" borderId="0" xfId="0" applyFont="1" applyBorder="1"/>
    <xf numFmtId="14" fontId="5" fillId="0" borderId="0" xfId="3" applyNumberFormat="1"/>
    <xf numFmtId="0" fontId="4" fillId="0" borderId="0" xfId="3" applyFont="1" applyAlignment="1">
      <alignment horizontal="center" vertical="center"/>
    </xf>
    <xf numFmtId="0" fontId="75" fillId="0" borderId="0" xfId="0" applyFont="1" applyFill="1" applyBorder="1"/>
    <xf numFmtId="0" fontId="3" fillId="0" borderId="0" xfId="2" applyFont="1" applyAlignment="1" applyProtection="1"/>
    <xf numFmtId="0" fontId="76" fillId="0" borderId="0" xfId="0" applyFont="1"/>
    <xf numFmtId="0" fontId="76" fillId="0" borderId="0" xfId="0" applyFont="1" applyAlignment="1">
      <alignment wrapText="1"/>
    </xf>
    <xf numFmtId="0" fontId="76" fillId="0" borderId="1" xfId="0" applyFont="1" applyBorder="1" applyAlignment="1">
      <alignment wrapText="1"/>
    </xf>
    <xf numFmtId="0" fontId="76" fillId="0" borderId="1" xfId="0" applyFont="1" applyBorder="1" applyAlignment="1">
      <alignment horizontal="right"/>
    </xf>
    <xf numFmtId="164" fontId="76" fillId="0" borderId="0" xfId="0" applyNumberFormat="1" applyFont="1"/>
    <xf numFmtId="0" fontId="4" fillId="0" borderId="0" xfId="3" applyFont="1" applyFill="1" applyAlignment="1">
      <alignment horizontal="center" vertical="center"/>
    </xf>
    <xf numFmtId="0" fontId="78" fillId="0" borderId="0" xfId="3" applyFont="1"/>
    <xf numFmtId="3" fontId="4" fillId="0" borderId="0" xfId="3" applyNumberFormat="1" applyFont="1"/>
    <xf numFmtId="3" fontId="5" fillId="26" borderId="0" xfId="3" applyNumberFormat="1" applyFill="1" applyAlignment="1">
      <alignment horizontal="center" vertical="center"/>
    </xf>
    <xf numFmtId="0" fontId="5" fillId="0" borderId="0" xfId="3" applyFill="1" applyAlignment="1">
      <alignment horizontal="center" vertical="center"/>
    </xf>
    <xf numFmtId="165" fontId="5" fillId="0" borderId="0" xfId="1" applyNumberFormat="1" applyFont="1"/>
    <xf numFmtId="0" fontId="5" fillId="0" borderId="0" xfId="3" applyAlignment="1">
      <alignment horizontal="center" vertical="center"/>
    </xf>
    <xf numFmtId="0" fontId="10" fillId="2" borderId="10" xfId="3" applyFont="1" applyFill="1" applyBorder="1"/>
    <xf numFmtId="0" fontId="10" fillId="2" borderId="0" xfId="3" applyFont="1" applyFill="1" applyBorder="1"/>
    <xf numFmtId="0" fontId="10" fillId="2" borderId="7" xfId="3" applyFont="1" applyFill="1" applyBorder="1"/>
    <xf numFmtId="0" fontId="7" fillId="2" borderId="4" xfId="3" applyFont="1" applyFill="1" applyBorder="1"/>
    <xf numFmtId="0" fontId="6" fillId="0" borderId="0" xfId="0" applyFont="1"/>
    <xf numFmtId="3" fontId="5" fillId="25" borderId="0" xfId="3" applyNumberFormat="1" applyFill="1" applyAlignment="1">
      <alignment horizontal="center" vertical="center"/>
    </xf>
    <xf numFmtId="0" fontId="5" fillId="0" borderId="0" xfId="3" applyFont="1"/>
    <xf numFmtId="0" fontId="5" fillId="2" borderId="10" xfId="3" applyFont="1" applyFill="1" applyBorder="1"/>
    <xf numFmtId="0" fontId="5" fillId="2" borderId="0" xfId="3" applyFont="1" applyFill="1" applyBorder="1"/>
    <xf numFmtId="0" fontId="5" fillId="2" borderId="7" xfId="3" applyFont="1" applyFill="1" applyBorder="1"/>
    <xf numFmtId="0" fontId="5" fillId="2" borderId="4" xfId="3" applyFont="1" applyFill="1" applyBorder="1"/>
    <xf numFmtId="3" fontId="5" fillId="26" borderId="0" xfId="3" applyNumberFormat="1" applyFont="1" applyFill="1" applyAlignment="1">
      <alignment horizontal="center" vertical="center"/>
    </xf>
    <xf numFmtId="0" fontId="80" fillId="0" borderId="0" xfId="0" applyFont="1" applyAlignment="1">
      <alignment horizontal="center" vertical="center"/>
    </xf>
    <xf numFmtId="3" fontId="5" fillId="25" borderId="0" xfId="3" applyNumberFormat="1" applyFont="1" applyFill="1" applyAlignment="1">
      <alignment horizontal="center" vertical="center"/>
    </xf>
    <xf numFmtId="0" fontId="2" fillId="27" borderId="0" xfId="0" applyFont="1" applyFill="1"/>
    <xf numFmtId="0" fontId="4" fillId="27" borderId="0" xfId="3" applyFont="1" applyFill="1"/>
    <xf numFmtId="0" fontId="78" fillId="2" borderId="4" xfId="3" applyFont="1" applyFill="1" applyBorder="1"/>
    <xf numFmtId="0" fontId="81" fillId="0" borderId="0" xfId="3" applyFont="1"/>
    <xf numFmtId="3" fontId="5" fillId="0" borderId="0" xfId="3" applyNumberFormat="1" applyFont="1" applyAlignment="1">
      <alignment horizontal="center" vertical="center"/>
    </xf>
    <xf numFmtId="3" fontId="5" fillId="0" borderId="0" xfId="3" applyNumberFormat="1" applyAlignment="1">
      <alignment horizontal="center" vertical="center"/>
    </xf>
    <xf numFmtId="3" fontId="5" fillId="0" borderId="0" xfId="1" applyNumberFormat="1" applyFont="1" applyFill="1" applyAlignment="1">
      <alignment horizontal="center" vertical="center"/>
    </xf>
    <xf numFmtId="2" fontId="5" fillId="0" borderId="0" xfId="3" applyNumberFormat="1"/>
    <xf numFmtId="0" fontId="4" fillId="0" borderId="0" xfId="3" applyFont="1" applyFill="1"/>
    <xf numFmtId="165" fontId="5" fillId="0" borderId="0" xfId="1" applyNumberFormat="1" applyFont="1" applyAlignment="1">
      <alignment horizontal="center" vertical="center"/>
    </xf>
    <xf numFmtId="0" fontId="78" fillId="0" borderId="0" xfId="3" applyFont="1" applyFill="1"/>
    <xf numFmtId="4" fontId="5" fillId="0" borderId="0" xfId="3" applyNumberFormat="1" applyFill="1" applyAlignment="1">
      <alignment horizontal="center" vertical="center"/>
    </xf>
    <xf numFmtId="4" fontId="5" fillId="0" borderId="0" xfId="3" applyNumberFormat="1" applyAlignment="1">
      <alignment horizontal="center" vertical="center"/>
    </xf>
    <xf numFmtId="0" fontId="76" fillId="0" borderId="0" xfId="0" applyFont="1" applyBorder="1"/>
    <xf numFmtId="0" fontId="76" fillId="0" borderId="1" xfId="0" applyFont="1" applyBorder="1" applyAlignment="1">
      <alignment horizontal="center" vertical="center"/>
    </xf>
    <xf numFmtId="164" fontId="76" fillId="0" borderId="1" xfId="0" applyNumberFormat="1" applyFont="1" applyBorder="1" applyAlignment="1">
      <alignment horizontal="center" vertical="center" wrapText="1"/>
    </xf>
    <xf numFmtId="3" fontId="4" fillId="0" borderId="0" xfId="3" applyNumberFormat="1" applyFont="1" applyFill="1"/>
    <xf numFmtId="2" fontId="76" fillId="29" borderId="0" xfId="0" applyNumberFormat="1" applyFont="1" applyFill="1"/>
    <xf numFmtId="164" fontId="76" fillId="0" borderId="0" xfId="0" applyNumberFormat="1" applyFont="1" applyAlignment="1">
      <alignment horizontal="center" vertical="center"/>
    </xf>
    <xf numFmtId="164" fontId="76" fillId="29" borderId="0" xfId="0" applyNumberFormat="1" applyFont="1" applyFill="1" applyBorder="1" applyAlignment="1">
      <alignment horizontal="center" vertical="center"/>
    </xf>
    <xf numFmtId="164" fontId="76" fillId="0" borderId="0" xfId="0" applyNumberFormat="1" applyFont="1" applyBorder="1" applyAlignment="1">
      <alignment horizontal="center" vertical="center"/>
    </xf>
    <xf numFmtId="0" fontId="76" fillId="0" borderId="0" xfId="0" applyFont="1" applyBorder="1" applyAlignment="1">
      <alignment horizontal="center" vertical="center"/>
    </xf>
    <xf numFmtId="164" fontId="76" fillId="0" borderId="0" xfId="0" applyNumberFormat="1" applyFont="1" applyBorder="1" applyAlignment="1">
      <alignment horizontal="center" vertical="center" wrapText="1"/>
    </xf>
    <xf numFmtId="164" fontId="76" fillId="29" borderId="1" xfId="0" applyNumberFormat="1" applyFont="1" applyFill="1" applyBorder="1" applyAlignment="1">
      <alignment horizontal="center" vertical="center"/>
    </xf>
    <xf numFmtId="0" fontId="4" fillId="28" borderId="0" xfId="3" applyFont="1" applyFill="1"/>
    <xf numFmtId="3" fontId="5" fillId="0" borderId="0" xfId="1" applyNumberFormat="1" applyFont="1"/>
    <xf numFmtId="1" fontId="4" fillId="0" borderId="0" xfId="3" applyNumberFormat="1" applyFont="1"/>
    <xf numFmtId="3" fontId="5" fillId="0" borderId="0" xfId="1" applyNumberFormat="1" applyFont="1" applyFill="1"/>
    <xf numFmtId="3" fontId="5" fillId="0" borderId="0" xfId="3" applyNumberFormat="1" applyFont="1"/>
    <xf numFmtId="165" fontId="5" fillId="0" borderId="0" xfId="1" applyNumberFormat="1" applyFont="1" applyAlignment="1"/>
    <xf numFmtId="3" fontId="5" fillId="28" borderId="0" xfId="1" applyNumberFormat="1" applyFont="1" applyFill="1"/>
    <xf numFmtId="3" fontId="5" fillId="28" borderId="0" xfId="3" applyNumberFormat="1" applyFont="1" applyFill="1"/>
    <xf numFmtId="174" fontId="5" fillId="28" borderId="0" xfId="3" applyNumberFormat="1" applyFont="1" applyFill="1"/>
    <xf numFmtId="3" fontId="5" fillId="0" borderId="0" xfId="3" applyNumberFormat="1" applyFont="1" applyFill="1"/>
    <xf numFmtId="174" fontId="5" fillId="0" borderId="0" xfId="3" applyNumberFormat="1" applyFont="1" applyFill="1"/>
    <xf numFmtId="0" fontId="5" fillId="0" borderId="0" xfId="3" applyFont="1" applyFill="1"/>
    <xf numFmtId="0" fontId="5" fillId="28" borderId="0" xfId="3" applyFont="1" applyFill="1"/>
    <xf numFmtId="3" fontId="5" fillId="0" borderId="0" xfId="3" applyNumberFormat="1" applyFont="1" applyFill="1" applyAlignment="1">
      <alignment horizontal="center" vertical="center"/>
    </xf>
    <xf numFmtId="0" fontId="5" fillId="0" borderId="0" xfId="3" applyFont="1" applyBorder="1"/>
    <xf numFmtId="0" fontId="5" fillId="0" borderId="0" xfId="3" applyFont="1" applyFill="1" applyBorder="1"/>
    <xf numFmtId="0" fontId="76" fillId="0" borderId="0" xfId="0" applyFont="1" applyFill="1" applyBorder="1"/>
    <xf numFmtId="0" fontId="5" fillId="0" borderId="0" xfId="3" applyFont="1" applyFill="1" applyAlignment="1">
      <alignment horizontal="center" vertical="center"/>
    </xf>
    <xf numFmtId="3" fontId="76" fillId="26" borderId="0" xfId="0" applyNumberFormat="1" applyFont="1" applyFill="1" applyBorder="1" applyAlignment="1">
      <alignment horizontal="center" vertical="center"/>
    </xf>
    <xf numFmtId="3" fontId="76" fillId="0" borderId="0" xfId="0" applyNumberFormat="1" applyFont="1" applyFill="1" applyBorder="1" applyAlignment="1">
      <alignment horizontal="center" vertical="center"/>
    </xf>
    <xf numFmtId="2" fontId="5" fillId="0" borderId="0" xfId="3" applyNumberFormat="1" applyFont="1" applyFill="1"/>
    <xf numFmtId="1" fontId="5" fillId="0" borderId="0" xfId="3" applyNumberFormat="1" applyFont="1" applyFill="1"/>
    <xf numFmtId="1" fontId="5" fillId="0" borderId="0" xfId="3" applyNumberFormat="1" applyFont="1"/>
    <xf numFmtId="0" fontId="69" fillId="0" borderId="0" xfId="3" applyFont="1"/>
    <xf numFmtId="0" fontId="5" fillId="2" borderId="9" xfId="3" applyFont="1" applyFill="1" applyBorder="1"/>
    <xf numFmtId="167" fontId="5" fillId="2" borderId="10" xfId="3" applyNumberFormat="1" applyFont="1" applyFill="1" applyBorder="1" applyAlignment="1">
      <alignment horizontal="left"/>
    </xf>
    <xf numFmtId="0" fontId="5" fillId="2" borderId="5" xfId="3" applyFont="1" applyFill="1" applyBorder="1"/>
    <xf numFmtId="167" fontId="5" fillId="2" borderId="0" xfId="3" applyNumberFormat="1" applyFont="1" applyFill="1" applyBorder="1" applyAlignment="1">
      <alignment horizontal="left"/>
    </xf>
    <xf numFmtId="0" fontId="5" fillId="2" borderId="0" xfId="3" applyNumberFormat="1" applyFont="1" applyFill="1" applyBorder="1" applyAlignment="1">
      <alignment horizontal="left"/>
    </xf>
    <xf numFmtId="0" fontId="5" fillId="2" borderId="6" xfId="3" applyFont="1" applyFill="1" applyBorder="1"/>
    <xf numFmtId="167" fontId="5" fillId="2" borderId="7" xfId="3" applyNumberFormat="1" applyFont="1" applyFill="1" applyBorder="1" applyAlignment="1">
      <alignment horizontal="left"/>
    </xf>
    <xf numFmtId="0" fontId="5" fillId="2" borderId="3" xfId="3" applyFont="1" applyFill="1" applyBorder="1"/>
    <xf numFmtId="0" fontId="76" fillId="0" borderId="0" xfId="0" applyFont="1" applyFill="1" applyBorder="1" applyAlignment="1">
      <alignment horizontal="center" vertical="center"/>
    </xf>
    <xf numFmtId="3" fontId="76" fillId="30" borderId="0" xfId="0" applyNumberFormat="1" applyFont="1" applyFill="1" applyBorder="1" applyAlignment="1">
      <alignment horizontal="center" vertical="center"/>
    </xf>
    <xf numFmtId="174" fontId="5" fillId="0" borderId="0" xfId="0" applyNumberFormat="1" applyFont="1" applyFill="1" applyBorder="1" applyAlignment="1" applyProtection="1">
      <alignment vertical="center"/>
    </xf>
    <xf numFmtId="174" fontId="76" fillId="0" borderId="0" xfId="0" applyNumberFormat="1" applyFont="1" applyProtection="1"/>
    <xf numFmtId="3" fontId="76" fillId="31" borderId="0" xfId="0" applyNumberFormat="1" applyFont="1" applyFill="1" applyBorder="1" applyAlignment="1">
      <alignment horizontal="center" vertical="center"/>
    </xf>
    <xf numFmtId="3" fontId="76" fillId="25" borderId="0" xfId="0" applyNumberFormat="1" applyFont="1" applyFill="1" applyBorder="1" applyAlignment="1">
      <alignment horizontal="center" vertical="center"/>
    </xf>
    <xf numFmtId="3" fontId="85" fillId="0" borderId="0" xfId="0" applyNumberFormat="1" applyFont="1" applyFill="1" applyBorder="1" applyAlignment="1">
      <alignment horizontal="center" vertical="center"/>
    </xf>
    <xf numFmtId="3" fontId="76" fillId="28" borderId="0" xfId="0" applyNumberFormat="1" applyFont="1" applyFill="1" applyBorder="1" applyAlignment="1">
      <alignment horizontal="center" vertical="center"/>
    </xf>
    <xf numFmtId="9" fontId="76" fillId="25" borderId="0" xfId="0" applyNumberFormat="1" applyFont="1" applyFill="1" applyBorder="1" applyAlignment="1">
      <alignment horizontal="center" vertical="center"/>
    </xf>
    <xf numFmtId="3" fontId="5" fillId="26" borderId="0" xfId="3" applyNumberFormat="1" applyFont="1" applyFill="1" applyBorder="1" applyAlignment="1">
      <alignment horizontal="center" vertical="center"/>
    </xf>
    <xf numFmtId="9" fontId="75" fillId="28" borderId="0" xfId="0" applyNumberFormat="1" applyFont="1" applyFill="1" applyBorder="1" applyAlignment="1">
      <alignment horizontal="center" vertical="center"/>
    </xf>
    <xf numFmtId="166" fontId="76" fillId="26" borderId="0" xfId="0" applyNumberFormat="1" applyFont="1" applyFill="1" applyBorder="1" applyAlignment="1">
      <alignment horizontal="center" vertical="center"/>
    </xf>
    <xf numFmtId="0" fontId="77" fillId="0" borderId="0" xfId="0" applyFont="1" applyBorder="1"/>
    <xf numFmtId="0" fontId="75" fillId="0" borderId="0" xfId="0" applyFont="1" applyFill="1" applyBorder="1" applyAlignment="1">
      <alignment horizontal="center" vertical="center"/>
    </xf>
    <xf numFmtId="0" fontId="76" fillId="28" borderId="0" xfId="0" applyFont="1" applyFill="1" applyBorder="1"/>
    <xf numFmtId="4" fontId="76" fillId="26" borderId="0" xfId="0" applyNumberFormat="1" applyFont="1" applyFill="1" applyBorder="1" applyAlignment="1">
      <alignment horizontal="center" vertical="center"/>
    </xf>
    <xf numFmtId="2" fontId="5" fillId="26" borderId="0" xfId="3" applyNumberFormat="1" applyFont="1" applyFill="1" applyAlignment="1">
      <alignment horizontal="center" vertical="center"/>
    </xf>
    <xf numFmtId="0" fontId="76" fillId="0" borderId="0" xfId="0" applyFont="1" applyBorder="1" applyAlignment="1">
      <alignment horizontal="right"/>
    </xf>
    <xf numFmtId="198" fontId="76" fillId="0" borderId="0" xfId="0" applyNumberFormat="1" applyFont="1"/>
    <xf numFmtId="0" fontId="4" fillId="0" borderId="0" xfId="3" applyNumberFormat="1" applyFont="1"/>
    <xf numFmtId="3" fontId="5" fillId="28" borderId="0" xfId="0" applyNumberFormat="1" applyFont="1" applyFill="1" applyBorder="1" applyAlignment="1">
      <alignment horizontal="center" vertical="center"/>
    </xf>
    <xf numFmtId="3" fontId="86"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0" fontId="5" fillId="28" borderId="0" xfId="3" applyFont="1" applyFill="1" applyBorder="1"/>
    <xf numFmtId="0" fontId="75" fillId="28" borderId="0" xfId="0" applyFont="1" applyFill="1" applyBorder="1"/>
    <xf numFmtId="0" fontId="85" fillId="0" borderId="0" xfId="3" applyFont="1"/>
    <xf numFmtId="3" fontId="76" fillId="0" borderId="0" xfId="0" applyNumberFormat="1" applyFont="1" applyFill="1" applyBorder="1"/>
    <xf numFmtId="0" fontId="86" fillId="0" borderId="0" xfId="0" applyFont="1" applyFill="1" applyBorder="1" applyAlignment="1">
      <alignment horizontal="center" vertical="center"/>
    </xf>
    <xf numFmtId="0" fontId="86" fillId="0" borderId="0" xfId="3" applyFont="1"/>
    <xf numFmtId="3" fontId="85" fillId="0" borderId="0" xfId="1" applyNumberFormat="1" applyFont="1"/>
    <xf numFmtId="1" fontId="85" fillId="0" borderId="0" xfId="3" applyNumberFormat="1" applyFont="1"/>
    <xf numFmtId="3" fontId="5" fillId="28" borderId="0" xfId="3" applyNumberFormat="1" applyFont="1" applyFill="1" applyAlignment="1">
      <alignment horizontal="center" vertical="center"/>
    </xf>
    <xf numFmtId="174" fontId="76" fillId="0" borderId="0" xfId="0" applyNumberFormat="1" applyFont="1" applyFill="1" applyProtection="1"/>
    <xf numFmtId="3" fontId="4" fillId="0" borderId="0" xfId="3" applyNumberFormat="1" applyFont="1" applyFill="1" applyAlignment="1">
      <alignment horizontal="center" vertical="center"/>
    </xf>
    <xf numFmtId="0" fontId="86" fillId="0" borderId="0" xfId="3" applyFont="1" applyAlignment="1">
      <alignment horizontal="center" vertical="center"/>
    </xf>
    <xf numFmtId="3" fontId="5" fillId="30" borderId="0" xfId="3" applyNumberFormat="1" applyFont="1" applyFill="1" applyAlignment="1">
      <alignment horizontal="center" vertical="center"/>
    </xf>
    <xf numFmtId="3" fontId="4" fillId="28" borderId="0" xfId="3" applyNumberFormat="1" applyFont="1" applyFill="1" applyAlignment="1">
      <alignment horizontal="center" vertical="center"/>
    </xf>
    <xf numFmtId="3" fontId="5" fillId="29" borderId="0" xfId="3" applyNumberFormat="1" applyFont="1" applyFill="1" applyBorder="1" applyAlignment="1">
      <alignment horizontal="center" vertical="center"/>
    </xf>
    <xf numFmtId="4" fontId="5" fillId="26" borderId="0" xfId="3" applyNumberFormat="1" applyFont="1" applyFill="1" applyAlignment="1">
      <alignment horizontal="center" vertical="center"/>
    </xf>
    <xf numFmtId="166" fontId="76" fillId="0" borderId="0" xfId="0" applyNumberFormat="1" applyFont="1" applyFill="1" applyBorder="1" applyAlignment="1">
      <alignment horizontal="center" vertical="center"/>
    </xf>
    <xf numFmtId="166" fontId="76" fillId="25" borderId="0" xfId="0" applyNumberFormat="1" applyFont="1" applyFill="1" applyBorder="1" applyAlignment="1">
      <alignment horizontal="center" vertical="center"/>
    </xf>
    <xf numFmtId="3" fontId="5" fillId="0" borderId="0" xfId="3" applyNumberFormat="1" applyFont="1" applyFill="1" applyBorder="1" applyAlignment="1">
      <alignment horizontal="center" vertical="center"/>
    </xf>
    <xf numFmtId="0" fontId="75" fillId="0" borderId="0" xfId="0" applyFont="1" applyBorder="1" applyAlignment="1">
      <alignment horizontal="center" vertical="center"/>
    </xf>
    <xf numFmtId="166" fontId="76" fillId="28" borderId="0" xfId="0" applyNumberFormat="1" applyFont="1" applyFill="1" applyBorder="1" applyAlignment="1">
      <alignment horizontal="center" vertical="center"/>
    </xf>
    <xf numFmtId="9" fontId="76" fillId="0" borderId="0" xfId="0" applyNumberFormat="1" applyFont="1" applyFill="1" applyBorder="1" applyAlignment="1">
      <alignment horizontal="center" vertical="center"/>
    </xf>
    <xf numFmtId="9" fontId="5" fillId="26" borderId="0" xfId="145" applyFont="1" applyFill="1" applyAlignment="1">
      <alignment horizontal="center" vertical="center"/>
    </xf>
    <xf numFmtId="197" fontId="5" fillId="0" borderId="0" xfId="3" applyNumberFormat="1" applyFont="1"/>
    <xf numFmtId="0" fontId="5" fillId="28" borderId="0" xfId="3" applyFill="1"/>
    <xf numFmtId="196" fontId="5" fillId="0" borderId="0" xfId="3" applyNumberFormat="1" applyFont="1"/>
    <xf numFmtId="196" fontId="5" fillId="25" borderId="0" xfId="3" applyNumberFormat="1" applyFont="1" applyFill="1" applyAlignment="1">
      <alignment horizontal="center" vertical="center"/>
    </xf>
    <xf numFmtId="196" fontId="5" fillId="0" borderId="0" xfId="3" applyNumberFormat="1" applyFont="1" applyFill="1" applyAlignment="1">
      <alignment horizontal="center" vertical="center"/>
    </xf>
    <xf numFmtId="3" fontId="5" fillId="27" borderId="0" xfId="3" applyNumberFormat="1" applyFont="1" applyFill="1"/>
    <xf numFmtId="2" fontId="5" fillId="0" borderId="0" xfId="3" applyNumberFormat="1" applyFont="1" applyAlignment="1">
      <alignment horizontal="center" vertical="center"/>
    </xf>
    <xf numFmtId="3" fontId="5" fillId="27" borderId="0" xfId="3" applyNumberFormat="1" applyFont="1" applyFill="1" applyAlignment="1">
      <alignment horizontal="center" vertical="center"/>
    </xf>
    <xf numFmtId="2" fontId="5" fillId="0" borderId="0" xfId="3" applyNumberFormat="1" applyFont="1"/>
    <xf numFmtId="4" fontId="5" fillId="25" borderId="0" xfId="3" applyNumberFormat="1" applyFont="1" applyFill="1" applyAlignment="1">
      <alignment horizontal="center" vertical="center"/>
    </xf>
    <xf numFmtId="2" fontId="5" fillId="25" borderId="0" xfId="3" applyNumberFormat="1" applyFont="1" applyFill="1" applyAlignment="1">
      <alignment horizontal="center" vertical="center"/>
    </xf>
    <xf numFmtId="3" fontId="5" fillId="0" borderId="0" xfId="3" applyNumberFormat="1" applyFont="1" applyFill="1" applyBorder="1"/>
    <xf numFmtId="196" fontId="5" fillId="0" borderId="0" xfId="3" applyNumberFormat="1" applyFont="1" applyFill="1" applyBorder="1" applyAlignment="1">
      <alignment horizontal="center" vertical="center"/>
    </xf>
    <xf numFmtId="2" fontId="5" fillId="0" borderId="0" xfId="3" applyNumberFormat="1" applyFont="1" applyFill="1" applyAlignment="1">
      <alignment horizontal="center" vertical="center"/>
    </xf>
    <xf numFmtId="2" fontId="76" fillId="0" borderId="0" xfId="0" applyNumberFormat="1" applyFont="1" applyFill="1" applyBorder="1" applyAlignment="1">
      <alignment horizontal="center" vertical="center"/>
    </xf>
    <xf numFmtId="9" fontId="75" fillId="0" borderId="0" xfId="0" applyNumberFormat="1" applyFont="1" applyFill="1" applyBorder="1" applyAlignment="1">
      <alignment horizontal="center" vertical="center"/>
    </xf>
    <xf numFmtId="0" fontId="81" fillId="28" borderId="0" xfId="3" applyFont="1" applyFill="1"/>
    <xf numFmtId="165" fontId="5" fillId="0" borderId="0" xfId="1" applyNumberFormat="1" applyFont="1" applyFill="1" applyAlignment="1"/>
    <xf numFmtId="9" fontId="5" fillId="0" borderId="0" xfId="145" applyFont="1"/>
    <xf numFmtId="0" fontId="4" fillId="0" borderId="0" xfId="3" applyFont="1" applyFill="1" applyAlignment="1">
      <alignment horizontal="center" vertical="center" wrapText="1"/>
    </xf>
    <xf numFmtId="200" fontId="5" fillId="0" borderId="0" xfId="3" applyNumberFormat="1" applyFont="1" applyAlignment="1">
      <alignment horizontal="center" vertical="center"/>
    </xf>
    <xf numFmtId="165" fontId="5" fillId="0" borderId="0" xfId="3" applyNumberFormat="1" applyFont="1" applyAlignment="1">
      <alignment horizontal="center" vertical="center"/>
    </xf>
    <xf numFmtId="195" fontId="5" fillId="0" borderId="0" xfId="3" applyNumberFormat="1" applyFont="1" applyAlignment="1">
      <alignment horizontal="center" vertical="center"/>
    </xf>
    <xf numFmtId="201" fontId="5" fillId="0" borderId="0" xfId="3" applyNumberFormat="1" applyFont="1" applyAlignment="1">
      <alignment horizontal="center" vertical="center"/>
    </xf>
    <xf numFmtId="9" fontId="5" fillId="0" borderId="0" xfId="145" applyFont="1" applyAlignment="1">
      <alignment horizontal="center" vertical="center"/>
    </xf>
    <xf numFmtId="0" fontId="4" fillId="0" borderId="0" xfId="3" applyFont="1" applyAlignment="1">
      <alignment horizontal="center" vertical="center" wrapText="1"/>
    </xf>
    <xf numFmtId="4" fontId="5" fillId="0" borderId="0" xfId="3" applyNumberFormat="1" applyFont="1" applyAlignment="1">
      <alignment horizontal="center" vertical="center"/>
    </xf>
    <xf numFmtId="2" fontId="4" fillId="0" borderId="0" xfId="3" applyNumberFormat="1" applyFont="1" applyAlignment="1">
      <alignment horizontal="center" vertical="center"/>
    </xf>
    <xf numFmtId="43" fontId="4" fillId="0" borderId="0" xfId="1" applyFont="1" applyAlignment="1">
      <alignment horizontal="center" vertical="center"/>
    </xf>
    <xf numFmtId="3" fontId="4" fillId="0" borderId="0" xfId="3" applyNumberFormat="1" applyFont="1" applyAlignment="1">
      <alignment horizontal="center" vertical="center"/>
    </xf>
    <xf numFmtId="165" fontId="4" fillId="0" borderId="0" xfId="1" applyNumberFormat="1" applyFont="1" applyAlignment="1">
      <alignment horizontal="center" vertical="center"/>
    </xf>
    <xf numFmtId="0" fontId="5" fillId="0" borderId="0" xfId="0" applyNumberFormat="1" applyFont="1" applyFill="1" applyBorder="1" applyAlignment="1"/>
    <xf numFmtId="202" fontId="5" fillId="0" borderId="0" xfId="0" applyNumberFormat="1" applyFont="1" applyFill="1" applyBorder="1" applyAlignment="1"/>
    <xf numFmtId="0" fontId="0" fillId="0" borderId="0" xfId="0"/>
    <xf numFmtId="3" fontId="4" fillId="28" borderId="0" xfId="3" applyNumberFormat="1" applyFont="1" applyFill="1"/>
    <xf numFmtId="0" fontId="77" fillId="28" borderId="0" xfId="0" applyFont="1" applyFill="1"/>
    <xf numFmtId="0" fontId="5" fillId="28" borderId="0" xfId="3" applyFill="1" applyAlignment="1">
      <alignment horizontal="center" vertical="center"/>
    </xf>
    <xf numFmtId="0" fontId="79" fillId="28" borderId="0" xfId="3" applyFont="1" applyFill="1"/>
    <xf numFmtId="0" fontId="5" fillId="0" borderId="0" xfId="3" applyFont="1" applyBorder="1" applyAlignment="1">
      <alignment horizontal="left" vertical="center"/>
    </xf>
    <xf numFmtId="0" fontId="4" fillId="28" borderId="0" xfId="0" applyFont="1" applyFill="1" applyBorder="1" applyAlignment="1">
      <alignment horizontal="center" vertical="center"/>
    </xf>
    <xf numFmtId="4" fontId="5" fillId="0" borderId="0" xfId="3" applyNumberFormat="1"/>
    <xf numFmtId="3" fontId="76" fillId="0" borderId="0" xfId="0" applyNumberFormat="1" applyFont="1" applyBorder="1" applyAlignment="1">
      <alignment vertical="center"/>
    </xf>
    <xf numFmtId="3" fontId="76" fillId="0" borderId="0" xfId="0" applyNumberFormat="1" applyFont="1" applyBorder="1" applyAlignment="1">
      <alignment horizontal="center" vertical="center"/>
    </xf>
    <xf numFmtId="9" fontId="76" fillId="28" borderId="0" xfId="0" applyNumberFormat="1" applyFont="1" applyFill="1" applyBorder="1" applyAlignment="1">
      <alignment horizontal="center" vertical="center"/>
    </xf>
    <xf numFmtId="9" fontId="76" fillId="25" borderId="0" xfId="145" applyFont="1" applyFill="1" applyBorder="1" applyAlignment="1">
      <alignment horizontal="center" vertical="center"/>
    </xf>
    <xf numFmtId="3" fontId="75" fillId="0" borderId="0" xfId="0" applyNumberFormat="1" applyFont="1" applyBorder="1" applyAlignment="1">
      <alignment vertical="center"/>
    </xf>
    <xf numFmtId="3" fontId="75" fillId="0" borderId="0" xfId="0" applyNumberFormat="1" applyFont="1" applyBorder="1" applyAlignment="1">
      <alignment horizontal="center" vertical="center"/>
    </xf>
    <xf numFmtId="9" fontId="5" fillId="0" borderId="0" xfId="145" applyFont="1" applyFill="1" applyBorder="1"/>
    <xf numFmtId="0" fontId="76" fillId="0" borderId="0" xfId="0" applyFont="1" applyAlignment="1">
      <alignment horizontal="center" vertical="center"/>
    </xf>
    <xf numFmtId="196" fontId="5" fillId="0" borderId="0" xfId="145" applyNumberFormat="1" applyFont="1" applyAlignment="1">
      <alignment horizontal="center" vertical="center"/>
    </xf>
    <xf numFmtId="196" fontId="5" fillId="0" borderId="0" xfId="3" applyNumberFormat="1" applyFont="1" applyAlignment="1">
      <alignment horizontal="center" vertical="center"/>
    </xf>
    <xf numFmtId="0" fontId="76" fillId="0" borderId="0" xfId="0" applyFont="1" applyBorder="1" applyAlignment="1">
      <alignment horizontal="left" vertical="center"/>
    </xf>
    <xf numFmtId="0" fontId="76" fillId="0" borderId="0" xfId="0" applyFont="1" applyAlignment="1">
      <alignment horizontal="left" vertical="center"/>
    </xf>
    <xf numFmtId="0" fontId="5" fillId="0" borderId="0" xfId="3" applyFont="1" applyAlignment="1">
      <alignment horizontal="left" vertical="center"/>
    </xf>
    <xf numFmtId="0" fontId="5" fillId="2" borderId="10" xfId="3" applyFill="1" applyBorder="1" applyAlignment="1">
      <alignment horizontal="center" vertical="center"/>
    </xf>
    <xf numFmtId="0" fontId="5" fillId="2" borderId="0" xfId="3" applyFill="1" applyBorder="1" applyAlignment="1">
      <alignment horizontal="center" vertical="center"/>
    </xf>
    <xf numFmtId="0" fontId="5" fillId="2" borderId="7" xfId="3" applyFill="1" applyBorder="1" applyAlignment="1">
      <alignment horizontal="center" vertical="center"/>
    </xf>
    <xf numFmtId="0" fontId="5" fillId="2" borderId="4" xfId="3" applyFill="1" applyBorder="1" applyAlignment="1">
      <alignment horizontal="center" vertical="center"/>
    </xf>
    <xf numFmtId="0" fontId="5" fillId="0" borderId="0" xfId="3" applyFill="1" applyBorder="1" applyAlignment="1">
      <alignment horizontal="center" vertical="center"/>
    </xf>
    <xf numFmtId="9" fontId="76" fillId="0" borderId="0" xfId="145" applyFont="1" applyFill="1" applyBorder="1" applyAlignment="1">
      <alignment horizontal="center" vertical="center"/>
    </xf>
    <xf numFmtId="43" fontId="5" fillId="0" borderId="0" xfId="3" applyNumberFormat="1"/>
    <xf numFmtId="4" fontId="5" fillId="0" borderId="0" xfId="3" applyNumberFormat="1" applyFont="1"/>
    <xf numFmtId="0" fontId="0" fillId="0" borderId="0" xfId="0"/>
    <xf numFmtId="43" fontId="5" fillId="0" borderId="0" xfId="1" applyFont="1" applyFill="1" applyBorder="1"/>
    <xf numFmtId="0" fontId="76" fillId="0" borderId="0" xfId="0" applyFont="1" applyFill="1" applyBorder="1" applyAlignment="1">
      <alignment horizontal="left" vertical="center"/>
    </xf>
    <xf numFmtId="9" fontId="5" fillId="26" borderId="0" xfId="145" applyFont="1" applyFill="1" applyBorder="1" applyAlignment="1">
      <alignment horizontal="center" vertical="center"/>
    </xf>
    <xf numFmtId="0" fontId="81" fillId="2" borderId="4" xfId="3" applyFont="1" applyFill="1" applyBorder="1"/>
    <xf numFmtId="0" fontId="75" fillId="0" borderId="0" xfId="0" applyFont="1" applyFill="1" applyBorder="1" applyAlignment="1">
      <alignment horizontal="right" wrapText="1"/>
    </xf>
    <xf numFmtId="0" fontId="75" fillId="2" borderId="9" xfId="0" applyFont="1" applyFill="1" applyBorder="1"/>
    <xf numFmtId="0" fontId="76" fillId="2" borderId="10" xfId="0" applyFont="1" applyFill="1" applyBorder="1"/>
    <xf numFmtId="167" fontId="76" fillId="2" borderId="10" xfId="0" applyNumberFormat="1" applyFont="1" applyFill="1" applyBorder="1" applyAlignment="1">
      <alignment horizontal="left"/>
    </xf>
    <xf numFmtId="0" fontId="75" fillId="2" borderId="5" xfId="0" applyFont="1" applyFill="1" applyBorder="1"/>
    <xf numFmtId="0" fontId="76" fillId="2" borderId="0" xfId="0" applyFont="1" applyFill="1" applyBorder="1"/>
    <xf numFmtId="167" fontId="76" fillId="2" borderId="0" xfId="0" applyNumberFormat="1" applyFont="1" applyFill="1" applyBorder="1" applyAlignment="1">
      <alignment horizontal="left"/>
    </xf>
    <xf numFmtId="0" fontId="76" fillId="2" borderId="0" xfId="0" applyNumberFormat="1" applyFont="1" applyFill="1" applyBorder="1" applyAlignment="1">
      <alignment horizontal="left"/>
    </xf>
    <xf numFmtId="0" fontId="75" fillId="2" borderId="6" xfId="0" applyFont="1" applyFill="1" applyBorder="1"/>
    <xf numFmtId="0" fontId="76" fillId="2" borderId="7" xfId="0" applyFont="1" applyFill="1" applyBorder="1"/>
    <xf numFmtId="167" fontId="76" fillId="2" borderId="7" xfId="0" applyNumberFormat="1" applyFont="1" applyFill="1" applyBorder="1" applyAlignment="1">
      <alignment horizontal="left"/>
    </xf>
    <xf numFmtId="0" fontId="75" fillId="2" borderId="3" xfId="0" applyFont="1" applyFill="1" applyBorder="1"/>
    <xf numFmtId="0" fontId="76" fillId="2" borderId="4" xfId="0" applyFont="1" applyFill="1" applyBorder="1"/>
    <xf numFmtId="199" fontId="76" fillId="0" borderId="0" xfId="1" applyNumberFormat="1" applyFont="1"/>
    <xf numFmtId="2" fontId="76" fillId="0" borderId="0" xfId="0" applyNumberFormat="1" applyFont="1"/>
    <xf numFmtId="0" fontId="75" fillId="2" borderId="10" xfId="0" applyFont="1" applyFill="1" applyBorder="1"/>
    <xf numFmtId="0" fontId="75" fillId="2" borderId="0" xfId="0" applyFont="1" applyFill="1" applyBorder="1"/>
    <xf numFmtId="0" fontId="75" fillId="2" borderId="7" xfId="0" applyFont="1" applyFill="1" applyBorder="1"/>
    <xf numFmtId="0" fontId="75" fillId="2" borderId="4" xfId="0" applyFont="1" applyFill="1" applyBorder="1"/>
    <xf numFmtId="0" fontId="75" fillId="0" borderId="0" xfId="0" applyFont="1"/>
    <xf numFmtId="14" fontId="76" fillId="0" borderId="0" xfId="0" applyNumberFormat="1" applyFont="1"/>
    <xf numFmtId="1" fontId="76" fillId="0" borderId="0" xfId="0" applyNumberFormat="1" applyFont="1" applyAlignment="1">
      <alignment horizontal="center" vertical="center"/>
    </xf>
    <xf numFmtId="2" fontId="76" fillId="0" borderId="0" xfId="0" applyNumberFormat="1" applyFont="1" applyAlignment="1">
      <alignment horizontal="center" vertical="center"/>
    </xf>
    <xf numFmtId="0" fontId="75" fillId="0" borderId="0" xfId="0" applyFont="1" applyAlignment="1">
      <alignment horizontal="center" vertical="center"/>
    </xf>
    <xf numFmtId="43" fontId="76" fillId="0" borderId="0" xfId="1" applyNumberFormat="1" applyFont="1"/>
    <xf numFmtId="165" fontId="76" fillId="0" borderId="0" xfId="1" applyNumberFormat="1" applyFont="1"/>
    <xf numFmtId="43" fontId="76" fillId="0" borderId="0" xfId="1" applyFont="1" applyAlignment="1">
      <alignment horizontal="center" vertical="center"/>
    </xf>
    <xf numFmtId="165" fontId="76" fillId="0" borderId="0" xfId="1" applyNumberFormat="1" applyFont="1" applyAlignment="1">
      <alignment horizontal="center" vertical="center"/>
    </xf>
    <xf numFmtId="43" fontId="5" fillId="0" borderId="0" xfId="1" applyFont="1"/>
    <xf numFmtId="0" fontId="76" fillId="0" borderId="0" xfId="0" applyFont="1"/>
    <xf numFmtId="0" fontId="76" fillId="0" borderId="0" xfId="0" applyFont="1"/>
    <xf numFmtId="165" fontId="5" fillId="0" borderId="0" xfId="3" applyNumberFormat="1" applyFont="1"/>
    <xf numFmtId="165" fontId="5" fillId="0" borderId="0" xfId="1" applyNumberFormat="1" applyFont="1" applyFill="1"/>
    <xf numFmtId="165" fontId="4" fillId="0" borderId="0" xfId="1" applyNumberFormat="1" applyFont="1"/>
    <xf numFmtId="165" fontId="4" fillId="0" borderId="0" xfId="1" applyNumberFormat="1" applyFont="1" applyFill="1"/>
    <xf numFmtId="165" fontId="4" fillId="28" borderId="0" xfId="1" applyNumberFormat="1" applyFont="1" applyFill="1"/>
    <xf numFmtId="165" fontId="86" fillId="0" borderId="0" xfId="1" applyNumberFormat="1" applyFont="1"/>
    <xf numFmtId="165" fontId="5" fillId="30" borderId="0" xfId="1" applyNumberFormat="1" applyFont="1" applyFill="1"/>
    <xf numFmtId="165" fontId="5" fillId="25" borderId="0" xfId="1" applyNumberFormat="1" applyFont="1" applyFill="1"/>
    <xf numFmtId="165" fontId="5" fillId="0" borderId="0" xfId="1" applyNumberFormat="1" applyFont="1" applyFill="1" applyAlignment="1">
      <alignment horizontal="center" vertical="center"/>
    </xf>
    <xf numFmtId="195" fontId="5" fillId="0" borderId="0" xfId="3" applyNumberFormat="1" applyFont="1"/>
    <xf numFmtId="0" fontId="4" fillId="2" borderId="9" xfId="3" applyFont="1" applyFill="1" applyBorder="1"/>
    <xf numFmtId="0" fontId="4" fillId="2" borderId="10" xfId="3" applyFont="1" applyFill="1" applyBorder="1"/>
    <xf numFmtId="0" fontId="4" fillId="2" borderId="5" xfId="3" applyFont="1" applyFill="1" applyBorder="1"/>
    <xf numFmtId="0" fontId="4" fillId="2" borderId="0" xfId="3" applyFont="1" applyFill="1" applyBorder="1"/>
    <xf numFmtId="0" fontId="4" fillId="2" borderId="6" xfId="3" applyFont="1" applyFill="1" applyBorder="1"/>
    <xf numFmtId="0" fontId="4" fillId="2" borderId="7" xfId="3" applyFont="1" applyFill="1" applyBorder="1"/>
    <xf numFmtId="0" fontId="4" fillId="2" borderId="3" xfId="3" applyFont="1" applyFill="1" applyBorder="1"/>
    <xf numFmtId="0" fontId="4" fillId="2" borderId="4" xfId="3" applyFont="1" applyFill="1" applyBorder="1"/>
    <xf numFmtId="0" fontId="76" fillId="0" borderId="0" xfId="0" applyNumberFormat="1" applyFont="1"/>
    <xf numFmtId="0" fontId="76" fillId="0" borderId="0" xfId="0" applyNumberFormat="1" applyFont="1" applyAlignment="1">
      <alignment horizontal="center" vertical="center"/>
    </xf>
    <xf numFmtId="3" fontId="76" fillId="0" borderId="0" xfId="0" applyNumberFormat="1" applyFont="1"/>
    <xf numFmtId="0" fontId="75" fillId="27" borderId="0" xfId="0" applyFont="1" applyFill="1"/>
    <xf numFmtId="195" fontId="76" fillId="0" borderId="0" xfId="1" applyNumberFormat="1" applyFont="1"/>
    <xf numFmtId="196" fontId="5" fillId="26" borderId="0" xfId="145" applyNumberFormat="1" applyFont="1" applyFill="1" applyAlignment="1">
      <alignment horizontal="center" vertical="center"/>
    </xf>
    <xf numFmtId="196" fontId="5" fillId="26" borderId="0" xfId="3" applyNumberFormat="1" applyFont="1" applyFill="1" applyAlignment="1">
      <alignment horizontal="center" vertical="center"/>
    </xf>
    <xf numFmtId="0" fontId="75" fillId="0" borderId="0" xfId="0" applyFont="1" applyFill="1" applyAlignment="1">
      <alignment horizontal="center" vertical="center"/>
    </xf>
    <xf numFmtId="4" fontId="5" fillId="0" borderId="0" xfId="3" applyNumberFormat="1" applyFont="1" applyFill="1" applyAlignment="1">
      <alignment horizontal="center" vertical="center"/>
    </xf>
    <xf numFmtId="4" fontId="5" fillId="0" borderId="0" xfId="3" applyNumberFormat="1" applyFont="1" applyFill="1" applyBorder="1" applyAlignment="1">
      <alignment horizontal="center" vertical="center"/>
    </xf>
    <xf numFmtId="0" fontId="75" fillId="33" borderId="0" xfId="0" applyFont="1" applyFill="1"/>
    <xf numFmtId="43" fontId="76" fillId="33" borderId="0" xfId="1" applyNumberFormat="1" applyFont="1" applyFill="1"/>
    <xf numFmtId="0" fontId="76" fillId="33" borderId="0" xfId="0" applyFont="1" applyFill="1"/>
    <xf numFmtId="2" fontId="76" fillId="33" borderId="0" xfId="0" applyNumberFormat="1" applyFont="1" applyFill="1"/>
    <xf numFmtId="0" fontId="5" fillId="27" borderId="5" xfId="3" applyFill="1" applyBorder="1"/>
    <xf numFmtId="0" fontId="5" fillId="27" borderId="0" xfId="3" applyFill="1" applyBorder="1"/>
    <xf numFmtId="0" fontId="5" fillId="27" borderId="2" xfId="3" applyFill="1" applyBorder="1"/>
    <xf numFmtId="0" fontId="5" fillId="30" borderId="5" xfId="3" applyFill="1" applyBorder="1"/>
    <xf numFmtId="0" fontId="5" fillId="30" borderId="0" xfId="3" applyFill="1" applyBorder="1"/>
    <xf numFmtId="0" fontId="5" fillId="30" borderId="2" xfId="3" applyFill="1" applyBorder="1"/>
    <xf numFmtId="165" fontId="5" fillId="25" borderId="0" xfId="1" applyNumberFormat="1" applyFont="1" applyFill="1" applyAlignment="1">
      <alignment horizontal="center" vertical="center"/>
    </xf>
    <xf numFmtId="0" fontId="5" fillId="25" borderId="0" xfId="3" applyFill="1"/>
    <xf numFmtId="4" fontId="5" fillId="25" borderId="0" xfId="3" applyNumberFormat="1" applyFill="1" applyAlignment="1">
      <alignment horizontal="center" vertical="center"/>
    </xf>
    <xf numFmtId="4" fontId="5" fillId="26" borderId="0" xfId="3" applyNumberFormat="1" applyFill="1" applyAlignment="1">
      <alignment horizontal="center" vertical="center"/>
    </xf>
    <xf numFmtId="4" fontId="5" fillId="26" borderId="0" xfId="0" applyNumberFormat="1" applyFont="1" applyFill="1" applyBorder="1" applyAlignment="1">
      <alignment horizontal="center" vertical="center"/>
    </xf>
    <xf numFmtId="9" fontId="5" fillId="25" borderId="0" xfId="145" applyFont="1" applyFill="1" applyAlignment="1">
      <alignment horizontal="center" vertical="center"/>
    </xf>
    <xf numFmtId="43" fontId="5" fillId="25" borderId="0" xfId="1" applyNumberFormat="1" applyFont="1" applyFill="1" applyAlignment="1">
      <alignment horizontal="center" vertical="center"/>
    </xf>
    <xf numFmtId="43" fontId="5" fillId="25" borderId="0" xfId="1" applyNumberFormat="1" applyFont="1" applyFill="1"/>
    <xf numFmtId="4" fontId="5" fillId="25" borderId="0" xfId="3" applyNumberFormat="1" applyFill="1"/>
    <xf numFmtId="4" fontId="5" fillId="25" borderId="0" xfId="3" applyNumberFormat="1" applyFont="1" applyFill="1" applyBorder="1" applyAlignment="1">
      <alignment horizontal="center" vertical="center"/>
    </xf>
    <xf numFmtId="195" fontId="5" fillId="0" borderId="0" xfId="1" applyNumberFormat="1" applyFont="1" applyFill="1" applyAlignment="1">
      <alignment horizontal="center" vertical="center"/>
    </xf>
    <xf numFmtId="0" fontId="76" fillId="0" borderId="0" xfId="0" applyFont="1"/>
    <xf numFmtId="0" fontId="3" fillId="0" borderId="0" xfId="2" applyAlignment="1" applyProtection="1"/>
    <xf numFmtId="0" fontId="89" fillId="32" borderId="0" xfId="0" applyFont="1" applyFill="1" applyBorder="1" applyAlignment="1">
      <alignment horizontal="center" vertical="center" wrapText="1"/>
    </xf>
    <xf numFmtId="0" fontId="0" fillId="32" borderId="0" xfId="0" applyFill="1" applyBorder="1"/>
    <xf numFmtId="0" fontId="90" fillId="32" borderId="0" xfId="0" applyFont="1" applyFill="1" applyBorder="1" applyAlignment="1">
      <alignment horizontal="left" vertical="top" wrapText="1" indent="1"/>
    </xf>
    <xf numFmtId="0" fontId="91" fillId="32" borderId="0" xfId="0" applyFont="1" applyFill="1" applyBorder="1" applyAlignment="1">
      <alignment horizontal="left" vertical="top" wrapText="1" indent="1"/>
    </xf>
    <xf numFmtId="0" fontId="91" fillId="0" borderId="0" xfId="0" applyFont="1" applyFill="1" applyBorder="1" applyAlignment="1">
      <alignment horizontal="left" vertical="top" wrapText="1" indent="1"/>
    </xf>
    <xf numFmtId="0" fontId="89" fillId="0" borderId="0" xfId="0" applyFont="1" applyFill="1" applyBorder="1" applyAlignment="1">
      <alignment horizontal="center" vertical="center" wrapText="1"/>
    </xf>
    <xf numFmtId="174" fontId="5" fillId="28" borderId="0" xfId="0" applyNumberFormat="1" applyFont="1" applyFill="1" applyBorder="1" applyAlignment="1" applyProtection="1">
      <alignment vertical="center"/>
    </xf>
    <xf numFmtId="3" fontId="5" fillId="0" borderId="0" xfId="1" applyNumberFormat="1" applyFont="1" applyAlignment="1">
      <alignment horizontal="center"/>
    </xf>
    <xf numFmtId="3" fontId="5" fillId="30" borderId="0" xfId="1" applyNumberFormat="1" applyFont="1" applyFill="1"/>
    <xf numFmtId="3" fontId="5" fillId="0" borderId="0" xfId="1" applyNumberFormat="1" applyFont="1" applyAlignment="1">
      <alignment horizontal="center" vertical="center"/>
    </xf>
    <xf numFmtId="195" fontId="5" fillId="0" borderId="0" xfId="1" applyNumberFormat="1" applyFont="1" applyAlignment="1">
      <alignment horizontal="center" vertical="center"/>
    </xf>
    <xf numFmtId="203" fontId="5" fillId="0" borderId="0" xfId="1" applyNumberFormat="1" applyFont="1"/>
    <xf numFmtId="203" fontId="5" fillId="0" borderId="0" xfId="3" applyNumberFormat="1" applyFont="1"/>
    <xf numFmtId="9" fontId="5" fillId="0" borderId="0" xfId="145" applyFont="1" applyFill="1" applyAlignment="1">
      <alignment horizontal="center" vertical="center"/>
    </xf>
    <xf numFmtId="4" fontId="5" fillId="30" borderId="0" xfId="3" applyNumberFormat="1" applyFill="1" applyAlignment="1">
      <alignment horizontal="center" vertical="center"/>
    </xf>
    <xf numFmtId="9" fontId="5" fillId="34" borderId="0" xfId="145" applyFont="1" applyFill="1" applyAlignment="1">
      <alignment horizontal="center" vertical="center"/>
    </xf>
    <xf numFmtId="165" fontId="5" fillId="25" borderId="0" xfId="3" applyNumberFormat="1" applyFill="1"/>
    <xf numFmtId="3" fontId="5" fillId="30" borderId="0" xfId="3" applyNumberFormat="1" applyFont="1" applyFill="1"/>
    <xf numFmtId="165" fontId="76" fillId="0" borderId="0" xfId="1" applyNumberFormat="1" applyFont="1" applyFill="1" applyBorder="1" applyAlignment="1">
      <alignment horizontal="center" vertical="center"/>
    </xf>
    <xf numFmtId="3" fontId="5" fillId="25" borderId="0" xfId="3" applyNumberFormat="1" applyFont="1" applyFill="1"/>
    <xf numFmtId="204" fontId="5" fillId="0" borderId="0" xfId="1" applyNumberFormat="1" applyFont="1"/>
    <xf numFmtId="43" fontId="5" fillId="0" borderId="0" xfId="1" applyNumberFormat="1" applyFont="1"/>
    <xf numFmtId="0" fontId="76" fillId="0" borderId="0" xfId="0" applyFont="1" applyFill="1"/>
    <xf numFmtId="3" fontId="76" fillId="0" borderId="0" xfId="0" applyNumberFormat="1" applyFont="1" applyAlignment="1">
      <alignment horizontal="center" vertical="center"/>
    </xf>
    <xf numFmtId="2" fontId="5" fillId="0" borderId="0" xfId="1" applyNumberFormat="1" applyFont="1" applyFill="1" applyAlignment="1">
      <alignment horizontal="center" vertical="center"/>
    </xf>
    <xf numFmtId="0" fontId="3" fillId="0" borderId="0" xfId="2" applyFill="1" applyBorder="1" applyAlignment="1" applyProtection="1"/>
    <xf numFmtId="10" fontId="5" fillId="0" borderId="0" xfId="3" applyNumberFormat="1"/>
    <xf numFmtId="3" fontId="5" fillId="30" borderId="0" xfId="3" applyNumberFormat="1" applyFill="1" applyAlignment="1">
      <alignment horizontal="center" vertical="center"/>
    </xf>
    <xf numFmtId="9" fontId="5" fillId="0" borderId="0" xfId="145" applyNumberFormat="1" applyFont="1"/>
    <xf numFmtId="0" fontId="5" fillId="35" borderId="5" xfId="3" applyFill="1" applyBorder="1"/>
    <xf numFmtId="0" fontId="5" fillId="35" borderId="0" xfId="3" applyFill="1" applyBorder="1"/>
    <xf numFmtId="0" fontId="5" fillId="35" borderId="2" xfId="3" applyFill="1" applyBorder="1"/>
    <xf numFmtId="0" fontId="5" fillId="0" borderId="0" xfId="3" applyFont="1" applyFill="1" applyBorder="1" applyAlignment="1">
      <alignment horizontal="left" vertical="center"/>
    </xf>
    <xf numFmtId="0" fontId="3" fillId="35" borderId="0" xfId="2" applyFill="1" applyAlignment="1" applyProtection="1"/>
    <xf numFmtId="0" fontId="3" fillId="3" borderId="5" xfId="2" applyFill="1" applyBorder="1" applyAlignment="1" applyProtection="1">
      <alignment horizontal="left"/>
    </xf>
    <xf numFmtId="9" fontId="5" fillId="0" borderId="0" xfId="3" applyNumberFormat="1" applyFont="1" applyFill="1" applyBorder="1" applyAlignment="1">
      <alignment horizontal="center" vertical="center"/>
    </xf>
    <xf numFmtId="196" fontId="5" fillId="25" borderId="0" xfId="3" applyNumberFormat="1" applyFont="1" applyFill="1" applyBorder="1" applyAlignment="1">
      <alignment horizontal="center" vertical="center"/>
    </xf>
    <xf numFmtId="0" fontId="5" fillId="0" borderId="0" xfId="3" applyFont="1" applyBorder="1" applyAlignment="1">
      <alignment horizontal="center" vertical="center"/>
    </xf>
    <xf numFmtId="0" fontId="5" fillId="0" borderId="0" xfId="3" applyFont="1" applyFill="1" applyBorder="1" applyAlignment="1">
      <alignment horizontal="center" vertical="center"/>
    </xf>
    <xf numFmtId="196" fontId="5" fillId="0" borderId="0" xfId="3" applyNumberFormat="1" applyFont="1" applyBorder="1" applyAlignment="1">
      <alignment horizontal="center" vertical="center"/>
    </xf>
    <xf numFmtId="3" fontId="5" fillId="27" borderId="0" xfId="3" applyNumberFormat="1" applyFont="1" applyFill="1" applyBorder="1" applyAlignment="1">
      <alignment horizontal="center" vertical="center"/>
    </xf>
    <xf numFmtId="196" fontId="5" fillId="0" borderId="0" xfId="3" applyNumberFormat="1" applyFont="1" applyBorder="1"/>
    <xf numFmtId="3" fontId="5" fillId="30" borderId="0" xfId="3" applyNumberFormat="1" applyFont="1" applyFill="1" applyBorder="1" applyAlignment="1">
      <alignment horizontal="center" vertical="center"/>
    </xf>
    <xf numFmtId="3" fontId="5" fillId="0" borderId="0" xfId="3" applyNumberFormat="1" applyFont="1" applyBorder="1"/>
    <xf numFmtId="2" fontId="5" fillId="0" borderId="0" xfId="3" applyNumberFormat="1" applyFont="1" applyBorder="1" applyAlignment="1">
      <alignment horizontal="center" vertical="center"/>
    </xf>
    <xf numFmtId="3" fontId="5" fillId="25" borderId="0" xfId="3" applyNumberFormat="1" applyFont="1" applyFill="1" applyBorder="1" applyAlignment="1">
      <alignment horizontal="center" vertical="center"/>
    </xf>
    <xf numFmtId="0" fontId="4" fillId="28" borderId="0" xfId="3" applyFont="1" applyFill="1" applyBorder="1" applyAlignment="1">
      <alignment horizontal="center" vertical="center"/>
    </xf>
    <xf numFmtId="9" fontId="5" fillId="0" borderId="0" xfId="3" applyNumberFormat="1" applyFont="1" applyFill="1" applyAlignment="1">
      <alignment horizontal="center" vertical="center"/>
    </xf>
    <xf numFmtId="196" fontId="5" fillId="0" borderId="0" xfId="3" applyNumberFormat="1" applyFont="1" applyFill="1"/>
    <xf numFmtId="0" fontId="4" fillId="28" borderId="0" xfId="3" applyFont="1" applyFill="1" applyBorder="1"/>
    <xf numFmtId="0" fontId="87" fillId="0" borderId="0" xfId="3" applyFont="1" applyFill="1" applyBorder="1"/>
    <xf numFmtId="196" fontId="5" fillId="0" borderId="0" xfId="3" applyNumberFormat="1" applyFont="1" applyFill="1" applyBorder="1"/>
    <xf numFmtId="3" fontId="5" fillId="28" borderId="0" xfId="3" applyNumberFormat="1" applyFont="1" applyFill="1" applyBorder="1" applyAlignment="1">
      <alignment horizontal="center" vertical="center"/>
    </xf>
    <xf numFmtId="0" fontId="5" fillId="26" borderId="9" xfId="3" applyFill="1" applyBorder="1"/>
    <xf numFmtId="0" fontId="5" fillId="26" borderId="10" xfId="3" applyFill="1" applyBorder="1"/>
    <xf numFmtId="0" fontId="5" fillId="26" borderId="11" xfId="3" applyFill="1" applyBorder="1"/>
    <xf numFmtId="0" fontId="5" fillId="35" borderId="0" xfId="3" applyFill="1"/>
  </cellXfs>
  <cellStyles count="153">
    <cellStyle name="%_2DP_in" xfId="4"/>
    <cellStyle name="%_2DP_out" xfId="5"/>
    <cellStyle name="_example template 14" xfId="6"/>
    <cellStyle name="£'000" xfId="7"/>
    <cellStyle name="£k" xfId="8"/>
    <cellStyle name="0_DP_in" xfId="9"/>
    <cellStyle name="0_DP_out" xfId="10"/>
    <cellStyle name="2_DP_in" xfId="11"/>
    <cellStyle name="2_DP_out" xfId="12"/>
    <cellStyle name="AA Nombre" xfId="13"/>
    <cellStyle name="Anos" xfId="14"/>
    <cellStyle name="assumption 1" xfId="15"/>
    <cellStyle name="assumption 2" xfId="16"/>
    <cellStyle name="assumption 4" xfId="17"/>
    <cellStyle name="Assumption Date" xfId="18"/>
    <cellStyle name="BlankRow" xfId="19"/>
    <cellStyle name="bullet" xfId="20"/>
    <cellStyle name="Calander_heading" xfId="21"/>
    <cellStyle name="Calc" xfId="22"/>
    <cellStyle name="Calc - Blue" xfId="23"/>
    <cellStyle name="Calc - Feed" xfId="24"/>
    <cellStyle name="Calc - Green" xfId="25"/>
    <cellStyle name="Calc - Grey" xfId="26"/>
    <cellStyle name="Calc - Index" xfId="27"/>
    <cellStyle name="Calc - White" xfId="28"/>
    <cellStyle name="Calc - yellow" xfId="29"/>
    <cellStyle name="Calc_BizMo" xfId="30"/>
    <cellStyle name="Check Box" xfId="31"/>
    <cellStyle name="Check Box Input" xfId="32"/>
    <cellStyle name="Check Box_First Capital Connect Financial Model" xfId="33"/>
    <cellStyle name="Column Title" xfId="34"/>
    <cellStyle name="Comma" xfId="1" builtinId="3"/>
    <cellStyle name="comma (2)" xfId="35"/>
    <cellStyle name="Comma(2)" xfId="36"/>
    <cellStyle name="Control Check" xfId="37"/>
    <cellStyle name="control table footer 1" xfId="38"/>
    <cellStyle name="control table header 1" xfId="39"/>
    <cellStyle name="Curren - Style1" xfId="40"/>
    <cellStyle name="Curren - Style4" xfId="41"/>
    <cellStyle name="Data" xfId="42"/>
    <cellStyle name="Date" xfId="43"/>
    <cellStyle name="Deviant" xfId="44"/>
    <cellStyle name="Dezimal [0]_Compiling Utility Macros" xfId="45"/>
    <cellStyle name="Dezimal_Compiling Utility Macros" xfId="46"/>
    <cellStyle name="Effect Symbol" xfId="47"/>
    <cellStyle name="Euro" xfId="48"/>
    <cellStyle name="Exception" xfId="49"/>
    <cellStyle name="External Links" xfId="50"/>
    <cellStyle name="Extra Large" xfId="51"/>
    <cellStyle name="EY House" xfId="52"/>
    <cellStyle name="EY%colcalc" xfId="53"/>
    <cellStyle name="EY%input" xfId="54"/>
    <cellStyle name="EY%rowcalc" xfId="55"/>
    <cellStyle name="EY0dp" xfId="56"/>
    <cellStyle name="EY1dp" xfId="57"/>
    <cellStyle name="EY2dp" xfId="58"/>
    <cellStyle name="EY3dp" xfId="59"/>
    <cellStyle name="EYColumnHeading" xfId="60"/>
    <cellStyle name="EYHeading1" xfId="61"/>
    <cellStyle name="EYheading2" xfId="62"/>
    <cellStyle name="EYheading3" xfId="63"/>
    <cellStyle name="EYnumber" xfId="64"/>
    <cellStyle name="EYSheetHeader1" xfId="65"/>
    <cellStyle name="EYtext" xfId="66"/>
    <cellStyle name="Factor" xfId="67"/>
    <cellStyle name="Feed Label" xfId="68"/>
    <cellStyle name="Feeder Field" xfId="69"/>
    <cellStyle name="Fine" xfId="70"/>
    <cellStyle name="Fixed3 - Style3" xfId="71"/>
    <cellStyle name="From" xfId="72"/>
    <cellStyle name="FS_reporting" xfId="73"/>
    <cellStyle name="Gap" xfId="74"/>
    <cellStyle name="Greyed out" xfId="75"/>
    <cellStyle name="Header" xfId="76"/>
    <cellStyle name="Heading" xfId="77"/>
    <cellStyle name="Headings" xfId="148"/>
    <cellStyle name="HELV8BLUE" xfId="78"/>
    <cellStyle name="hvb mjhgvhgv" xfId="79"/>
    <cellStyle name="Hyperlink" xfId="2" builtinId="8"/>
    <cellStyle name="Index FITT" xfId="80"/>
    <cellStyle name="Input (StyleA)" xfId="81"/>
    <cellStyle name="Input 1" xfId="82"/>
    <cellStyle name="Input 2" xfId="83"/>
    <cellStyle name="Input Cell" xfId="84"/>
    <cellStyle name="Instructions" xfId="85"/>
    <cellStyle name="KPMG Heading 1" xfId="86"/>
    <cellStyle name="KPMG Heading 2" xfId="87"/>
    <cellStyle name="KPMG Heading 3" xfId="88"/>
    <cellStyle name="KPMG Heading 4" xfId="89"/>
    <cellStyle name="KPMG Normal" xfId="90"/>
    <cellStyle name="KPMG Normal Text" xfId="91"/>
    <cellStyle name="Lable_1" xfId="92"/>
    <cellStyle name="Large" xfId="93"/>
    <cellStyle name="Lookup References" xfId="94"/>
    <cellStyle name="Medium" xfId="95"/>
    <cellStyle name="Milliers [0]_FNMA tasse2" xfId="96"/>
    <cellStyle name="Milliers_FNMA tasse2" xfId="97"/>
    <cellStyle name="Modelling References" xfId="98"/>
    <cellStyle name="Monétaire [0]_FNMA tasse2" xfId="99"/>
    <cellStyle name="Monétaire_FNMA tasse2" xfId="100"/>
    <cellStyle name="Named Range" xfId="101"/>
    <cellStyle name="Named Range Tag" xfId="102"/>
    <cellStyle name="Named Range_Book2" xfId="103"/>
    <cellStyle name="Normal" xfId="0" builtinId="0"/>
    <cellStyle name="Normal 2" xfId="3"/>
    <cellStyle name="Normal 2 2" xfId="146"/>
    <cellStyle name="Normal 2 3" xfId="147"/>
    <cellStyle name="Normal 3" xfId="144"/>
    <cellStyle name="Normale_Foglio1" xfId="104"/>
    <cellStyle name="Notes" xfId="105"/>
    <cellStyle name="Number" xfId="106"/>
    <cellStyle name="Number 1" xfId="107"/>
    <cellStyle name="Number Date" xfId="108"/>
    <cellStyle name="Number Date (short)" xfId="109"/>
    <cellStyle name="Number Date_Green" xfId="110"/>
    <cellStyle name="Number II" xfId="111"/>
    <cellStyle name="Number Integer" xfId="112"/>
    <cellStyle name="Percen - Style2" xfId="113"/>
    <cellStyle name="Percent" xfId="145" builtinId="5"/>
    <cellStyle name="Percent [0%]" xfId="114"/>
    <cellStyle name="Percent [0.00%]" xfId="115"/>
    <cellStyle name="Pourcentage_tocmodel_final" xfId="116"/>
    <cellStyle name="Profile" xfId="117"/>
    <cellStyle name="ROA Ref" xfId="118"/>
    <cellStyle name="Row_CategoryHeadings" xfId="151"/>
    <cellStyle name="Section_End" xfId="119"/>
    <cellStyle name="Sheet Done" xfId="120"/>
    <cellStyle name="Small" xfId="121"/>
    <cellStyle name="Source" xfId="150"/>
    <cellStyle name="Source Field - Green" xfId="122"/>
    <cellStyle name="Standard_Anpassen der Amortisation" xfId="123"/>
    <cellStyle name="Style 1" xfId="124"/>
    <cellStyle name="Sub totals" xfId="125"/>
    <cellStyle name="Subtotal (line)" xfId="126"/>
    <cellStyle name="Table_Name" xfId="149"/>
    <cellStyle name="TableBorder" xfId="127"/>
    <cellStyle name="Thousands" xfId="128"/>
    <cellStyle name="Title 1" xfId="129"/>
    <cellStyle name="Title 2" xfId="130"/>
    <cellStyle name="Title 3" xfId="131"/>
    <cellStyle name="Title 4" xfId="132"/>
    <cellStyle name="Titulo" xfId="133"/>
    <cellStyle name="To" xfId="134"/>
    <cellStyle name="Total (line)" xfId="135"/>
    <cellStyle name="Totals" xfId="136"/>
    <cellStyle name="Under Construction Flag" xfId="137"/>
    <cellStyle name="UserInstructions" xfId="138"/>
    <cellStyle name="Very Large" xfId="139"/>
    <cellStyle name="Währung [0]_Compiling Utility Macros" xfId="140"/>
    <cellStyle name="Währung_Compiling Utility Macros" xfId="141"/>
    <cellStyle name="Warnings" xfId="152"/>
    <cellStyle name="WingDings" xfId="142"/>
    <cellStyle name="WIP" xfId="143"/>
  </cellStyles>
  <dxfs count="3">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FFF99"/>
      <color rgb="FFBF6C6C"/>
      <color rgb="FFCCFF99"/>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a:t>
            </a:r>
          </a:p>
        </c:rich>
      </c:tx>
      <c:overlay val="1"/>
    </c:title>
    <c:plotArea>
      <c:layout>
        <c:manualLayout>
          <c:layoutTarget val="inner"/>
          <c:xMode val="edge"/>
          <c:yMode val="edge"/>
          <c:x val="0.15738473315835524"/>
          <c:y val="0.13981609055408944"/>
          <c:w val="0.83106255468066459"/>
          <c:h val="0.66405855516395362"/>
        </c:manualLayout>
      </c:layout>
      <c:barChart>
        <c:barDir val="col"/>
        <c:grouping val="clustered"/>
        <c:ser>
          <c:idx val="0"/>
          <c:order val="0"/>
          <c:tx>
            <c:strRef>
              <c:f>'Int Analysis'!$AS$41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Analysis'!$AR$42:$AR$57</c:f>
              <c:strCache>
                <c:ptCount val="16"/>
                <c:pt idx="0">
                  <c:v>Heathrow</c:v>
                </c:pt>
                <c:pt idx="1">
                  <c:v>Zurich</c:v>
                </c:pt>
                <c:pt idx="2">
                  <c:v>Munich</c:v>
                </c:pt>
                <c:pt idx="3">
                  <c:v>Amsterdam</c:v>
                </c:pt>
                <c:pt idx="4">
                  <c:v>Dublin</c:v>
                </c:pt>
                <c:pt idx="5">
                  <c:v>Aberdeen</c:v>
                </c:pt>
                <c:pt idx="6">
                  <c:v>Manchester</c:v>
                </c:pt>
                <c:pt idx="7">
                  <c:v>Gatwick</c:v>
                </c:pt>
                <c:pt idx="8">
                  <c:v>Southampton</c:v>
                </c:pt>
                <c:pt idx="9">
                  <c:v>Edinburgh</c:v>
                </c:pt>
                <c:pt idx="10">
                  <c:v>Stansted</c:v>
                </c:pt>
                <c:pt idx="11">
                  <c:v>Copenhagen</c:v>
                </c:pt>
                <c:pt idx="12">
                  <c:v>Birmingham</c:v>
                </c:pt>
                <c:pt idx="13">
                  <c:v>Glasgow</c:v>
                </c:pt>
                <c:pt idx="14">
                  <c:v>Luton</c:v>
                </c:pt>
                <c:pt idx="15">
                  <c:v>Hong Kong</c:v>
                </c:pt>
              </c:strCache>
            </c:strRef>
          </c:cat>
          <c:val>
            <c:numRef>
              <c:f>'Int Analysis'!$AS$42:$AS$57</c:f>
              <c:numCache>
                <c:formatCode>_-* #,##0.00_-;\-* #,##0.00_-;_-* "-"??_-;_-@_-</c:formatCode>
                <c:ptCount val="16"/>
                <c:pt idx="0">
                  <c:v>23.495588412825093</c:v>
                </c:pt>
                <c:pt idx="1">
                  <c:v>21.135179450154844</c:v>
                </c:pt>
                <c:pt idx="2">
                  <c:v>19.712288872091278</c:v>
                </c:pt>
                <c:pt idx="3">
                  <c:v>14.972062407509178</c:v>
                </c:pt>
                <c:pt idx="4">
                  <c:v>12.676443178925842</c:v>
                </c:pt>
                <c:pt idx="5">
                  <c:v>12.64051720447778</c:v>
                </c:pt>
                <c:pt idx="6">
                  <c:v>12.131485887606106</c:v>
                </c:pt>
                <c:pt idx="7">
                  <c:v>11.963677356755834</c:v>
                </c:pt>
                <c:pt idx="8">
                  <c:v>11.321720829307379</c:v>
                </c:pt>
                <c:pt idx="9">
                  <c:v>11.112244607329567</c:v>
                </c:pt>
                <c:pt idx="10">
                  <c:v>10.926404881088713</c:v>
                </c:pt>
                <c:pt idx="11">
                  <c:v>10.615145632602452</c:v>
                </c:pt>
                <c:pt idx="12">
                  <c:v>10.447115630182948</c:v>
                </c:pt>
                <c:pt idx="13">
                  <c:v>9.7420497702346776</c:v>
                </c:pt>
                <c:pt idx="14">
                  <c:v>9.5016989066774507</c:v>
                </c:pt>
                <c:pt idx="15">
                  <c:v>8.9483843614268981</c:v>
                </c:pt>
              </c:numCache>
            </c:numRef>
          </c:val>
        </c:ser>
        <c:gapWidth val="50"/>
        <c:axId val="92596864"/>
        <c:axId val="91316608"/>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1.2064904972857064E-2"/>
                  <c:y val="-2.8026911242979072E-2"/>
                </c:manualLayout>
              </c:layout>
              <c:dLblPos val="r"/>
              <c:showVal val="1"/>
            </c:dLbl>
            <c:txPr>
              <a:bodyPr/>
              <a:lstStyle/>
              <a:p>
                <a:pPr>
                  <a:defRPr sz="800"/>
                </a:pPr>
                <a:endParaRPr lang="en-US"/>
              </a:p>
            </c:txPr>
            <c:dLblPos val="t"/>
            <c:showVal val="1"/>
          </c:dLbls>
          <c:val>
            <c:numRef>
              <c:f>'Int Analysis'!$AU$42:$AU$57</c:f>
              <c:numCache>
                <c:formatCode>_-* #,##0.00_-;\-* #,##0.00_-;_-* "-"??_-;_-@_-</c:formatCode>
                <c:ptCount val="16"/>
                <c:pt idx="0">
                  <c:v>13.208875461824752</c:v>
                </c:pt>
                <c:pt idx="1">
                  <c:v>13.208875461824752</c:v>
                </c:pt>
                <c:pt idx="2">
                  <c:v>13.208875461824752</c:v>
                </c:pt>
                <c:pt idx="3">
                  <c:v>13.208875461824752</c:v>
                </c:pt>
                <c:pt idx="4">
                  <c:v>13.208875461824752</c:v>
                </c:pt>
                <c:pt idx="5">
                  <c:v>13.208875461824752</c:v>
                </c:pt>
                <c:pt idx="6">
                  <c:v>13.208875461824752</c:v>
                </c:pt>
                <c:pt idx="7">
                  <c:v>13.208875461824752</c:v>
                </c:pt>
                <c:pt idx="8">
                  <c:v>13.208875461824752</c:v>
                </c:pt>
                <c:pt idx="9">
                  <c:v>13.208875461824752</c:v>
                </c:pt>
                <c:pt idx="10">
                  <c:v>13.208875461824752</c:v>
                </c:pt>
                <c:pt idx="11">
                  <c:v>13.208875461824752</c:v>
                </c:pt>
                <c:pt idx="12">
                  <c:v>13.208875461824752</c:v>
                </c:pt>
                <c:pt idx="13">
                  <c:v>13.208875461824752</c:v>
                </c:pt>
                <c:pt idx="14">
                  <c:v>13.208875461824752</c:v>
                </c:pt>
                <c:pt idx="15">
                  <c:v>13.208875461824752</c:v>
                </c:pt>
              </c:numCache>
            </c:numRef>
          </c:val>
        </c:ser>
        <c:ser>
          <c:idx val="1"/>
          <c:order val="2"/>
          <c:tx>
            <c:strRef>
              <c:f>'Int Analysis'!$B$63</c:f>
              <c:strCache>
                <c:ptCount val="1"/>
                <c:pt idx="0">
                  <c:v>Average (ex AMS)</c:v>
                </c:pt>
              </c:strCache>
            </c:strRef>
          </c:tx>
          <c:spPr>
            <a:ln w="12700">
              <a:solidFill>
                <a:schemeClr val="accent5"/>
              </a:solidFill>
              <a:prstDash val="sysDash"/>
            </a:ln>
          </c:spPr>
          <c:marker>
            <c:symbol val="none"/>
          </c:marker>
          <c:dLbls>
            <c:dLbl>
              <c:idx val="15"/>
              <c:layout>
                <c:manualLayout>
                  <c:x val="-9.9652229837474179E-3"/>
                  <c:y val="1.9266432020690911E-2"/>
                </c:manualLayout>
              </c:layout>
              <c:dLblPos val="r"/>
              <c:showVal val="1"/>
            </c:dLbl>
            <c:delete val="1"/>
            <c:dLblPos val="b"/>
          </c:dLbls>
          <c:val>
            <c:numRef>
              <c:f>'Int Analysis'!$AV$42:$AV$57</c:f>
              <c:numCache>
                <c:formatCode>_-* #,##0.00_-;\-* #,##0.00_-;_-* "-"??_-;_-@_-</c:formatCode>
                <c:ptCount val="16"/>
                <c:pt idx="0">
                  <c:v>12.273121561355429</c:v>
                </c:pt>
                <c:pt idx="1">
                  <c:v>12.273121561355429</c:v>
                </c:pt>
                <c:pt idx="2">
                  <c:v>12.273121561355429</c:v>
                </c:pt>
                <c:pt idx="3">
                  <c:v>12.273121561355429</c:v>
                </c:pt>
                <c:pt idx="4">
                  <c:v>12.273121561355429</c:v>
                </c:pt>
                <c:pt idx="5">
                  <c:v>12.273121561355429</c:v>
                </c:pt>
                <c:pt idx="6">
                  <c:v>12.273121561355429</c:v>
                </c:pt>
                <c:pt idx="7">
                  <c:v>12.273121561355429</c:v>
                </c:pt>
                <c:pt idx="8">
                  <c:v>12.273121561355429</c:v>
                </c:pt>
                <c:pt idx="9">
                  <c:v>12.273121561355429</c:v>
                </c:pt>
                <c:pt idx="10">
                  <c:v>12.273121561355429</c:v>
                </c:pt>
                <c:pt idx="11">
                  <c:v>12.273121561355429</c:v>
                </c:pt>
                <c:pt idx="12">
                  <c:v>12.273121561355429</c:v>
                </c:pt>
                <c:pt idx="13">
                  <c:v>12.273121561355429</c:v>
                </c:pt>
                <c:pt idx="14">
                  <c:v>12.273121561355429</c:v>
                </c:pt>
                <c:pt idx="15">
                  <c:v>12.273121561355429</c:v>
                </c:pt>
              </c:numCache>
            </c:numRef>
          </c:val>
        </c:ser>
        <c:marker val="1"/>
        <c:axId val="92596864"/>
        <c:axId val="91316608"/>
      </c:lineChart>
      <c:catAx>
        <c:axId val="92596864"/>
        <c:scaling>
          <c:orientation val="minMax"/>
        </c:scaling>
        <c:axPos val="b"/>
        <c:numFmt formatCode="General" sourceLinked="1"/>
        <c:tickLblPos val="nextTo"/>
        <c:crossAx val="91316608"/>
        <c:crosses val="autoZero"/>
        <c:auto val="1"/>
        <c:lblAlgn val="ctr"/>
        <c:lblOffset val="100"/>
      </c:catAx>
      <c:valAx>
        <c:axId val="91316608"/>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92596864"/>
        <c:crosses val="autoZero"/>
        <c:crossBetween val="between"/>
      </c:valAx>
    </c:plotArea>
    <c:legend>
      <c:legendPos val="r"/>
      <c:legendEntry>
        <c:idx val="0"/>
        <c:delete val="1"/>
      </c:legendEntry>
      <c:layout>
        <c:manualLayout>
          <c:xMode val="edge"/>
          <c:yMode val="edge"/>
          <c:x val="0.66584520053203933"/>
          <c:y val="0.15997790737700193"/>
          <c:w val="0.31735734355509232"/>
          <c:h val="8.670526743961722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1" l="0.70000000000000062" r="0.70000000000000062" t="0.75000000000001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 (Factor</a:t>
            </a:r>
            <a:r>
              <a:rPr lang="en-US" baseline="0"/>
              <a:t> Costs)</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Analysis'!$V$48</c:f>
              <c:strCache>
                <c:ptCount val="1"/>
                <c:pt idx="0">
                  <c:v>Heathrow</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Analysis'!$W$48:$AI$48</c:f>
              <c:numCache>
                <c:formatCode>#,##0.00</c:formatCode>
                <c:ptCount val="13"/>
                <c:pt idx="0">
                  <c:v>11.72457597361853</c:v>
                </c:pt>
                <c:pt idx="1">
                  <c:v>13.264694762615946</c:v>
                </c:pt>
                <c:pt idx="2">
                  <c:v>12.777947880861403</c:v>
                </c:pt>
                <c:pt idx="3">
                  <c:v>12.960170842151593</c:v>
                </c:pt>
                <c:pt idx="4">
                  <c:v>13.08222187788328</c:v>
                </c:pt>
                <c:pt idx="5">
                  <c:v>14.224917631184006</c:v>
                </c:pt>
                <c:pt idx="6">
                  <c:v>15.154366893917214</c:v>
                </c:pt>
                <c:pt idx="7">
                  <c:v>17.727042899144237</c:v>
                </c:pt>
                <c:pt idx="8">
                  <c:v>23.129329188121432</c:v>
                </c:pt>
                <c:pt idx="9">
                  <c:v>27.259534555451911</c:v>
                </c:pt>
                <c:pt idx="10">
                  <c:v>23.577694944359475</c:v>
                </c:pt>
                <c:pt idx="11">
                  <c:v>22.111831733374832</c:v>
                </c:pt>
                <c:pt idx="12">
                  <c:v>23.495588412825093</c:v>
                </c:pt>
              </c:numCache>
            </c:numRef>
          </c:val>
        </c:ser>
        <c:ser>
          <c:idx val="1"/>
          <c:order val="1"/>
          <c:tx>
            <c:strRef>
              <c:f>'Int Analysis'!$V$46</c:f>
              <c:strCache>
                <c:ptCount val="1"/>
                <c:pt idx="0">
                  <c:v>Gatwick</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Analysis'!$W$46:$AI$46</c:f>
              <c:numCache>
                <c:formatCode>#,##0.00</c:formatCode>
                <c:ptCount val="13"/>
                <c:pt idx="0">
                  <c:v>8.8822332909155879</c:v>
                </c:pt>
                <c:pt idx="1">
                  <c:v>9.8858515867401664</c:v>
                </c:pt>
                <c:pt idx="2">
                  <c:v>9.9599752232226795</c:v>
                </c:pt>
                <c:pt idx="3">
                  <c:v>10.244628535898256</c:v>
                </c:pt>
                <c:pt idx="4">
                  <c:v>9.7601863603050045</c:v>
                </c:pt>
                <c:pt idx="5">
                  <c:v>10.515593784088949</c:v>
                </c:pt>
                <c:pt idx="6">
                  <c:v>9.7138946063582594</c:v>
                </c:pt>
                <c:pt idx="7">
                  <c:v>10.745903408265516</c:v>
                </c:pt>
                <c:pt idx="8">
                  <c:v>11.687829005455262</c:v>
                </c:pt>
                <c:pt idx="9">
                  <c:v>20.386750579786764</c:v>
                </c:pt>
                <c:pt idx="10">
                  <c:v>12.59950462636262</c:v>
                </c:pt>
                <c:pt idx="11">
                  <c:v>11.867555009755828</c:v>
                </c:pt>
                <c:pt idx="12">
                  <c:v>11.963677356755834</c:v>
                </c:pt>
              </c:numCache>
            </c:numRef>
          </c:val>
        </c:ser>
        <c:ser>
          <c:idx val="2"/>
          <c:order val="2"/>
          <c:tx>
            <c:strRef>
              <c:f>'Int Analysis'!$V$52</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Analysis'!$W$41:$AH$41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Analysis'!$W$52:$AI$52</c:f>
              <c:numCache>
                <c:formatCode>#,##0.00</c:formatCode>
                <c:ptCount val="13"/>
                <c:pt idx="0">
                  <c:v>10.733552020771437</c:v>
                </c:pt>
                <c:pt idx="1">
                  <c:v>10.204916223988718</c:v>
                </c:pt>
                <c:pt idx="2">
                  <c:v>9.8390087359502605</c:v>
                </c:pt>
                <c:pt idx="3">
                  <c:v>7.4869894336577065</c:v>
                </c:pt>
                <c:pt idx="4">
                  <c:v>7.3434141659583396</c:v>
                </c:pt>
                <c:pt idx="5">
                  <c:v>7.1321790212070173</c:v>
                </c:pt>
                <c:pt idx="6">
                  <c:v>7.2205497560147966</c:v>
                </c:pt>
                <c:pt idx="7">
                  <c:v>7.0317584993577524</c:v>
                </c:pt>
                <c:pt idx="8">
                  <c:v>7.9886527189040963</c:v>
                </c:pt>
                <c:pt idx="9">
                  <c:v>8.7829754724229634</c:v>
                </c:pt>
                <c:pt idx="10">
                  <c:v>12.003722991343889</c:v>
                </c:pt>
                <c:pt idx="11">
                  <c:v>9.643292326993322</c:v>
                </c:pt>
                <c:pt idx="12">
                  <c:v>10.926404881088713</c:v>
                </c:pt>
              </c:numCache>
            </c:numRef>
          </c:val>
        </c:ser>
        <c:ser>
          <c:idx val="3"/>
          <c:order val="3"/>
          <c:tx>
            <c:strRef>
              <c:f>'Int Analysis'!$V$59</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Analysis'!$W$59:$AI$59</c:f>
              <c:numCache>
                <c:formatCode>#,##0.00</c:formatCode>
                <c:ptCount val="13"/>
                <c:pt idx="0">
                  <c:v>11.757950660564289</c:v>
                </c:pt>
                <c:pt idx="1">
                  <c:v>12.561427871913175</c:v>
                </c:pt>
                <c:pt idx="2">
                  <c:v>12.403556916145339</c:v>
                </c:pt>
                <c:pt idx="3">
                  <c:v>12.598480490760526</c:v>
                </c:pt>
                <c:pt idx="4">
                  <c:v>12.049433436876399</c:v>
                </c:pt>
                <c:pt idx="5">
                  <c:v>12.741310971287444</c:v>
                </c:pt>
                <c:pt idx="6">
                  <c:v>12.228551384909617</c:v>
                </c:pt>
                <c:pt idx="7">
                  <c:v>12.640598043929884</c:v>
                </c:pt>
                <c:pt idx="8">
                  <c:v>12.694183134310052</c:v>
                </c:pt>
                <c:pt idx="9">
                  <c:v>14.146065119538692</c:v>
                </c:pt>
                <c:pt idx="10">
                  <c:v>12.891694439690887</c:v>
                </c:pt>
                <c:pt idx="11">
                  <c:v>12.104039026033256</c:v>
                </c:pt>
                <c:pt idx="12">
                  <c:v>12.393729166909516</c:v>
                </c:pt>
              </c:numCache>
            </c:numRef>
          </c:val>
        </c:ser>
        <c:marker val="1"/>
        <c:axId val="102387712"/>
        <c:axId val="102389248"/>
      </c:lineChart>
      <c:catAx>
        <c:axId val="102387712"/>
        <c:scaling>
          <c:orientation val="minMax"/>
        </c:scaling>
        <c:axPos val="b"/>
        <c:numFmt formatCode="General" sourceLinked="1"/>
        <c:tickLblPos val="nextTo"/>
        <c:crossAx val="102389248"/>
        <c:crosses val="autoZero"/>
        <c:auto val="1"/>
        <c:lblAlgn val="ctr"/>
        <c:lblOffset val="100"/>
      </c:catAx>
      <c:valAx>
        <c:axId val="102389248"/>
        <c:scaling>
          <c:orientation val="minMax"/>
        </c:scaling>
        <c:axPos val="l"/>
        <c:majorGridlines/>
        <c:title>
          <c:tx>
            <c:rich>
              <a:bodyPr rot="-5400000" vert="horz"/>
              <a:lstStyle/>
              <a:p>
                <a:pPr>
                  <a:defRPr/>
                </a:pPr>
                <a:r>
                  <a:rPr lang="en-US"/>
                  <a:t>£ 2011/12</a:t>
                </a:r>
              </a:p>
            </c:rich>
          </c:tx>
        </c:title>
        <c:numFmt formatCode="#,##0.00" sourceLinked="1"/>
        <c:tickLblPos val="nextTo"/>
        <c:crossAx val="102387712"/>
        <c:crosses val="autoZero"/>
        <c:crossBetween val="between"/>
      </c:valAx>
    </c:plotArea>
    <c:legend>
      <c:legendPos val="r"/>
      <c:layout>
        <c:manualLayout>
          <c:xMode val="edge"/>
          <c:yMode val="edge"/>
          <c:x val="0.13444380155055441"/>
          <c:y val="5.6758545591161745E-2"/>
          <c:w val="0.85398850167642515"/>
          <c:h val="0.16870914945119725"/>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Ordinary Opex per Pax (Factor</a:t>
            </a:r>
            <a:r>
              <a:rPr lang="en-US" baseline="0"/>
              <a:t> Costs)</a:t>
            </a:r>
            <a:endParaRPr lang="en-US"/>
          </a:p>
        </c:rich>
      </c:tx>
      <c:overlay val="1"/>
    </c:title>
    <c:plotArea>
      <c:layout>
        <c:manualLayout>
          <c:layoutTarget val="inner"/>
          <c:xMode val="edge"/>
          <c:yMode val="edge"/>
          <c:x val="0.15738473315835524"/>
          <c:y val="0.12756249819103246"/>
          <c:w val="0.83106255468066459"/>
          <c:h val="0.67576289315919835"/>
        </c:manualLayout>
      </c:layout>
      <c:barChart>
        <c:barDir val="col"/>
        <c:grouping val="clustered"/>
        <c:ser>
          <c:idx val="0"/>
          <c:order val="0"/>
          <c:tx>
            <c:strRef>
              <c:f>'Int Analysis'!$AS$41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Analysis'!$BA$69:$BA$84</c:f>
              <c:strCache>
                <c:ptCount val="16"/>
                <c:pt idx="0">
                  <c:v>Heathrow</c:v>
                </c:pt>
                <c:pt idx="1">
                  <c:v>Munich</c:v>
                </c:pt>
                <c:pt idx="2">
                  <c:v>Amsterdam</c:v>
                </c:pt>
                <c:pt idx="3">
                  <c:v>Hong Kong</c:v>
                </c:pt>
                <c:pt idx="4">
                  <c:v>Zurich</c:v>
                </c:pt>
                <c:pt idx="5">
                  <c:v>Southampton</c:v>
                </c:pt>
                <c:pt idx="6">
                  <c:v>Manchester</c:v>
                </c:pt>
                <c:pt idx="7">
                  <c:v>Aberdeen</c:v>
                </c:pt>
                <c:pt idx="8">
                  <c:v>Gatwick</c:v>
                </c:pt>
                <c:pt idx="9">
                  <c:v>Stansted</c:v>
                </c:pt>
                <c:pt idx="10">
                  <c:v>Birmingham</c:v>
                </c:pt>
                <c:pt idx="11">
                  <c:v>Dublin </c:v>
                </c:pt>
                <c:pt idx="12">
                  <c:v>Luton</c:v>
                </c:pt>
                <c:pt idx="13">
                  <c:v>Glasgow</c:v>
                </c:pt>
                <c:pt idx="14">
                  <c:v>Edinburgh</c:v>
                </c:pt>
                <c:pt idx="15">
                  <c:v>Copenhagen</c:v>
                </c:pt>
              </c:strCache>
            </c:strRef>
          </c:cat>
          <c:val>
            <c:numRef>
              <c:f>'Int Analysis'!$BB$69:$BB$84</c:f>
              <c:numCache>
                <c:formatCode>_-* #,##0.00_-;\-* #,##0.00_-;_-* "-"??_-;_-@_-</c:formatCode>
                <c:ptCount val="16"/>
                <c:pt idx="0">
                  <c:v>21.382997447066792</c:v>
                </c:pt>
                <c:pt idx="1">
                  <c:v>18.727779641016422</c:v>
                </c:pt>
                <c:pt idx="2">
                  <c:v>13.602910922382113</c:v>
                </c:pt>
                <c:pt idx="3">
                  <c:v>12.73356850328163</c:v>
                </c:pt>
                <c:pt idx="4">
                  <c:v>12.648154884484711</c:v>
                </c:pt>
                <c:pt idx="5">
                  <c:v>12.543489264124721</c:v>
                </c:pt>
                <c:pt idx="6">
                  <c:v>12.131485887606106</c:v>
                </c:pt>
                <c:pt idx="7">
                  <c:v>12.100338152202825</c:v>
                </c:pt>
                <c:pt idx="8">
                  <c:v>11.963677356755834</c:v>
                </c:pt>
                <c:pt idx="9">
                  <c:v>10.529386075276379</c:v>
                </c:pt>
                <c:pt idx="10">
                  <c:v>10.515929261522617</c:v>
                </c:pt>
                <c:pt idx="11">
                  <c:v>9.8417602464937914</c:v>
                </c:pt>
                <c:pt idx="12">
                  <c:v>9.5016989066774507</c:v>
                </c:pt>
                <c:pt idx="13">
                  <c:v>9.3276823087813217</c:v>
                </c:pt>
                <c:pt idx="14">
                  <c:v>8.3657166802935432</c:v>
                </c:pt>
                <c:pt idx="15">
                  <c:v>7.4629889864080425</c:v>
                </c:pt>
              </c:numCache>
            </c:numRef>
          </c:val>
        </c:ser>
        <c:gapWidth val="50"/>
        <c:axId val="102482304"/>
        <c:axId val="102483840"/>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1.0635479087298361E-2"/>
                  <c:y val="-3.5560981483088935E-2"/>
                </c:manualLayout>
              </c:layout>
              <c:showVal val="1"/>
            </c:dLbl>
            <c:txPr>
              <a:bodyPr/>
              <a:lstStyle/>
              <a:p>
                <a:pPr>
                  <a:defRPr sz="800"/>
                </a:pPr>
                <a:endParaRPr lang="en-US"/>
              </a:p>
            </c:txPr>
            <c:showVal val="1"/>
          </c:dLbls>
          <c:cat>
            <c:strRef>
              <c:f>'Int Analysis'!$BA$69:$BA$84</c:f>
              <c:strCache>
                <c:ptCount val="16"/>
                <c:pt idx="0">
                  <c:v>Heathrow</c:v>
                </c:pt>
                <c:pt idx="1">
                  <c:v>Munich</c:v>
                </c:pt>
                <c:pt idx="2">
                  <c:v>Amsterdam</c:v>
                </c:pt>
                <c:pt idx="3">
                  <c:v>Hong Kong</c:v>
                </c:pt>
                <c:pt idx="4">
                  <c:v>Zurich</c:v>
                </c:pt>
                <c:pt idx="5">
                  <c:v>Southampton</c:v>
                </c:pt>
                <c:pt idx="6">
                  <c:v>Manchester</c:v>
                </c:pt>
                <c:pt idx="7">
                  <c:v>Aberdeen</c:v>
                </c:pt>
                <c:pt idx="8">
                  <c:v>Gatwick</c:v>
                </c:pt>
                <c:pt idx="9">
                  <c:v>Stansted</c:v>
                </c:pt>
                <c:pt idx="10">
                  <c:v>Birmingham</c:v>
                </c:pt>
                <c:pt idx="11">
                  <c:v>Dublin </c:v>
                </c:pt>
                <c:pt idx="12">
                  <c:v>Luton</c:v>
                </c:pt>
                <c:pt idx="13">
                  <c:v>Glasgow</c:v>
                </c:pt>
                <c:pt idx="14">
                  <c:v>Edinburgh</c:v>
                </c:pt>
                <c:pt idx="15">
                  <c:v>Copenhagen</c:v>
                </c:pt>
              </c:strCache>
            </c:strRef>
          </c:cat>
          <c:val>
            <c:numRef>
              <c:f>'Int Analysis'!$BD$69:$BD$84</c:f>
              <c:numCache>
                <c:formatCode>_-* #,##0.00_-;\-* #,##0.00_-;_-* "-"??_-;_-@_-</c:formatCode>
                <c:ptCount val="16"/>
                <c:pt idx="0">
                  <c:v>12.08622278277339</c:v>
                </c:pt>
                <c:pt idx="1">
                  <c:v>12.08622278277339</c:v>
                </c:pt>
                <c:pt idx="2">
                  <c:v>12.08622278277339</c:v>
                </c:pt>
                <c:pt idx="3">
                  <c:v>12.08622278277339</c:v>
                </c:pt>
                <c:pt idx="4">
                  <c:v>12.08622278277339</c:v>
                </c:pt>
                <c:pt idx="5">
                  <c:v>12.08622278277339</c:v>
                </c:pt>
                <c:pt idx="6">
                  <c:v>12.08622278277339</c:v>
                </c:pt>
                <c:pt idx="7">
                  <c:v>12.08622278277339</c:v>
                </c:pt>
                <c:pt idx="8">
                  <c:v>12.08622278277339</c:v>
                </c:pt>
                <c:pt idx="9">
                  <c:v>12.08622278277339</c:v>
                </c:pt>
                <c:pt idx="10">
                  <c:v>12.08622278277339</c:v>
                </c:pt>
                <c:pt idx="11">
                  <c:v>12.08622278277339</c:v>
                </c:pt>
                <c:pt idx="12">
                  <c:v>12.08622278277339</c:v>
                </c:pt>
                <c:pt idx="13">
                  <c:v>12.08622278277339</c:v>
                </c:pt>
                <c:pt idx="14">
                  <c:v>12.08622278277339</c:v>
                </c:pt>
                <c:pt idx="15">
                  <c:v>12.08622278277339</c:v>
                </c:pt>
              </c:numCache>
            </c:numRef>
          </c:val>
        </c:ser>
        <c:ser>
          <c:idx val="1"/>
          <c:order val="2"/>
          <c:tx>
            <c:strRef>
              <c:f>'Int Analysis'!$V$90</c:f>
              <c:strCache>
                <c:ptCount val="1"/>
                <c:pt idx="0">
                  <c:v>Average (ex AMS)</c:v>
                </c:pt>
              </c:strCache>
            </c:strRef>
          </c:tx>
          <c:spPr>
            <a:ln w="12700">
              <a:solidFill>
                <a:srgbClr val="6AAD11"/>
              </a:solidFill>
              <a:prstDash val="sysDash"/>
            </a:ln>
          </c:spPr>
          <c:marker>
            <c:symbol val="none"/>
          </c:marker>
          <c:dLbls>
            <c:dLbl>
              <c:idx val="15"/>
              <c:layout>
                <c:manualLayout>
                  <c:x val="-1.4889670722217807E-2"/>
                  <c:y val="2.5862531987701044E-2"/>
                </c:manualLayout>
              </c:layout>
              <c:showVal val="1"/>
            </c:dLbl>
            <c:delete val="1"/>
          </c:dLbls>
          <c:val>
            <c:numRef>
              <c:f>'Int Analysis'!$BE$69:$BE$84</c:f>
              <c:numCache>
                <c:formatCode>_-* #,##0.00_-;\-* #,##0.00_-;_-* "-"??_-;_-@_-</c:formatCode>
                <c:ptCount val="16"/>
                <c:pt idx="0">
                  <c:v>11.98511024013281</c:v>
                </c:pt>
                <c:pt idx="1">
                  <c:v>11.98511024013281</c:v>
                </c:pt>
                <c:pt idx="2">
                  <c:v>11.98511024013281</c:v>
                </c:pt>
                <c:pt idx="3">
                  <c:v>11.98511024013281</c:v>
                </c:pt>
                <c:pt idx="4">
                  <c:v>11.98511024013281</c:v>
                </c:pt>
                <c:pt idx="5">
                  <c:v>11.98511024013281</c:v>
                </c:pt>
                <c:pt idx="6">
                  <c:v>11.98511024013281</c:v>
                </c:pt>
                <c:pt idx="7">
                  <c:v>11.98511024013281</c:v>
                </c:pt>
                <c:pt idx="8">
                  <c:v>11.98511024013281</c:v>
                </c:pt>
                <c:pt idx="9">
                  <c:v>11.98511024013281</c:v>
                </c:pt>
                <c:pt idx="10">
                  <c:v>11.98511024013281</c:v>
                </c:pt>
                <c:pt idx="11">
                  <c:v>11.98511024013281</c:v>
                </c:pt>
                <c:pt idx="12">
                  <c:v>11.98511024013281</c:v>
                </c:pt>
                <c:pt idx="13">
                  <c:v>11.98511024013281</c:v>
                </c:pt>
                <c:pt idx="14">
                  <c:v>11.98511024013281</c:v>
                </c:pt>
                <c:pt idx="15">
                  <c:v>11.98511024013281</c:v>
                </c:pt>
              </c:numCache>
            </c:numRef>
          </c:val>
        </c:ser>
        <c:marker val="1"/>
        <c:axId val="102482304"/>
        <c:axId val="102483840"/>
      </c:lineChart>
      <c:catAx>
        <c:axId val="102482304"/>
        <c:scaling>
          <c:orientation val="minMax"/>
        </c:scaling>
        <c:axPos val="b"/>
        <c:numFmt formatCode="General" sourceLinked="1"/>
        <c:tickLblPos val="nextTo"/>
        <c:crossAx val="102483840"/>
        <c:crosses val="autoZero"/>
        <c:auto val="1"/>
        <c:lblAlgn val="ctr"/>
        <c:lblOffset val="100"/>
      </c:catAx>
      <c:valAx>
        <c:axId val="102483840"/>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102482304"/>
        <c:crosses val="autoZero"/>
        <c:crossBetween val="between"/>
      </c:valAx>
    </c:plotArea>
    <c:legend>
      <c:legendPos val="r"/>
      <c:legendEntry>
        <c:idx val="0"/>
        <c:delete val="1"/>
      </c:legendEntry>
      <c:layout>
        <c:manualLayout>
          <c:xMode val="edge"/>
          <c:yMode val="edge"/>
          <c:x val="0.72922572707318334"/>
          <c:y val="0.142398693840315"/>
          <c:w val="0.22185106912525437"/>
          <c:h val="0.10891740612040823"/>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Ordinary Opex per Pax (Factor Costs)</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Analysis'!$B$75</c:f>
              <c:strCache>
                <c:ptCount val="1"/>
                <c:pt idx="0">
                  <c:v>Heathrow</c:v>
                </c:pt>
              </c:strCache>
            </c:strRef>
          </c:tx>
          <c:spPr>
            <a:ln w="15875"/>
          </c:spPr>
          <c:dLbls>
            <c:dLblPos val="t"/>
            <c:showVal val="1"/>
          </c:dLbls>
          <c:cat>
            <c:numRef>
              <c:f>'Int Analysis'!$W$68:$AI$68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Analysis'!$W$75:$AI$75</c:f>
              <c:numCache>
                <c:formatCode>#,##0.00</c:formatCode>
                <c:ptCount val="13"/>
                <c:pt idx="0">
                  <c:v>11.72457597361853</c:v>
                </c:pt>
                <c:pt idx="1">
                  <c:v>13.092895716610695</c:v>
                </c:pt>
                <c:pt idx="2">
                  <c:v>12.777947880861403</c:v>
                </c:pt>
                <c:pt idx="3">
                  <c:v>12.960170842151593</c:v>
                </c:pt>
                <c:pt idx="4">
                  <c:v>13.041200087502235</c:v>
                </c:pt>
                <c:pt idx="5">
                  <c:v>13.761874048161998</c:v>
                </c:pt>
                <c:pt idx="6">
                  <c:v>14.423204904497448</c:v>
                </c:pt>
                <c:pt idx="7">
                  <c:v>15.115991208392455</c:v>
                </c:pt>
                <c:pt idx="8">
                  <c:v>21.260092332195576</c:v>
                </c:pt>
                <c:pt idx="9">
                  <c:v>23.292366435295264</c:v>
                </c:pt>
                <c:pt idx="10">
                  <c:v>22.878486540078423</c:v>
                </c:pt>
                <c:pt idx="11">
                  <c:v>21.470466448290754</c:v>
                </c:pt>
                <c:pt idx="12">
                  <c:v>21.382997447066792</c:v>
                </c:pt>
              </c:numCache>
            </c:numRef>
          </c:val>
        </c:ser>
        <c:ser>
          <c:idx val="1"/>
          <c:order val="1"/>
          <c:tx>
            <c:strRef>
              <c:f>'Int Analysis'!$V$73</c:f>
              <c:strCache>
                <c:ptCount val="1"/>
                <c:pt idx="0">
                  <c:v>Gatwick</c:v>
                </c:pt>
              </c:strCache>
            </c:strRef>
          </c:tx>
          <c:spPr>
            <a:ln w="15875"/>
          </c:spP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Analysis'!$W$73:$AI$73</c:f>
              <c:numCache>
                <c:formatCode>#,##0.00</c:formatCode>
                <c:ptCount val="13"/>
                <c:pt idx="0">
                  <c:v>8.8822332909155879</c:v>
                </c:pt>
                <c:pt idx="1">
                  <c:v>9.8858515867401664</c:v>
                </c:pt>
                <c:pt idx="2">
                  <c:v>9.9599752232226795</c:v>
                </c:pt>
                <c:pt idx="3">
                  <c:v>10.244628535898256</c:v>
                </c:pt>
                <c:pt idx="4">
                  <c:v>9.7129024538360245</c:v>
                </c:pt>
                <c:pt idx="5">
                  <c:v>9.8417572297507459</c:v>
                </c:pt>
                <c:pt idx="6">
                  <c:v>9.4012435506328238</c:v>
                </c:pt>
                <c:pt idx="7">
                  <c:v>10.200276813805088</c:v>
                </c:pt>
                <c:pt idx="8">
                  <c:v>11.962722604089379</c:v>
                </c:pt>
                <c:pt idx="9">
                  <c:v>15.917491248952285</c:v>
                </c:pt>
                <c:pt idx="10">
                  <c:v>12.036435281861664</c:v>
                </c:pt>
                <c:pt idx="11">
                  <c:v>11.867555009755828</c:v>
                </c:pt>
                <c:pt idx="12">
                  <c:v>11.963677356755834</c:v>
                </c:pt>
              </c:numCache>
            </c:numRef>
          </c:val>
        </c:ser>
        <c:ser>
          <c:idx val="2"/>
          <c:order val="2"/>
          <c:tx>
            <c:strRef>
              <c:f>'Int Analysis'!$V$79</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Analysis'!$W$79:$AI$79</c:f>
              <c:numCache>
                <c:formatCode>#,##0.00</c:formatCode>
                <c:ptCount val="13"/>
                <c:pt idx="0">
                  <c:v>10.733552020771437</c:v>
                </c:pt>
                <c:pt idx="1">
                  <c:v>10.204916223988718</c:v>
                </c:pt>
                <c:pt idx="2">
                  <c:v>9.8390087359502605</c:v>
                </c:pt>
                <c:pt idx="3">
                  <c:v>7.4869894336577065</c:v>
                </c:pt>
                <c:pt idx="4">
                  <c:v>7.3434141659583396</c:v>
                </c:pt>
                <c:pt idx="5">
                  <c:v>7.1202622642793525</c:v>
                </c:pt>
                <c:pt idx="6">
                  <c:v>7.0324281531760979</c:v>
                </c:pt>
                <c:pt idx="7">
                  <c:v>6.8102359543734847</c:v>
                </c:pt>
                <c:pt idx="8">
                  <c:v>7.5485998148966669</c:v>
                </c:pt>
                <c:pt idx="9">
                  <c:v>8.6296690311813471</c:v>
                </c:pt>
                <c:pt idx="10">
                  <c:v>9.9771204083897249</c:v>
                </c:pt>
                <c:pt idx="11">
                  <c:v>10.506956111913839</c:v>
                </c:pt>
                <c:pt idx="12">
                  <c:v>10.529386075276379</c:v>
                </c:pt>
              </c:numCache>
            </c:numRef>
          </c:val>
        </c:ser>
        <c:ser>
          <c:idx val="3"/>
          <c:order val="3"/>
          <c:tx>
            <c:strRef>
              <c:f>'Int Analysis'!$B$59</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Analysis'!$W$86:$AI$86</c:f>
              <c:numCache>
                <c:formatCode>#,##0.00</c:formatCode>
                <c:ptCount val="13"/>
                <c:pt idx="0">
                  <c:v>11.757950660564289</c:v>
                </c:pt>
                <c:pt idx="1">
                  <c:v>12.457712578133643</c:v>
                </c:pt>
                <c:pt idx="2">
                  <c:v>12.370596502192608</c:v>
                </c:pt>
                <c:pt idx="3">
                  <c:v>12.511897743215803</c:v>
                </c:pt>
                <c:pt idx="4">
                  <c:v>12.005599963813083</c:v>
                </c:pt>
                <c:pt idx="5">
                  <c:v>12.656334821867969</c:v>
                </c:pt>
                <c:pt idx="6">
                  <c:v>12.133193137236969</c:v>
                </c:pt>
                <c:pt idx="7">
                  <c:v>12.329488003729317</c:v>
                </c:pt>
                <c:pt idx="8">
                  <c:v>12.467375710435622</c:v>
                </c:pt>
                <c:pt idx="9">
                  <c:v>12.981101710282687</c:v>
                </c:pt>
                <c:pt idx="10">
                  <c:v>12.823803436111184</c:v>
                </c:pt>
                <c:pt idx="11">
                  <c:v>12.120094219759798</c:v>
                </c:pt>
                <c:pt idx="12">
                  <c:v>12.08622278277339</c:v>
                </c:pt>
              </c:numCache>
            </c:numRef>
          </c:val>
        </c:ser>
        <c:marker val="1"/>
        <c:axId val="102553472"/>
        <c:axId val="102555008"/>
      </c:lineChart>
      <c:catAx>
        <c:axId val="102553472"/>
        <c:scaling>
          <c:orientation val="minMax"/>
        </c:scaling>
        <c:axPos val="b"/>
        <c:numFmt formatCode="General" sourceLinked="1"/>
        <c:tickLblPos val="nextTo"/>
        <c:crossAx val="102555008"/>
        <c:crosses val="autoZero"/>
        <c:auto val="1"/>
        <c:lblAlgn val="ctr"/>
        <c:lblOffset val="100"/>
      </c:catAx>
      <c:valAx>
        <c:axId val="102555008"/>
        <c:scaling>
          <c:orientation val="minMax"/>
        </c:scaling>
        <c:axPos val="l"/>
        <c:majorGridlines/>
        <c:title>
          <c:tx>
            <c:rich>
              <a:bodyPr rot="-5400000" vert="horz"/>
              <a:lstStyle/>
              <a:p>
                <a:pPr>
                  <a:defRPr/>
                </a:pPr>
                <a:r>
                  <a:rPr lang="en-US"/>
                  <a:t>£ 2011/12</a:t>
                </a:r>
              </a:p>
            </c:rich>
          </c:tx>
        </c:title>
        <c:numFmt formatCode="#,##0.00" sourceLinked="1"/>
        <c:tickLblPos val="nextTo"/>
        <c:crossAx val="102553472"/>
        <c:crosses val="autoZero"/>
        <c:crossBetween val="between"/>
      </c:valAx>
    </c:plotArea>
    <c:legend>
      <c:legendPos val="r"/>
      <c:layout>
        <c:manualLayout>
          <c:xMode val="edge"/>
          <c:yMode val="edge"/>
          <c:x val="0.13444380155055441"/>
          <c:y val="5.6758545591161745E-2"/>
          <c:w val="0.85398850167642515"/>
          <c:h val="0.16870914945119736"/>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 (Factor Costs)</a:t>
            </a:r>
          </a:p>
        </c:rich>
      </c:tx>
      <c:overlay val="1"/>
    </c:title>
    <c:plotArea>
      <c:layout>
        <c:manualLayout>
          <c:layoutTarget val="inner"/>
          <c:xMode val="edge"/>
          <c:yMode val="edge"/>
          <c:x val="0.15738473315835524"/>
          <c:y val="0.11177462816438929"/>
          <c:w val="0.83106255468066459"/>
          <c:h val="0.69249751286614991"/>
        </c:manualLayout>
      </c:layout>
      <c:barChart>
        <c:barDir val="col"/>
        <c:grouping val="clustered"/>
        <c:ser>
          <c:idx val="0"/>
          <c:order val="0"/>
          <c:tx>
            <c:strRef>
              <c:f>'Int Analysis'!$AS$41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Analysis'!$BA$96:$BA$111</c:f>
              <c:strCache>
                <c:ptCount val="16"/>
                <c:pt idx="0">
                  <c:v>Munich</c:v>
                </c:pt>
                <c:pt idx="1">
                  <c:v>Heathrow</c:v>
                </c:pt>
                <c:pt idx="2">
                  <c:v>Amsterdam</c:v>
                </c:pt>
                <c:pt idx="3">
                  <c:v>Manchester</c:v>
                </c:pt>
                <c:pt idx="4">
                  <c:v>Luton</c:v>
                </c:pt>
                <c:pt idx="5">
                  <c:v>Zurich</c:v>
                </c:pt>
                <c:pt idx="6">
                  <c:v>Aberdeen</c:v>
                </c:pt>
                <c:pt idx="7">
                  <c:v>Southampton</c:v>
                </c:pt>
                <c:pt idx="8">
                  <c:v>Gatwick</c:v>
                </c:pt>
                <c:pt idx="9">
                  <c:v>Birmingham</c:v>
                </c:pt>
                <c:pt idx="10">
                  <c:v>Stansted</c:v>
                </c:pt>
                <c:pt idx="11">
                  <c:v>Glasgow</c:v>
                </c:pt>
                <c:pt idx="12">
                  <c:v>Dublin </c:v>
                </c:pt>
                <c:pt idx="13">
                  <c:v>Hong Kong</c:v>
                </c:pt>
                <c:pt idx="14">
                  <c:v>Edinburgh</c:v>
                </c:pt>
                <c:pt idx="15">
                  <c:v>Copenhagen</c:v>
                </c:pt>
              </c:strCache>
            </c:strRef>
          </c:cat>
          <c:val>
            <c:numRef>
              <c:f>'Int Analysis'!$BB$96:$BB$111</c:f>
              <c:numCache>
                <c:formatCode>_-* #,##0.00_-;\-* #,##0.00_-;_-* "-"??_-;_-@_-</c:formatCode>
                <c:ptCount val="16"/>
                <c:pt idx="0">
                  <c:v>14.933984102328369</c:v>
                </c:pt>
                <c:pt idx="1">
                  <c:v>12.126439809402292</c:v>
                </c:pt>
                <c:pt idx="2">
                  <c:v>11.43214998621692</c:v>
                </c:pt>
                <c:pt idx="3">
                  <c:v>9.0143701699977026</c:v>
                </c:pt>
                <c:pt idx="4">
                  <c:v>8.1373378559228016</c:v>
                </c:pt>
                <c:pt idx="5">
                  <c:v>8.074002409360709</c:v>
                </c:pt>
                <c:pt idx="6">
                  <c:v>8.0725667096944669</c:v>
                </c:pt>
                <c:pt idx="7">
                  <c:v>7.9191416694852448</c:v>
                </c:pt>
                <c:pt idx="8">
                  <c:v>7.7728507323774592</c:v>
                </c:pt>
                <c:pt idx="9">
                  <c:v>7.5437390803873985</c:v>
                </c:pt>
                <c:pt idx="10">
                  <c:v>7.2078484604520732</c:v>
                </c:pt>
                <c:pt idx="11">
                  <c:v>6.2764310017157037</c:v>
                </c:pt>
                <c:pt idx="12">
                  <c:v>5.9438930988571288</c:v>
                </c:pt>
                <c:pt idx="13">
                  <c:v>5.4879675158526808</c:v>
                </c:pt>
                <c:pt idx="14">
                  <c:v>5.2045241883973645</c:v>
                </c:pt>
                <c:pt idx="15">
                  <c:v>5.0516763588175468</c:v>
                </c:pt>
              </c:numCache>
            </c:numRef>
          </c:val>
        </c:ser>
        <c:gapWidth val="50"/>
        <c:axId val="102640640"/>
        <c:axId val="102667008"/>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3.1906437261895071E-2"/>
                  <c:y val="-3.3609337284977135E-2"/>
                </c:manualLayout>
              </c:layout>
              <c:showVal val="1"/>
            </c:dLbl>
            <c:txPr>
              <a:bodyPr/>
              <a:lstStyle/>
              <a:p>
                <a:pPr>
                  <a:defRPr sz="800"/>
                </a:pPr>
                <a:endParaRPr lang="en-US"/>
              </a:p>
            </c:txPr>
            <c:showVal val="1"/>
          </c:dLbls>
          <c:cat>
            <c:strRef>
              <c:f>'Int Analysis'!$BA$96:$BA$111</c:f>
              <c:strCache>
                <c:ptCount val="16"/>
                <c:pt idx="0">
                  <c:v>Munich</c:v>
                </c:pt>
                <c:pt idx="1">
                  <c:v>Heathrow</c:v>
                </c:pt>
                <c:pt idx="2">
                  <c:v>Amsterdam</c:v>
                </c:pt>
                <c:pt idx="3">
                  <c:v>Manchester</c:v>
                </c:pt>
                <c:pt idx="4">
                  <c:v>Luton</c:v>
                </c:pt>
                <c:pt idx="5">
                  <c:v>Zurich</c:v>
                </c:pt>
                <c:pt idx="6">
                  <c:v>Aberdeen</c:v>
                </c:pt>
                <c:pt idx="7">
                  <c:v>Southampton</c:v>
                </c:pt>
                <c:pt idx="8">
                  <c:v>Gatwick</c:v>
                </c:pt>
                <c:pt idx="9">
                  <c:v>Birmingham</c:v>
                </c:pt>
                <c:pt idx="10">
                  <c:v>Stansted</c:v>
                </c:pt>
                <c:pt idx="11">
                  <c:v>Glasgow</c:v>
                </c:pt>
                <c:pt idx="12">
                  <c:v>Dublin </c:v>
                </c:pt>
                <c:pt idx="13">
                  <c:v>Hong Kong</c:v>
                </c:pt>
                <c:pt idx="14">
                  <c:v>Edinburgh</c:v>
                </c:pt>
                <c:pt idx="15">
                  <c:v>Copenhagen</c:v>
                </c:pt>
              </c:strCache>
            </c:strRef>
          </c:cat>
          <c:val>
            <c:numRef>
              <c:f>'Int Analysis'!$BD$96:$BD$111</c:f>
              <c:numCache>
                <c:formatCode>_-* #,##0.00_-;\-* #,##0.00_-;_-* "-"??_-;_-@_-</c:formatCode>
                <c:ptCount val="16"/>
                <c:pt idx="0">
                  <c:v>8.1374326968291157</c:v>
                </c:pt>
                <c:pt idx="1">
                  <c:v>8.1374326968291157</c:v>
                </c:pt>
                <c:pt idx="2">
                  <c:v>8.1374326968291157</c:v>
                </c:pt>
                <c:pt idx="3">
                  <c:v>8.1374326968291157</c:v>
                </c:pt>
                <c:pt idx="4">
                  <c:v>8.1374326968291157</c:v>
                </c:pt>
                <c:pt idx="5">
                  <c:v>8.1374326968291157</c:v>
                </c:pt>
                <c:pt idx="6">
                  <c:v>8.1374326968291157</c:v>
                </c:pt>
                <c:pt idx="7">
                  <c:v>8.1374326968291157</c:v>
                </c:pt>
                <c:pt idx="8">
                  <c:v>8.1374326968291157</c:v>
                </c:pt>
                <c:pt idx="9">
                  <c:v>8.1374326968291157</c:v>
                </c:pt>
                <c:pt idx="10">
                  <c:v>8.1374326968291157</c:v>
                </c:pt>
                <c:pt idx="11">
                  <c:v>8.1374326968291157</c:v>
                </c:pt>
                <c:pt idx="12">
                  <c:v>8.1374326968291157</c:v>
                </c:pt>
                <c:pt idx="13">
                  <c:v>8.1374326968291157</c:v>
                </c:pt>
                <c:pt idx="14">
                  <c:v>8.1374326968291157</c:v>
                </c:pt>
                <c:pt idx="15">
                  <c:v>8.1374326968291157</c:v>
                </c:pt>
              </c:numCache>
            </c:numRef>
          </c:val>
        </c:ser>
        <c:ser>
          <c:idx val="1"/>
          <c:order val="2"/>
          <c:tx>
            <c:strRef>
              <c:f>'Int Analysis'!$V$117</c:f>
              <c:strCache>
                <c:ptCount val="1"/>
                <c:pt idx="0">
                  <c:v>Average (ex AMS)</c:v>
                </c:pt>
              </c:strCache>
            </c:strRef>
          </c:tx>
          <c:spPr>
            <a:ln w="12700">
              <a:solidFill>
                <a:srgbClr val="6AAD11"/>
              </a:solidFill>
              <a:prstDash val="sysDash"/>
            </a:ln>
          </c:spPr>
          <c:marker>
            <c:symbol val="none"/>
          </c:marker>
          <c:dLbls>
            <c:dLbl>
              <c:idx val="15"/>
              <c:layout>
                <c:manualLayout>
                  <c:x val="-1.7016766539677371E-2"/>
                  <c:y val="2.4443154389074052E-2"/>
                </c:manualLayout>
              </c:layout>
              <c:showVal val="1"/>
            </c:dLbl>
            <c:delete val="1"/>
          </c:dLbls>
          <c:val>
            <c:numRef>
              <c:f>'Int Analysis'!$BE$96:$BE$111</c:f>
              <c:numCache>
                <c:formatCode>_-* #,##0.00_-;\-* #,##0.00_-;_-* "-"??_-;_-@_-</c:formatCode>
                <c:ptCount val="16"/>
                <c:pt idx="0">
                  <c:v>7.9177848775365955</c:v>
                </c:pt>
                <c:pt idx="1">
                  <c:v>7.9177848775365955</c:v>
                </c:pt>
                <c:pt idx="2">
                  <c:v>7.9177848775365955</c:v>
                </c:pt>
                <c:pt idx="3">
                  <c:v>7.9177848775365955</c:v>
                </c:pt>
                <c:pt idx="4">
                  <c:v>7.9177848775365955</c:v>
                </c:pt>
                <c:pt idx="5">
                  <c:v>7.9177848775365955</c:v>
                </c:pt>
                <c:pt idx="6">
                  <c:v>7.9177848775365955</c:v>
                </c:pt>
                <c:pt idx="7">
                  <c:v>7.9177848775365955</c:v>
                </c:pt>
                <c:pt idx="8">
                  <c:v>7.9177848775365955</c:v>
                </c:pt>
                <c:pt idx="9">
                  <c:v>7.9177848775365955</c:v>
                </c:pt>
                <c:pt idx="10">
                  <c:v>7.9177848775365955</c:v>
                </c:pt>
                <c:pt idx="11">
                  <c:v>7.9177848775365955</c:v>
                </c:pt>
                <c:pt idx="12">
                  <c:v>7.9177848775365955</c:v>
                </c:pt>
                <c:pt idx="13">
                  <c:v>7.9177848775365955</c:v>
                </c:pt>
                <c:pt idx="14">
                  <c:v>7.9177848775365955</c:v>
                </c:pt>
                <c:pt idx="15">
                  <c:v>7.9177848775365955</c:v>
                </c:pt>
              </c:numCache>
            </c:numRef>
          </c:val>
        </c:ser>
        <c:marker val="1"/>
        <c:axId val="102640640"/>
        <c:axId val="102667008"/>
      </c:lineChart>
      <c:catAx>
        <c:axId val="102640640"/>
        <c:scaling>
          <c:orientation val="minMax"/>
        </c:scaling>
        <c:axPos val="b"/>
        <c:numFmt formatCode="General" sourceLinked="1"/>
        <c:tickLblPos val="nextTo"/>
        <c:crossAx val="102667008"/>
        <c:crosses val="autoZero"/>
        <c:auto val="1"/>
        <c:lblAlgn val="ctr"/>
        <c:lblOffset val="100"/>
      </c:catAx>
      <c:valAx>
        <c:axId val="102667008"/>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102640640"/>
        <c:crosses val="autoZero"/>
        <c:crossBetween val="between"/>
      </c:valAx>
    </c:plotArea>
    <c:legend>
      <c:legendPos val="r"/>
      <c:legendEntry>
        <c:idx val="0"/>
        <c:delete val="1"/>
      </c:legendEntry>
      <c:layout>
        <c:manualLayout>
          <c:xMode val="edge"/>
          <c:yMode val="edge"/>
          <c:x val="0.73986120616048168"/>
          <c:y val="0.11754053991781846"/>
          <c:w val="0.22823235657763546"/>
          <c:h val="8.4350946358303883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 (Factor</a:t>
            </a:r>
            <a:r>
              <a:rPr lang="en-US" baseline="0"/>
              <a:t> Costs)</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Analysis'!$V$102</c:f>
              <c:strCache>
                <c:ptCount val="1"/>
                <c:pt idx="0">
                  <c:v>Heathrow</c:v>
                </c:pt>
              </c:strCache>
            </c:strRef>
          </c:tx>
          <c:spPr>
            <a:ln w="15875"/>
          </c:spPr>
          <c:cat>
            <c:numRef>
              <c:f>'Int Analysis'!$W$95:$AI$95</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Analysis'!$W$102:$AI$102</c:f>
              <c:numCache>
                <c:formatCode>#,##0.00</c:formatCode>
                <c:ptCount val="13"/>
                <c:pt idx="0">
                  <c:v>8.9312668189926594</c:v>
                </c:pt>
                <c:pt idx="1">
                  <c:v>9.6704778790850412</c:v>
                </c:pt>
                <c:pt idx="2">
                  <c:v>9.5914219182142908</c:v>
                </c:pt>
                <c:pt idx="3">
                  <c:v>10.015137486641587</c:v>
                </c:pt>
                <c:pt idx="4">
                  <c:v>9.9682950625946436</c:v>
                </c:pt>
                <c:pt idx="5">
                  <c:v>10.626303328485401</c:v>
                </c:pt>
                <c:pt idx="6">
                  <c:v>10.81223036241021</c:v>
                </c:pt>
                <c:pt idx="7">
                  <c:v>11.463566761601538</c:v>
                </c:pt>
                <c:pt idx="8">
                  <c:v>13.06814529840744</c:v>
                </c:pt>
                <c:pt idx="9">
                  <c:v>13.409837184403763</c:v>
                </c:pt>
                <c:pt idx="10">
                  <c:v>12.982992079491142</c:v>
                </c:pt>
                <c:pt idx="11">
                  <c:v>11.957608557735323</c:v>
                </c:pt>
                <c:pt idx="12">
                  <c:v>12.126439809402292</c:v>
                </c:pt>
              </c:numCache>
            </c:numRef>
          </c:val>
        </c:ser>
        <c:ser>
          <c:idx val="1"/>
          <c:order val="1"/>
          <c:tx>
            <c:strRef>
              <c:f>'Int Analysis'!$V$100</c:f>
              <c:strCache>
                <c:ptCount val="1"/>
                <c:pt idx="0">
                  <c:v>Gatwick</c:v>
                </c:pt>
              </c:strCache>
            </c:strRef>
          </c:tx>
          <c:spPr>
            <a:ln w="15875"/>
          </c:spP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Analysis'!$W$100:$AI$100</c:f>
              <c:numCache>
                <c:formatCode>#,##0.00</c:formatCode>
                <c:ptCount val="13"/>
                <c:pt idx="0">
                  <c:v>6.967810193261939</c:v>
                </c:pt>
                <c:pt idx="1">
                  <c:v>7.6785486735776196</c:v>
                </c:pt>
                <c:pt idx="2">
                  <c:v>7.7225894846726559</c:v>
                </c:pt>
                <c:pt idx="3">
                  <c:v>8.1671373245627432</c:v>
                </c:pt>
                <c:pt idx="4">
                  <c:v>7.7663816375297383</c:v>
                </c:pt>
                <c:pt idx="5">
                  <c:v>7.8314781759751089</c:v>
                </c:pt>
                <c:pt idx="6">
                  <c:v>7.2170285363287547</c:v>
                </c:pt>
                <c:pt idx="7">
                  <c:v>8.0667788127113269</c:v>
                </c:pt>
                <c:pt idx="8">
                  <c:v>8.9712334424828146</c:v>
                </c:pt>
                <c:pt idx="9">
                  <c:v>11.526342073595917</c:v>
                </c:pt>
                <c:pt idx="10">
                  <c:v>8.3764845426054322</c:v>
                </c:pt>
                <c:pt idx="11">
                  <c:v>7.8150748593656276</c:v>
                </c:pt>
                <c:pt idx="12">
                  <c:v>7.7728507323774592</c:v>
                </c:pt>
              </c:numCache>
            </c:numRef>
          </c:val>
        </c:ser>
        <c:ser>
          <c:idx val="2"/>
          <c:order val="2"/>
          <c:tx>
            <c:strRef>
              <c:f>'Int Analysis'!$V$106</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Analysis'!$W$106:$AI$106</c:f>
              <c:numCache>
                <c:formatCode>#,##0.00</c:formatCode>
                <c:ptCount val="13"/>
                <c:pt idx="0">
                  <c:v>8.4857435989273853</c:v>
                </c:pt>
                <c:pt idx="1">
                  <c:v>8.0399665966697178</c:v>
                </c:pt>
                <c:pt idx="2">
                  <c:v>7.7464911171621118</c:v>
                </c:pt>
                <c:pt idx="3">
                  <c:v>5.5314324920306932</c:v>
                </c:pt>
                <c:pt idx="4">
                  <c:v>5.4673594520273774</c:v>
                </c:pt>
                <c:pt idx="5">
                  <c:v>5.40424926669571</c:v>
                </c:pt>
                <c:pt idx="6">
                  <c:v>5.3835976341780825</c:v>
                </c:pt>
                <c:pt idx="7">
                  <c:v>5.3545163730482974</c:v>
                </c:pt>
                <c:pt idx="8">
                  <c:v>6.0543542397505616</c:v>
                </c:pt>
                <c:pt idx="9">
                  <c:v>6.4042529486417452</c:v>
                </c:pt>
                <c:pt idx="10">
                  <c:v>6.6811074163324049</c:v>
                </c:pt>
                <c:pt idx="11">
                  <c:v>6.9779458119406019</c:v>
                </c:pt>
                <c:pt idx="12">
                  <c:v>7.2078484604520732</c:v>
                </c:pt>
              </c:numCache>
            </c:numRef>
          </c:val>
        </c:ser>
        <c:ser>
          <c:idx val="3"/>
          <c:order val="3"/>
          <c:tx>
            <c:strRef>
              <c:f>'Int Analysis'!$V$113</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Analysis'!$W$113:$AI$113</c:f>
              <c:numCache>
                <c:formatCode>#,##0.00</c:formatCode>
                <c:ptCount val="13"/>
                <c:pt idx="0">
                  <c:v>8.8385030020832058</c:v>
                </c:pt>
                <c:pt idx="1">
                  <c:v>9.4116659486004597</c:v>
                </c:pt>
                <c:pt idx="2">
                  <c:v>9.38971412211645</c:v>
                </c:pt>
                <c:pt idx="3">
                  <c:v>9.4137404873460806</c:v>
                </c:pt>
                <c:pt idx="4">
                  <c:v>9.0189349977049353</c:v>
                </c:pt>
                <c:pt idx="5">
                  <c:v>9.268703411122484</c:v>
                </c:pt>
                <c:pt idx="6">
                  <c:v>9.1283321602000935</c:v>
                </c:pt>
                <c:pt idx="7">
                  <c:v>9.3391223056115908</c:v>
                </c:pt>
                <c:pt idx="8">
                  <c:v>9.2018185614250534</c:v>
                </c:pt>
                <c:pt idx="9">
                  <c:v>9.0327668185799723</c:v>
                </c:pt>
                <c:pt idx="10">
                  <c:v>8.5898048612649305</c:v>
                </c:pt>
                <c:pt idx="11">
                  <c:v>8.1478871111019515</c:v>
                </c:pt>
                <c:pt idx="12">
                  <c:v>8.1374326968291157</c:v>
                </c:pt>
              </c:numCache>
            </c:numRef>
          </c:val>
        </c:ser>
        <c:marker val="1"/>
        <c:axId val="102793600"/>
        <c:axId val="102795136"/>
      </c:lineChart>
      <c:catAx>
        <c:axId val="102793600"/>
        <c:scaling>
          <c:orientation val="minMax"/>
        </c:scaling>
        <c:axPos val="b"/>
        <c:numFmt formatCode="General" sourceLinked="1"/>
        <c:tickLblPos val="nextTo"/>
        <c:crossAx val="102795136"/>
        <c:crosses val="autoZero"/>
        <c:auto val="1"/>
        <c:lblAlgn val="ctr"/>
        <c:lblOffset val="100"/>
      </c:catAx>
      <c:valAx>
        <c:axId val="102795136"/>
        <c:scaling>
          <c:orientation val="minMax"/>
        </c:scaling>
        <c:axPos val="l"/>
        <c:majorGridlines/>
        <c:title>
          <c:tx>
            <c:rich>
              <a:bodyPr rot="-5400000" vert="horz"/>
              <a:lstStyle/>
              <a:p>
                <a:pPr>
                  <a:defRPr/>
                </a:pPr>
                <a:r>
                  <a:rPr lang="en-US"/>
                  <a:t>£ 2011/12</a:t>
                </a:r>
              </a:p>
            </c:rich>
          </c:tx>
        </c:title>
        <c:numFmt formatCode="#,##0.00" sourceLinked="1"/>
        <c:tickLblPos val="nextTo"/>
        <c:crossAx val="102793600"/>
        <c:crosses val="autoZero"/>
        <c:crossBetween val="between"/>
      </c:valAx>
    </c:plotArea>
    <c:legend>
      <c:legendPos val="r"/>
      <c:layout>
        <c:manualLayout>
          <c:xMode val="edge"/>
          <c:yMode val="edge"/>
          <c:x val="0.13444380155055441"/>
          <c:y val="5.6758545591161745E-2"/>
          <c:w val="0.83660198748334647"/>
          <c:h val="0.19987808368759741"/>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Staff</a:t>
            </a:r>
            <a:r>
              <a:rPr lang="en-US" baseline="0"/>
              <a:t> Costs </a:t>
            </a:r>
            <a:r>
              <a:rPr lang="en-US"/>
              <a:t>per Pax (Factor</a:t>
            </a:r>
            <a:r>
              <a:rPr lang="en-US" baseline="0"/>
              <a:t> Costs)</a:t>
            </a:r>
            <a:endParaRPr lang="en-US"/>
          </a:p>
        </c:rich>
      </c:tx>
      <c:overlay val="1"/>
    </c:title>
    <c:plotArea>
      <c:layout>
        <c:manualLayout>
          <c:layoutTarget val="inner"/>
          <c:xMode val="edge"/>
          <c:yMode val="edge"/>
          <c:x val="0.15738473315835524"/>
          <c:y val="0.11619536510378264"/>
          <c:w val="0.83106255468066459"/>
          <c:h val="0.66483125003100285"/>
        </c:manualLayout>
      </c:layout>
      <c:barChart>
        <c:barDir val="col"/>
        <c:grouping val="clustered"/>
        <c:ser>
          <c:idx val="0"/>
          <c:order val="0"/>
          <c:spPr>
            <a:solidFill>
              <a:schemeClr val="accent1"/>
            </a:solidFill>
          </c:spPr>
          <c:dLbls>
            <c:txPr>
              <a:bodyPr rot="-5400000" vert="horz"/>
              <a:lstStyle/>
              <a:p>
                <a:pPr>
                  <a:defRPr>
                    <a:solidFill>
                      <a:schemeClr val="bg1"/>
                    </a:solidFill>
                  </a:defRPr>
                </a:pPr>
                <a:endParaRPr lang="en-US"/>
              </a:p>
            </c:txPr>
            <c:dLblPos val="inEnd"/>
            <c:showVal val="1"/>
          </c:dLbls>
          <c:cat>
            <c:strRef>
              <c:f>'Int Analysis'!$BA$124:$BA$139</c:f>
              <c:strCache>
                <c:ptCount val="16"/>
                <c:pt idx="0">
                  <c:v>Munich</c:v>
                </c:pt>
                <c:pt idx="1">
                  <c:v>Southampton</c:v>
                </c:pt>
                <c:pt idx="2">
                  <c:v>Gatwick</c:v>
                </c:pt>
                <c:pt idx="3">
                  <c:v>Heathrow</c:v>
                </c:pt>
                <c:pt idx="4">
                  <c:v>Aberdeen</c:v>
                </c:pt>
                <c:pt idx="5">
                  <c:v>Dublin </c:v>
                </c:pt>
                <c:pt idx="6">
                  <c:v>Zurich</c:v>
                </c:pt>
                <c:pt idx="7">
                  <c:v>Copenhagen</c:v>
                </c:pt>
                <c:pt idx="8">
                  <c:v>Stansted</c:v>
                </c:pt>
                <c:pt idx="9">
                  <c:v>Manchester</c:v>
                </c:pt>
                <c:pt idx="10">
                  <c:v>Glasgow</c:v>
                </c:pt>
                <c:pt idx="11">
                  <c:v>Edinburgh</c:v>
                </c:pt>
                <c:pt idx="12">
                  <c:v>Birmingham</c:v>
                </c:pt>
                <c:pt idx="13">
                  <c:v>Luton</c:v>
                </c:pt>
                <c:pt idx="14">
                  <c:v>Hong Kong</c:v>
                </c:pt>
                <c:pt idx="15">
                  <c:v>Amsterdam</c:v>
                </c:pt>
              </c:strCache>
            </c:strRef>
          </c:cat>
          <c:val>
            <c:numRef>
              <c:f>'Int Analysis'!$BB$124:$BB$139</c:f>
              <c:numCache>
                <c:formatCode>_-* #,##0.00_-;\-* #,##0.00_-;_-* "-"??_-;_-@_-</c:formatCode>
                <c:ptCount val="16"/>
                <c:pt idx="0">
                  <c:v>5.7287123512076539</c:v>
                </c:pt>
                <c:pt idx="1">
                  <c:v>4.250774288755478</c:v>
                </c:pt>
                <c:pt idx="2">
                  <c:v>4.2219746601001065</c:v>
                </c:pt>
                <c:pt idx="3">
                  <c:v>4.07009092807799</c:v>
                </c:pt>
                <c:pt idx="4">
                  <c:v>3.9020570448880023</c:v>
                </c:pt>
                <c:pt idx="5">
                  <c:v>3.6593728426410843</c:v>
                </c:pt>
                <c:pt idx="6">
                  <c:v>3.6046447717185548</c:v>
                </c:pt>
                <c:pt idx="7">
                  <c:v>3.3132623500540879</c:v>
                </c:pt>
                <c:pt idx="8">
                  <c:v>3.1034568623358418</c:v>
                </c:pt>
                <c:pt idx="9">
                  <c:v>2.9439808860396015</c:v>
                </c:pt>
                <c:pt idx="10">
                  <c:v>2.7194336133236723</c:v>
                </c:pt>
                <c:pt idx="11">
                  <c:v>2.5901911970169365</c:v>
                </c:pt>
                <c:pt idx="12">
                  <c:v>2.5623537322633103</c:v>
                </c:pt>
                <c:pt idx="13">
                  <c:v>2.3059848143508326</c:v>
                </c:pt>
                <c:pt idx="14">
                  <c:v>2.1520373105813553</c:v>
                </c:pt>
                <c:pt idx="15">
                  <c:v>1.9944550448165415</c:v>
                </c:pt>
              </c:numCache>
            </c:numRef>
          </c:val>
        </c:ser>
        <c:gapWidth val="50"/>
        <c:axId val="102737024"/>
        <c:axId val="102738560"/>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1.8441566613504125E-2"/>
                  <c:y val="-3.2713141808074692E-2"/>
                </c:manualLayout>
              </c:layout>
              <c:showVal val="1"/>
            </c:dLbl>
            <c:txPr>
              <a:bodyPr/>
              <a:lstStyle/>
              <a:p>
                <a:pPr>
                  <a:defRPr sz="700"/>
                </a:pPr>
                <a:endParaRPr lang="en-US"/>
              </a:p>
            </c:txPr>
            <c:showVal val="1"/>
          </c:dLbls>
          <c:cat>
            <c:strRef>
              <c:f>'Int Analysis'!$BA$124:$BA$139</c:f>
              <c:strCache>
                <c:ptCount val="16"/>
                <c:pt idx="0">
                  <c:v>Munich</c:v>
                </c:pt>
                <c:pt idx="1">
                  <c:v>Southampton</c:v>
                </c:pt>
                <c:pt idx="2">
                  <c:v>Gatwick</c:v>
                </c:pt>
                <c:pt idx="3">
                  <c:v>Heathrow</c:v>
                </c:pt>
                <c:pt idx="4">
                  <c:v>Aberdeen</c:v>
                </c:pt>
                <c:pt idx="5">
                  <c:v>Dublin </c:v>
                </c:pt>
                <c:pt idx="6">
                  <c:v>Zurich</c:v>
                </c:pt>
                <c:pt idx="7">
                  <c:v>Copenhagen</c:v>
                </c:pt>
                <c:pt idx="8">
                  <c:v>Stansted</c:v>
                </c:pt>
                <c:pt idx="9">
                  <c:v>Manchester</c:v>
                </c:pt>
                <c:pt idx="10">
                  <c:v>Glasgow</c:v>
                </c:pt>
                <c:pt idx="11">
                  <c:v>Edinburgh</c:v>
                </c:pt>
                <c:pt idx="12">
                  <c:v>Birmingham</c:v>
                </c:pt>
                <c:pt idx="13">
                  <c:v>Luton</c:v>
                </c:pt>
                <c:pt idx="14">
                  <c:v>Hong Kong</c:v>
                </c:pt>
                <c:pt idx="15">
                  <c:v>Amsterdam</c:v>
                </c:pt>
              </c:strCache>
            </c:strRef>
          </c:cat>
          <c:val>
            <c:numRef>
              <c:f>'Int Analysis'!$BD$124:$BD$139</c:f>
              <c:numCache>
                <c:formatCode>_-* #,##0.00_-;\-* #,##0.00_-;_-* "-"??_-;_-@_-</c:formatCode>
                <c:ptCount val="16"/>
                <c:pt idx="0">
                  <c:v>3.6010986750051597</c:v>
                </c:pt>
                <c:pt idx="1">
                  <c:v>3.6010986750051597</c:v>
                </c:pt>
                <c:pt idx="2">
                  <c:v>3.6010986750051597</c:v>
                </c:pt>
                <c:pt idx="3">
                  <c:v>3.6010986750051597</c:v>
                </c:pt>
                <c:pt idx="4">
                  <c:v>3.6010986750051597</c:v>
                </c:pt>
                <c:pt idx="5">
                  <c:v>3.6010986750051597</c:v>
                </c:pt>
                <c:pt idx="6">
                  <c:v>3.6010986750051597</c:v>
                </c:pt>
                <c:pt idx="7">
                  <c:v>3.6010986750051597</c:v>
                </c:pt>
                <c:pt idx="8">
                  <c:v>3.6010986750051597</c:v>
                </c:pt>
                <c:pt idx="9">
                  <c:v>3.6010986750051597</c:v>
                </c:pt>
                <c:pt idx="10">
                  <c:v>3.6010986750051597</c:v>
                </c:pt>
                <c:pt idx="11">
                  <c:v>3.6010986750051597</c:v>
                </c:pt>
                <c:pt idx="12">
                  <c:v>3.6010986750051597</c:v>
                </c:pt>
                <c:pt idx="13">
                  <c:v>3.6010986750051597</c:v>
                </c:pt>
                <c:pt idx="14">
                  <c:v>3.6010986750051597</c:v>
                </c:pt>
                <c:pt idx="15">
                  <c:v>3.6010986750051597</c:v>
                </c:pt>
              </c:numCache>
            </c:numRef>
          </c:val>
        </c:ser>
        <c:ser>
          <c:idx val="1"/>
          <c:order val="2"/>
          <c:tx>
            <c:strRef>
              <c:f>'Int Analysis'!$V$145</c:f>
              <c:strCache>
                <c:ptCount val="1"/>
                <c:pt idx="0">
                  <c:v>Average (ex AMS)</c:v>
                </c:pt>
              </c:strCache>
            </c:strRef>
          </c:tx>
          <c:spPr>
            <a:ln w="12700">
              <a:solidFill>
                <a:srgbClr val="6AAD11"/>
              </a:solidFill>
              <a:prstDash val="sysDash"/>
            </a:ln>
          </c:spPr>
          <c:marker>
            <c:symbol val="none"/>
          </c:marker>
          <c:dLbls>
            <c:dLbl>
              <c:idx val="15"/>
              <c:layout>
                <c:manualLayout>
                  <c:x val="-1.4343440699391977E-2"/>
                  <c:y val="1.486960991276106E-2"/>
                </c:manualLayout>
              </c:layout>
              <c:showVal val="1"/>
            </c:dLbl>
            <c:delete val="1"/>
          </c:dLbls>
          <c:val>
            <c:numRef>
              <c:f>'Int Analysis'!$BE$124:$BE$139</c:f>
              <c:numCache>
                <c:formatCode>_-* #,##0.00_-;\-* #,##0.00_-;_-* "-"??_-;_-@_-</c:formatCode>
                <c:ptCount val="16"/>
                <c:pt idx="0">
                  <c:v>3.2597054564817736</c:v>
                </c:pt>
                <c:pt idx="1">
                  <c:v>3.2597054564817736</c:v>
                </c:pt>
                <c:pt idx="2">
                  <c:v>3.2597054564817736</c:v>
                </c:pt>
                <c:pt idx="3">
                  <c:v>3.2597054564817736</c:v>
                </c:pt>
                <c:pt idx="4">
                  <c:v>3.2597054564817736</c:v>
                </c:pt>
                <c:pt idx="5">
                  <c:v>3.2597054564817736</c:v>
                </c:pt>
                <c:pt idx="6">
                  <c:v>3.2597054564817736</c:v>
                </c:pt>
                <c:pt idx="7">
                  <c:v>3.2597054564817736</c:v>
                </c:pt>
                <c:pt idx="8">
                  <c:v>3.2597054564817736</c:v>
                </c:pt>
                <c:pt idx="9">
                  <c:v>3.2597054564817736</c:v>
                </c:pt>
                <c:pt idx="10">
                  <c:v>3.2597054564817736</c:v>
                </c:pt>
                <c:pt idx="11">
                  <c:v>3.2597054564817736</c:v>
                </c:pt>
                <c:pt idx="12">
                  <c:v>3.2597054564817736</c:v>
                </c:pt>
                <c:pt idx="13">
                  <c:v>3.2597054564817736</c:v>
                </c:pt>
                <c:pt idx="14">
                  <c:v>3.2597054564817736</c:v>
                </c:pt>
                <c:pt idx="15">
                  <c:v>3.2597054564817736</c:v>
                </c:pt>
              </c:numCache>
            </c:numRef>
          </c:val>
        </c:ser>
        <c:marker val="1"/>
        <c:axId val="102737024"/>
        <c:axId val="102738560"/>
      </c:lineChart>
      <c:catAx>
        <c:axId val="102737024"/>
        <c:scaling>
          <c:orientation val="minMax"/>
        </c:scaling>
        <c:axPos val="b"/>
        <c:numFmt formatCode="General" sourceLinked="1"/>
        <c:tickLblPos val="nextTo"/>
        <c:crossAx val="102738560"/>
        <c:crosses val="autoZero"/>
        <c:auto val="1"/>
        <c:lblAlgn val="ctr"/>
        <c:lblOffset val="100"/>
      </c:catAx>
      <c:valAx>
        <c:axId val="102738560"/>
        <c:scaling>
          <c:orientation val="minMax"/>
        </c:scaling>
        <c:axPos val="l"/>
        <c:majorGridlines/>
        <c:title>
          <c:tx>
            <c:rich>
              <a:bodyPr rot="-5400000" vert="horz"/>
              <a:lstStyle/>
              <a:p>
                <a:pPr>
                  <a:defRPr/>
                </a:pPr>
                <a:r>
                  <a:rPr lang="en-US"/>
                  <a:t>£ 2011/12l</a:t>
                </a:r>
              </a:p>
            </c:rich>
          </c:tx>
        </c:title>
        <c:numFmt formatCode="_-* #,##0.00_-;\-* #,##0.00_-;_-* &quot;-&quot;??_-;_-@_-" sourceLinked="1"/>
        <c:tickLblPos val="nextTo"/>
        <c:crossAx val="102737024"/>
        <c:crosses val="autoZero"/>
        <c:crossBetween val="between"/>
      </c:valAx>
    </c:plotArea>
    <c:legend>
      <c:legendPos val="r"/>
      <c:legendEntry>
        <c:idx val="0"/>
        <c:delete val="1"/>
      </c:legendEntry>
      <c:layout>
        <c:manualLayout>
          <c:xMode val="edge"/>
          <c:yMode val="edge"/>
          <c:x val="0.788799864832888"/>
          <c:y val="0.11972136229488342"/>
          <c:w val="0.21120012888886791"/>
          <c:h val="9.2411067232422373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Staff</a:t>
            </a:r>
            <a:r>
              <a:rPr lang="en-US" baseline="0"/>
              <a:t> Costs </a:t>
            </a:r>
            <a:r>
              <a:rPr lang="en-US"/>
              <a:t>per Pax (Factor Costs)</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Analysis'!$V$130</c:f>
              <c:strCache>
                <c:ptCount val="1"/>
                <c:pt idx="0">
                  <c:v>Heathrow</c:v>
                </c:pt>
              </c:strCache>
            </c:strRef>
          </c:tx>
          <c:spPr>
            <a:ln w="15875"/>
          </c:spPr>
          <c:cat>
            <c:numRef>
              <c:f>'Int Analysis'!$W$123:$AI$123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Analysis'!$W$130:$AI$130</c:f>
              <c:numCache>
                <c:formatCode>#,##0.00</c:formatCode>
                <c:ptCount val="13"/>
                <c:pt idx="0">
                  <c:v>2.418570686696107</c:v>
                </c:pt>
                <c:pt idx="1">
                  <c:v>2.852768369192455</c:v>
                </c:pt>
                <c:pt idx="2">
                  <c:v>2.9933388456578465</c:v>
                </c:pt>
                <c:pt idx="3">
                  <c:v>3.2182838730315528</c:v>
                </c:pt>
                <c:pt idx="4">
                  <c:v>3.2276690522542699</c:v>
                </c:pt>
                <c:pt idx="5">
                  <c:v>3.3142253304488691</c:v>
                </c:pt>
                <c:pt idx="6">
                  <c:v>3.4385306766580475</c:v>
                </c:pt>
                <c:pt idx="7">
                  <c:v>3.6033190647988285</c:v>
                </c:pt>
                <c:pt idx="8">
                  <c:v>4.4468682447070051</c:v>
                </c:pt>
                <c:pt idx="9">
                  <c:v>3.8138069056561164</c:v>
                </c:pt>
                <c:pt idx="10">
                  <c:v>3.9691784243021431</c:v>
                </c:pt>
                <c:pt idx="11">
                  <c:v>3.8118331342525278</c:v>
                </c:pt>
                <c:pt idx="12">
                  <c:v>4.07009092807799</c:v>
                </c:pt>
              </c:numCache>
            </c:numRef>
          </c:val>
        </c:ser>
        <c:ser>
          <c:idx val="1"/>
          <c:order val="1"/>
          <c:tx>
            <c:strRef>
              <c:f>'Int Analysis'!$V$128</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Analysis'!$W$128:$AI$128</c:f>
              <c:numCache>
                <c:formatCode>#,##0.00</c:formatCode>
                <c:ptCount val="13"/>
                <c:pt idx="0">
                  <c:v>2.4059641632674267</c:v>
                </c:pt>
                <c:pt idx="1">
                  <c:v>2.6908500016444021</c:v>
                </c:pt>
                <c:pt idx="2">
                  <c:v>2.9861882236292634</c:v>
                </c:pt>
                <c:pt idx="3">
                  <c:v>3.2936891913048472</c:v>
                </c:pt>
                <c:pt idx="4">
                  <c:v>3.1128571758744257</c:v>
                </c:pt>
                <c:pt idx="5">
                  <c:v>3.0060597396309805</c:v>
                </c:pt>
                <c:pt idx="6">
                  <c:v>2.6966153556318635</c:v>
                </c:pt>
                <c:pt idx="7">
                  <c:v>3.0973294104699631</c:v>
                </c:pt>
                <c:pt idx="8">
                  <c:v>3.4022125383893012</c:v>
                </c:pt>
                <c:pt idx="9">
                  <c:v>4.7205702658510083</c:v>
                </c:pt>
                <c:pt idx="10">
                  <c:v>4.2561418099043031</c:v>
                </c:pt>
                <c:pt idx="11">
                  <c:v>4.1560106651811912</c:v>
                </c:pt>
                <c:pt idx="12">
                  <c:v>4.2219746601001065</c:v>
                </c:pt>
              </c:numCache>
            </c:numRef>
          </c:val>
        </c:ser>
        <c:ser>
          <c:idx val="2"/>
          <c:order val="2"/>
          <c:tx>
            <c:strRef>
              <c:f>'Int Analysis'!$V$134</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Analysis'!$W$134:$AI$134</c:f>
              <c:numCache>
                <c:formatCode>#,##0.00</c:formatCode>
                <c:ptCount val="13"/>
                <c:pt idx="0">
                  <c:v>2.9896746172736566</c:v>
                </c:pt>
                <c:pt idx="1">
                  <c:v>2.5037278131958418</c:v>
                </c:pt>
                <c:pt idx="2">
                  <c:v>2.4097330970449629</c:v>
                </c:pt>
                <c:pt idx="3">
                  <c:v>2.3307045998166842</c:v>
                </c:pt>
                <c:pt idx="4">
                  <c:v>2.3517685878205996</c:v>
                </c:pt>
                <c:pt idx="5">
                  <c:v>2.2224751670093714</c:v>
                </c:pt>
                <c:pt idx="6">
                  <c:v>2.3404540588461753</c:v>
                </c:pt>
                <c:pt idx="7">
                  <c:v>2.3607974079751948</c:v>
                </c:pt>
                <c:pt idx="8">
                  <c:v>2.5822884696699679</c:v>
                </c:pt>
                <c:pt idx="9">
                  <c:v>2.6062095011074899</c:v>
                </c:pt>
                <c:pt idx="10">
                  <c:v>2.6056318923696384</c:v>
                </c:pt>
                <c:pt idx="11">
                  <c:v>2.8769727404968219</c:v>
                </c:pt>
                <c:pt idx="12">
                  <c:v>3.1034568623358418</c:v>
                </c:pt>
              </c:numCache>
            </c:numRef>
          </c:val>
        </c:ser>
        <c:ser>
          <c:idx val="3"/>
          <c:order val="3"/>
          <c:tx>
            <c:strRef>
              <c:f>'Int Analysis'!$V$141</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Analysis'!$W$141:$AI$141</c:f>
              <c:numCache>
                <c:formatCode>#,##0.00</c:formatCode>
                <c:ptCount val="13"/>
                <c:pt idx="0">
                  <c:v>3.8826212007898637</c:v>
                </c:pt>
                <c:pt idx="1">
                  <c:v>4.0541851711729358</c:v>
                </c:pt>
                <c:pt idx="2">
                  <c:v>3.9619902683619714</c:v>
                </c:pt>
                <c:pt idx="3">
                  <c:v>4.0240497486385216</c:v>
                </c:pt>
                <c:pt idx="4">
                  <c:v>3.8917111762805421</c:v>
                </c:pt>
                <c:pt idx="5">
                  <c:v>3.9850744357981194</c:v>
                </c:pt>
                <c:pt idx="6">
                  <c:v>4.0368207241949436</c:v>
                </c:pt>
                <c:pt idx="7">
                  <c:v>4.0325225937436429</c:v>
                </c:pt>
                <c:pt idx="8">
                  <c:v>3.805175193611035</c:v>
                </c:pt>
                <c:pt idx="9">
                  <c:v>3.785599485970411</c:v>
                </c:pt>
                <c:pt idx="10">
                  <c:v>3.7690698805096154</c:v>
                </c:pt>
                <c:pt idx="11">
                  <c:v>3.6010986750051597</c:v>
                </c:pt>
                <c:pt idx="12">
                  <c:v>3.3201739186356907</c:v>
                </c:pt>
              </c:numCache>
            </c:numRef>
          </c:val>
        </c:ser>
        <c:marker val="1"/>
        <c:axId val="102938880"/>
        <c:axId val="103096320"/>
      </c:lineChart>
      <c:catAx>
        <c:axId val="102938880"/>
        <c:scaling>
          <c:orientation val="minMax"/>
        </c:scaling>
        <c:axPos val="b"/>
        <c:numFmt formatCode="General" sourceLinked="1"/>
        <c:tickLblPos val="nextTo"/>
        <c:crossAx val="103096320"/>
        <c:crosses val="autoZero"/>
        <c:auto val="1"/>
        <c:lblAlgn val="ctr"/>
        <c:lblOffset val="100"/>
      </c:catAx>
      <c:valAx>
        <c:axId val="103096320"/>
        <c:scaling>
          <c:orientation val="minMax"/>
        </c:scaling>
        <c:axPos val="l"/>
        <c:majorGridlines/>
        <c:title>
          <c:tx>
            <c:rich>
              <a:bodyPr rot="-5400000" vert="horz"/>
              <a:lstStyle/>
              <a:p>
                <a:pPr>
                  <a:defRPr/>
                </a:pPr>
                <a:r>
                  <a:rPr lang="en-US"/>
                  <a:t>£ 2011/12</a:t>
                </a:r>
              </a:p>
            </c:rich>
          </c:tx>
        </c:title>
        <c:numFmt formatCode="#,##0.00" sourceLinked="1"/>
        <c:tickLblPos val="nextTo"/>
        <c:crossAx val="102938880"/>
        <c:crosses val="autoZero"/>
        <c:crossBetween val="between"/>
      </c:valAx>
    </c:plotArea>
    <c:legend>
      <c:legendPos val="r"/>
      <c:layout>
        <c:manualLayout>
          <c:xMode val="edge"/>
          <c:yMode val="edge"/>
          <c:x val="0.13444380155055441"/>
          <c:y val="5.6758545591161745E-2"/>
          <c:w val="0.85398850167642515"/>
          <c:h val="0.16870914945119758"/>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a:t>
            </a:r>
            <a:r>
              <a:rPr lang="en-US" baseline="0"/>
              <a:t> Opex Per Pax Index</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Analysis'!$B$157</c:f>
              <c:strCache>
                <c:ptCount val="1"/>
                <c:pt idx="0">
                  <c:v>Heathrow</c:v>
                </c:pt>
              </c:strCache>
            </c:strRef>
          </c:tx>
          <c:spPr>
            <a:ln w="15875"/>
          </c:spPr>
          <c:cat>
            <c:numRef>
              <c:f>'Int Analysis'!$C$150:$O$150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Analysis'!$C$157:$O$157</c:f>
              <c:numCache>
                <c:formatCode>#,##0.00</c:formatCode>
                <c:ptCount val="13"/>
                <c:pt idx="0">
                  <c:v>1</c:v>
                </c:pt>
                <c:pt idx="1">
                  <c:v>1.1313581653155591</c:v>
                </c:pt>
                <c:pt idx="2">
                  <c:v>1.0898430706247344</c:v>
                </c:pt>
                <c:pt idx="3">
                  <c:v>1.1053850366369986</c:v>
                </c:pt>
                <c:pt idx="4">
                  <c:v>1.1157948831002154</c:v>
                </c:pt>
                <c:pt idx="5">
                  <c:v>1.2132564677129045</c:v>
                </c:pt>
                <c:pt idx="6">
                  <c:v>1.2925300606193399</c:v>
                </c:pt>
                <c:pt idx="7">
                  <c:v>1.5119559921852919</c:v>
                </c:pt>
                <c:pt idx="8">
                  <c:v>1.9727220191301365</c:v>
                </c:pt>
                <c:pt idx="9">
                  <c:v>2.3249910800005558</c:v>
                </c:pt>
                <c:pt idx="10">
                  <c:v>2.0109635518940432</c:v>
                </c:pt>
                <c:pt idx="11">
                  <c:v>1.885938713956792</c:v>
                </c:pt>
                <c:pt idx="12">
                  <c:v>2.0039606093808868</c:v>
                </c:pt>
              </c:numCache>
            </c:numRef>
          </c:val>
        </c:ser>
        <c:ser>
          <c:idx val="1"/>
          <c:order val="1"/>
          <c:tx>
            <c:strRef>
              <c:f>'Int Analysis'!$B$155</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Analysis'!$C$155:$O$155</c:f>
              <c:numCache>
                <c:formatCode>#,##0.00</c:formatCode>
                <c:ptCount val="13"/>
                <c:pt idx="0">
                  <c:v>1</c:v>
                </c:pt>
                <c:pt idx="1">
                  <c:v>1.1129916613258786</c:v>
                </c:pt>
                <c:pt idx="2">
                  <c:v>1.121336818906723</c:v>
                </c:pt>
                <c:pt idx="3">
                  <c:v>1.1533843122963314</c:v>
                </c:pt>
                <c:pt idx="4">
                  <c:v>1.0988437300208445</c:v>
                </c:pt>
                <c:pt idx="5">
                  <c:v>1.1838907445545144</c:v>
                </c:pt>
                <c:pt idx="6">
                  <c:v>1.0936320053981541</c:v>
                </c:pt>
                <c:pt idx="7">
                  <c:v>1.2098199919220789</c:v>
                </c:pt>
                <c:pt idx="8">
                  <c:v>1.3158660240785536</c:v>
                </c:pt>
                <c:pt idx="9">
                  <c:v>2.2952280031461862</c:v>
                </c:pt>
                <c:pt idx="10">
                  <c:v>1.4185063838898395</c:v>
                </c:pt>
                <c:pt idx="11">
                  <c:v>1.336100350110542</c:v>
                </c:pt>
                <c:pt idx="12">
                  <c:v>1.3469222170725723</c:v>
                </c:pt>
              </c:numCache>
            </c:numRef>
          </c:val>
        </c:ser>
        <c:ser>
          <c:idx val="2"/>
          <c:order val="2"/>
          <c:tx>
            <c:strRef>
              <c:f>'Int Analysis'!$B$161</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Analysis'!$C$161:$O$161</c:f>
              <c:numCache>
                <c:formatCode>#,##0.00</c:formatCode>
                <c:ptCount val="13"/>
                <c:pt idx="0">
                  <c:v>1</c:v>
                </c:pt>
                <c:pt idx="1">
                  <c:v>0.95074922115626681</c:v>
                </c:pt>
                <c:pt idx="2">
                  <c:v>0.91665915597277881</c:v>
                </c:pt>
                <c:pt idx="3">
                  <c:v>0.69753138748188637</c:v>
                </c:pt>
                <c:pt idx="4">
                  <c:v>0.68415508228286914</c:v>
                </c:pt>
                <c:pt idx="5">
                  <c:v>0.6644751902636622</c:v>
                </c:pt>
                <c:pt idx="6">
                  <c:v>0.67270832079088805</c:v>
                </c:pt>
                <c:pt idx="7">
                  <c:v>0.65511943164294351</c:v>
                </c:pt>
                <c:pt idx="8">
                  <c:v>0.74426925061196458</c:v>
                </c:pt>
                <c:pt idx="9">
                  <c:v>0.81827296829849594</c:v>
                </c:pt>
                <c:pt idx="10">
                  <c:v>1.1183364992422296</c:v>
                </c:pt>
                <c:pt idx="11">
                  <c:v>0.89842507944543815</c:v>
                </c:pt>
                <c:pt idx="12">
                  <c:v>1.0179672917170448</c:v>
                </c:pt>
              </c:numCache>
            </c:numRef>
          </c:val>
        </c:ser>
        <c:ser>
          <c:idx val="3"/>
          <c:order val="3"/>
          <c:tx>
            <c:strRef>
              <c:f>'Int Analysis'!$B$168</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Analysis'!$C$168:$O$168</c:f>
              <c:numCache>
                <c:formatCode>#,##0.00</c:formatCode>
                <c:ptCount val="13"/>
                <c:pt idx="0">
                  <c:v>1</c:v>
                </c:pt>
                <c:pt idx="1">
                  <c:v>1.0867588145230638</c:v>
                </c:pt>
                <c:pt idx="2">
                  <c:v>1.0646337970417763</c:v>
                </c:pt>
                <c:pt idx="3">
                  <c:v>1.0882243292728644</c:v>
                </c:pt>
                <c:pt idx="4">
                  <c:v>1.0187027611704356</c:v>
                </c:pt>
                <c:pt idx="5">
                  <c:v>1.0695318249770902</c:v>
                </c:pt>
                <c:pt idx="6">
                  <c:v>1.0144854492625792</c:v>
                </c:pt>
                <c:pt idx="7">
                  <c:v>1.0210290948281706</c:v>
                </c:pt>
                <c:pt idx="8">
                  <c:v>1.0902721682910081</c:v>
                </c:pt>
                <c:pt idx="9">
                  <c:v>1.265272534760725</c:v>
                </c:pt>
                <c:pt idx="10">
                  <c:v>1.143945383919055</c:v>
                </c:pt>
                <c:pt idx="11">
                  <c:v>1.0772048330660027</c:v>
                </c:pt>
                <c:pt idx="12">
                  <c:v>1.1166926099859589</c:v>
                </c:pt>
              </c:numCache>
            </c:numRef>
          </c:val>
        </c:ser>
        <c:marker val="1"/>
        <c:axId val="103173120"/>
        <c:axId val="103195392"/>
      </c:lineChart>
      <c:catAx>
        <c:axId val="103173120"/>
        <c:scaling>
          <c:orientation val="minMax"/>
        </c:scaling>
        <c:axPos val="b"/>
        <c:numFmt formatCode="General" sourceLinked="1"/>
        <c:tickLblPos val="nextTo"/>
        <c:crossAx val="103195392"/>
        <c:crosses val="autoZero"/>
        <c:auto val="1"/>
        <c:lblAlgn val="ctr"/>
        <c:lblOffset val="100"/>
      </c:catAx>
      <c:valAx>
        <c:axId val="103195392"/>
        <c:scaling>
          <c:orientation val="minMax"/>
        </c:scaling>
        <c:axPos val="l"/>
        <c:majorGridlines/>
        <c:title>
          <c:tx>
            <c:rich>
              <a:bodyPr rot="-5400000" vert="horz"/>
              <a:lstStyle/>
              <a:p>
                <a:pPr>
                  <a:defRPr/>
                </a:pPr>
                <a:r>
                  <a:rPr lang="en-US"/>
                  <a:t>2000=1</a:t>
                </a:r>
              </a:p>
            </c:rich>
          </c:tx>
        </c:title>
        <c:numFmt formatCode="#,##0.00" sourceLinked="1"/>
        <c:tickLblPos val="nextTo"/>
        <c:crossAx val="103173120"/>
        <c:crosses val="autoZero"/>
        <c:crossBetween val="between"/>
      </c:valAx>
    </c:plotArea>
    <c:legend>
      <c:legendPos val="r"/>
      <c:layout>
        <c:manualLayout>
          <c:xMode val="edge"/>
          <c:yMode val="edge"/>
          <c:x val="0.13444380155055441"/>
          <c:y val="5.6758545591161745E-2"/>
          <c:w val="0.85398850167642515"/>
          <c:h val="0.16870914945119758"/>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a:t>
            </a:r>
            <a:r>
              <a:rPr lang="en-US" baseline="0"/>
              <a:t> Opex Per Pax Index (Factor Costs)</a:t>
            </a:r>
            <a:endParaRPr lang="en-US"/>
          </a:p>
        </c:rich>
      </c:tx>
      <c:overlay val="1"/>
    </c:title>
    <c:plotArea>
      <c:layout>
        <c:manualLayout>
          <c:layoutTarget val="inner"/>
          <c:xMode val="edge"/>
          <c:yMode val="edge"/>
          <c:x val="0.15738473315835524"/>
          <c:y val="0.18815315987390221"/>
          <c:w val="0.81046187376344792"/>
          <c:h val="0.61811773325471164"/>
        </c:manualLayout>
      </c:layout>
      <c:lineChart>
        <c:grouping val="standard"/>
        <c:ser>
          <c:idx val="0"/>
          <c:order val="0"/>
          <c:tx>
            <c:strRef>
              <c:f>'Int Analysis'!$V$157</c:f>
              <c:strCache>
                <c:ptCount val="1"/>
                <c:pt idx="0">
                  <c:v>Heathrow</c:v>
                </c:pt>
              </c:strCache>
            </c:strRef>
          </c:tx>
          <c:spPr>
            <a:ln w="15875"/>
          </c:spP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Pos val="t"/>
            <c:showVal val="1"/>
          </c:dLbls>
          <c:cat>
            <c:numRef>
              <c:f>'Int Analysis'!$W$150:$AI$150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Analysis'!$W$157:$AI$157</c:f>
              <c:numCache>
                <c:formatCode>#,##0.00</c:formatCode>
                <c:ptCount val="13"/>
                <c:pt idx="0">
                  <c:v>1</c:v>
                </c:pt>
                <c:pt idx="1">
                  <c:v>1.1313581653155591</c:v>
                </c:pt>
                <c:pt idx="2">
                  <c:v>1.0898430706247344</c:v>
                </c:pt>
                <c:pt idx="3">
                  <c:v>1.1053850366369986</c:v>
                </c:pt>
                <c:pt idx="4">
                  <c:v>1.1157948831002154</c:v>
                </c:pt>
                <c:pt idx="5">
                  <c:v>1.2132564677129045</c:v>
                </c:pt>
                <c:pt idx="6">
                  <c:v>1.2925300606193399</c:v>
                </c:pt>
                <c:pt idx="7">
                  <c:v>1.5119559921852919</c:v>
                </c:pt>
                <c:pt idx="8">
                  <c:v>1.9727220191301365</c:v>
                </c:pt>
                <c:pt idx="9">
                  <c:v>2.3249910800005558</c:v>
                </c:pt>
                <c:pt idx="10">
                  <c:v>2.0109635518940432</c:v>
                </c:pt>
                <c:pt idx="11">
                  <c:v>1.885938713956792</c:v>
                </c:pt>
                <c:pt idx="12">
                  <c:v>2.0039606093808868</c:v>
                </c:pt>
              </c:numCache>
            </c:numRef>
          </c:val>
        </c:ser>
        <c:ser>
          <c:idx val="1"/>
          <c:order val="1"/>
          <c:tx>
            <c:strRef>
              <c:f>'Int Analysis'!$V$155</c:f>
              <c:strCache>
                <c:ptCount val="1"/>
                <c:pt idx="0">
                  <c:v>Gatwick</c:v>
                </c:pt>
              </c:strCache>
            </c:strRef>
          </c:tx>
          <c:spPr>
            <a:ln w="15875"/>
          </c:spPr>
          <c:dLbls>
            <c:dLbl>
              <c:idx val="12"/>
              <c:dLblPos val="t"/>
              <c:showVal val="1"/>
            </c:dLbl>
            <c:delete val="1"/>
            <c:dLblPos val="t"/>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Analysis'!$W$155:$AI$155</c:f>
              <c:numCache>
                <c:formatCode>#,##0.00</c:formatCode>
                <c:ptCount val="13"/>
                <c:pt idx="0">
                  <c:v>1</c:v>
                </c:pt>
                <c:pt idx="1">
                  <c:v>1.1129916613258786</c:v>
                </c:pt>
                <c:pt idx="2">
                  <c:v>1.121336818906723</c:v>
                </c:pt>
                <c:pt idx="3">
                  <c:v>1.1533843122963314</c:v>
                </c:pt>
                <c:pt idx="4">
                  <c:v>1.0988437300208445</c:v>
                </c:pt>
                <c:pt idx="5">
                  <c:v>1.1838907445545144</c:v>
                </c:pt>
                <c:pt idx="6">
                  <c:v>1.0936320053981541</c:v>
                </c:pt>
                <c:pt idx="7">
                  <c:v>1.2098199919220789</c:v>
                </c:pt>
                <c:pt idx="8">
                  <c:v>1.3158660240785536</c:v>
                </c:pt>
                <c:pt idx="9">
                  <c:v>2.2952280031461862</c:v>
                </c:pt>
                <c:pt idx="10">
                  <c:v>1.4185063838898395</c:v>
                </c:pt>
                <c:pt idx="11">
                  <c:v>1.336100350110542</c:v>
                </c:pt>
                <c:pt idx="12">
                  <c:v>1.3469222170725723</c:v>
                </c:pt>
              </c:numCache>
            </c:numRef>
          </c:val>
        </c:ser>
        <c:ser>
          <c:idx val="2"/>
          <c:order val="2"/>
          <c:tx>
            <c:strRef>
              <c:f>'Int Analysis'!$V$161</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LblPos val="b"/>
              <c:showVal val="1"/>
            </c:dLbl>
            <c:txPr>
              <a:bodyPr/>
              <a:lstStyle/>
              <a:p>
                <a:pPr>
                  <a:defRPr sz="8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Analysis'!$W$161:$AI$161</c:f>
              <c:numCache>
                <c:formatCode>#,##0.00</c:formatCode>
                <c:ptCount val="13"/>
                <c:pt idx="0">
                  <c:v>1</c:v>
                </c:pt>
                <c:pt idx="1">
                  <c:v>0.95074922115626681</c:v>
                </c:pt>
                <c:pt idx="2">
                  <c:v>0.91665915597277881</c:v>
                </c:pt>
                <c:pt idx="3">
                  <c:v>0.69753138748188637</c:v>
                </c:pt>
                <c:pt idx="4">
                  <c:v>0.68415508228286914</c:v>
                </c:pt>
                <c:pt idx="5">
                  <c:v>0.6644751902636622</c:v>
                </c:pt>
                <c:pt idx="6">
                  <c:v>0.67270832079088805</c:v>
                </c:pt>
                <c:pt idx="7">
                  <c:v>0.65511943164294351</c:v>
                </c:pt>
                <c:pt idx="8">
                  <c:v>0.74426925061196458</c:v>
                </c:pt>
                <c:pt idx="9">
                  <c:v>0.81827296829849594</c:v>
                </c:pt>
                <c:pt idx="10">
                  <c:v>1.1183364992422296</c:v>
                </c:pt>
                <c:pt idx="11">
                  <c:v>0.89842507944543815</c:v>
                </c:pt>
                <c:pt idx="12">
                  <c:v>1.0179672917170448</c:v>
                </c:pt>
              </c:numCache>
            </c:numRef>
          </c:val>
        </c:ser>
        <c:ser>
          <c:idx val="3"/>
          <c:order val="3"/>
          <c:tx>
            <c:strRef>
              <c:f>'Int Analysis'!$V$168</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layout>
                <c:manualLayout>
                  <c:x val="-3.3374244690142045E-2"/>
                  <c:y val="-2.5273756684299608E-2"/>
                </c:manualLayout>
              </c:layout>
              <c:dLblPos val="r"/>
              <c:showVal val="1"/>
            </c:dLbl>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Analysis'!$W$168:$AI$168</c:f>
              <c:numCache>
                <c:formatCode>#,##0.00</c:formatCode>
                <c:ptCount val="13"/>
                <c:pt idx="0">
                  <c:v>1</c:v>
                </c:pt>
                <c:pt idx="1">
                  <c:v>1.0683348003869175</c:v>
                </c:pt>
                <c:pt idx="2">
                  <c:v>1.0549080595946356</c:v>
                </c:pt>
                <c:pt idx="3">
                  <c:v>1.0714860824357209</c:v>
                </c:pt>
                <c:pt idx="4">
                  <c:v>1.0247902704073875</c:v>
                </c:pt>
                <c:pt idx="5">
                  <c:v>1.0836336483381672</c:v>
                </c:pt>
                <c:pt idx="6">
                  <c:v>1.040024043128851</c:v>
                </c:pt>
                <c:pt idx="7">
                  <c:v>1.0750681312455206</c:v>
                </c:pt>
                <c:pt idx="8">
                  <c:v>1.0796254807298904</c:v>
                </c:pt>
                <c:pt idx="9">
                  <c:v>1.2031063514311253</c:v>
                </c:pt>
                <c:pt idx="10">
                  <c:v>1.0964235870566401</c:v>
                </c:pt>
                <c:pt idx="11">
                  <c:v>1.0294344121233416</c:v>
                </c:pt>
                <c:pt idx="12">
                  <c:v>1.0540722209761948</c:v>
                </c:pt>
              </c:numCache>
            </c:numRef>
          </c:val>
        </c:ser>
        <c:marker val="1"/>
        <c:axId val="103293696"/>
        <c:axId val="103295232"/>
      </c:lineChart>
      <c:catAx>
        <c:axId val="103293696"/>
        <c:scaling>
          <c:orientation val="minMax"/>
        </c:scaling>
        <c:axPos val="b"/>
        <c:numFmt formatCode="General" sourceLinked="1"/>
        <c:tickLblPos val="nextTo"/>
        <c:crossAx val="103295232"/>
        <c:crosses val="autoZero"/>
        <c:auto val="1"/>
        <c:lblAlgn val="ctr"/>
        <c:lblOffset val="100"/>
      </c:catAx>
      <c:valAx>
        <c:axId val="103295232"/>
        <c:scaling>
          <c:orientation val="minMax"/>
        </c:scaling>
        <c:axPos val="l"/>
        <c:majorGridlines/>
        <c:title>
          <c:tx>
            <c:rich>
              <a:bodyPr rot="-5400000" vert="horz"/>
              <a:lstStyle/>
              <a:p>
                <a:pPr>
                  <a:defRPr/>
                </a:pPr>
                <a:r>
                  <a:rPr lang="en-US"/>
                  <a:t>2000=1</a:t>
                </a:r>
              </a:p>
            </c:rich>
          </c:tx>
        </c:title>
        <c:numFmt formatCode="#,##0.00" sourceLinked="1"/>
        <c:tickLblPos val="nextTo"/>
        <c:crossAx val="103293696"/>
        <c:crosses val="autoZero"/>
        <c:crossBetween val="between"/>
      </c:valAx>
    </c:plotArea>
    <c:legend>
      <c:legendPos val="r"/>
      <c:layout>
        <c:manualLayout>
          <c:xMode val="edge"/>
          <c:yMode val="edge"/>
          <c:x val="0.13444380155055441"/>
          <c:y val="5.6758545591161745E-2"/>
          <c:w val="0.85398850167642515"/>
          <c:h val="0.1260209548005428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44" l="0.70000000000000062" r="0.70000000000000062" t="0.75000000000001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Adjusted Opex Per Pax Index</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Analysis'!$B$211</c:f>
              <c:strCache>
                <c:ptCount val="1"/>
                <c:pt idx="0">
                  <c:v>Heathrow</c:v>
                </c:pt>
              </c:strCache>
            </c:strRef>
          </c:tx>
          <c:spPr>
            <a:ln w="15875"/>
          </c:spPr>
          <c:cat>
            <c:numRef>
              <c:f>'Int Analysis'!$C$204:$O$204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Analysis'!$C$211:$O$211</c:f>
              <c:numCache>
                <c:formatCode>#,##0.00</c:formatCode>
                <c:ptCount val="13"/>
                <c:pt idx="0">
                  <c:v>1</c:v>
                </c:pt>
                <c:pt idx="1">
                  <c:v>1.082766652824706</c:v>
                </c:pt>
                <c:pt idx="2">
                  <c:v>1.0739150573598124</c:v>
                </c:pt>
                <c:pt idx="3">
                  <c:v>1.1213568791096955</c:v>
                </c:pt>
                <c:pt idx="4">
                  <c:v>1.1161121109266052</c:v>
                </c:pt>
                <c:pt idx="5">
                  <c:v>1.1897867955179868</c:v>
                </c:pt>
                <c:pt idx="6">
                  <c:v>1.2106043388399967</c:v>
                </c:pt>
                <c:pt idx="7">
                  <c:v>1.2835319998752979</c:v>
                </c:pt>
                <c:pt idx="8">
                  <c:v>1.4631905600018085</c:v>
                </c:pt>
                <c:pt idx="9">
                  <c:v>1.5014485017833374</c:v>
                </c:pt>
                <c:pt idx="10">
                  <c:v>1.4536562777278519</c:v>
                </c:pt>
                <c:pt idx="11">
                  <c:v>1.3388479820474113</c:v>
                </c:pt>
                <c:pt idx="12">
                  <c:v>1.3577513756072075</c:v>
                </c:pt>
              </c:numCache>
            </c:numRef>
          </c:val>
        </c:ser>
        <c:ser>
          <c:idx val="1"/>
          <c:order val="1"/>
          <c:tx>
            <c:strRef>
              <c:f>'Int Analysis'!$B$209</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Analysis'!$C$209:$O$209</c:f>
              <c:numCache>
                <c:formatCode>#,##0.00</c:formatCode>
                <c:ptCount val="13"/>
                <c:pt idx="0">
                  <c:v>1</c:v>
                </c:pt>
                <c:pt idx="1">
                  <c:v>1.1020031345002743</c:v>
                </c:pt>
                <c:pt idx="2">
                  <c:v>1.108323744544679</c:v>
                </c:pt>
                <c:pt idx="3">
                  <c:v>1.1721239669330525</c:v>
                </c:pt>
                <c:pt idx="4">
                  <c:v>1.1146086678767513</c:v>
                </c:pt>
                <c:pt idx="5">
                  <c:v>1.1239511351139215</c:v>
                </c:pt>
                <c:pt idx="6">
                  <c:v>1.0357670970009798</c:v>
                </c:pt>
                <c:pt idx="7">
                  <c:v>1.1577208030884825</c:v>
                </c:pt>
                <c:pt idx="8">
                  <c:v>1.2875255200203704</c:v>
                </c:pt>
                <c:pt idx="9">
                  <c:v>1.6542273331070645</c:v>
                </c:pt>
                <c:pt idx="10">
                  <c:v>1.2021688751949242</c:v>
                </c:pt>
                <c:pt idx="11">
                  <c:v>1.1215969784772577</c:v>
                </c:pt>
                <c:pt idx="12">
                  <c:v>1.1155370936903557</c:v>
                </c:pt>
              </c:numCache>
            </c:numRef>
          </c:val>
        </c:ser>
        <c:ser>
          <c:idx val="2"/>
          <c:order val="2"/>
          <c:tx>
            <c:strRef>
              <c:f>'Int Analysis'!$B$215</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Analysis'!$C$215:$O$215</c:f>
              <c:numCache>
                <c:formatCode>#,##0.00</c:formatCode>
                <c:ptCount val="13"/>
                <c:pt idx="0">
                  <c:v>1</c:v>
                </c:pt>
                <c:pt idx="1">
                  <c:v>0.94746753810543904</c:v>
                </c:pt>
                <c:pt idx="2">
                  <c:v>0.91288300510768239</c:v>
                </c:pt>
                <c:pt idx="3">
                  <c:v>0.65185006211239727</c:v>
                </c:pt>
                <c:pt idx="4">
                  <c:v>0.64429939324568586</c:v>
                </c:pt>
                <c:pt idx="5">
                  <c:v>0.63686219170925906</c:v>
                </c:pt>
                <c:pt idx="6">
                  <c:v>0.63442850604849521</c:v>
                </c:pt>
                <c:pt idx="7">
                  <c:v>0.63100143324211666</c:v>
                </c:pt>
                <c:pt idx="8">
                  <c:v>0.71347362422261307</c:v>
                </c:pt>
                <c:pt idx="9">
                  <c:v>0.75470733636722842</c:v>
                </c:pt>
                <c:pt idx="10">
                  <c:v>0.78733317103487666</c:v>
                </c:pt>
                <c:pt idx="11">
                  <c:v>0.82231400590781789</c:v>
                </c:pt>
                <c:pt idx="12">
                  <c:v>0.84940681702463405</c:v>
                </c:pt>
              </c:numCache>
            </c:numRef>
          </c:val>
        </c:ser>
        <c:ser>
          <c:idx val="3"/>
          <c:order val="3"/>
          <c:tx>
            <c:strRef>
              <c:f>'Int Analysis'!$B$222</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Analysis'!$C$222:$O$222</c:f>
              <c:numCache>
                <c:formatCode>#,##0.00</c:formatCode>
                <c:ptCount val="13"/>
                <c:pt idx="0">
                  <c:v>1</c:v>
                </c:pt>
                <c:pt idx="1">
                  <c:v>1.0804883057688248</c:v>
                </c:pt>
                <c:pt idx="2">
                  <c:v>1.0730507709405732</c:v>
                </c:pt>
                <c:pt idx="3">
                  <c:v>1.0878547779388836</c:v>
                </c:pt>
                <c:pt idx="4">
                  <c:v>1.0222387380387628</c:v>
                </c:pt>
                <c:pt idx="5">
                  <c:v>1.0481964360732716</c:v>
                </c:pt>
                <c:pt idx="6">
                  <c:v>1.0205960513461281</c:v>
                </c:pt>
                <c:pt idx="7">
                  <c:v>1.0137065048656491</c:v>
                </c:pt>
                <c:pt idx="8">
                  <c:v>1.0627844620066753</c:v>
                </c:pt>
                <c:pt idx="9">
                  <c:v>1.0949170060157711</c:v>
                </c:pt>
                <c:pt idx="10">
                  <c:v>1.0274308547142221</c:v>
                </c:pt>
                <c:pt idx="11">
                  <c:v>0.97655164070099088</c:v>
                </c:pt>
                <c:pt idx="12">
                  <c:v>0.99214129212047819</c:v>
                </c:pt>
              </c:numCache>
            </c:numRef>
          </c:val>
        </c:ser>
        <c:marker val="1"/>
        <c:axId val="103372672"/>
        <c:axId val="103374208"/>
      </c:lineChart>
      <c:catAx>
        <c:axId val="103372672"/>
        <c:scaling>
          <c:orientation val="minMax"/>
        </c:scaling>
        <c:axPos val="b"/>
        <c:numFmt formatCode="General" sourceLinked="1"/>
        <c:tickLblPos val="nextTo"/>
        <c:crossAx val="103374208"/>
        <c:crosses val="autoZero"/>
        <c:auto val="1"/>
        <c:lblAlgn val="ctr"/>
        <c:lblOffset val="100"/>
      </c:catAx>
      <c:valAx>
        <c:axId val="103374208"/>
        <c:scaling>
          <c:orientation val="minMax"/>
        </c:scaling>
        <c:axPos val="l"/>
        <c:majorGridlines/>
        <c:title>
          <c:tx>
            <c:rich>
              <a:bodyPr rot="-5400000" vert="horz"/>
              <a:lstStyle/>
              <a:p>
                <a:pPr>
                  <a:defRPr/>
                </a:pPr>
                <a:r>
                  <a:rPr lang="en-US"/>
                  <a:t>2000=1</a:t>
                </a:r>
              </a:p>
            </c:rich>
          </c:tx>
        </c:title>
        <c:numFmt formatCode="#,##0.00" sourceLinked="1"/>
        <c:tickLblPos val="nextTo"/>
        <c:crossAx val="103372672"/>
        <c:crosses val="autoZero"/>
        <c:crossBetween val="between"/>
      </c:valAx>
    </c:plotArea>
    <c:legend>
      <c:legendPos val="r"/>
      <c:layout>
        <c:manualLayout>
          <c:xMode val="edge"/>
          <c:yMode val="edge"/>
          <c:x val="0.13444380155055441"/>
          <c:y val="5.6758545591161745E-2"/>
          <c:w val="0.85398850167642515"/>
          <c:h val="0.16870914945119769"/>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44" l="0.70000000000000062" r="0.70000000000000062" t="0.75000000000001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Ordinary Opex per Pax</a:t>
            </a:r>
          </a:p>
        </c:rich>
      </c:tx>
      <c:overlay val="1"/>
    </c:title>
    <c:plotArea>
      <c:layout>
        <c:manualLayout>
          <c:layoutTarget val="inner"/>
          <c:xMode val="edge"/>
          <c:yMode val="edge"/>
          <c:x val="0.15738473315835524"/>
          <c:y val="0.12756249819103238"/>
          <c:w val="0.83106255468066459"/>
          <c:h val="0.67576289315919791"/>
        </c:manualLayout>
      </c:layout>
      <c:barChart>
        <c:barDir val="col"/>
        <c:grouping val="clustered"/>
        <c:ser>
          <c:idx val="0"/>
          <c:order val="0"/>
          <c:tx>
            <c:strRef>
              <c:f>'Int Analysis'!$AS$41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Analysis'!$AR$69:$AR$84</c:f>
              <c:strCache>
                <c:ptCount val="16"/>
                <c:pt idx="0">
                  <c:v>Heathrow</c:v>
                </c:pt>
                <c:pt idx="1">
                  <c:v>Zurich</c:v>
                </c:pt>
                <c:pt idx="2">
                  <c:v>Munich</c:v>
                </c:pt>
                <c:pt idx="3">
                  <c:v>Amsterdam</c:v>
                </c:pt>
                <c:pt idx="4">
                  <c:v>Dublin </c:v>
                </c:pt>
                <c:pt idx="5">
                  <c:v>Southampton</c:v>
                </c:pt>
                <c:pt idx="6">
                  <c:v>Manchester</c:v>
                </c:pt>
                <c:pt idx="7">
                  <c:v>Aberdeen</c:v>
                </c:pt>
                <c:pt idx="8">
                  <c:v>Gatwick</c:v>
                </c:pt>
                <c:pt idx="9">
                  <c:v>Copenhagen</c:v>
                </c:pt>
                <c:pt idx="10">
                  <c:v>Stansted</c:v>
                </c:pt>
                <c:pt idx="11">
                  <c:v>Birmingham</c:v>
                </c:pt>
                <c:pt idx="12">
                  <c:v>Luton</c:v>
                </c:pt>
                <c:pt idx="13">
                  <c:v>Glasgow</c:v>
                </c:pt>
                <c:pt idx="14">
                  <c:v>Hong Kong</c:v>
                </c:pt>
                <c:pt idx="15">
                  <c:v>Edinburgh</c:v>
                </c:pt>
              </c:strCache>
            </c:strRef>
          </c:cat>
          <c:val>
            <c:numRef>
              <c:f>'Int Analysis'!$AS$69:$AS$84</c:f>
              <c:numCache>
                <c:formatCode>_-* #,##0.00_-;\-* #,##0.00_-;_-* "-"??_-;_-@_-</c:formatCode>
                <c:ptCount val="16"/>
                <c:pt idx="0">
                  <c:v>21.382997447066792</c:v>
                </c:pt>
                <c:pt idx="1">
                  <c:v>21.135179450154844</c:v>
                </c:pt>
                <c:pt idx="2">
                  <c:v>19.712288872091278</c:v>
                </c:pt>
                <c:pt idx="3">
                  <c:v>14.972062407509178</c:v>
                </c:pt>
                <c:pt idx="4">
                  <c:v>12.676443178925842</c:v>
                </c:pt>
                <c:pt idx="5">
                  <c:v>12.543489264124721</c:v>
                </c:pt>
                <c:pt idx="6">
                  <c:v>12.131485887606106</c:v>
                </c:pt>
                <c:pt idx="7">
                  <c:v>12.100338152202825</c:v>
                </c:pt>
                <c:pt idx="8">
                  <c:v>11.963677356755834</c:v>
                </c:pt>
                <c:pt idx="9">
                  <c:v>10.615145632602452</c:v>
                </c:pt>
                <c:pt idx="10">
                  <c:v>10.529386075276379</c:v>
                </c:pt>
                <c:pt idx="11">
                  <c:v>10.515929261522617</c:v>
                </c:pt>
                <c:pt idx="12">
                  <c:v>9.5016989066774507</c:v>
                </c:pt>
                <c:pt idx="13">
                  <c:v>9.3276823087813217</c:v>
                </c:pt>
                <c:pt idx="14">
                  <c:v>8.9483843614268981</c:v>
                </c:pt>
                <c:pt idx="15">
                  <c:v>8.3657166802935432</c:v>
                </c:pt>
              </c:numCache>
            </c:numRef>
          </c:val>
        </c:ser>
        <c:gapWidth val="50"/>
        <c:axId val="98578816"/>
        <c:axId val="98580352"/>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1.9120791543892828E-2"/>
                  <c:y val="-3.2328164984626359E-2"/>
                </c:manualLayout>
              </c:layout>
              <c:showVal val="1"/>
            </c:dLbl>
            <c:txPr>
              <a:bodyPr/>
              <a:lstStyle/>
              <a:p>
                <a:pPr>
                  <a:defRPr sz="800"/>
                </a:pPr>
                <a:endParaRPr lang="en-US"/>
              </a:p>
            </c:txPr>
            <c:showVal val="1"/>
          </c:dLbls>
          <c:cat>
            <c:strRef>
              <c:f>'Int Analysis'!$AR$69:$AR$84</c:f>
              <c:strCache>
                <c:ptCount val="16"/>
                <c:pt idx="0">
                  <c:v>Heathrow</c:v>
                </c:pt>
                <c:pt idx="1">
                  <c:v>Zurich</c:v>
                </c:pt>
                <c:pt idx="2">
                  <c:v>Munich</c:v>
                </c:pt>
                <c:pt idx="3">
                  <c:v>Amsterdam</c:v>
                </c:pt>
                <c:pt idx="4">
                  <c:v>Dublin </c:v>
                </c:pt>
                <c:pt idx="5">
                  <c:v>Southampton</c:v>
                </c:pt>
                <c:pt idx="6">
                  <c:v>Manchester</c:v>
                </c:pt>
                <c:pt idx="7">
                  <c:v>Aberdeen</c:v>
                </c:pt>
                <c:pt idx="8">
                  <c:v>Gatwick</c:v>
                </c:pt>
                <c:pt idx="9">
                  <c:v>Copenhagen</c:v>
                </c:pt>
                <c:pt idx="10">
                  <c:v>Stansted</c:v>
                </c:pt>
                <c:pt idx="11">
                  <c:v>Birmingham</c:v>
                </c:pt>
                <c:pt idx="12">
                  <c:v>Luton</c:v>
                </c:pt>
                <c:pt idx="13">
                  <c:v>Glasgow</c:v>
                </c:pt>
                <c:pt idx="14">
                  <c:v>Hong Kong</c:v>
                </c:pt>
                <c:pt idx="15">
                  <c:v>Edinburgh</c:v>
                </c:pt>
              </c:strCache>
            </c:strRef>
          </c:cat>
          <c:val>
            <c:numRef>
              <c:f>'Int Analysis'!$AU$69:$AU$84</c:f>
              <c:numCache>
                <c:formatCode>_-* #,##0.00_-;\-* #,##0.00_-;_-* "-"??_-;_-@_-</c:formatCode>
                <c:ptCount val="16"/>
                <c:pt idx="0">
                  <c:v>12.90136907768863</c:v>
                </c:pt>
                <c:pt idx="1">
                  <c:v>12.90136907768863</c:v>
                </c:pt>
                <c:pt idx="2">
                  <c:v>12.90136907768863</c:v>
                </c:pt>
                <c:pt idx="3">
                  <c:v>12.90136907768863</c:v>
                </c:pt>
                <c:pt idx="4">
                  <c:v>12.90136907768863</c:v>
                </c:pt>
                <c:pt idx="5">
                  <c:v>12.90136907768863</c:v>
                </c:pt>
                <c:pt idx="6">
                  <c:v>12.90136907768863</c:v>
                </c:pt>
                <c:pt idx="7">
                  <c:v>12.90136907768863</c:v>
                </c:pt>
                <c:pt idx="8">
                  <c:v>12.90136907768863</c:v>
                </c:pt>
                <c:pt idx="9">
                  <c:v>12.90136907768863</c:v>
                </c:pt>
                <c:pt idx="10">
                  <c:v>12.90136907768863</c:v>
                </c:pt>
                <c:pt idx="11">
                  <c:v>12.90136907768863</c:v>
                </c:pt>
                <c:pt idx="12">
                  <c:v>12.90136907768863</c:v>
                </c:pt>
                <c:pt idx="13">
                  <c:v>12.90136907768863</c:v>
                </c:pt>
                <c:pt idx="14">
                  <c:v>12.90136907768863</c:v>
                </c:pt>
                <c:pt idx="15">
                  <c:v>12.90136907768863</c:v>
                </c:pt>
              </c:numCache>
            </c:numRef>
          </c:val>
        </c:ser>
        <c:ser>
          <c:idx val="1"/>
          <c:order val="2"/>
          <c:tx>
            <c:strRef>
              <c:f>'Int Analysis'!$B$90</c:f>
              <c:strCache>
                <c:ptCount val="1"/>
                <c:pt idx="0">
                  <c:v>Average (ex AMS)</c:v>
                </c:pt>
              </c:strCache>
            </c:strRef>
          </c:tx>
          <c:spPr>
            <a:ln w="12700">
              <a:solidFill>
                <a:srgbClr val="6AAD11"/>
              </a:solidFill>
              <a:prstDash val="sysDash"/>
            </a:ln>
          </c:spPr>
          <c:marker>
            <c:symbol val="none"/>
          </c:marker>
          <c:dLbls>
            <c:dLbl>
              <c:idx val="15"/>
              <c:layout>
                <c:manualLayout>
                  <c:x val="-1.4871726756360967E-2"/>
                  <c:y val="2.2629715489238693E-2"/>
                </c:manualLayout>
              </c:layout>
              <c:showVal val="1"/>
            </c:dLbl>
            <c:delete val="1"/>
          </c:dLbls>
          <c:val>
            <c:numRef>
              <c:f>'Int Analysis'!$AV$69:$AV$84</c:f>
              <c:numCache>
                <c:formatCode>_-* #,##0.00_-;\-* #,##0.00_-;_-* "-"??_-;_-@_-</c:formatCode>
                <c:ptCount val="16"/>
                <c:pt idx="0">
                  <c:v>12.763322855700592</c:v>
                </c:pt>
                <c:pt idx="1">
                  <c:v>12.763322855700592</c:v>
                </c:pt>
                <c:pt idx="2">
                  <c:v>12.763322855700592</c:v>
                </c:pt>
                <c:pt idx="3">
                  <c:v>12.763322855700592</c:v>
                </c:pt>
                <c:pt idx="4">
                  <c:v>12.763322855700592</c:v>
                </c:pt>
                <c:pt idx="5">
                  <c:v>12.763322855700592</c:v>
                </c:pt>
                <c:pt idx="6">
                  <c:v>12.763322855700592</c:v>
                </c:pt>
                <c:pt idx="7">
                  <c:v>12.763322855700592</c:v>
                </c:pt>
                <c:pt idx="8">
                  <c:v>12.763322855700592</c:v>
                </c:pt>
                <c:pt idx="9">
                  <c:v>12.763322855700592</c:v>
                </c:pt>
                <c:pt idx="10">
                  <c:v>12.763322855700592</c:v>
                </c:pt>
                <c:pt idx="11">
                  <c:v>12.763322855700592</c:v>
                </c:pt>
                <c:pt idx="12">
                  <c:v>12.763322855700592</c:v>
                </c:pt>
                <c:pt idx="13">
                  <c:v>12.763322855700592</c:v>
                </c:pt>
                <c:pt idx="14">
                  <c:v>12.763322855700592</c:v>
                </c:pt>
                <c:pt idx="15">
                  <c:v>12.763322855700592</c:v>
                </c:pt>
              </c:numCache>
            </c:numRef>
          </c:val>
        </c:ser>
        <c:marker val="1"/>
        <c:axId val="98578816"/>
        <c:axId val="98580352"/>
      </c:lineChart>
      <c:catAx>
        <c:axId val="98578816"/>
        <c:scaling>
          <c:orientation val="minMax"/>
        </c:scaling>
        <c:axPos val="b"/>
        <c:numFmt formatCode="General" sourceLinked="1"/>
        <c:tickLblPos val="nextTo"/>
        <c:crossAx val="98580352"/>
        <c:crosses val="autoZero"/>
        <c:auto val="1"/>
        <c:lblAlgn val="ctr"/>
        <c:lblOffset val="100"/>
      </c:catAx>
      <c:valAx>
        <c:axId val="98580352"/>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98578816"/>
        <c:crosses val="autoZero"/>
        <c:crossBetween val="between"/>
      </c:valAx>
    </c:plotArea>
    <c:legend>
      <c:legendPos val="r"/>
      <c:legendEntry>
        <c:idx val="0"/>
        <c:delete val="1"/>
      </c:legendEntry>
      <c:layout>
        <c:manualLayout>
          <c:xMode val="edge"/>
          <c:yMode val="edge"/>
          <c:x val="0.75268284946969122"/>
          <c:y val="0.14886432683724077"/>
          <c:w val="0.21854010832773396"/>
          <c:h val="9.5986140126558428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Adjusted Opex Per Pax Index (Factor Costs)</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Analysis'!$V$211</c:f>
              <c:strCache>
                <c:ptCount val="1"/>
                <c:pt idx="0">
                  <c:v>Heathrow</c:v>
                </c:pt>
              </c:strCache>
            </c:strRef>
          </c:tx>
          <c:spPr>
            <a:ln w="15875"/>
          </c:spPr>
          <c:dLbls>
            <c:dLbl>
              <c:idx val="12"/>
              <c:dLblPos val="t"/>
              <c:showVal val="1"/>
            </c:dLbl>
            <c:delete val="1"/>
            <c:dLblPos val="t"/>
          </c:dLbls>
          <c:cat>
            <c:numRef>
              <c:f>'Int Analysis'!$W$204:$AI$204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Analysis'!$W$211:$AI$211</c:f>
              <c:numCache>
                <c:formatCode>#,##0.00</c:formatCode>
                <c:ptCount val="13"/>
                <c:pt idx="0">
                  <c:v>0.84048671893743687</c:v>
                </c:pt>
                <c:pt idx="1">
                  <c:v>0.910050991407508</c:v>
                </c:pt>
                <c:pt idx="2">
                  <c:v>0.90261134297785806</c:v>
                </c:pt>
                <c:pt idx="3">
                  <c:v>0.94248556408083217</c:v>
                </c:pt>
                <c:pt idx="4">
                  <c:v>0.93807740607903911</c:v>
                </c:pt>
                <c:pt idx="5">
                  <c:v>1</c:v>
                </c:pt>
                <c:pt idx="6">
                  <c:v>1.0174968686830541</c:v>
                </c:pt>
                <c:pt idx="7">
                  <c:v>1.0787915992263957</c:v>
                </c:pt>
                <c:pt idx="8">
                  <c:v>1.229792232956151</c:v>
                </c:pt>
                <c:pt idx="9">
                  <c:v>1.2619475249174077</c:v>
                </c:pt>
                <c:pt idx="10">
                  <c:v>1.2217787953302899</c:v>
                </c:pt>
                <c:pt idx="11">
                  <c:v>1.1252839475870371</c:v>
                </c:pt>
                <c:pt idx="12">
                  <c:v>1.1411719988168934</c:v>
                </c:pt>
              </c:numCache>
            </c:numRef>
          </c:val>
        </c:ser>
        <c:ser>
          <c:idx val="1"/>
          <c:order val="1"/>
          <c:tx>
            <c:strRef>
              <c:f>'Int Analysis'!$V$209</c:f>
              <c:strCache>
                <c:ptCount val="1"/>
                <c:pt idx="0">
                  <c:v>Gatwick</c:v>
                </c:pt>
              </c:strCache>
            </c:strRef>
          </c:tx>
          <c:spPr>
            <a:ln w="15875"/>
          </c:spPr>
          <c:dLbls>
            <c:dLbl>
              <c:idx val="0"/>
              <c:dLblPos val="t"/>
              <c:showVal val="1"/>
            </c:dLbl>
            <c:dLbl>
              <c:idx val="12"/>
              <c:dLblPos val="t"/>
              <c:showVal val="1"/>
            </c:dLbl>
            <c:delete val="1"/>
            <c:dLblPos val="t"/>
          </c:dLbls>
          <c:cat>
            <c:numRef>
              <c:f>'Int Analysis'!$W$204:$AI$204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Analysis'!$W$209:$AI$209</c:f>
              <c:numCache>
                <c:formatCode>#,##0.00</c:formatCode>
                <c:ptCount val="13"/>
                <c:pt idx="0">
                  <c:v>0.8897183950071299</c:v>
                </c:pt>
                <c:pt idx="1">
                  <c:v>0.98047246012041045</c:v>
                </c:pt>
                <c:pt idx="2">
                  <c:v>0.98609602314458411</c:v>
                </c:pt>
                <c:pt idx="3">
                  <c:v>1.0428602546090657</c:v>
                </c:pt>
                <c:pt idx="4">
                  <c:v>0.99168783504433822</c:v>
                </c:pt>
                <c:pt idx="5">
                  <c:v>1</c:v>
                </c:pt>
                <c:pt idx="6">
                  <c:v>0.92154103914490604</c:v>
                </c:pt>
                <c:pt idx="7">
                  <c:v>1.0300454947902502</c:v>
                </c:pt>
                <c:pt idx="8">
                  <c:v>1.145535139203244</c:v>
                </c:pt>
                <c:pt idx="9">
                  <c:v>1.4717964877889422</c:v>
                </c:pt>
                <c:pt idx="10">
                  <c:v>1.0695917621659545</c:v>
                </c:pt>
                <c:pt idx="11">
                  <c:v>0.99790546353563214</c:v>
                </c:pt>
                <c:pt idx="12">
                  <c:v>0.99251387256910162</c:v>
                </c:pt>
              </c:numCache>
            </c:numRef>
          </c:val>
        </c:ser>
        <c:ser>
          <c:idx val="2"/>
          <c:order val="2"/>
          <c:tx>
            <c:strRef>
              <c:f>'Int Analysis'!$V$215</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12"/>
              <c:layout>
                <c:manualLayout>
                  <c:x val="-1.6392508946098821E-2"/>
                  <c:y val="3.2877179142736412E-2"/>
                </c:manualLayout>
              </c:layout>
              <c:showVal val="1"/>
            </c:dLbl>
            <c:delete val="1"/>
          </c:dLbls>
          <c:cat>
            <c:numRef>
              <c:f>'Int Analysis'!$W$204:$AH$204</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Analysis'!$W$215:$AI$215</c:f>
              <c:numCache>
                <c:formatCode>#,##0.00</c:formatCode>
                <c:ptCount val="13"/>
                <c:pt idx="0">
                  <c:v>1.570198408726579</c:v>
                </c:pt>
                <c:pt idx="1">
                  <c:v>1.4877120206532497</c:v>
                </c:pt>
                <c:pt idx="2">
                  <c:v>1.4334074419736205</c:v>
                </c:pt>
                <c:pt idx="3">
                  <c:v>1.0235339302572077</c:v>
                </c:pt>
                <c:pt idx="4">
                  <c:v>1.0116778820178765</c:v>
                </c:pt>
                <c:pt idx="5">
                  <c:v>1</c:v>
                </c:pt>
                <c:pt idx="6">
                  <c:v>0.99617863064812806</c:v>
                </c:pt>
                <c:pt idx="7">
                  <c:v>0.99079744638096223</c:v>
                </c:pt>
                <c:pt idx="8">
                  <c:v>1.1202951494227322</c:v>
                </c:pt>
                <c:pt idx="9">
                  <c:v>1.185040258618097</c:v>
                </c:pt>
                <c:pt idx="10">
                  <c:v>1.2362692922966148</c:v>
                </c:pt>
                <c:pt idx="11">
                  <c:v>1.2911961435500343</c:v>
                </c:pt>
                <c:pt idx="12">
                  <c:v>1.3337372324535888</c:v>
                </c:pt>
              </c:numCache>
            </c:numRef>
          </c:val>
        </c:ser>
        <c:ser>
          <c:idx val="3"/>
          <c:order val="3"/>
          <c:tx>
            <c:v>Average</c:v>
          </c:tx>
          <c:spPr>
            <a:ln w="12700">
              <a:solidFill>
                <a:schemeClr val="accent5"/>
              </a:solidFill>
              <a:prstDash val="solid"/>
            </a:ln>
          </c:spPr>
          <c:marker>
            <c:symbol val="circle"/>
            <c:size val="5"/>
            <c:spPr>
              <a:solidFill>
                <a:schemeClr val="accent5"/>
              </a:solidFill>
              <a:ln>
                <a:solidFill>
                  <a:schemeClr val="accent5"/>
                </a:solidFill>
              </a:ln>
            </c:spPr>
          </c:marker>
          <c:cat>
            <c:numRef>
              <c:f>'Int Analysis'!$W$204:$AH$204</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Analysis'!$W$222:$AI$222</c:f>
              <c:numCache>
                <c:formatCode>#,##0.00</c:formatCode>
                <c:ptCount val="13"/>
                <c:pt idx="0">
                  <c:v>0.95358569694623785</c:v>
                </c:pt>
                <c:pt idx="1">
                  <c:v>1.0154242218287426</c:v>
                </c:pt>
                <c:pt idx="2">
                  <c:v>1.0130558402428491</c:v>
                </c:pt>
                <c:pt idx="3">
                  <c:v>1.015648043722011</c:v>
                </c:pt>
                <c:pt idx="4">
                  <c:v>0.97305249695250517</c:v>
                </c:pt>
                <c:pt idx="5">
                  <c:v>1</c:v>
                </c:pt>
                <c:pt idx="6">
                  <c:v>0.98485535196282747</c:v>
                </c:pt>
                <c:pt idx="7">
                  <c:v>1.0075974914036632</c:v>
                </c:pt>
                <c:pt idx="8">
                  <c:v>0.99278379653219151</c:v>
                </c:pt>
                <c:pt idx="9">
                  <c:v>0.97454481149333283</c:v>
                </c:pt>
                <c:pt idx="10">
                  <c:v>0.92675366556201677</c:v>
                </c:pt>
                <c:pt idx="11">
                  <c:v>0.87907517909403077</c:v>
                </c:pt>
                <c:pt idx="12">
                  <c:v>0.87794725280174157</c:v>
                </c:pt>
              </c:numCache>
            </c:numRef>
          </c:val>
        </c:ser>
        <c:ser>
          <c:idx val="4"/>
          <c:order val="4"/>
          <c:tx>
            <c:strRef>
              <c:f>'Int Analysis'!$V$226</c:f>
              <c:strCache>
                <c:ptCount val="1"/>
                <c:pt idx="0">
                  <c:v>Average (ex AMS)</c:v>
                </c:pt>
              </c:strCache>
            </c:strRef>
          </c:tx>
          <c:spPr>
            <a:ln w="12700">
              <a:solidFill>
                <a:schemeClr val="accent5"/>
              </a:solidFill>
              <a:prstDash val="dash"/>
            </a:ln>
          </c:spPr>
          <c:marker>
            <c:spPr>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layout>
                <c:manualLayout>
                  <c:x val="-1.8441572564361276E-2"/>
                  <c:y val="-2.092184127265044E-2"/>
                </c:manualLayout>
              </c:layout>
              <c:showVal val="1"/>
            </c:dLbl>
            <c:showVal val="1"/>
          </c:dLbls>
          <c:val>
            <c:numRef>
              <c:f>'Int Analysis'!$W$226:$AI$226</c:f>
              <c:numCache>
                <c:formatCode>#,##0.00</c:formatCode>
                <c:ptCount val="13"/>
                <c:pt idx="0">
                  <c:v>0.94911301664815884</c:v>
                </c:pt>
                <c:pt idx="1">
                  <c:v>1.0167388599577656</c:v>
                </c:pt>
                <c:pt idx="2">
                  <c:v>1.006004244151071</c:v>
                </c:pt>
                <c:pt idx="3">
                  <c:v>1.008628841699895</c:v>
                </c:pt>
                <c:pt idx="4">
                  <c:v>0.96386245193176245</c:v>
                </c:pt>
                <c:pt idx="5">
                  <c:v>1</c:v>
                </c:pt>
                <c:pt idx="6">
                  <c:v>0.97196071898335479</c:v>
                </c:pt>
                <c:pt idx="7">
                  <c:v>0.98324967897901971</c:v>
                </c:pt>
                <c:pt idx="8">
                  <c:v>0.97722630052450332</c:v>
                </c:pt>
                <c:pt idx="9">
                  <c:v>0.96242650699972332</c:v>
                </c:pt>
                <c:pt idx="10">
                  <c:v>0.91506336322640591</c:v>
                </c:pt>
                <c:pt idx="11">
                  <c:v>0.86553106882857256</c:v>
                </c:pt>
                <c:pt idx="12">
                  <c:v>0.86748976870341832</c:v>
                </c:pt>
              </c:numCache>
            </c:numRef>
          </c:val>
        </c:ser>
        <c:marker val="1"/>
        <c:axId val="103465344"/>
        <c:axId val="103466880"/>
      </c:lineChart>
      <c:catAx>
        <c:axId val="103465344"/>
        <c:scaling>
          <c:orientation val="minMax"/>
        </c:scaling>
        <c:axPos val="b"/>
        <c:numFmt formatCode="General" sourceLinked="1"/>
        <c:tickLblPos val="nextTo"/>
        <c:crossAx val="103466880"/>
        <c:crosses val="autoZero"/>
        <c:auto val="1"/>
        <c:lblAlgn val="ctr"/>
        <c:lblOffset val="100"/>
      </c:catAx>
      <c:valAx>
        <c:axId val="103466880"/>
        <c:scaling>
          <c:orientation val="minMax"/>
          <c:min val="0.4"/>
        </c:scaling>
        <c:axPos val="l"/>
        <c:majorGridlines/>
        <c:title>
          <c:tx>
            <c:rich>
              <a:bodyPr rot="-5400000" vert="horz"/>
              <a:lstStyle/>
              <a:p>
                <a:pPr>
                  <a:defRPr/>
                </a:pPr>
                <a:r>
                  <a:rPr lang="en-US"/>
                  <a:t>2000=1</a:t>
                </a:r>
              </a:p>
            </c:rich>
          </c:tx>
        </c:title>
        <c:numFmt formatCode="#,##0.00" sourceLinked="1"/>
        <c:tickLblPos val="nextTo"/>
        <c:crossAx val="103465344"/>
        <c:crosses val="autoZero"/>
        <c:crossBetween val="between"/>
      </c:valAx>
    </c:plotArea>
    <c:legend>
      <c:legendPos val="r"/>
      <c:layout>
        <c:manualLayout>
          <c:xMode val="edge"/>
          <c:yMode val="edge"/>
          <c:x val="0.13444380155055441"/>
          <c:y val="0.15730090708817523"/>
          <c:w val="0.79800117537843362"/>
          <c:h val="0.12561075695117987"/>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Staff Costs Per Pax Index</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Analysis'!$B$240</c:f>
              <c:strCache>
                <c:ptCount val="1"/>
                <c:pt idx="0">
                  <c:v>Heathrow</c:v>
                </c:pt>
              </c:strCache>
            </c:strRef>
          </c:tx>
          <c:spPr>
            <a:ln w="15875"/>
          </c:spPr>
          <c:cat>
            <c:numRef>
              <c:f>'Int Analysis'!$C$204:$O$204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Analysis'!$C$240:$O$240</c:f>
              <c:numCache>
                <c:formatCode>#,##0.00</c:formatCode>
                <c:ptCount val="13"/>
                <c:pt idx="0">
                  <c:v>1</c:v>
                </c:pt>
                <c:pt idx="1">
                  <c:v>1.1795265628930138</c:v>
                </c:pt>
                <c:pt idx="2">
                  <c:v>1.2376478645521429</c:v>
                </c:pt>
                <c:pt idx="3">
                  <c:v>1.3306552877426525</c:v>
                </c:pt>
                <c:pt idx="4">
                  <c:v>1.3345357528761888</c:v>
                </c:pt>
                <c:pt idx="5">
                  <c:v>1.3703239473956714</c:v>
                </c:pt>
                <c:pt idx="6">
                  <c:v>1.4217201488352027</c:v>
                </c:pt>
                <c:pt idx="7">
                  <c:v>1.489854766130962</c:v>
                </c:pt>
                <c:pt idx="8">
                  <c:v>1.838634805742088</c:v>
                </c:pt>
                <c:pt idx="9">
                  <c:v>1.5768846147994848</c:v>
                </c:pt>
                <c:pt idx="10">
                  <c:v>1.6411256640690732</c:v>
                </c:pt>
                <c:pt idx="11">
                  <c:v>1.5760685247780331</c:v>
                </c:pt>
                <c:pt idx="12">
                  <c:v>1.6828496890607507</c:v>
                </c:pt>
              </c:numCache>
            </c:numRef>
          </c:val>
        </c:ser>
        <c:ser>
          <c:idx val="1"/>
          <c:order val="1"/>
          <c:tx>
            <c:strRef>
              <c:f>'Int Analysis'!$B$238</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Analysis'!$C$238:$O$238</c:f>
              <c:numCache>
                <c:formatCode>#,##0.00</c:formatCode>
                <c:ptCount val="13"/>
                <c:pt idx="0">
                  <c:v>1</c:v>
                </c:pt>
                <c:pt idx="1">
                  <c:v>1.1184081802740093</c:v>
                </c:pt>
                <c:pt idx="2">
                  <c:v>1.2411607243450633</c:v>
                </c:pt>
                <c:pt idx="3">
                  <c:v>1.3689685164852343</c:v>
                </c:pt>
                <c:pt idx="4">
                  <c:v>1.2938086208428812</c:v>
                </c:pt>
                <c:pt idx="5">
                  <c:v>1.2494199978226577</c:v>
                </c:pt>
                <c:pt idx="6">
                  <c:v>1.1208044561934443</c:v>
                </c:pt>
                <c:pt idx="7">
                  <c:v>1.2873547568820085</c:v>
                </c:pt>
                <c:pt idx="8">
                  <c:v>1.4140744863667947</c:v>
                </c:pt>
                <c:pt idx="9">
                  <c:v>1.9620285031345703</c:v>
                </c:pt>
                <c:pt idx="10">
                  <c:v>1.7689963445358377</c:v>
                </c:pt>
                <c:pt idx="11">
                  <c:v>1.7273784575149735</c:v>
                </c:pt>
                <c:pt idx="12">
                  <c:v>1.7547953226229445</c:v>
                </c:pt>
              </c:numCache>
            </c:numRef>
          </c:val>
        </c:ser>
        <c:ser>
          <c:idx val="2"/>
          <c:order val="2"/>
          <c:tx>
            <c:strRef>
              <c:f>'Int Analysis'!$B$244</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Analysis'!$C$244:$O$244</c:f>
              <c:numCache>
                <c:formatCode>#,##0.00</c:formatCode>
                <c:ptCount val="13"/>
                <c:pt idx="0">
                  <c:v>1</c:v>
                </c:pt>
                <c:pt idx="1">
                  <c:v>0.83745829687614659</c:v>
                </c:pt>
                <c:pt idx="2">
                  <c:v>0.80601851556757242</c:v>
                </c:pt>
                <c:pt idx="3">
                  <c:v>0.77958470341568464</c:v>
                </c:pt>
                <c:pt idx="4">
                  <c:v>0.78663028218275599</c:v>
                </c:pt>
                <c:pt idx="5">
                  <c:v>0.74338362916433043</c:v>
                </c:pt>
                <c:pt idx="6">
                  <c:v>0.78284574693298281</c:v>
                </c:pt>
                <c:pt idx="7">
                  <c:v>0.78965028312280106</c:v>
                </c:pt>
                <c:pt idx="8">
                  <c:v>0.86373562351905975</c:v>
                </c:pt>
                <c:pt idx="9">
                  <c:v>0.87173683920297118</c:v>
                </c:pt>
                <c:pt idx="10">
                  <c:v>0.87154363799822665</c:v>
                </c:pt>
                <c:pt idx="11">
                  <c:v>0.96230296229373291</c:v>
                </c:pt>
                <c:pt idx="12">
                  <c:v>1.0380584042172274</c:v>
                </c:pt>
              </c:numCache>
            </c:numRef>
          </c:val>
        </c:ser>
        <c:ser>
          <c:idx val="3"/>
          <c:order val="3"/>
          <c:tx>
            <c:strRef>
              <c:f>'Int Analysis'!$B$251</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Analysis'!$C$251:$O$251</c:f>
              <c:numCache>
                <c:formatCode>#,##0.00</c:formatCode>
                <c:ptCount val="13"/>
                <c:pt idx="0">
                  <c:v>1</c:v>
                </c:pt>
                <c:pt idx="1">
                  <c:v>1.0489940225689538</c:v>
                </c:pt>
                <c:pt idx="2">
                  <c:v>1.0362520977455181</c:v>
                </c:pt>
                <c:pt idx="3">
                  <c:v>1.0422953262511023</c:v>
                </c:pt>
                <c:pt idx="4">
                  <c:v>0.99194278415158621</c:v>
                </c:pt>
                <c:pt idx="5">
                  <c:v>1.0049198966170141</c:v>
                </c:pt>
                <c:pt idx="6">
                  <c:v>0.99721899440322315</c:v>
                </c:pt>
                <c:pt idx="7">
                  <c:v>0.97069699920804897</c:v>
                </c:pt>
                <c:pt idx="8">
                  <c:v>0.97669690635137374</c:v>
                </c:pt>
                <c:pt idx="9">
                  <c:v>1.0183884228894722</c:v>
                </c:pt>
                <c:pt idx="10">
                  <c:v>1.0003938049491734</c:v>
                </c:pt>
                <c:pt idx="11">
                  <c:v>0.94613310596814326</c:v>
                </c:pt>
                <c:pt idx="12">
                  <c:v>1.0081818529125575</c:v>
                </c:pt>
              </c:numCache>
            </c:numRef>
          </c:val>
        </c:ser>
        <c:marker val="1"/>
        <c:axId val="103536128"/>
        <c:axId val="103537664"/>
      </c:lineChart>
      <c:catAx>
        <c:axId val="103536128"/>
        <c:scaling>
          <c:orientation val="minMax"/>
        </c:scaling>
        <c:axPos val="b"/>
        <c:numFmt formatCode="General" sourceLinked="1"/>
        <c:tickLblPos val="nextTo"/>
        <c:crossAx val="103537664"/>
        <c:crosses val="autoZero"/>
        <c:auto val="1"/>
        <c:lblAlgn val="ctr"/>
        <c:lblOffset val="100"/>
      </c:catAx>
      <c:valAx>
        <c:axId val="103537664"/>
        <c:scaling>
          <c:orientation val="minMax"/>
        </c:scaling>
        <c:axPos val="l"/>
        <c:majorGridlines/>
        <c:title>
          <c:tx>
            <c:rich>
              <a:bodyPr rot="-5400000" vert="horz"/>
              <a:lstStyle/>
              <a:p>
                <a:pPr>
                  <a:defRPr/>
                </a:pPr>
                <a:r>
                  <a:rPr lang="en-US"/>
                  <a:t>2000=1</a:t>
                </a:r>
              </a:p>
            </c:rich>
          </c:tx>
        </c:title>
        <c:numFmt formatCode="#,##0.00" sourceLinked="1"/>
        <c:tickLblPos val="nextTo"/>
        <c:crossAx val="103536128"/>
        <c:crosses val="autoZero"/>
        <c:crossBetween val="between"/>
      </c:valAx>
    </c:plotArea>
    <c:legend>
      <c:legendPos val="r"/>
      <c:layout>
        <c:manualLayout>
          <c:xMode val="edge"/>
          <c:yMode val="edge"/>
          <c:x val="0.13444380155055441"/>
          <c:y val="5.6758545591161745E-2"/>
          <c:w val="0.85398850167642515"/>
          <c:h val="0.1687091494511978"/>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Staff Costs Per Pax Index</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Analysis'!$V$240</c:f>
              <c:strCache>
                <c:ptCount val="1"/>
                <c:pt idx="0">
                  <c:v>Heathrow</c:v>
                </c:pt>
              </c:strCache>
            </c:strRef>
          </c:tx>
          <c:spPr>
            <a:ln w="15875"/>
          </c:spPr>
          <c:dLbls>
            <c:dLbl>
              <c:idx val="12"/>
              <c:dLblPos val="b"/>
              <c:showVal val="1"/>
            </c:dLbl>
            <c:delete val="1"/>
            <c:dLblPos val="b"/>
          </c:dLbls>
          <c:cat>
            <c:numRef>
              <c:f>'Int Analysis'!$C$204:$O$204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Analysis'!$W$240:$AI$240</c:f>
              <c:numCache>
                <c:formatCode>#,##0.00</c:formatCode>
                <c:ptCount val="13"/>
                <c:pt idx="0">
                  <c:v>1</c:v>
                </c:pt>
                <c:pt idx="1">
                  <c:v>1.1795265628930138</c:v>
                </c:pt>
                <c:pt idx="2">
                  <c:v>1.2376478645521429</c:v>
                </c:pt>
                <c:pt idx="3">
                  <c:v>1.3306552877426525</c:v>
                </c:pt>
                <c:pt idx="4">
                  <c:v>1.3345357528761888</c:v>
                </c:pt>
                <c:pt idx="5">
                  <c:v>1.3703239473956714</c:v>
                </c:pt>
                <c:pt idx="6">
                  <c:v>1.4217201488352027</c:v>
                </c:pt>
                <c:pt idx="7">
                  <c:v>1.489854766130962</c:v>
                </c:pt>
                <c:pt idx="8">
                  <c:v>1.838634805742088</c:v>
                </c:pt>
                <c:pt idx="9">
                  <c:v>1.5768846147994848</c:v>
                </c:pt>
                <c:pt idx="10">
                  <c:v>1.6411256640690732</c:v>
                </c:pt>
                <c:pt idx="11">
                  <c:v>1.5760685247780331</c:v>
                </c:pt>
                <c:pt idx="12">
                  <c:v>1.6828496890607507</c:v>
                </c:pt>
              </c:numCache>
            </c:numRef>
          </c:val>
        </c:ser>
        <c:ser>
          <c:idx val="1"/>
          <c:order val="1"/>
          <c:tx>
            <c:strRef>
              <c:f>'Int Analysis'!$V$238</c:f>
              <c:strCache>
                <c:ptCount val="1"/>
                <c:pt idx="0">
                  <c:v>Gatwick</c:v>
                </c:pt>
              </c:strCache>
            </c:strRef>
          </c:tx>
          <c:spPr>
            <a:ln w="15875"/>
          </c:spPr>
          <c:dLbls>
            <c:dLbl>
              <c:idx val="12"/>
              <c:layout>
                <c:manualLayout>
                  <c:x val="-1.9828596614681008E-2"/>
                  <c:y val="-2.4241755841192158E-2"/>
                </c:manualLayout>
              </c:layout>
              <c:showVal val="1"/>
            </c:dLbl>
            <c:delete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Analysis'!$W$238:$AI$238</c:f>
              <c:numCache>
                <c:formatCode>#,##0.00</c:formatCode>
                <c:ptCount val="13"/>
                <c:pt idx="0">
                  <c:v>1</c:v>
                </c:pt>
                <c:pt idx="1">
                  <c:v>1.1184081802740093</c:v>
                </c:pt>
                <c:pt idx="2">
                  <c:v>1.2411607243450633</c:v>
                </c:pt>
                <c:pt idx="3">
                  <c:v>1.3689685164852343</c:v>
                </c:pt>
                <c:pt idx="4">
                  <c:v>1.2938086208428812</c:v>
                </c:pt>
                <c:pt idx="5">
                  <c:v>1.2494199978226577</c:v>
                </c:pt>
                <c:pt idx="6">
                  <c:v>1.1208044561934443</c:v>
                </c:pt>
                <c:pt idx="7">
                  <c:v>1.2873547568820085</c:v>
                </c:pt>
                <c:pt idx="8">
                  <c:v>1.4140744863667947</c:v>
                </c:pt>
                <c:pt idx="9">
                  <c:v>1.9620285031345703</c:v>
                </c:pt>
                <c:pt idx="10">
                  <c:v>1.7689963445358377</c:v>
                </c:pt>
                <c:pt idx="11">
                  <c:v>1.7273784575149735</c:v>
                </c:pt>
                <c:pt idx="12">
                  <c:v>1.7547953226229445</c:v>
                </c:pt>
              </c:numCache>
            </c:numRef>
          </c:val>
        </c:ser>
        <c:ser>
          <c:idx val="2"/>
          <c:order val="2"/>
          <c:tx>
            <c:strRef>
              <c:f>'Int Analysis'!$V$244</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12"/>
              <c:layout>
                <c:manualLayout>
                  <c:x val="-2.3794315937617043E-2"/>
                  <c:y val="-2.4241755841192109E-2"/>
                </c:manualLayout>
              </c:layout>
              <c:showVal val="1"/>
            </c:dLbl>
            <c:delete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Analysis'!$W$244:$AI$244</c:f>
              <c:numCache>
                <c:formatCode>#,##0.00</c:formatCode>
                <c:ptCount val="13"/>
                <c:pt idx="0">
                  <c:v>1</c:v>
                </c:pt>
                <c:pt idx="1">
                  <c:v>0.83745829687614659</c:v>
                </c:pt>
                <c:pt idx="2">
                  <c:v>0.80601851556757242</c:v>
                </c:pt>
                <c:pt idx="3">
                  <c:v>0.77958470341568464</c:v>
                </c:pt>
                <c:pt idx="4">
                  <c:v>0.78663028218275599</c:v>
                </c:pt>
                <c:pt idx="5">
                  <c:v>0.74338362916433043</c:v>
                </c:pt>
                <c:pt idx="6">
                  <c:v>0.78284574693298281</c:v>
                </c:pt>
                <c:pt idx="7">
                  <c:v>0.78965028312280106</c:v>
                </c:pt>
                <c:pt idx="8">
                  <c:v>0.86373562351905975</c:v>
                </c:pt>
                <c:pt idx="9">
                  <c:v>0.87173683920297118</c:v>
                </c:pt>
                <c:pt idx="10">
                  <c:v>0.87154363799822665</c:v>
                </c:pt>
                <c:pt idx="11">
                  <c:v>0.96230296229373291</c:v>
                </c:pt>
                <c:pt idx="12">
                  <c:v>1.0380584042172274</c:v>
                </c:pt>
              </c:numCache>
            </c:numRef>
          </c:val>
        </c:ser>
        <c:ser>
          <c:idx val="3"/>
          <c:order val="3"/>
          <c:tx>
            <c:strRef>
              <c:f>'Int Analysis'!$V$251</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12"/>
              <c:layout>
                <c:manualLayout>
                  <c:x val="-1.9828596614681008E-2"/>
                  <c:y val="2.9628812694790382E-2"/>
                </c:manualLayout>
              </c:layout>
              <c:showVal val="1"/>
            </c:dLbl>
            <c:delete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Analysis'!$W$251:$AI$251</c:f>
              <c:numCache>
                <c:formatCode>#,##0.00</c:formatCode>
                <c:ptCount val="13"/>
                <c:pt idx="0">
                  <c:v>1</c:v>
                </c:pt>
                <c:pt idx="1">
                  <c:v>1.0441876664012884</c:v>
                </c:pt>
                <c:pt idx="2">
                  <c:v>1.0204421352142108</c:v>
                </c:pt>
                <c:pt idx="3">
                  <c:v>1.0364260484179828</c:v>
                </c:pt>
                <c:pt idx="4">
                  <c:v>1.0023411955533621</c:v>
                </c:pt>
                <c:pt idx="5">
                  <c:v>1.0263876463115724</c:v>
                </c:pt>
                <c:pt idx="6">
                  <c:v>1.0397153148428979</c:v>
                </c:pt>
                <c:pt idx="7">
                  <c:v>1.0386082971275394</c:v>
                </c:pt>
                <c:pt idx="8">
                  <c:v>0.98005316429965572</c:v>
                </c:pt>
                <c:pt idx="9">
                  <c:v>0.97501128495365064</c:v>
                </c:pt>
                <c:pt idx="10">
                  <c:v>0.97075395347422822</c:v>
                </c:pt>
                <c:pt idx="11">
                  <c:v>0.92749163226960374</c:v>
                </c:pt>
                <c:pt idx="12">
                  <c:v>0.85513722481097276</c:v>
                </c:pt>
              </c:numCache>
            </c:numRef>
          </c:val>
        </c:ser>
        <c:marker val="1"/>
        <c:axId val="103750656"/>
        <c:axId val="103768832"/>
      </c:lineChart>
      <c:catAx>
        <c:axId val="103750656"/>
        <c:scaling>
          <c:orientation val="minMax"/>
        </c:scaling>
        <c:axPos val="b"/>
        <c:numFmt formatCode="General" sourceLinked="1"/>
        <c:tickLblPos val="nextTo"/>
        <c:crossAx val="103768832"/>
        <c:crosses val="autoZero"/>
        <c:auto val="1"/>
        <c:lblAlgn val="ctr"/>
        <c:lblOffset val="100"/>
      </c:catAx>
      <c:valAx>
        <c:axId val="103768832"/>
        <c:scaling>
          <c:orientation val="minMax"/>
        </c:scaling>
        <c:axPos val="l"/>
        <c:majorGridlines/>
        <c:title>
          <c:tx>
            <c:rich>
              <a:bodyPr rot="-5400000" vert="horz"/>
              <a:lstStyle/>
              <a:p>
                <a:pPr>
                  <a:defRPr/>
                </a:pPr>
                <a:r>
                  <a:rPr lang="en-US"/>
                  <a:t>2000=1</a:t>
                </a:r>
              </a:p>
            </c:rich>
          </c:tx>
        </c:title>
        <c:numFmt formatCode="#,##0.00" sourceLinked="1"/>
        <c:tickLblPos val="nextTo"/>
        <c:crossAx val="103750656"/>
        <c:crosses val="autoZero"/>
        <c:crossBetween val="between"/>
      </c:valAx>
    </c:plotArea>
    <c:legend>
      <c:legendPos val="r"/>
      <c:layout>
        <c:manualLayout>
          <c:xMode val="edge"/>
          <c:yMode val="edge"/>
          <c:x val="0.13444380155055441"/>
          <c:y val="5.6758545591161745E-2"/>
          <c:w val="0.85398850167642515"/>
          <c:h val="0.1687091494511979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88" l="0.70000000000000062" r="0.70000000000000062" t="0.7500000000000118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Adjusted Opex Per Pax Index (Factor Costs) - Heathrow</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Analysis'!$V$211</c:f>
              <c:strCache>
                <c:ptCount val="1"/>
                <c:pt idx="0">
                  <c:v>Heathrow</c:v>
                </c:pt>
              </c:strCache>
            </c:strRef>
          </c:tx>
          <c:spPr>
            <a:ln w="15875"/>
          </c:spPr>
          <c:dLbls>
            <c:dLblPos val="t"/>
            <c:showVal val="1"/>
          </c:dLbls>
          <c:cat>
            <c:numRef>
              <c:f>'Int Analysis'!$W$204:$AI$204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Analysis'!$W$211:$AI$211</c:f>
              <c:numCache>
                <c:formatCode>#,##0.00</c:formatCode>
                <c:ptCount val="13"/>
                <c:pt idx="0">
                  <c:v>0.84048671893743687</c:v>
                </c:pt>
                <c:pt idx="1">
                  <c:v>0.910050991407508</c:v>
                </c:pt>
                <c:pt idx="2">
                  <c:v>0.90261134297785806</c:v>
                </c:pt>
                <c:pt idx="3">
                  <c:v>0.94248556408083217</c:v>
                </c:pt>
                <c:pt idx="4">
                  <c:v>0.93807740607903911</c:v>
                </c:pt>
                <c:pt idx="5">
                  <c:v>1</c:v>
                </c:pt>
                <c:pt idx="6">
                  <c:v>1.0174968686830541</c:v>
                </c:pt>
                <c:pt idx="7">
                  <c:v>1.0787915992263957</c:v>
                </c:pt>
                <c:pt idx="8">
                  <c:v>1.229792232956151</c:v>
                </c:pt>
                <c:pt idx="9">
                  <c:v>1.2619475249174077</c:v>
                </c:pt>
                <c:pt idx="10">
                  <c:v>1.2217787953302899</c:v>
                </c:pt>
                <c:pt idx="11">
                  <c:v>1.1252839475870371</c:v>
                </c:pt>
                <c:pt idx="12">
                  <c:v>1.1411719988168934</c:v>
                </c:pt>
              </c:numCache>
            </c:numRef>
          </c:val>
        </c:ser>
        <c:ser>
          <c:idx val="3"/>
          <c:order val="1"/>
          <c:tx>
            <c:strRef>
              <c:f>'Int Analysis'!$V$222</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3"/>
              <c:delete val="1"/>
            </c:dLbl>
            <c:txPr>
              <a:bodyPr/>
              <a:lstStyle/>
              <a:p>
                <a:pPr>
                  <a:defRPr sz="800"/>
                </a:pPr>
                <a:endParaRPr lang="en-US"/>
              </a:p>
            </c:txPr>
            <c:dLblPos val="b"/>
            <c:showVal val="1"/>
          </c:dLbls>
          <c:cat>
            <c:numRef>
              <c:f>'Int Analysis'!$W$204:$AH$204</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Analysis'!$W$222:$AI$222</c:f>
              <c:numCache>
                <c:formatCode>#,##0.00</c:formatCode>
                <c:ptCount val="13"/>
                <c:pt idx="0">
                  <c:v>0.95358569694623785</c:v>
                </c:pt>
                <c:pt idx="1">
                  <c:v>1.0154242218287426</c:v>
                </c:pt>
                <c:pt idx="2">
                  <c:v>1.0130558402428491</c:v>
                </c:pt>
                <c:pt idx="3">
                  <c:v>1.015648043722011</c:v>
                </c:pt>
                <c:pt idx="4">
                  <c:v>0.97305249695250517</c:v>
                </c:pt>
                <c:pt idx="5">
                  <c:v>1</c:v>
                </c:pt>
                <c:pt idx="6">
                  <c:v>0.98485535196282747</c:v>
                </c:pt>
                <c:pt idx="7">
                  <c:v>1.0075974914036632</c:v>
                </c:pt>
                <c:pt idx="8">
                  <c:v>0.99278379653219151</c:v>
                </c:pt>
                <c:pt idx="9">
                  <c:v>0.97454481149333283</c:v>
                </c:pt>
                <c:pt idx="10">
                  <c:v>0.92675366556201677</c:v>
                </c:pt>
                <c:pt idx="11">
                  <c:v>0.87907517909403077</c:v>
                </c:pt>
                <c:pt idx="12">
                  <c:v>0.87794725280174157</c:v>
                </c:pt>
              </c:numCache>
            </c:numRef>
          </c:val>
        </c:ser>
        <c:marker val="1"/>
        <c:axId val="103827712"/>
        <c:axId val="103837696"/>
      </c:lineChart>
      <c:catAx>
        <c:axId val="103827712"/>
        <c:scaling>
          <c:orientation val="minMax"/>
        </c:scaling>
        <c:axPos val="b"/>
        <c:numFmt formatCode="General" sourceLinked="1"/>
        <c:tickLblPos val="nextTo"/>
        <c:crossAx val="103837696"/>
        <c:crosses val="autoZero"/>
        <c:auto val="1"/>
        <c:lblAlgn val="ctr"/>
        <c:lblOffset val="100"/>
      </c:catAx>
      <c:valAx>
        <c:axId val="103837696"/>
        <c:scaling>
          <c:orientation val="minMax"/>
          <c:min val="0.60000000000000064"/>
        </c:scaling>
        <c:axPos val="l"/>
        <c:majorGridlines/>
        <c:title>
          <c:tx>
            <c:rich>
              <a:bodyPr rot="-5400000" vert="horz"/>
              <a:lstStyle/>
              <a:p>
                <a:pPr>
                  <a:defRPr/>
                </a:pPr>
                <a:r>
                  <a:rPr lang="en-US"/>
                  <a:t>2000=1</a:t>
                </a:r>
              </a:p>
            </c:rich>
          </c:tx>
        </c:title>
        <c:numFmt formatCode="#,##0.00" sourceLinked="1"/>
        <c:tickLblPos val="nextTo"/>
        <c:crossAx val="103827712"/>
        <c:crosses val="autoZero"/>
        <c:crossBetween val="between"/>
      </c:valAx>
    </c:plotArea>
    <c:legend>
      <c:legendPos val="r"/>
      <c:layout>
        <c:manualLayout>
          <c:xMode val="edge"/>
          <c:yMode val="edge"/>
          <c:x val="0.15725342080481791"/>
          <c:y val="5.0241323108880145E-2"/>
          <c:w val="0.7992493136028378"/>
          <c:h val="0.11520959004314775"/>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88" l="0.70000000000000062" r="0.70000000000000062" t="0.7500000000000118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Ordinary Opex Per Pax Index</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Analysis'!$B$184</c:f>
              <c:strCache>
                <c:ptCount val="1"/>
                <c:pt idx="0">
                  <c:v>Heathrow</c:v>
                </c:pt>
              </c:strCache>
            </c:strRef>
          </c:tx>
          <c:spPr>
            <a:ln w="15875"/>
          </c:spPr>
          <c:cat>
            <c:numRef>
              <c:f>'Int Analysis'!$C$177:$O$177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Analysis'!$C$184:$O$184</c:f>
              <c:numCache>
                <c:formatCode>#,##0.00</c:formatCode>
                <c:ptCount val="13"/>
                <c:pt idx="0">
                  <c:v>1</c:v>
                </c:pt>
                <c:pt idx="1">
                  <c:v>1.1167052647422833</c:v>
                </c:pt>
                <c:pt idx="2">
                  <c:v>1.0898430706247344</c:v>
                </c:pt>
                <c:pt idx="3">
                  <c:v>1.1053850366369986</c:v>
                </c:pt>
                <c:pt idx="4">
                  <c:v>1.1122960964086241</c:v>
                </c:pt>
                <c:pt idx="5">
                  <c:v>1.1737630494380005</c:v>
                </c:pt>
                <c:pt idx="6">
                  <c:v>1.2301685738529993</c:v>
                </c:pt>
                <c:pt idx="7">
                  <c:v>1.2892569626743815</c:v>
                </c:pt>
                <c:pt idx="8">
                  <c:v>1.813293067487721</c:v>
                </c:pt>
                <c:pt idx="9">
                  <c:v>1.9866276177241227</c:v>
                </c:pt>
                <c:pt idx="10">
                  <c:v>1.9513274161519623</c:v>
                </c:pt>
                <c:pt idx="11">
                  <c:v>1.8312360717011391</c:v>
                </c:pt>
                <c:pt idx="12">
                  <c:v>1.8237757591558688</c:v>
                </c:pt>
              </c:numCache>
            </c:numRef>
          </c:val>
        </c:ser>
        <c:ser>
          <c:idx val="1"/>
          <c:order val="1"/>
          <c:tx>
            <c:strRef>
              <c:f>'Int Analysis'!$B$182</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Analysis'!$C$182:$O$182</c:f>
              <c:numCache>
                <c:formatCode>#,##0.00</c:formatCode>
                <c:ptCount val="13"/>
                <c:pt idx="0">
                  <c:v>1</c:v>
                </c:pt>
                <c:pt idx="1">
                  <c:v>1.1129916613258786</c:v>
                </c:pt>
                <c:pt idx="2">
                  <c:v>1.121336818906723</c:v>
                </c:pt>
                <c:pt idx="3">
                  <c:v>1.1533843122963314</c:v>
                </c:pt>
                <c:pt idx="4">
                  <c:v>1.0935203046028992</c:v>
                </c:pt>
                <c:pt idx="5">
                  <c:v>1.1080273290971228</c:v>
                </c:pt>
                <c:pt idx="6">
                  <c:v>1.0584324057608416</c:v>
                </c:pt>
                <c:pt idx="7">
                  <c:v>1.1483910047980326</c:v>
                </c:pt>
                <c:pt idx="8">
                  <c:v>1.3468147269138269</c:v>
                </c:pt>
                <c:pt idx="9">
                  <c:v>1.7920595786683617</c:v>
                </c:pt>
                <c:pt idx="10">
                  <c:v>1.3551136169967608</c:v>
                </c:pt>
                <c:pt idx="11">
                  <c:v>1.336100350110542</c:v>
                </c:pt>
                <c:pt idx="12">
                  <c:v>1.3469222170725723</c:v>
                </c:pt>
              </c:numCache>
            </c:numRef>
          </c:val>
        </c:ser>
        <c:ser>
          <c:idx val="2"/>
          <c:order val="2"/>
          <c:tx>
            <c:strRef>
              <c:f>'Int Analysis'!$B$188</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Analysis'!$C$188:$O$188</c:f>
              <c:numCache>
                <c:formatCode>#,##0.00</c:formatCode>
                <c:ptCount val="13"/>
                <c:pt idx="0">
                  <c:v>1</c:v>
                </c:pt>
                <c:pt idx="1">
                  <c:v>0.95074922115626681</c:v>
                </c:pt>
                <c:pt idx="2">
                  <c:v>0.91665915597277881</c:v>
                </c:pt>
                <c:pt idx="3">
                  <c:v>0.69753138748188637</c:v>
                </c:pt>
                <c:pt idx="4">
                  <c:v>0.68415508228286914</c:v>
                </c:pt>
                <c:pt idx="5">
                  <c:v>0.66336495602763268</c:v>
                </c:pt>
                <c:pt idx="6">
                  <c:v>0.6551818204790949</c:v>
                </c:pt>
                <c:pt idx="7">
                  <c:v>0.63448110571359795</c:v>
                </c:pt>
                <c:pt idx="8">
                  <c:v>0.7032713681630004</c:v>
                </c:pt>
                <c:pt idx="9">
                  <c:v>0.80399005049598848</c:v>
                </c:pt>
                <c:pt idx="10">
                  <c:v>0.92952644092860637</c:v>
                </c:pt>
                <c:pt idx="11">
                  <c:v>0.97888901004820272</c:v>
                </c:pt>
                <c:pt idx="12">
                  <c:v>0.98097871561064232</c:v>
                </c:pt>
              </c:numCache>
            </c:numRef>
          </c:val>
        </c:ser>
        <c:ser>
          <c:idx val="3"/>
          <c:order val="3"/>
          <c:tx>
            <c:strRef>
              <c:f>'Int Analysis'!$B$195</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Analysis'!$C$195:$O$195</c:f>
              <c:numCache>
                <c:formatCode>#,##0.00</c:formatCode>
                <c:ptCount val="13"/>
                <c:pt idx="0">
                  <c:v>1</c:v>
                </c:pt>
                <c:pt idx="1">
                  <c:v>1.0779906114734663</c:v>
                </c:pt>
                <c:pt idx="2">
                  <c:v>1.061847288016881</c:v>
                </c:pt>
                <c:pt idx="3">
                  <c:v>1.0809045302017846</c:v>
                </c:pt>
                <c:pt idx="4">
                  <c:v>1.0149970319748438</c:v>
                </c:pt>
                <c:pt idx="5">
                  <c:v>1.062347849448209</c:v>
                </c:pt>
                <c:pt idx="6">
                  <c:v>1.0064237599246026</c:v>
                </c:pt>
                <c:pt idx="7">
                  <c:v>0.99472751572793039</c:v>
                </c:pt>
                <c:pt idx="8">
                  <c:v>1.0702081854705403</c:v>
                </c:pt>
                <c:pt idx="9">
                  <c:v>1.1665250959062561</c:v>
                </c:pt>
                <c:pt idx="10">
                  <c:v>1.1381686012883443</c:v>
                </c:pt>
                <c:pt idx="11">
                  <c:v>1.0785621564988821</c:v>
                </c:pt>
                <c:pt idx="12">
                  <c:v>1.090695687864863</c:v>
                </c:pt>
              </c:numCache>
            </c:numRef>
          </c:val>
        </c:ser>
        <c:marker val="1"/>
        <c:axId val="103693312"/>
        <c:axId val="103715584"/>
      </c:lineChart>
      <c:catAx>
        <c:axId val="103693312"/>
        <c:scaling>
          <c:orientation val="minMax"/>
        </c:scaling>
        <c:axPos val="b"/>
        <c:numFmt formatCode="General" sourceLinked="1"/>
        <c:tickLblPos val="nextTo"/>
        <c:crossAx val="103715584"/>
        <c:crosses val="autoZero"/>
        <c:auto val="1"/>
        <c:lblAlgn val="ctr"/>
        <c:lblOffset val="100"/>
      </c:catAx>
      <c:valAx>
        <c:axId val="103715584"/>
        <c:scaling>
          <c:orientation val="minMax"/>
        </c:scaling>
        <c:axPos val="l"/>
        <c:majorGridlines/>
        <c:title>
          <c:tx>
            <c:rich>
              <a:bodyPr rot="-5400000" vert="horz"/>
              <a:lstStyle/>
              <a:p>
                <a:pPr>
                  <a:defRPr/>
                </a:pPr>
                <a:r>
                  <a:rPr lang="en-US"/>
                  <a:t>2000=1</a:t>
                </a:r>
              </a:p>
            </c:rich>
          </c:tx>
        </c:title>
        <c:numFmt formatCode="#,##0.00" sourceLinked="1"/>
        <c:tickLblPos val="nextTo"/>
        <c:crossAx val="103693312"/>
        <c:crosses val="autoZero"/>
        <c:crossBetween val="between"/>
      </c:valAx>
    </c:plotArea>
    <c:legend>
      <c:legendPos val="r"/>
      <c:layout>
        <c:manualLayout>
          <c:xMode val="edge"/>
          <c:yMode val="edge"/>
          <c:x val="0.13444380155055441"/>
          <c:y val="5.6758545591161745E-2"/>
          <c:w val="0.85398850167642515"/>
          <c:h val="0.16870914945119769"/>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44" l="0.70000000000000062" r="0.70000000000000062" t="0.750000000000011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Ordinary Opex Per Pax Index (Factor Costs)</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Analysis'!$V$184</c:f>
              <c:strCache>
                <c:ptCount val="1"/>
                <c:pt idx="0">
                  <c:v>Heathrow</c:v>
                </c:pt>
              </c:strCache>
            </c:strRef>
          </c:tx>
          <c:spPr>
            <a:ln w="15875"/>
          </c:spP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Pos val="t"/>
            <c:showVal val="1"/>
          </c:dLbls>
          <c:cat>
            <c:numRef>
              <c:f>'Int Analysis'!$W$177:$AI$177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Analysis'!$W$184:$AI$184</c:f>
              <c:numCache>
                <c:formatCode>#,##0.00</c:formatCode>
                <c:ptCount val="13"/>
                <c:pt idx="0">
                  <c:v>1</c:v>
                </c:pt>
                <c:pt idx="1">
                  <c:v>1.1167052647422833</c:v>
                </c:pt>
                <c:pt idx="2">
                  <c:v>1.0898430706247344</c:v>
                </c:pt>
                <c:pt idx="3">
                  <c:v>1.1053850366369986</c:v>
                </c:pt>
                <c:pt idx="4">
                  <c:v>1.1122960964086241</c:v>
                </c:pt>
                <c:pt idx="5">
                  <c:v>1.1737630494380005</c:v>
                </c:pt>
                <c:pt idx="6">
                  <c:v>1.2301685738529993</c:v>
                </c:pt>
                <c:pt idx="7">
                  <c:v>1.2892569626743815</c:v>
                </c:pt>
                <c:pt idx="8">
                  <c:v>1.813293067487721</c:v>
                </c:pt>
                <c:pt idx="9">
                  <c:v>1.9866276177241227</c:v>
                </c:pt>
                <c:pt idx="10">
                  <c:v>1.9513274161519623</c:v>
                </c:pt>
                <c:pt idx="11">
                  <c:v>1.8312360717011391</c:v>
                </c:pt>
                <c:pt idx="12">
                  <c:v>1.8237757591558688</c:v>
                </c:pt>
              </c:numCache>
            </c:numRef>
          </c:val>
        </c:ser>
        <c:ser>
          <c:idx val="1"/>
          <c:order val="1"/>
          <c:tx>
            <c:strRef>
              <c:f>'Int Analysis'!$V$182</c:f>
              <c:strCache>
                <c:ptCount val="1"/>
                <c:pt idx="0">
                  <c:v>Gatwick</c:v>
                </c:pt>
              </c:strCache>
            </c:strRef>
          </c:tx>
          <c:spPr>
            <a:ln w="15875"/>
          </c:spPr>
          <c:dLbls>
            <c:dLbl>
              <c:idx val="12"/>
              <c:layout>
                <c:manualLayout>
                  <c:x val="-1.8441575539791321E-2"/>
                  <c:y val="-2.1214313003467229E-2"/>
                </c:manualLayout>
              </c:layout>
              <c:showVal val="1"/>
            </c:dLbl>
            <c:delete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Analysis'!$W$182:$AI$182</c:f>
              <c:numCache>
                <c:formatCode>#,##0.00</c:formatCode>
                <c:ptCount val="13"/>
                <c:pt idx="0">
                  <c:v>1</c:v>
                </c:pt>
                <c:pt idx="1">
                  <c:v>1.1129916613258786</c:v>
                </c:pt>
                <c:pt idx="2">
                  <c:v>1.121336818906723</c:v>
                </c:pt>
                <c:pt idx="3">
                  <c:v>1.1533843122963314</c:v>
                </c:pt>
                <c:pt idx="4">
                  <c:v>1.0935203046028992</c:v>
                </c:pt>
                <c:pt idx="5">
                  <c:v>1.1080273290971228</c:v>
                </c:pt>
                <c:pt idx="6">
                  <c:v>1.0584324057608416</c:v>
                </c:pt>
                <c:pt idx="7">
                  <c:v>1.1483910047980326</c:v>
                </c:pt>
                <c:pt idx="8">
                  <c:v>1.3468147269138269</c:v>
                </c:pt>
                <c:pt idx="9">
                  <c:v>1.7920595786683617</c:v>
                </c:pt>
                <c:pt idx="10">
                  <c:v>1.3551136169967608</c:v>
                </c:pt>
                <c:pt idx="11">
                  <c:v>1.336100350110542</c:v>
                </c:pt>
                <c:pt idx="12">
                  <c:v>1.3469222170725723</c:v>
                </c:pt>
              </c:numCache>
            </c:numRef>
          </c:val>
        </c:ser>
        <c:ser>
          <c:idx val="2"/>
          <c:order val="2"/>
          <c:tx>
            <c:strRef>
              <c:f>'Int Analysis'!$V$188</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Analysis'!$W$188:$AI$188</c:f>
              <c:numCache>
                <c:formatCode>#,##0.00</c:formatCode>
                <c:ptCount val="13"/>
                <c:pt idx="0">
                  <c:v>1</c:v>
                </c:pt>
                <c:pt idx="1">
                  <c:v>0.95074922115626681</c:v>
                </c:pt>
                <c:pt idx="2">
                  <c:v>0.91665915597277881</c:v>
                </c:pt>
                <c:pt idx="3">
                  <c:v>0.69753138748188637</c:v>
                </c:pt>
                <c:pt idx="4">
                  <c:v>0.68415508228286914</c:v>
                </c:pt>
                <c:pt idx="5">
                  <c:v>0.66336495602763268</c:v>
                </c:pt>
                <c:pt idx="6">
                  <c:v>0.6551818204790949</c:v>
                </c:pt>
                <c:pt idx="7">
                  <c:v>0.63448110571359795</c:v>
                </c:pt>
                <c:pt idx="8">
                  <c:v>0.7032713681630004</c:v>
                </c:pt>
                <c:pt idx="9">
                  <c:v>0.80399005049598848</c:v>
                </c:pt>
                <c:pt idx="10">
                  <c:v>0.92952644092860637</c:v>
                </c:pt>
                <c:pt idx="11">
                  <c:v>0.97888901004820272</c:v>
                </c:pt>
                <c:pt idx="12">
                  <c:v>0.98097871561064232</c:v>
                </c:pt>
              </c:numCache>
            </c:numRef>
          </c:val>
        </c:ser>
        <c:ser>
          <c:idx val="3"/>
          <c:order val="3"/>
          <c:tx>
            <c:v>Average</c:v>
          </c:tx>
          <c:spPr>
            <a:ln w="12700">
              <a:solidFill>
                <a:schemeClr val="accent5"/>
              </a:solidFill>
              <a:prstDash val="solid"/>
            </a:ln>
          </c:spPr>
          <c:marker>
            <c:symbol val="circle"/>
            <c:size val="5"/>
            <c:spPr>
              <a:solidFill>
                <a:schemeClr val="accent5"/>
              </a:solidFill>
              <a:ln>
                <a:solidFill>
                  <a:schemeClr val="accent5"/>
                </a:solidFill>
              </a:ln>
            </c:spPr>
          </c:marke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Analysis'!$W$195:$AI$195</c:f>
              <c:numCache>
                <c:formatCode>#,##0.00</c:formatCode>
                <c:ptCount val="13"/>
                <c:pt idx="0">
                  <c:v>1</c:v>
                </c:pt>
                <c:pt idx="1">
                  <c:v>1.0595139355292864</c:v>
                </c:pt>
                <c:pt idx="2">
                  <c:v>1.0521048148027283</c:v>
                </c:pt>
                <c:pt idx="3">
                  <c:v>1.0641223206676844</c:v>
                </c:pt>
                <c:pt idx="4">
                  <c:v>1.0210622846104807</c:v>
                </c:pt>
                <c:pt idx="5">
                  <c:v>1.0764065258682216</c:v>
                </c:pt>
                <c:pt idx="6">
                  <c:v>1.0319139353026228</c:v>
                </c:pt>
                <c:pt idx="7">
                  <c:v>1.0486085849196445</c:v>
                </c:pt>
                <c:pt idx="8">
                  <c:v>1.0603357736693622</c:v>
                </c:pt>
                <c:pt idx="9">
                  <c:v>1.1040275712178993</c:v>
                </c:pt>
                <c:pt idx="10">
                  <c:v>1.0906495363279356</c:v>
                </c:pt>
                <c:pt idx="11">
                  <c:v>1.0307998876377433</c:v>
                </c:pt>
                <c:pt idx="12">
                  <c:v>1.0279191613986027</c:v>
                </c:pt>
              </c:numCache>
            </c:numRef>
          </c:val>
        </c:ser>
        <c:ser>
          <c:idx val="4"/>
          <c:order val="4"/>
          <c:tx>
            <c:strRef>
              <c:f>'Int Analysis'!$V$199</c:f>
              <c:strCache>
                <c:ptCount val="1"/>
                <c:pt idx="0">
                  <c:v>Average (ex AMS)</c:v>
                </c:pt>
              </c:strCache>
            </c:strRef>
          </c:tx>
          <c:spPr>
            <a:ln w="12700">
              <a:solidFill>
                <a:schemeClr val="accent5"/>
              </a:solidFill>
              <a:prstDash val="dash"/>
            </a:ln>
          </c:spPr>
          <c:marker>
            <c:spPr>
              <a:no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layout>
                <c:manualLayout>
                  <c:x val="3.2785023181851052E-2"/>
                  <c:y val="4.2428626006934193E-2"/>
                </c:manualLayout>
              </c:layout>
              <c:showVal val="1"/>
            </c:dLbl>
            <c:dLbl>
              <c:idx val="12"/>
              <c:layout>
                <c:manualLayout>
                  <c:x val="-1.2294383693194138E-2"/>
                  <c:y val="-1.5153080716762296E-2"/>
                </c:manualLayout>
              </c:layout>
              <c:showVal val="1"/>
            </c:dLbl>
            <c:showVal val="1"/>
          </c:dLbls>
          <c:val>
            <c:numRef>
              <c:f>'Int Analysis'!$W$199:$AI$199</c:f>
              <c:numCache>
                <c:formatCode>#,##0.00</c:formatCode>
                <c:ptCount val="13"/>
                <c:pt idx="0">
                  <c:v>1</c:v>
                </c:pt>
                <c:pt idx="1">
                  <c:v>1.0666845922242647</c:v>
                </c:pt>
                <c:pt idx="2">
                  <c:v>1.0524125011928784</c:v>
                </c:pt>
                <c:pt idx="3">
                  <c:v>1.0638194803204928</c:v>
                </c:pt>
                <c:pt idx="4">
                  <c:v>1.0173414637021778</c:v>
                </c:pt>
                <c:pt idx="5">
                  <c:v>1.0816757618509858</c:v>
                </c:pt>
                <c:pt idx="6">
                  <c:v>1.0253909646270178</c:v>
                </c:pt>
                <c:pt idx="7">
                  <c:v>1.0370500021462605</c:v>
                </c:pt>
                <c:pt idx="8">
                  <c:v>1.0594890443574838</c:v>
                </c:pt>
                <c:pt idx="9">
                  <c:v>1.1095261521914954</c:v>
                </c:pt>
                <c:pt idx="10">
                  <c:v>1.0991875441305932</c:v>
                </c:pt>
                <c:pt idx="11">
                  <c:v>1.0376133764918354</c:v>
                </c:pt>
                <c:pt idx="12">
                  <c:v>1.0380181273923046</c:v>
                </c:pt>
              </c:numCache>
            </c:numRef>
          </c:val>
        </c:ser>
        <c:marker val="1"/>
        <c:axId val="103989632"/>
        <c:axId val="103991168"/>
      </c:lineChart>
      <c:catAx>
        <c:axId val="103989632"/>
        <c:scaling>
          <c:orientation val="minMax"/>
        </c:scaling>
        <c:axPos val="b"/>
        <c:numFmt formatCode="General" sourceLinked="1"/>
        <c:tickLblPos val="nextTo"/>
        <c:crossAx val="103991168"/>
        <c:crosses val="autoZero"/>
        <c:auto val="1"/>
        <c:lblAlgn val="ctr"/>
        <c:lblOffset val="100"/>
      </c:catAx>
      <c:valAx>
        <c:axId val="103991168"/>
        <c:scaling>
          <c:orientation val="minMax"/>
        </c:scaling>
        <c:axPos val="l"/>
        <c:majorGridlines/>
        <c:title>
          <c:tx>
            <c:rich>
              <a:bodyPr rot="-5400000" vert="horz"/>
              <a:lstStyle/>
              <a:p>
                <a:pPr>
                  <a:defRPr/>
                </a:pPr>
                <a:r>
                  <a:rPr lang="en-US"/>
                  <a:t>2000=1</a:t>
                </a:r>
              </a:p>
            </c:rich>
          </c:tx>
        </c:title>
        <c:numFmt formatCode="#,##0.00" sourceLinked="1"/>
        <c:tickLblPos val="nextTo"/>
        <c:crossAx val="103989632"/>
        <c:crosses val="autoZero"/>
        <c:crossBetween val="between"/>
      </c:valAx>
    </c:plotArea>
    <c:legend>
      <c:legendPos val="r"/>
      <c:layout>
        <c:manualLayout>
          <c:xMode val="edge"/>
          <c:yMode val="edge"/>
          <c:x val="0.16333156091124768"/>
          <c:y val="0.18580597829787621"/>
          <c:w val="0.81088375301022453"/>
          <c:h val="9.6792175110625364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 (Factor</a:t>
            </a:r>
            <a:r>
              <a:rPr lang="en-US" baseline="0"/>
              <a:t> Costs) - Heathrow</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Analysis'!$V$102</c:f>
              <c:strCache>
                <c:ptCount val="1"/>
                <c:pt idx="0">
                  <c:v>Heathrow</c:v>
                </c:pt>
              </c:strCache>
            </c:strRef>
          </c:tx>
          <c:spPr>
            <a:ln w="15875"/>
          </c:spPr>
          <c:cat>
            <c:numRef>
              <c:f>'Int Analysis'!$W$95:$AI$95</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Analysis'!$W$102:$AI$102</c:f>
              <c:numCache>
                <c:formatCode>#,##0.00</c:formatCode>
                <c:ptCount val="13"/>
                <c:pt idx="0">
                  <c:v>8.9312668189926594</c:v>
                </c:pt>
                <c:pt idx="1">
                  <c:v>9.6704778790850412</c:v>
                </c:pt>
                <c:pt idx="2">
                  <c:v>9.5914219182142908</c:v>
                </c:pt>
                <c:pt idx="3">
                  <c:v>10.015137486641587</c:v>
                </c:pt>
                <c:pt idx="4">
                  <c:v>9.9682950625946436</c:v>
                </c:pt>
                <c:pt idx="5">
                  <c:v>10.626303328485401</c:v>
                </c:pt>
                <c:pt idx="6">
                  <c:v>10.81223036241021</c:v>
                </c:pt>
                <c:pt idx="7">
                  <c:v>11.463566761601538</c:v>
                </c:pt>
                <c:pt idx="8">
                  <c:v>13.06814529840744</c:v>
                </c:pt>
                <c:pt idx="9">
                  <c:v>13.409837184403763</c:v>
                </c:pt>
                <c:pt idx="10">
                  <c:v>12.982992079491142</c:v>
                </c:pt>
                <c:pt idx="11">
                  <c:v>11.957608557735323</c:v>
                </c:pt>
                <c:pt idx="12">
                  <c:v>12.126439809402292</c:v>
                </c:pt>
              </c:numCache>
            </c:numRef>
          </c:val>
        </c:ser>
        <c:ser>
          <c:idx val="1"/>
          <c:order val="1"/>
          <c:tx>
            <c:strRef>
              <c:f>'Int Analysis'!$V$97</c:f>
              <c:strCache>
                <c:ptCount val="1"/>
                <c:pt idx="0">
                  <c:v>Amsterdam</c:v>
                </c:pt>
              </c:strCache>
            </c:strRef>
          </c:tx>
          <c:spPr>
            <a:ln w="15875"/>
          </c:spP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Analysis'!$W$97:$AI$97</c:f>
              <c:numCache>
                <c:formatCode>#,##0.00</c:formatCode>
                <c:ptCount val="13"/>
                <c:pt idx="0">
                  <c:v>11.474353708994807</c:v>
                </c:pt>
                <c:pt idx="1">
                  <c:v>11.386404173903442</c:v>
                </c:pt>
                <c:pt idx="2">
                  <c:v>12.504835719083017</c:v>
                </c:pt>
                <c:pt idx="3">
                  <c:v>12.529927697470816</c:v>
                </c:pt>
                <c:pt idx="4">
                  <c:v>12.34194172549847</c:v>
                </c:pt>
                <c:pt idx="5">
                  <c:v>11.390696750745192</c:v>
                </c:pt>
                <c:pt idx="6">
                  <c:v>12.983574262487849</c:v>
                </c:pt>
                <c:pt idx="7">
                  <c:v>14.810661356696194</c:v>
                </c:pt>
                <c:pt idx="8">
                  <c:v>13.438453507166955</c:v>
                </c:pt>
                <c:pt idx="9">
                  <c:v>12.759844009263816</c:v>
                </c:pt>
                <c:pt idx="10">
                  <c:v>12.156872400391078</c:v>
                </c:pt>
                <c:pt idx="11">
                  <c:v>11.86758338966378</c:v>
                </c:pt>
                <c:pt idx="12">
                  <c:v>11.43214998621692</c:v>
                </c:pt>
              </c:numCache>
            </c:numRef>
          </c:val>
        </c:ser>
        <c:ser>
          <c:idx val="2"/>
          <c:order val="2"/>
          <c:tx>
            <c:strRef>
              <c:f>'Int Analysis'!$V$109</c:f>
              <c:strCache>
                <c:ptCount val="1"/>
                <c:pt idx="0">
                  <c:v>Hong Kong</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Analysis'!$W$109:$AI$109</c:f>
              <c:numCache>
                <c:formatCode>#,##0.00</c:formatCode>
                <c:ptCount val="13"/>
                <c:pt idx="0">
                  <c:v>6.4481512893379458</c:v>
                </c:pt>
                <c:pt idx="1">
                  <c:v>6.2400331066867887</c:v>
                </c:pt>
                <c:pt idx="2">
                  <c:v>6.4680595461505144</c:v>
                </c:pt>
                <c:pt idx="3">
                  <c:v>9.1859134778763849</c:v>
                </c:pt>
                <c:pt idx="4">
                  <c:v>7.9944076714084567</c:v>
                </c:pt>
                <c:pt idx="5">
                  <c:v>7.3174678126024908</c:v>
                </c:pt>
                <c:pt idx="6">
                  <c:v>7.4797539005055063</c:v>
                </c:pt>
                <c:pt idx="7">
                  <c:v>7.6681073901035308</c:v>
                </c:pt>
                <c:pt idx="8">
                  <c:v>7.5981545517139759</c:v>
                </c:pt>
                <c:pt idx="9">
                  <c:v>6.3553862942758474</c:v>
                </c:pt>
                <c:pt idx="10">
                  <c:v>5.7259143102516861</c:v>
                </c:pt>
                <c:pt idx="11">
                  <c:v>5.938479926659431</c:v>
                </c:pt>
                <c:pt idx="12">
                  <c:v>5.4879675158526808</c:v>
                </c:pt>
              </c:numCache>
            </c:numRef>
          </c:val>
        </c:ser>
        <c:ser>
          <c:idx val="3"/>
          <c:order val="3"/>
          <c:tx>
            <c:strRef>
              <c:f>'Int Analysis'!$V$110</c:f>
              <c:strCache>
                <c:ptCount val="1"/>
                <c:pt idx="0">
                  <c:v>Munich</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Analysis'!$W$110:$AI$110</c:f>
              <c:numCache>
                <c:formatCode>#,##0.00</c:formatCode>
                <c:ptCount val="13"/>
                <c:pt idx="0">
                  <c:v>19.568519365422258</c:v>
                </c:pt>
                <c:pt idx="1">
                  <c:v>19.906589875589415</c:v>
                </c:pt>
                <c:pt idx="2">
                  <c:v>21.113177840341809</c:v>
                </c:pt>
                <c:pt idx="3">
                  <c:v>23.349289903273974</c:v>
                </c:pt>
                <c:pt idx="4">
                  <c:v>22.181967808241847</c:v>
                </c:pt>
                <c:pt idx="5">
                  <c:v>25.749931712584516</c:v>
                </c:pt>
                <c:pt idx="6">
                  <c:v>24.864360581992145</c:v>
                </c:pt>
                <c:pt idx="7">
                  <c:v>23.385152222530497</c:v>
                </c:pt>
                <c:pt idx="8">
                  <c:v>21.086556236653209</c:v>
                </c:pt>
                <c:pt idx="9">
                  <c:v>19.81722632403099</c:v>
                </c:pt>
                <c:pt idx="10">
                  <c:v>15.418778002047517</c:v>
                </c:pt>
                <c:pt idx="11">
                  <c:v>14.933984102328369</c:v>
                </c:pt>
                <c:pt idx="12">
                  <c:v>14.933984102328369</c:v>
                </c:pt>
              </c:numCache>
            </c:numRef>
          </c:val>
        </c:ser>
        <c:marker val="1"/>
        <c:axId val="103924864"/>
        <c:axId val="103926400"/>
      </c:lineChart>
      <c:catAx>
        <c:axId val="103924864"/>
        <c:scaling>
          <c:orientation val="minMax"/>
        </c:scaling>
        <c:axPos val="b"/>
        <c:numFmt formatCode="General" sourceLinked="1"/>
        <c:tickLblPos val="nextTo"/>
        <c:crossAx val="103926400"/>
        <c:crosses val="autoZero"/>
        <c:auto val="1"/>
        <c:lblAlgn val="ctr"/>
        <c:lblOffset val="100"/>
      </c:catAx>
      <c:valAx>
        <c:axId val="103926400"/>
        <c:scaling>
          <c:orientation val="minMax"/>
        </c:scaling>
        <c:axPos val="l"/>
        <c:majorGridlines/>
        <c:title>
          <c:tx>
            <c:rich>
              <a:bodyPr rot="-5400000" vert="horz"/>
              <a:lstStyle/>
              <a:p>
                <a:pPr>
                  <a:defRPr/>
                </a:pPr>
                <a:r>
                  <a:rPr lang="en-US"/>
                  <a:t>£ 2011/12</a:t>
                </a:r>
              </a:p>
            </c:rich>
          </c:tx>
        </c:title>
        <c:numFmt formatCode="#,##0.00" sourceLinked="1"/>
        <c:tickLblPos val="nextTo"/>
        <c:crossAx val="103924864"/>
        <c:crosses val="autoZero"/>
        <c:crossBetween val="between"/>
      </c:valAx>
    </c:plotArea>
    <c:legend>
      <c:legendPos val="r"/>
      <c:layout>
        <c:manualLayout>
          <c:xMode val="edge"/>
          <c:yMode val="edge"/>
          <c:x val="0.13649480187298704"/>
          <c:y val="4.8663194776441314E-2"/>
          <c:w val="0.8366019874833468"/>
          <c:h val="0.19987808368759741"/>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Passengers</a:t>
            </a:r>
          </a:p>
        </c:rich>
      </c:tx>
      <c:overlay val="1"/>
    </c:title>
    <c:plotArea>
      <c:layout>
        <c:manualLayout>
          <c:layoutTarget val="inner"/>
          <c:xMode val="edge"/>
          <c:yMode val="edge"/>
          <c:x val="0.15738473315835524"/>
          <c:y val="0.13981609055408944"/>
          <c:w val="0.83106255468066459"/>
          <c:h val="0.66405855516395362"/>
        </c:manualLayout>
      </c:layout>
      <c:barChart>
        <c:barDir val="col"/>
        <c:grouping val="clustered"/>
        <c:ser>
          <c:idx val="0"/>
          <c:order val="0"/>
          <c:tx>
            <c:strRef>
              <c:f>'Int Analysis'!$AS$16</c:f>
              <c:strCache>
                <c:ptCount val="1"/>
                <c:pt idx="0">
                  <c:v>2011</c:v>
                </c:pt>
              </c:strCache>
            </c:strRef>
          </c:tx>
          <c:dLbls>
            <c:dLbl>
              <c:idx val="13"/>
              <c:spPr/>
              <c:txPr>
                <a:bodyPr rot="0" vert="horz"/>
                <a:lstStyle/>
                <a:p>
                  <a:pPr>
                    <a:defRPr>
                      <a:solidFill>
                        <a:sysClr val="windowText" lastClr="000000"/>
                      </a:solidFill>
                    </a:defRPr>
                  </a:pPr>
                  <a:endParaRPr lang="en-US"/>
                </a:p>
              </c:txPr>
            </c:dLbl>
            <c:dLbl>
              <c:idx val="14"/>
              <c:spPr/>
              <c:txPr>
                <a:bodyPr rot="0" vert="horz"/>
                <a:lstStyle/>
                <a:p>
                  <a:pPr>
                    <a:defRPr>
                      <a:solidFill>
                        <a:sysClr val="windowText" lastClr="000000"/>
                      </a:solidFill>
                    </a:defRPr>
                  </a:pPr>
                  <a:endParaRPr lang="en-US"/>
                </a:p>
              </c:txPr>
            </c:dLbl>
            <c:txPr>
              <a:bodyPr rot="0" vert="horz"/>
              <a:lstStyle/>
              <a:p>
                <a:pPr>
                  <a:defRPr>
                    <a:solidFill>
                      <a:schemeClr val="bg1"/>
                    </a:solidFill>
                  </a:defRPr>
                </a:pPr>
                <a:endParaRPr lang="en-US"/>
              </a:p>
            </c:txPr>
            <c:dLblPos val="inEnd"/>
            <c:showVal val="1"/>
          </c:dLbls>
          <c:cat>
            <c:strRef>
              <c:f>'Int Analysis'!$AR$17:$AR$32</c:f>
              <c:strCache>
                <c:ptCount val="16"/>
                <c:pt idx="0">
                  <c:v>Heathrow</c:v>
                </c:pt>
                <c:pt idx="1">
                  <c:v>Hong Kong</c:v>
                </c:pt>
                <c:pt idx="2">
                  <c:v>Amsterdam</c:v>
                </c:pt>
                <c:pt idx="3">
                  <c:v>Munich</c:v>
                </c:pt>
                <c:pt idx="4">
                  <c:v>Gatwick</c:v>
                </c:pt>
                <c:pt idx="5">
                  <c:v>Zurich</c:v>
                </c:pt>
                <c:pt idx="6">
                  <c:v>Copenhagen</c:v>
                </c:pt>
                <c:pt idx="7">
                  <c:v>Manchester</c:v>
                </c:pt>
                <c:pt idx="8">
                  <c:v>Dublin</c:v>
                </c:pt>
                <c:pt idx="9">
                  <c:v>Stansted</c:v>
                </c:pt>
                <c:pt idx="10">
                  <c:v>Luton</c:v>
                </c:pt>
                <c:pt idx="11">
                  <c:v>Edinburgh</c:v>
                </c:pt>
                <c:pt idx="12">
                  <c:v>Birmingham</c:v>
                </c:pt>
                <c:pt idx="13">
                  <c:v>Glasgow</c:v>
                </c:pt>
                <c:pt idx="14">
                  <c:v>Aberdeen</c:v>
                </c:pt>
                <c:pt idx="15">
                  <c:v>Southampton</c:v>
                </c:pt>
              </c:strCache>
            </c:strRef>
          </c:cat>
          <c:val>
            <c:numRef>
              <c:f>'Int Analysis'!$AS$17:$AS$32</c:f>
              <c:numCache>
                <c:formatCode>_-* #,##0_-;\-* #,##0_-;_-* "-"??_-;_-@_-</c:formatCode>
                <c:ptCount val="16"/>
                <c:pt idx="0">
                  <c:v>69983531</c:v>
                </c:pt>
                <c:pt idx="1">
                  <c:v>57200000</c:v>
                </c:pt>
                <c:pt idx="2">
                  <c:v>50976000</c:v>
                </c:pt>
                <c:pt idx="3">
                  <c:v>37800000</c:v>
                </c:pt>
                <c:pt idx="4">
                  <c:v>34256770</c:v>
                </c:pt>
                <c:pt idx="5">
                  <c:v>24802400</c:v>
                </c:pt>
                <c:pt idx="6">
                  <c:v>23300000</c:v>
                </c:pt>
                <c:pt idx="7">
                  <c:v>19119010</c:v>
                </c:pt>
                <c:pt idx="8">
                  <c:v>19099649</c:v>
                </c:pt>
                <c:pt idx="9">
                  <c:v>18047403</c:v>
                </c:pt>
                <c:pt idx="10">
                  <c:v>9614175</c:v>
                </c:pt>
                <c:pt idx="11">
                  <c:v>9194239</c:v>
                </c:pt>
                <c:pt idx="12">
                  <c:v>8513165</c:v>
                </c:pt>
                <c:pt idx="13">
                  <c:v>6858268</c:v>
                </c:pt>
                <c:pt idx="14">
                  <c:v>3082575</c:v>
                </c:pt>
                <c:pt idx="15">
                  <c:v>1733553</c:v>
                </c:pt>
              </c:numCache>
            </c:numRef>
          </c:val>
        </c:ser>
        <c:gapWidth val="50"/>
        <c:axId val="104084992"/>
        <c:axId val="104086528"/>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txPr>
              <a:bodyPr/>
              <a:lstStyle/>
              <a:p>
                <a:pPr>
                  <a:defRPr sz="700"/>
                </a:pPr>
                <a:endParaRPr lang="en-US"/>
              </a:p>
            </c:txPr>
            <c:showVal val="1"/>
          </c:dLbls>
          <c:val>
            <c:numRef>
              <c:f>'Int Analysis'!$AU$17:$AU$32</c:f>
              <c:numCache>
                <c:formatCode>_-* #,##0_-;\-* #,##0_-;_-* "-"??_-;_-@_-</c:formatCode>
                <c:ptCount val="16"/>
                <c:pt idx="0">
                  <c:v>24598796.125</c:v>
                </c:pt>
                <c:pt idx="1">
                  <c:v>24598796.125</c:v>
                </c:pt>
                <c:pt idx="2">
                  <c:v>24598796.125</c:v>
                </c:pt>
                <c:pt idx="3">
                  <c:v>24598796.125</c:v>
                </c:pt>
                <c:pt idx="4">
                  <c:v>24598796.125</c:v>
                </c:pt>
                <c:pt idx="5">
                  <c:v>24598796.125</c:v>
                </c:pt>
                <c:pt idx="6">
                  <c:v>24598796.125</c:v>
                </c:pt>
                <c:pt idx="7">
                  <c:v>24598796.125</c:v>
                </c:pt>
                <c:pt idx="8">
                  <c:v>24598796.125</c:v>
                </c:pt>
                <c:pt idx="9">
                  <c:v>24598796.125</c:v>
                </c:pt>
                <c:pt idx="10">
                  <c:v>24598796.125</c:v>
                </c:pt>
                <c:pt idx="11">
                  <c:v>24598796.125</c:v>
                </c:pt>
                <c:pt idx="12">
                  <c:v>24598796.125</c:v>
                </c:pt>
                <c:pt idx="13">
                  <c:v>24598796.125</c:v>
                </c:pt>
                <c:pt idx="14">
                  <c:v>24598796.125</c:v>
                </c:pt>
                <c:pt idx="15">
                  <c:v>24598796.125</c:v>
                </c:pt>
              </c:numCache>
            </c:numRef>
          </c:val>
        </c:ser>
        <c:marker val="1"/>
        <c:axId val="104084992"/>
        <c:axId val="104086528"/>
      </c:lineChart>
      <c:catAx>
        <c:axId val="104084992"/>
        <c:scaling>
          <c:orientation val="minMax"/>
        </c:scaling>
        <c:axPos val="b"/>
        <c:tickLblPos val="nextTo"/>
        <c:crossAx val="104086528"/>
        <c:crosses val="autoZero"/>
        <c:auto val="1"/>
        <c:lblAlgn val="ctr"/>
        <c:lblOffset val="100"/>
      </c:catAx>
      <c:valAx>
        <c:axId val="104086528"/>
        <c:scaling>
          <c:orientation val="minMax"/>
        </c:scaling>
        <c:axPos val="l"/>
        <c:majorGridlines/>
        <c:title>
          <c:tx>
            <c:rich>
              <a:bodyPr rot="-5400000" vert="horz"/>
              <a:lstStyle/>
              <a:p>
                <a:pPr>
                  <a:defRPr/>
                </a:pPr>
                <a:r>
                  <a:rPr lang="en-US"/>
                  <a:t>passengers</a:t>
                </a:r>
              </a:p>
            </c:rich>
          </c:tx>
        </c:title>
        <c:numFmt formatCode="_-* #,##0_-;\-* #,##0_-;_-* &quot;-&quot;_-;_-@_-" sourceLinked="0"/>
        <c:tickLblPos val="nextTo"/>
        <c:crossAx val="104084992"/>
        <c:crosses val="autoZero"/>
        <c:crossBetween val="between"/>
        <c:dispUnits>
          <c:builtInUnit val="millions"/>
          <c:dispUnitsLbl/>
        </c:dispUnits>
      </c:valAx>
    </c:plotArea>
    <c:legend>
      <c:legendPos val="r"/>
      <c:legendEntry>
        <c:idx val="0"/>
        <c:delete val="1"/>
      </c:legendEntry>
      <c:layout>
        <c:manualLayout>
          <c:xMode val="edge"/>
          <c:yMode val="edge"/>
          <c:x val="0.80022496973074009"/>
          <c:y val="0.14537676316330336"/>
          <c:w val="0.18723956680263146"/>
          <c:h val="0.12572220234606341"/>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Pax</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Analysis'!$B$23</c:f>
              <c:strCache>
                <c:ptCount val="1"/>
                <c:pt idx="0">
                  <c:v>Heathrow</c:v>
                </c:pt>
              </c:strCache>
            </c:strRef>
          </c:tx>
          <c:spPr>
            <a:ln w="15875"/>
          </c:spPr>
          <c:cat>
            <c:numRef>
              <c:f>'Int Analysis'!$C$16:$O$16</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Analysis'!$C$23:$O$23</c:f>
              <c:numCache>
                <c:formatCode>#,##0</c:formatCode>
                <c:ptCount val="13"/>
                <c:pt idx="0">
                  <c:v>64327303</c:v>
                </c:pt>
                <c:pt idx="1">
                  <c:v>60385086</c:v>
                </c:pt>
                <c:pt idx="2">
                  <c:v>62979337</c:v>
                </c:pt>
                <c:pt idx="3">
                  <c:v>64260395</c:v>
                </c:pt>
                <c:pt idx="4">
                  <c:v>67651563</c:v>
                </c:pt>
                <c:pt idx="5">
                  <c:v>67419390</c:v>
                </c:pt>
                <c:pt idx="6">
                  <c:v>34351288</c:v>
                </c:pt>
                <c:pt idx="7">
                  <c:v>67852387</c:v>
                </c:pt>
                <c:pt idx="8">
                  <c:v>66906954</c:v>
                </c:pt>
                <c:pt idx="9">
                  <c:v>65906643</c:v>
                </c:pt>
                <c:pt idx="10">
                  <c:v>65745250</c:v>
                </c:pt>
                <c:pt idx="11">
                  <c:v>69390591</c:v>
                </c:pt>
                <c:pt idx="12">
                  <c:v>69983531</c:v>
                </c:pt>
              </c:numCache>
            </c:numRef>
          </c:val>
        </c:ser>
        <c:ser>
          <c:idx val="1"/>
          <c:order val="1"/>
          <c:tx>
            <c:strRef>
              <c:f>'Int Analysis'!$B$21</c:f>
              <c:strCache>
                <c:ptCount val="1"/>
                <c:pt idx="0">
                  <c:v>Gatwick</c:v>
                </c:pt>
              </c:strCache>
            </c:strRef>
          </c:tx>
          <c:spPr>
            <a:ln w="15875"/>
          </c:spPr>
          <c:cat>
            <c:numRef>
              <c:f>'Int Analysis'!$C$16:$O$16</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Analysis'!$C$21:$O$21</c:f>
              <c:numCache>
                <c:formatCode>#,##0</c:formatCode>
                <c:ptCount val="13"/>
                <c:pt idx="0">
                  <c:v>32130643</c:v>
                </c:pt>
                <c:pt idx="1">
                  <c:v>30487501</c:v>
                </c:pt>
                <c:pt idx="2">
                  <c:v>29639827</c:v>
                </c:pt>
                <c:pt idx="3">
                  <c:v>30051950</c:v>
                </c:pt>
                <c:pt idx="4">
                  <c:v>32013832</c:v>
                </c:pt>
                <c:pt idx="5">
                  <c:v>32831514</c:v>
                </c:pt>
                <c:pt idx="6">
                  <c:v>27409255</c:v>
                </c:pt>
                <c:pt idx="7">
                  <c:v>35165530</c:v>
                </c:pt>
                <c:pt idx="8">
                  <c:v>34162014</c:v>
                </c:pt>
                <c:pt idx="9">
                  <c:v>32389927</c:v>
                </c:pt>
                <c:pt idx="10">
                  <c:v>31640312</c:v>
                </c:pt>
                <c:pt idx="11">
                  <c:v>33806458</c:v>
                </c:pt>
                <c:pt idx="12">
                  <c:v>34256770</c:v>
                </c:pt>
              </c:numCache>
            </c:numRef>
          </c:val>
        </c:ser>
        <c:ser>
          <c:idx val="2"/>
          <c:order val="2"/>
          <c:tx>
            <c:strRef>
              <c:f>'Int Analysis'!$B$27</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Analysis'!$C$16:$N$16</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Analysis'!$C$27:$O$27</c:f>
              <c:numCache>
                <c:formatCode>#,##0</c:formatCode>
                <c:ptCount val="13"/>
                <c:pt idx="0">
                  <c:v>9892967</c:v>
                </c:pt>
                <c:pt idx="1">
                  <c:v>12264092</c:v>
                </c:pt>
                <c:pt idx="2">
                  <c:v>14088383</c:v>
                </c:pt>
                <c:pt idx="3">
                  <c:v>16750604</c:v>
                </c:pt>
                <c:pt idx="4">
                  <c:v>19412575</c:v>
                </c:pt>
                <c:pt idx="5">
                  <c:v>21171015</c:v>
                </c:pt>
                <c:pt idx="6">
                  <c:v>22213307</c:v>
                </c:pt>
                <c:pt idx="7">
                  <c:v>18805061</c:v>
                </c:pt>
                <c:pt idx="8">
                  <c:v>23759250</c:v>
                </c:pt>
                <c:pt idx="9">
                  <c:v>22340375</c:v>
                </c:pt>
                <c:pt idx="10">
                  <c:v>19949689</c:v>
                </c:pt>
                <c:pt idx="11">
                  <c:v>18561598</c:v>
                </c:pt>
                <c:pt idx="12">
                  <c:v>18047403</c:v>
                </c:pt>
              </c:numCache>
            </c:numRef>
          </c:val>
        </c:ser>
        <c:ser>
          <c:idx val="3"/>
          <c:order val="3"/>
          <c:tx>
            <c:strRef>
              <c:f>'Int Analysis'!$B$34</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Analysis'!$C$16:$N$16</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Analysis'!$C$34:$O$34</c:f>
              <c:numCache>
                <c:formatCode>#,##0</c:formatCode>
                <c:ptCount val="13"/>
                <c:pt idx="0">
                  <c:v>19602170.65625</c:v>
                </c:pt>
                <c:pt idx="1">
                  <c:v>19384800.78125</c:v>
                </c:pt>
                <c:pt idx="2">
                  <c:v>19632269.734375</c:v>
                </c:pt>
                <c:pt idx="3">
                  <c:v>19722277</c:v>
                </c:pt>
                <c:pt idx="4">
                  <c:v>21376233.65625</c:v>
                </c:pt>
                <c:pt idx="5">
                  <c:v>22375264.875</c:v>
                </c:pt>
                <c:pt idx="6">
                  <c:v>20390772.4375</c:v>
                </c:pt>
                <c:pt idx="7">
                  <c:v>23885014.828125</c:v>
                </c:pt>
                <c:pt idx="8">
                  <c:v>23750676.734375</c:v>
                </c:pt>
                <c:pt idx="9">
                  <c:v>22919398.921875</c:v>
                </c:pt>
                <c:pt idx="10">
                  <c:v>22957141.671875</c:v>
                </c:pt>
                <c:pt idx="11">
                  <c:v>24333031.421875</c:v>
                </c:pt>
                <c:pt idx="12">
                  <c:v>24598796.125</c:v>
                </c:pt>
              </c:numCache>
            </c:numRef>
          </c:val>
        </c:ser>
        <c:marker val="1"/>
        <c:axId val="104233984"/>
        <c:axId val="104252160"/>
      </c:lineChart>
      <c:catAx>
        <c:axId val="104233984"/>
        <c:scaling>
          <c:orientation val="minMax"/>
        </c:scaling>
        <c:axPos val="b"/>
        <c:numFmt formatCode="General" sourceLinked="1"/>
        <c:tickLblPos val="nextTo"/>
        <c:crossAx val="104252160"/>
        <c:crosses val="autoZero"/>
        <c:auto val="1"/>
        <c:lblAlgn val="ctr"/>
        <c:lblOffset val="100"/>
      </c:catAx>
      <c:valAx>
        <c:axId val="104252160"/>
        <c:scaling>
          <c:orientation val="minMax"/>
        </c:scaling>
        <c:axPos val="l"/>
        <c:majorGridlines/>
        <c:title>
          <c:tx>
            <c:rich>
              <a:bodyPr rot="-5400000" vert="horz"/>
              <a:lstStyle/>
              <a:p>
                <a:pPr>
                  <a:defRPr/>
                </a:pPr>
                <a:r>
                  <a:rPr lang="en-US"/>
                  <a:t>£ nominal</a:t>
                </a:r>
              </a:p>
            </c:rich>
          </c:tx>
        </c:title>
        <c:numFmt formatCode="#,##0" sourceLinked="1"/>
        <c:tickLblPos val="nextTo"/>
        <c:crossAx val="104233984"/>
        <c:crosses val="autoZero"/>
        <c:crossBetween val="between"/>
      </c:valAx>
    </c:plotArea>
    <c:legend>
      <c:legendPos val="r"/>
      <c:layout>
        <c:manualLayout>
          <c:xMode val="edge"/>
          <c:yMode val="edge"/>
          <c:x val="0.13444380155055441"/>
          <c:y val="5.6758545591161745E-2"/>
          <c:w val="0.85398850167642515"/>
          <c:h val="0.16870914945119736"/>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 (Factor</a:t>
            </a:r>
            <a:r>
              <a:rPr lang="en-US" baseline="0"/>
              <a:t> Costs) - Heathrow</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Analysis'!$V$48</c:f>
              <c:strCache>
                <c:ptCount val="1"/>
                <c:pt idx="0">
                  <c:v>Heathrow</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Analysis'!$W$48:$AI$48</c:f>
              <c:numCache>
                <c:formatCode>#,##0.00</c:formatCode>
                <c:ptCount val="13"/>
                <c:pt idx="0">
                  <c:v>11.72457597361853</c:v>
                </c:pt>
                <c:pt idx="1">
                  <c:v>13.264694762615946</c:v>
                </c:pt>
                <c:pt idx="2">
                  <c:v>12.777947880861403</c:v>
                </c:pt>
                <c:pt idx="3">
                  <c:v>12.960170842151593</c:v>
                </c:pt>
                <c:pt idx="4">
                  <c:v>13.08222187788328</c:v>
                </c:pt>
                <c:pt idx="5">
                  <c:v>14.224917631184006</c:v>
                </c:pt>
                <c:pt idx="6">
                  <c:v>15.154366893917214</c:v>
                </c:pt>
                <c:pt idx="7">
                  <c:v>17.727042899144237</c:v>
                </c:pt>
                <c:pt idx="8">
                  <c:v>23.129329188121432</c:v>
                </c:pt>
                <c:pt idx="9">
                  <c:v>27.259534555451911</c:v>
                </c:pt>
                <c:pt idx="10">
                  <c:v>23.577694944359475</c:v>
                </c:pt>
                <c:pt idx="11">
                  <c:v>22.111831733374832</c:v>
                </c:pt>
                <c:pt idx="12">
                  <c:v>23.495588412825093</c:v>
                </c:pt>
              </c:numCache>
            </c:numRef>
          </c:val>
        </c:ser>
        <c:ser>
          <c:idx val="1"/>
          <c:order val="1"/>
          <c:tx>
            <c:strRef>
              <c:f>'Int Analysis'!$V$43</c:f>
              <c:strCache>
                <c:ptCount val="1"/>
                <c:pt idx="0">
                  <c:v>Amsterdam</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Analysis'!$W$43:$AI$43</c:f>
              <c:numCache>
                <c:formatCode>#,##0.00</c:formatCode>
                <c:ptCount val="13"/>
                <c:pt idx="0">
                  <c:v>14.935000473791932</c:v>
                </c:pt>
                <c:pt idx="1">
                  <c:v>14.581939248281573</c:v>
                </c:pt>
                <c:pt idx="2">
                  <c:v>15.659897021631199</c:v>
                </c:pt>
                <c:pt idx="3">
                  <c:v>15.945116952380531</c:v>
                </c:pt>
                <c:pt idx="4">
                  <c:v>15.893982900906192</c:v>
                </c:pt>
                <c:pt idx="5">
                  <c:v>15.163541348466431</c:v>
                </c:pt>
                <c:pt idx="6">
                  <c:v>16.541362820351612</c:v>
                </c:pt>
                <c:pt idx="7">
                  <c:v>17.662826208688273</c:v>
                </c:pt>
                <c:pt idx="8">
                  <c:v>15.982762203007058</c:v>
                </c:pt>
                <c:pt idx="9">
                  <c:v>16.096471905615335</c:v>
                </c:pt>
                <c:pt idx="10">
                  <c:v>14.965889221849951</c:v>
                </c:pt>
                <c:pt idx="11">
                  <c:v>14.214953617154881</c:v>
                </c:pt>
                <c:pt idx="12">
                  <c:v>13.602910922382113</c:v>
                </c:pt>
              </c:numCache>
            </c:numRef>
          </c:val>
        </c:ser>
        <c:ser>
          <c:idx val="2"/>
          <c:order val="2"/>
          <c:tx>
            <c:strRef>
              <c:f>'Int Analysis'!$V$55</c:f>
              <c:strCache>
                <c:ptCount val="1"/>
                <c:pt idx="0">
                  <c:v>Hong Kong</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Analysis'!$W$55:$AI$55</c:f>
              <c:numCache>
                <c:formatCode>#,##0.00</c:formatCode>
                <c:ptCount val="13"/>
                <c:pt idx="0">
                  <c:v>14.857812431180477</c:v>
                </c:pt>
                <c:pt idx="1">
                  <c:v>14.765816646852601</c:v>
                </c:pt>
                <c:pt idx="2">
                  <c:v>15.189298925285561</c:v>
                </c:pt>
                <c:pt idx="3">
                  <c:v>20.666528359038523</c:v>
                </c:pt>
                <c:pt idx="4">
                  <c:v>17.815711437861463</c:v>
                </c:pt>
                <c:pt idx="5">
                  <c:v>17.451621251549255</c:v>
                </c:pt>
                <c:pt idx="6">
                  <c:v>17.160752483387107</c:v>
                </c:pt>
                <c:pt idx="7">
                  <c:v>18.459966279445343</c:v>
                </c:pt>
                <c:pt idx="8">
                  <c:v>17.391699618471701</c:v>
                </c:pt>
                <c:pt idx="9">
                  <c:v>15.165865359217443</c:v>
                </c:pt>
                <c:pt idx="10">
                  <c:v>13.582421651685088</c:v>
                </c:pt>
                <c:pt idx="11">
                  <c:v>13.46580105093725</c:v>
                </c:pt>
                <c:pt idx="12">
                  <c:v>12.73356850328163</c:v>
                </c:pt>
              </c:numCache>
            </c:numRef>
          </c:val>
        </c:ser>
        <c:ser>
          <c:idx val="3"/>
          <c:order val="3"/>
          <c:tx>
            <c:strRef>
              <c:f>'Int Analysis'!$V$56</c:f>
              <c:strCache>
                <c:ptCount val="1"/>
                <c:pt idx="0">
                  <c:v>Munich</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Analysis'!$W$56:$AI$56</c:f>
              <c:numCache>
                <c:formatCode>#,##0.00</c:formatCode>
                <c:ptCount val="13"/>
                <c:pt idx="0">
                  <c:v>25.547641885983825</c:v>
                </c:pt>
                <c:pt idx="1">
                  <c:v>25.206413880857248</c:v>
                </c:pt>
                <c:pt idx="2">
                  <c:v>26.517995776674855</c:v>
                </c:pt>
                <c:pt idx="3">
                  <c:v>27.754606577043802</c:v>
                </c:pt>
                <c:pt idx="4">
                  <c:v>26.124871125139119</c:v>
                </c:pt>
                <c:pt idx="5">
                  <c:v>36.631670855426378</c:v>
                </c:pt>
                <c:pt idx="6">
                  <c:v>29.977131462484099</c:v>
                </c:pt>
                <c:pt idx="7">
                  <c:v>28.070844012480055</c:v>
                </c:pt>
                <c:pt idx="8">
                  <c:v>24.787513998466398</c:v>
                </c:pt>
                <c:pt idx="9">
                  <c:v>23.609862410833944</c:v>
                </c:pt>
                <c:pt idx="10">
                  <c:v>19.831315670401825</c:v>
                </c:pt>
                <c:pt idx="11">
                  <c:v>18.727779641016422</c:v>
                </c:pt>
                <c:pt idx="12">
                  <c:v>18.727779641016422</c:v>
                </c:pt>
              </c:numCache>
            </c:numRef>
          </c:val>
        </c:ser>
        <c:marker val="1"/>
        <c:axId val="104284160"/>
        <c:axId val="104285696"/>
      </c:lineChart>
      <c:catAx>
        <c:axId val="104284160"/>
        <c:scaling>
          <c:orientation val="minMax"/>
        </c:scaling>
        <c:axPos val="b"/>
        <c:numFmt formatCode="General" sourceLinked="1"/>
        <c:tickLblPos val="nextTo"/>
        <c:crossAx val="104285696"/>
        <c:crosses val="autoZero"/>
        <c:auto val="1"/>
        <c:lblAlgn val="ctr"/>
        <c:lblOffset val="100"/>
      </c:catAx>
      <c:valAx>
        <c:axId val="104285696"/>
        <c:scaling>
          <c:orientation val="minMax"/>
        </c:scaling>
        <c:axPos val="l"/>
        <c:majorGridlines/>
        <c:title>
          <c:tx>
            <c:rich>
              <a:bodyPr rot="-5400000" vert="horz"/>
              <a:lstStyle/>
              <a:p>
                <a:pPr>
                  <a:defRPr/>
                </a:pPr>
                <a:r>
                  <a:rPr lang="en-US"/>
                  <a:t>£ 2011/12</a:t>
                </a:r>
              </a:p>
            </c:rich>
          </c:tx>
        </c:title>
        <c:numFmt formatCode="#,##0.00" sourceLinked="1"/>
        <c:tickLblPos val="nextTo"/>
        <c:crossAx val="104284160"/>
        <c:crosses val="autoZero"/>
        <c:crossBetween val="between"/>
      </c:valAx>
    </c:plotArea>
    <c:legend>
      <c:legendPos val="r"/>
      <c:layout>
        <c:manualLayout>
          <c:xMode val="edge"/>
          <c:yMode val="edge"/>
          <c:x val="0.13444380155055441"/>
          <c:y val="5.6758545591161745E-2"/>
          <c:w val="0.85398850167642515"/>
          <c:h val="0.16870914945119736"/>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a:t>
            </a:r>
          </a:p>
        </c:rich>
      </c:tx>
      <c:overlay val="1"/>
    </c:title>
    <c:plotArea>
      <c:layout>
        <c:manualLayout>
          <c:layoutTarget val="inner"/>
          <c:xMode val="edge"/>
          <c:yMode val="edge"/>
          <c:x val="0.15738473315835524"/>
          <c:y val="0.11177462816438929"/>
          <c:w val="0.83106255468066459"/>
          <c:h val="0.69249751286614991"/>
        </c:manualLayout>
      </c:layout>
      <c:barChart>
        <c:barDir val="col"/>
        <c:grouping val="clustered"/>
        <c:ser>
          <c:idx val="0"/>
          <c:order val="0"/>
          <c:tx>
            <c:strRef>
              <c:f>'Int Analysis'!$AS$41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Analysis'!$AR$96:$AR$111</c:f>
              <c:strCache>
                <c:ptCount val="16"/>
                <c:pt idx="0">
                  <c:v>Munich</c:v>
                </c:pt>
                <c:pt idx="1">
                  <c:v>Zurich</c:v>
                </c:pt>
                <c:pt idx="2">
                  <c:v>Heathrow</c:v>
                </c:pt>
                <c:pt idx="3">
                  <c:v>Amsterdam</c:v>
                </c:pt>
                <c:pt idx="4">
                  <c:v>Manchester</c:v>
                </c:pt>
                <c:pt idx="5">
                  <c:v>Dublin </c:v>
                </c:pt>
                <c:pt idx="6">
                  <c:v>Luton</c:v>
                </c:pt>
                <c:pt idx="7">
                  <c:v>Aberdeen</c:v>
                </c:pt>
                <c:pt idx="8">
                  <c:v>Southampton</c:v>
                </c:pt>
                <c:pt idx="9">
                  <c:v>Gatwick</c:v>
                </c:pt>
                <c:pt idx="10">
                  <c:v>Birmingham</c:v>
                </c:pt>
                <c:pt idx="11">
                  <c:v>Copenhagen</c:v>
                </c:pt>
                <c:pt idx="12">
                  <c:v>Stansted</c:v>
                </c:pt>
                <c:pt idx="13">
                  <c:v>Glasgow</c:v>
                </c:pt>
                <c:pt idx="14">
                  <c:v>Edinburgh</c:v>
                </c:pt>
                <c:pt idx="15">
                  <c:v>Hong Kong</c:v>
                </c:pt>
              </c:strCache>
            </c:strRef>
          </c:cat>
          <c:val>
            <c:numRef>
              <c:f>'Int Analysis'!$AS$96:$AS$111</c:f>
              <c:numCache>
                <c:formatCode>_-* #,##0.00_-;\-* #,##0.00_-;_-* "-"??_-;_-@_-</c:formatCode>
                <c:ptCount val="16"/>
                <c:pt idx="0">
                  <c:v>16.472459000028095</c:v>
                </c:pt>
                <c:pt idx="1">
                  <c:v>14.361324119488692</c:v>
                </c:pt>
                <c:pt idx="2">
                  <c:v>12.126439809402292</c:v>
                </c:pt>
                <c:pt idx="3">
                  <c:v>11.126972192155206</c:v>
                </c:pt>
                <c:pt idx="4">
                  <c:v>9.0143701699977026</c:v>
                </c:pt>
                <c:pt idx="5">
                  <c:v>8.5403780439347177</c:v>
                </c:pt>
                <c:pt idx="6">
                  <c:v>8.1373378559228016</c:v>
                </c:pt>
                <c:pt idx="7">
                  <c:v>8.0725667096944669</c:v>
                </c:pt>
                <c:pt idx="8">
                  <c:v>7.9191416694852448</c:v>
                </c:pt>
                <c:pt idx="9">
                  <c:v>7.7728507323774592</c:v>
                </c:pt>
                <c:pt idx="10">
                  <c:v>7.5437390803873985</c:v>
                </c:pt>
                <c:pt idx="11">
                  <c:v>7.3927490558495537</c:v>
                </c:pt>
                <c:pt idx="12">
                  <c:v>7.2078484604520732</c:v>
                </c:pt>
                <c:pt idx="13">
                  <c:v>6.2764310017157037</c:v>
                </c:pt>
                <c:pt idx="14">
                  <c:v>5.2045241883973645</c:v>
                </c:pt>
                <c:pt idx="15">
                  <c:v>4.345800731428203</c:v>
                </c:pt>
              </c:numCache>
            </c:numRef>
          </c:val>
        </c:ser>
        <c:gapWidth val="50"/>
        <c:axId val="99780096"/>
        <c:axId val="99781632"/>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3.8241583087785351E-2"/>
                  <c:y val="-3.6664731583611082E-2"/>
                </c:manualLayout>
              </c:layout>
              <c:showVal val="1"/>
            </c:dLbl>
            <c:txPr>
              <a:bodyPr/>
              <a:lstStyle/>
              <a:p>
                <a:pPr>
                  <a:defRPr sz="800"/>
                </a:pPr>
                <a:endParaRPr lang="en-US"/>
              </a:p>
            </c:txPr>
            <c:showVal val="1"/>
          </c:dLbls>
          <c:cat>
            <c:strRef>
              <c:f>'Int Analysis'!$AR$96:$AR$111</c:f>
              <c:strCache>
                <c:ptCount val="16"/>
                <c:pt idx="0">
                  <c:v>Munich</c:v>
                </c:pt>
                <c:pt idx="1">
                  <c:v>Zurich</c:v>
                </c:pt>
                <c:pt idx="2">
                  <c:v>Heathrow</c:v>
                </c:pt>
                <c:pt idx="3">
                  <c:v>Amsterdam</c:v>
                </c:pt>
                <c:pt idx="4">
                  <c:v>Manchester</c:v>
                </c:pt>
                <c:pt idx="5">
                  <c:v>Dublin </c:v>
                </c:pt>
                <c:pt idx="6">
                  <c:v>Luton</c:v>
                </c:pt>
                <c:pt idx="7">
                  <c:v>Aberdeen</c:v>
                </c:pt>
                <c:pt idx="8">
                  <c:v>Southampton</c:v>
                </c:pt>
                <c:pt idx="9">
                  <c:v>Gatwick</c:v>
                </c:pt>
                <c:pt idx="10">
                  <c:v>Birmingham</c:v>
                </c:pt>
                <c:pt idx="11">
                  <c:v>Copenhagen</c:v>
                </c:pt>
                <c:pt idx="12">
                  <c:v>Stansted</c:v>
                </c:pt>
                <c:pt idx="13">
                  <c:v>Glasgow</c:v>
                </c:pt>
                <c:pt idx="14">
                  <c:v>Edinburgh</c:v>
                </c:pt>
                <c:pt idx="15">
                  <c:v>Hong Kong</c:v>
                </c:pt>
              </c:strCache>
            </c:strRef>
          </c:cat>
          <c:val>
            <c:numRef>
              <c:f>'Int Analysis'!$AU$96:$AU$111</c:f>
              <c:numCache>
                <c:formatCode>_-* #,##0.00_-;\-* #,##0.00_-;_-* "-"??_-;_-@_-</c:formatCode>
                <c:ptCount val="16"/>
                <c:pt idx="0">
                  <c:v>8.8446833012948094</c:v>
                </c:pt>
                <c:pt idx="1">
                  <c:v>8.8446833012948094</c:v>
                </c:pt>
                <c:pt idx="2">
                  <c:v>8.8446833012948094</c:v>
                </c:pt>
                <c:pt idx="3">
                  <c:v>8.8446833012948094</c:v>
                </c:pt>
                <c:pt idx="4">
                  <c:v>8.8446833012948094</c:v>
                </c:pt>
                <c:pt idx="5">
                  <c:v>8.8446833012948094</c:v>
                </c:pt>
                <c:pt idx="6">
                  <c:v>8.8446833012948094</c:v>
                </c:pt>
                <c:pt idx="7">
                  <c:v>8.8446833012948094</c:v>
                </c:pt>
                <c:pt idx="8">
                  <c:v>8.8446833012948094</c:v>
                </c:pt>
                <c:pt idx="9">
                  <c:v>8.8446833012948094</c:v>
                </c:pt>
                <c:pt idx="10">
                  <c:v>8.8446833012948094</c:v>
                </c:pt>
                <c:pt idx="11">
                  <c:v>8.8446833012948094</c:v>
                </c:pt>
                <c:pt idx="12">
                  <c:v>8.8446833012948094</c:v>
                </c:pt>
                <c:pt idx="13">
                  <c:v>8.8446833012948094</c:v>
                </c:pt>
                <c:pt idx="14">
                  <c:v>8.8446833012948094</c:v>
                </c:pt>
                <c:pt idx="15">
                  <c:v>8.8446833012948094</c:v>
                </c:pt>
              </c:numCache>
            </c:numRef>
          </c:val>
        </c:ser>
        <c:ser>
          <c:idx val="1"/>
          <c:order val="2"/>
          <c:tx>
            <c:strRef>
              <c:f>'Int Analysis'!$B$117</c:f>
              <c:strCache>
                <c:ptCount val="1"/>
                <c:pt idx="0">
                  <c:v>Average (ex AMS)</c:v>
                </c:pt>
              </c:strCache>
            </c:strRef>
          </c:tx>
          <c:spPr>
            <a:ln w="12700">
              <a:solidFill>
                <a:srgbClr val="6AAD11"/>
              </a:solidFill>
              <a:prstDash val="sysDash"/>
            </a:ln>
          </c:spPr>
          <c:marker>
            <c:symbol val="none"/>
          </c:marker>
          <c:dLbls>
            <c:dLbl>
              <c:idx val="15"/>
              <c:layout>
                <c:manualLayout>
                  <c:x val="-1.9120791543892828E-2"/>
                  <c:y val="2.7498548687708409E-2"/>
                </c:manualLayout>
              </c:layout>
              <c:showVal val="1"/>
            </c:dLbl>
            <c:delete val="1"/>
          </c:dLbls>
          <c:val>
            <c:numRef>
              <c:f>'Int Analysis'!$AV$96:$AV$111</c:f>
              <c:numCache>
                <c:formatCode>_-* #,##0.00_-;\-* #,##0.00_-;_-* "-"??_-;_-@_-</c:formatCode>
                <c:ptCount val="16"/>
                <c:pt idx="0">
                  <c:v>8.6925307085707839</c:v>
                </c:pt>
                <c:pt idx="1">
                  <c:v>8.6925307085707839</c:v>
                </c:pt>
                <c:pt idx="2">
                  <c:v>8.6925307085707839</c:v>
                </c:pt>
                <c:pt idx="3">
                  <c:v>8.6925307085707839</c:v>
                </c:pt>
                <c:pt idx="4">
                  <c:v>8.6925307085707839</c:v>
                </c:pt>
                <c:pt idx="5">
                  <c:v>8.6925307085707839</c:v>
                </c:pt>
                <c:pt idx="6">
                  <c:v>8.6925307085707839</c:v>
                </c:pt>
                <c:pt idx="7">
                  <c:v>8.6925307085707839</c:v>
                </c:pt>
                <c:pt idx="8">
                  <c:v>8.6925307085707839</c:v>
                </c:pt>
                <c:pt idx="9">
                  <c:v>8.6925307085707839</c:v>
                </c:pt>
                <c:pt idx="10">
                  <c:v>8.6925307085707839</c:v>
                </c:pt>
                <c:pt idx="11">
                  <c:v>8.6925307085707839</c:v>
                </c:pt>
                <c:pt idx="12">
                  <c:v>8.6925307085707839</c:v>
                </c:pt>
                <c:pt idx="13">
                  <c:v>8.6925307085707839</c:v>
                </c:pt>
                <c:pt idx="14">
                  <c:v>8.6925307085707839</c:v>
                </c:pt>
                <c:pt idx="15">
                  <c:v>8.6925307085707839</c:v>
                </c:pt>
              </c:numCache>
            </c:numRef>
          </c:val>
        </c:ser>
        <c:marker val="1"/>
        <c:axId val="99780096"/>
        <c:axId val="99781632"/>
      </c:lineChart>
      <c:catAx>
        <c:axId val="99780096"/>
        <c:scaling>
          <c:orientation val="minMax"/>
        </c:scaling>
        <c:axPos val="b"/>
        <c:numFmt formatCode="General" sourceLinked="1"/>
        <c:tickLblPos val="nextTo"/>
        <c:crossAx val="99781632"/>
        <c:crosses val="autoZero"/>
        <c:auto val="1"/>
        <c:lblAlgn val="ctr"/>
        <c:lblOffset val="100"/>
      </c:catAx>
      <c:valAx>
        <c:axId val="99781632"/>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99780096"/>
        <c:crosses val="autoZero"/>
        <c:crossBetween val="between"/>
      </c:valAx>
    </c:plotArea>
    <c:legend>
      <c:legendPos val="r"/>
      <c:legendEntry>
        <c:idx val="0"/>
        <c:delete val="1"/>
      </c:legendEntry>
      <c:layout>
        <c:manualLayout>
          <c:xMode val="edge"/>
          <c:yMode val="edge"/>
          <c:x val="0.76118097904475002"/>
          <c:y val="0.11207306578504506"/>
          <c:w val="0.21854010832773396"/>
          <c:h val="8.4350946358303883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 (Factor</a:t>
            </a:r>
            <a:r>
              <a:rPr lang="en-US" baseline="0"/>
              <a:t> Costs) - Gatwick</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Analysis'!$V$100</c:f>
              <c:strCache>
                <c:ptCount val="1"/>
                <c:pt idx="0">
                  <c:v>Gatwick</c:v>
                </c:pt>
              </c:strCache>
            </c:strRef>
          </c:tx>
          <c:spPr>
            <a:ln w="15875"/>
          </c:spPr>
          <c:cat>
            <c:numRef>
              <c:f>'Int Analysis'!$W$95:$AI$95</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Analysis'!$W$100:$AI$100</c:f>
              <c:numCache>
                <c:formatCode>#,##0.00</c:formatCode>
                <c:ptCount val="13"/>
                <c:pt idx="0">
                  <c:v>6.967810193261939</c:v>
                </c:pt>
                <c:pt idx="1">
                  <c:v>7.6785486735776196</c:v>
                </c:pt>
                <c:pt idx="2">
                  <c:v>7.7225894846726559</c:v>
                </c:pt>
                <c:pt idx="3">
                  <c:v>8.1671373245627432</c:v>
                </c:pt>
                <c:pt idx="4">
                  <c:v>7.7663816375297383</c:v>
                </c:pt>
                <c:pt idx="5">
                  <c:v>7.8314781759751089</c:v>
                </c:pt>
                <c:pt idx="6">
                  <c:v>7.2170285363287547</c:v>
                </c:pt>
                <c:pt idx="7">
                  <c:v>8.0667788127113269</c:v>
                </c:pt>
                <c:pt idx="8">
                  <c:v>8.9712334424828146</c:v>
                </c:pt>
                <c:pt idx="9">
                  <c:v>11.526342073595917</c:v>
                </c:pt>
                <c:pt idx="10">
                  <c:v>8.3764845426054322</c:v>
                </c:pt>
                <c:pt idx="11">
                  <c:v>7.8150748593656276</c:v>
                </c:pt>
                <c:pt idx="12">
                  <c:v>7.7728507323774592</c:v>
                </c:pt>
              </c:numCache>
            </c:numRef>
          </c:val>
        </c:ser>
        <c:ser>
          <c:idx val="1"/>
          <c:order val="1"/>
          <c:tx>
            <c:strRef>
              <c:f>'Int Analysis'!$V$111</c:f>
              <c:strCache>
                <c:ptCount val="1"/>
                <c:pt idx="0">
                  <c:v>Zurich</c:v>
                </c:pt>
              </c:strCache>
            </c:strRef>
          </c:tx>
          <c:spPr>
            <a:ln w="15875"/>
          </c:spP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Analysis'!$W$111:$AI$111</c:f>
              <c:numCache>
                <c:formatCode>#,##0.00</c:formatCode>
                <c:ptCount val="13"/>
                <c:pt idx="0">
                  <c:v>8.8710141681671892</c:v>
                </c:pt>
                <c:pt idx="1">
                  <c:v>10.441723042418888</c:v>
                </c:pt>
                <c:pt idx="2">
                  <c:v>11.991335853052881</c:v>
                </c:pt>
                <c:pt idx="3">
                  <c:v>12.790643071739494</c:v>
                </c:pt>
                <c:pt idx="4">
                  <c:v>12.078669212543957</c:v>
                </c:pt>
                <c:pt idx="5">
                  <c:v>12.349941746346673</c:v>
                </c:pt>
                <c:pt idx="6">
                  <c:v>12.162840469590474</c:v>
                </c:pt>
                <c:pt idx="7">
                  <c:v>12.74865771929305</c:v>
                </c:pt>
                <c:pt idx="8">
                  <c:v>10.8500582443778</c:v>
                </c:pt>
                <c:pt idx="9">
                  <c:v>8.8963346367052001</c:v>
                </c:pt>
                <c:pt idx="10">
                  <c:v>8.0659178451233551</c:v>
                </c:pt>
                <c:pt idx="11">
                  <c:v>7.0609251779469515</c:v>
                </c:pt>
                <c:pt idx="12">
                  <c:v>8.074002409360709</c:v>
                </c:pt>
              </c:numCache>
            </c:numRef>
          </c:val>
        </c:ser>
        <c:ser>
          <c:idx val="2"/>
          <c:order val="2"/>
          <c:tx>
            <c:strRef>
              <c:f>'Int Analysis'!$V$107</c:f>
              <c:strCache>
                <c:ptCount val="1"/>
                <c:pt idx="0">
                  <c:v>Copenhagen</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Analysis'!$W$107:$AI$107</c:f>
              <c:numCache>
                <c:formatCode>#,##0.00</c:formatCode>
                <c:ptCount val="13"/>
                <c:pt idx="0">
                  <c:v>5.814058915685246</c:v>
                </c:pt>
                <c:pt idx="1">
                  <c:v>6.8002679870536209</c:v>
                </c:pt>
                <c:pt idx="2">
                  <c:v>6.8769992727386811</c:v>
                </c:pt>
                <c:pt idx="3">
                  <c:v>6.4316260316233187</c:v>
                </c:pt>
                <c:pt idx="4">
                  <c:v>6.5789299412769751</c:v>
                </c:pt>
                <c:pt idx="5">
                  <c:v>8.135158499866332</c:v>
                </c:pt>
                <c:pt idx="6">
                  <c:v>7.0770381539386857</c:v>
                </c:pt>
                <c:pt idx="7">
                  <c:v>6.9395610489135526</c:v>
                </c:pt>
                <c:pt idx="8">
                  <c:v>6.2690477879297051</c:v>
                </c:pt>
                <c:pt idx="9">
                  <c:v>5.7792816986973508</c:v>
                </c:pt>
                <c:pt idx="10">
                  <c:v>5.8022166776345712</c:v>
                </c:pt>
                <c:pt idx="11">
                  <c:v>5.4077136089675903</c:v>
                </c:pt>
                <c:pt idx="12">
                  <c:v>5.0516763588175468</c:v>
                </c:pt>
              </c:numCache>
            </c:numRef>
          </c:val>
        </c:ser>
        <c:ser>
          <c:idx val="3"/>
          <c:order val="3"/>
          <c:tx>
            <c:strRef>
              <c:f>'Int Analysis'!$V$110</c:f>
              <c:strCache>
                <c:ptCount val="1"/>
                <c:pt idx="0">
                  <c:v>Munich</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Analysis'!$W$110:$AI$110</c:f>
              <c:numCache>
                <c:formatCode>#,##0.00</c:formatCode>
                <c:ptCount val="13"/>
                <c:pt idx="0">
                  <c:v>19.568519365422258</c:v>
                </c:pt>
                <c:pt idx="1">
                  <c:v>19.906589875589415</c:v>
                </c:pt>
                <c:pt idx="2">
                  <c:v>21.113177840341809</c:v>
                </c:pt>
                <c:pt idx="3">
                  <c:v>23.349289903273974</c:v>
                </c:pt>
                <c:pt idx="4">
                  <c:v>22.181967808241847</c:v>
                </c:pt>
                <c:pt idx="5">
                  <c:v>25.749931712584516</c:v>
                </c:pt>
                <c:pt idx="6">
                  <c:v>24.864360581992145</c:v>
                </c:pt>
                <c:pt idx="7">
                  <c:v>23.385152222530497</c:v>
                </c:pt>
                <c:pt idx="8">
                  <c:v>21.086556236653209</c:v>
                </c:pt>
                <c:pt idx="9">
                  <c:v>19.81722632403099</c:v>
                </c:pt>
                <c:pt idx="10">
                  <c:v>15.418778002047517</c:v>
                </c:pt>
                <c:pt idx="11">
                  <c:v>14.933984102328369</c:v>
                </c:pt>
                <c:pt idx="12">
                  <c:v>14.933984102328369</c:v>
                </c:pt>
              </c:numCache>
            </c:numRef>
          </c:val>
        </c:ser>
        <c:marker val="1"/>
        <c:axId val="104366464"/>
        <c:axId val="104368000"/>
      </c:lineChart>
      <c:catAx>
        <c:axId val="104366464"/>
        <c:scaling>
          <c:orientation val="minMax"/>
        </c:scaling>
        <c:axPos val="b"/>
        <c:numFmt formatCode="General" sourceLinked="1"/>
        <c:tickLblPos val="nextTo"/>
        <c:crossAx val="104368000"/>
        <c:crosses val="autoZero"/>
        <c:auto val="1"/>
        <c:lblAlgn val="ctr"/>
        <c:lblOffset val="100"/>
      </c:catAx>
      <c:valAx>
        <c:axId val="104368000"/>
        <c:scaling>
          <c:orientation val="minMax"/>
        </c:scaling>
        <c:axPos val="l"/>
        <c:majorGridlines/>
        <c:title>
          <c:tx>
            <c:rich>
              <a:bodyPr rot="-5400000" vert="horz"/>
              <a:lstStyle/>
              <a:p>
                <a:pPr>
                  <a:defRPr/>
                </a:pPr>
                <a:r>
                  <a:rPr lang="en-US"/>
                  <a:t>£ 2011/12</a:t>
                </a:r>
              </a:p>
            </c:rich>
          </c:tx>
        </c:title>
        <c:numFmt formatCode="#,##0.00" sourceLinked="1"/>
        <c:tickLblPos val="nextTo"/>
        <c:crossAx val="104366464"/>
        <c:crosses val="autoZero"/>
        <c:crossBetween val="between"/>
      </c:valAx>
    </c:plotArea>
    <c:legend>
      <c:legendPos val="r"/>
      <c:layout>
        <c:manualLayout>
          <c:xMode val="edge"/>
          <c:yMode val="edge"/>
          <c:x val="0.13444380155055441"/>
          <c:y val="5.6758545591161745E-2"/>
          <c:w val="0.83660198748334702"/>
          <c:h val="0.19987808368759741"/>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144" l="0.70000000000000062" r="0.70000000000000062" t="0.750000000000011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 (Factor</a:t>
            </a:r>
            <a:r>
              <a:rPr lang="en-US" baseline="0"/>
              <a:t> Costs) - Gatwick</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Analysis'!$V$46</c:f>
              <c:strCache>
                <c:ptCount val="1"/>
                <c:pt idx="0">
                  <c:v>Gatwick</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Analysis'!$W$46:$AI$46</c:f>
              <c:numCache>
                <c:formatCode>#,##0.00</c:formatCode>
                <c:ptCount val="13"/>
                <c:pt idx="0">
                  <c:v>8.8822332909155879</c:v>
                </c:pt>
                <c:pt idx="1">
                  <c:v>9.8858515867401664</c:v>
                </c:pt>
                <c:pt idx="2">
                  <c:v>9.9599752232226795</c:v>
                </c:pt>
                <c:pt idx="3">
                  <c:v>10.244628535898256</c:v>
                </c:pt>
                <c:pt idx="4">
                  <c:v>9.7601863603050045</c:v>
                </c:pt>
                <c:pt idx="5">
                  <c:v>10.515593784088949</c:v>
                </c:pt>
                <c:pt idx="6">
                  <c:v>9.7138946063582594</c:v>
                </c:pt>
                <c:pt idx="7">
                  <c:v>10.745903408265516</c:v>
                </c:pt>
                <c:pt idx="8">
                  <c:v>11.687829005455262</c:v>
                </c:pt>
                <c:pt idx="9">
                  <c:v>20.386750579786764</c:v>
                </c:pt>
                <c:pt idx="10">
                  <c:v>12.59950462636262</c:v>
                </c:pt>
                <c:pt idx="11">
                  <c:v>11.867555009755828</c:v>
                </c:pt>
                <c:pt idx="12">
                  <c:v>11.963677356755834</c:v>
                </c:pt>
              </c:numCache>
            </c:numRef>
          </c:val>
        </c:ser>
        <c:ser>
          <c:idx val="1"/>
          <c:order val="1"/>
          <c:tx>
            <c:strRef>
              <c:f>'Int Analysis'!$V$57</c:f>
              <c:strCache>
                <c:ptCount val="1"/>
                <c:pt idx="0">
                  <c:v>Zurich</c:v>
                </c:pt>
              </c:strCache>
            </c:strRef>
          </c:tx>
          <c:spPr>
            <a:ln w="15875"/>
          </c:spPr>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Analysis'!$W$57:$AI$57</c:f>
              <c:numCache>
                <c:formatCode>#,##0.00</c:formatCode>
                <c:ptCount val="13"/>
                <c:pt idx="0">
                  <c:v>12.960640582357094</c:v>
                </c:pt>
                <c:pt idx="1">
                  <c:v>15.912479043704543</c:v>
                </c:pt>
                <c:pt idx="2">
                  <c:v>17.004319566243357</c:v>
                </c:pt>
                <c:pt idx="3">
                  <c:v>19.230563500080525</c:v>
                </c:pt>
                <c:pt idx="4">
                  <c:v>19.094193232886099</c:v>
                </c:pt>
                <c:pt idx="5">
                  <c:v>19.691236080795022</c:v>
                </c:pt>
                <c:pt idx="6">
                  <c:v>19.252195325253204</c:v>
                </c:pt>
                <c:pt idx="7">
                  <c:v>19.593302189010863</c:v>
                </c:pt>
                <c:pt idx="8">
                  <c:v>16.405985983980841</c:v>
                </c:pt>
                <c:pt idx="9">
                  <c:v>14.036938659702107</c:v>
                </c:pt>
                <c:pt idx="10">
                  <c:v>12.762212831444188</c:v>
                </c:pt>
                <c:pt idx="11">
                  <c:v>11.215117469889037</c:v>
                </c:pt>
                <c:pt idx="12">
                  <c:v>12.648154884484711</c:v>
                </c:pt>
              </c:numCache>
            </c:numRef>
          </c:val>
        </c:ser>
        <c:ser>
          <c:idx val="2"/>
          <c:order val="2"/>
          <c:tx>
            <c:strRef>
              <c:f>'Int Analysis'!$V$53</c:f>
              <c:strCache>
                <c:ptCount val="1"/>
                <c:pt idx="0">
                  <c:v>Copenhagen</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Analysis'!$W$41:$AI$41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Analysis'!$W$53:$AI$53</c:f>
              <c:numCache>
                <c:formatCode>#,##0.00</c:formatCode>
                <c:ptCount val="13"/>
                <c:pt idx="0">
                  <c:v>9.2187561829560956</c:v>
                </c:pt>
                <c:pt idx="1">
                  <c:v>10.580306084865361</c:v>
                </c:pt>
                <c:pt idx="2">
                  <c:v>10.571812666513788</c:v>
                </c:pt>
                <c:pt idx="3">
                  <c:v>9.7232928088831034</c:v>
                </c:pt>
                <c:pt idx="4">
                  <c:v>9.6748099045741185</c:v>
                </c:pt>
                <c:pt idx="5">
                  <c:v>10.26687276182972</c:v>
                </c:pt>
                <c:pt idx="6">
                  <c:v>8.9760589021446311</c:v>
                </c:pt>
                <c:pt idx="7">
                  <c:v>8.9945501092596292</c:v>
                </c:pt>
                <c:pt idx="8">
                  <c:v>8.2327748535028391</c:v>
                </c:pt>
                <c:pt idx="9">
                  <c:v>8.2138146458909134</c:v>
                </c:pt>
                <c:pt idx="10">
                  <c:v>8.2131032272258846</c:v>
                </c:pt>
                <c:pt idx="11">
                  <c:v>7.6472069459545278</c:v>
                </c:pt>
                <c:pt idx="12">
                  <c:v>7.4629889864080425</c:v>
                </c:pt>
              </c:numCache>
            </c:numRef>
          </c:val>
        </c:ser>
        <c:ser>
          <c:idx val="3"/>
          <c:order val="3"/>
          <c:tx>
            <c:strRef>
              <c:f>'Int Analysis'!$V$56</c:f>
              <c:strCache>
                <c:ptCount val="1"/>
                <c:pt idx="0">
                  <c:v>Munich</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Analysis'!$W$56:$AI$56</c:f>
              <c:numCache>
                <c:formatCode>#,##0.00</c:formatCode>
                <c:ptCount val="13"/>
                <c:pt idx="0">
                  <c:v>25.547641885983825</c:v>
                </c:pt>
                <c:pt idx="1">
                  <c:v>25.206413880857248</c:v>
                </c:pt>
                <c:pt idx="2">
                  <c:v>26.517995776674855</c:v>
                </c:pt>
                <c:pt idx="3">
                  <c:v>27.754606577043802</c:v>
                </c:pt>
                <c:pt idx="4">
                  <c:v>26.124871125139119</c:v>
                </c:pt>
                <c:pt idx="5">
                  <c:v>36.631670855426378</c:v>
                </c:pt>
                <c:pt idx="6">
                  <c:v>29.977131462484099</c:v>
                </c:pt>
                <c:pt idx="7">
                  <c:v>28.070844012480055</c:v>
                </c:pt>
                <c:pt idx="8">
                  <c:v>24.787513998466398</c:v>
                </c:pt>
                <c:pt idx="9">
                  <c:v>23.609862410833944</c:v>
                </c:pt>
                <c:pt idx="10">
                  <c:v>19.831315670401825</c:v>
                </c:pt>
                <c:pt idx="11">
                  <c:v>18.727779641016422</c:v>
                </c:pt>
                <c:pt idx="12">
                  <c:v>18.727779641016422</c:v>
                </c:pt>
              </c:numCache>
            </c:numRef>
          </c:val>
        </c:ser>
        <c:marker val="1"/>
        <c:axId val="104428672"/>
        <c:axId val="104430208"/>
      </c:lineChart>
      <c:catAx>
        <c:axId val="104428672"/>
        <c:scaling>
          <c:orientation val="minMax"/>
        </c:scaling>
        <c:axPos val="b"/>
        <c:numFmt formatCode="General" sourceLinked="1"/>
        <c:tickLblPos val="nextTo"/>
        <c:crossAx val="104430208"/>
        <c:crosses val="autoZero"/>
        <c:auto val="1"/>
        <c:lblAlgn val="ctr"/>
        <c:lblOffset val="100"/>
      </c:catAx>
      <c:valAx>
        <c:axId val="104430208"/>
        <c:scaling>
          <c:orientation val="minMax"/>
        </c:scaling>
        <c:axPos val="l"/>
        <c:majorGridlines/>
        <c:title>
          <c:tx>
            <c:rich>
              <a:bodyPr rot="-5400000" vert="horz"/>
              <a:lstStyle/>
              <a:p>
                <a:pPr>
                  <a:defRPr/>
                </a:pPr>
                <a:r>
                  <a:rPr lang="en-US"/>
                  <a:t>£ 2011/12</a:t>
                </a:r>
              </a:p>
            </c:rich>
          </c:tx>
        </c:title>
        <c:numFmt formatCode="#,##0.00" sourceLinked="1"/>
        <c:tickLblPos val="nextTo"/>
        <c:crossAx val="104428672"/>
        <c:crosses val="autoZero"/>
        <c:crossBetween val="between"/>
      </c:valAx>
    </c:plotArea>
    <c:legend>
      <c:legendPos val="r"/>
      <c:layout>
        <c:manualLayout>
          <c:xMode val="edge"/>
          <c:yMode val="edge"/>
          <c:x val="0.13444380155055441"/>
          <c:y val="5.6758545591161745E-2"/>
          <c:w val="0.85398850167642515"/>
          <c:h val="0.16870914945119747"/>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baseline="0"/>
              <a:t>Adjusted Opex Per Pax Index (Factor Costs) - Gatwick </a:t>
            </a:r>
            <a:endParaRPr lang="en-US"/>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Analysis'!$V$209</c:f>
              <c:strCache>
                <c:ptCount val="1"/>
                <c:pt idx="0">
                  <c:v>Gatwick</c:v>
                </c:pt>
              </c:strCache>
            </c:strRef>
          </c:tx>
          <c:spPr>
            <a:ln w="15875"/>
          </c:spPr>
          <c:dLbls>
            <c:dLblPos val="t"/>
            <c:showVal val="1"/>
          </c:dLbls>
          <c:cat>
            <c:numRef>
              <c:f>'Int Analysis'!$W$204:$AI$204</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Analysis'!$W$209:$AI$209</c:f>
              <c:numCache>
                <c:formatCode>#,##0.00</c:formatCode>
                <c:ptCount val="13"/>
                <c:pt idx="0">
                  <c:v>0.8897183950071299</c:v>
                </c:pt>
                <c:pt idx="1">
                  <c:v>0.98047246012041045</c:v>
                </c:pt>
                <c:pt idx="2">
                  <c:v>0.98609602314458411</c:v>
                </c:pt>
                <c:pt idx="3">
                  <c:v>1.0428602546090657</c:v>
                </c:pt>
                <c:pt idx="4">
                  <c:v>0.99168783504433822</c:v>
                </c:pt>
                <c:pt idx="5">
                  <c:v>1</c:v>
                </c:pt>
                <c:pt idx="6">
                  <c:v>0.92154103914490604</c:v>
                </c:pt>
                <c:pt idx="7">
                  <c:v>1.0300454947902502</c:v>
                </c:pt>
                <c:pt idx="8">
                  <c:v>1.145535139203244</c:v>
                </c:pt>
                <c:pt idx="9">
                  <c:v>1.4717964877889422</c:v>
                </c:pt>
                <c:pt idx="10">
                  <c:v>1.0695917621659545</c:v>
                </c:pt>
                <c:pt idx="11">
                  <c:v>0.99790546353563214</c:v>
                </c:pt>
                <c:pt idx="12">
                  <c:v>0.99251387256910162</c:v>
                </c:pt>
              </c:numCache>
            </c:numRef>
          </c:val>
        </c:ser>
        <c:ser>
          <c:idx val="3"/>
          <c:order val="1"/>
          <c:tx>
            <c:strRef>
              <c:f>'Int Analysis'!$V$222</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3"/>
              <c:delete val="1"/>
            </c:dLbl>
            <c:txPr>
              <a:bodyPr/>
              <a:lstStyle/>
              <a:p>
                <a:pPr>
                  <a:defRPr sz="800"/>
                </a:pPr>
                <a:endParaRPr lang="en-US"/>
              </a:p>
            </c:txPr>
            <c:dLblPos val="b"/>
            <c:showVal val="1"/>
          </c:dLbls>
          <c:cat>
            <c:numRef>
              <c:f>'Int Analysis'!$W$204:$AH$204</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Analysis'!$W$222:$AI$222</c:f>
              <c:numCache>
                <c:formatCode>#,##0.00</c:formatCode>
                <c:ptCount val="13"/>
                <c:pt idx="0">
                  <c:v>0.95358569694623785</c:v>
                </c:pt>
                <c:pt idx="1">
                  <c:v>1.0154242218287426</c:v>
                </c:pt>
                <c:pt idx="2">
                  <c:v>1.0130558402428491</c:v>
                </c:pt>
                <c:pt idx="3">
                  <c:v>1.015648043722011</c:v>
                </c:pt>
                <c:pt idx="4">
                  <c:v>0.97305249695250517</c:v>
                </c:pt>
                <c:pt idx="5">
                  <c:v>1</c:v>
                </c:pt>
                <c:pt idx="6">
                  <c:v>0.98485535196282747</c:v>
                </c:pt>
                <c:pt idx="7">
                  <c:v>1.0075974914036632</c:v>
                </c:pt>
                <c:pt idx="8">
                  <c:v>0.99278379653219151</c:v>
                </c:pt>
                <c:pt idx="9">
                  <c:v>0.97454481149333283</c:v>
                </c:pt>
                <c:pt idx="10">
                  <c:v>0.92675366556201677</c:v>
                </c:pt>
                <c:pt idx="11">
                  <c:v>0.87907517909403077</c:v>
                </c:pt>
                <c:pt idx="12">
                  <c:v>0.87794725280174157</c:v>
                </c:pt>
              </c:numCache>
            </c:numRef>
          </c:val>
        </c:ser>
        <c:marker val="1"/>
        <c:axId val="83988864"/>
        <c:axId val="83990400"/>
      </c:lineChart>
      <c:catAx>
        <c:axId val="83988864"/>
        <c:scaling>
          <c:orientation val="minMax"/>
        </c:scaling>
        <c:axPos val="b"/>
        <c:numFmt formatCode="General" sourceLinked="1"/>
        <c:tickLblPos val="nextTo"/>
        <c:crossAx val="83990400"/>
        <c:crosses val="autoZero"/>
        <c:auto val="1"/>
        <c:lblAlgn val="ctr"/>
        <c:lblOffset val="100"/>
      </c:catAx>
      <c:valAx>
        <c:axId val="83990400"/>
        <c:scaling>
          <c:orientation val="minMax"/>
          <c:min val="0.60000000000000064"/>
        </c:scaling>
        <c:axPos val="l"/>
        <c:majorGridlines/>
        <c:title>
          <c:tx>
            <c:rich>
              <a:bodyPr rot="-5400000" vert="horz"/>
              <a:lstStyle/>
              <a:p>
                <a:pPr>
                  <a:defRPr/>
                </a:pPr>
                <a:r>
                  <a:rPr lang="en-US"/>
                  <a:t>2000=1</a:t>
                </a:r>
              </a:p>
            </c:rich>
          </c:tx>
        </c:title>
        <c:numFmt formatCode="#,##0.00" sourceLinked="1"/>
        <c:tickLblPos val="nextTo"/>
        <c:crossAx val="83988864"/>
        <c:crosses val="autoZero"/>
        <c:crossBetween val="between"/>
      </c:valAx>
    </c:plotArea>
    <c:legend>
      <c:legendPos val="r"/>
      <c:layout>
        <c:manualLayout>
          <c:xMode val="edge"/>
          <c:yMode val="edge"/>
          <c:x val="0.15725342080481791"/>
          <c:y val="5.0241323108880145E-2"/>
          <c:w val="0.79924931360283802"/>
          <c:h val="0.11520959004314775"/>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21" l="0.70000000000000062" r="0.70000000000000062" t="0.75000000000001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PPP</a:t>
            </a:r>
            <a:r>
              <a:rPr lang="en-GB" baseline="0"/>
              <a:t> - </a:t>
            </a:r>
            <a:r>
              <a:rPr lang="en-GB"/>
              <a:t>Relative Price Level</a:t>
            </a:r>
          </a:p>
        </c:rich>
      </c:tx>
      <c:overlay val="1"/>
    </c:title>
    <c:plotArea>
      <c:layout>
        <c:manualLayout>
          <c:layoutTarget val="inner"/>
          <c:xMode val="edge"/>
          <c:yMode val="edge"/>
          <c:x val="8.3568745533782976E-2"/>
          <c:y val="0.12549768925905438"/>
          <c:w val="0.89963070049290439"/>
          <c:h val="0.76262890340811285"/>
        </c:manualLayout>
      </c:layout>
      <c:barChart>
        <c:barDir val="col"/>
        <c:grouping val="clustered"/>
        <c:ser>
          <c:idx val="0"/>
          <c:order val="0"/>
          <c:tx>
            <c:strRef>
              <c:f>PPP!$C$518</c:f>
              <c:strCache>
                <c:ptCount val="1"/>
                <c:pt idx="0">
                  <c:v>Relative Price Level</c:v>
                </c:pt>
              </c:strCache>
            </c:strRef>
          </c:tx>
          <c:dLbls>
            <c:txPr>
              <a:bodyPr/>
              <a:lstStyle/>
              <a:p>
                <a:pPr>
                  <a:defRPr>
                    <a:solidFill>
                      <a:schemeClr val="bg1"/>
                    </a:solidFill>
                  </a:defRPr>
                </a:pPr>
                <a:endParaRPr lang="en-US"/>
              </a:p>
            </c:txPr>
            <c:dLblPos val="inEnd"/>
            <c:showVal val="1"/>
          </c:dLbls>
          <c:cat>
            <c:strRef>
              <c:f>PPP!$B$519:$B$523</c:f>
              <c:strCache>
                <c:ptCount val="5"/>
                <c:pt idx="0">
                  <c:v>Switzerland</c:v>
                </c:pt>
                <c:pt idx="1">
                  <c:v>Denmark</c:v>
                </c:pt>
                <c:pt idx="2">
                  <c:v>Ireland</c:v>
                </c:pt>
                <c:pt idx="3">
                  <c:v>Germany</c:v>
                </c:pt>
                <c:pt idx="4">
                  <c:v>Hong Kong SAR, China</c:v>
                </c:pt>
              </c:strCache>
            </c:strRef>
          </c:cat>
          <c:val>
            <c:numRef>
              <c:f>PPP!$C$519:$C$523</c:f>
              <c:numCache>
                <c:formatCode>0.00</c:formatCode>
                <c:ptCount val="5"/>
                <c:pt idx="0">
                  <c:v>1.4110003621180873</c:v>
                </c:pt>
                <c:pt idx="1">
                  <c:v>1.3556214954808565</c:v>
                </c:pt>
                <c:pt idx="2">
                  <c:v>1.0929648301381296</c:v>
                </c:pt>
                <c:pt idx="3">
                  <c:v>1.0390737584004235</c:v>
                </c:pt>
                <c:pt idx="4">
                  <c:v>0.66856725881166035</c:v>
                </c:pt>
              </c:numCache>
            </c:numRef>
          </c:val>
        </c:ser>
        <c:gapWidth val="50"/>
        <c:axId val="110234624"/>
        <c:axId val="110252800"/>
      </c:barChart>
      <c:catAx>
        <c:axId val="110234624"/>
        <c:scaling>
          <c:orientation val="minMax"/>
        </c:scaling>
        <c:axPos val="b"/>
        <c:tickLblPos val="nextTo"/>
        <c:crossAx val="110252800"/>
        <c:crosses val="autoZero"/>
        <c:auto val="1"/>
        <c:lblAlgn val="ctr"/>
        <c:lblOffset val="100"/>
      </c:catAx>
      <c:valAx>
        <c:axId val="110252800"/>
        <c:scaling>
          <c:orientation val="minMax"/>
        </c:scaling>
        <c:axPos val="l"/>
        <c:majorGridlines/>
        <c:title>
          <c:tx>
            <c:rich>
              <a:bodyPr rot="-5400000" vert="horz"/>
              <a:lstStyle/>
              <a:p>
                <a:pPr>
                  <a:defRPr/>
                </a:pPr>
                <a:r>
                  <a:rPr lang="en-US"/>
                  <a:t>UK=1</a:t>
                </a:r>
              </a:p>
            </c:rich>
          </c:tx>
        </c:title>
        <c:numFmt formatCode="0.00" sourceLinked="1"/>
        <c:tickLblPos val="nextTo"/>
        <c:crossAx val="110234624"/>
        <c:crosses val="autoZero"/>
        <c:crossBetween val="between"/>
      </c:valAx>
    </c:plotArea>
    <c:plotVisOnly val="1"/>
  </c:chart>
  <c:spPr>
    <a:ln>
      <a:noFill/>
    </a:ln>
  </c:spPr>
  <c:printSettings>
    <c:headerFooter/>
    <c:pageMargins b="0.75000000000000866" l="0.70000000000000062" r="0.70000000000000062" t="0.750000000000008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Relative GDP</a:t>
            </a:r>
            <a:r>
              <a:rPr lang="en-US" baseline="0"/>
              <a:t> per Capita</a:t>
            </a:r>
            <a:endParaRPr lang="en-US"/>
          </a:p>
        </c:rich>
      </c:tx>
    </c:title>
    <c:plotArea>
      <c:layout/>
      <c:barChart>
        <c:barDir val="col"/>
        <c:grouping val="clustered"/>
        <c:ser>
          <c:idx val="0"/>
          <c:order val="0"/>
          <c:tx>
            <c:strRef>
              <c:f>'GDP per cap'!$C$525</c:f>
              <c:strCache>
                <c:ptCount val="1"/>
                <c:pt idx="0">
                  <c:v>Relative Price Level</c:v>
                </c:pt>
              </c:strCache>
            </c:strRef>
          </c:tx>
          <c:dLbls>
            <c:txPr>
              <a:bodyPr/>
              <a:lstStyle/>
              <a:p>
                <a:pPr>
                  <a:defRPr>
                    <a:solidFill>
                      <a:schemeClr val="bg1"/>
                    </a:solidFill>
                  </a:defRPr>
                </a:pPr>
                <a:endParaRPr lang="en-US"/>
              </a:p>
            </c:txPr>
            <c:dLblPos val="inEnd"/>
            <c:showVal val="1"/>
          </c:dLbls>
          <c:cat>
            <c:strRef>
              <c:f>'GDP per cap'!$B$526:$B$530</c:f>
              <c:strCache>
                <c:ptCount val="5"/>
                <c:pt idx="0">
                  <c:v>Switzerland</c:v>
                </c:pt>
                <c:pt idx="1">
                  <c:v>Denmark</c:v>
                </c:pt>
                <c:pt idx="2">
                  <c:v>Ireland</c:v>
                </c:pt>
                <c:pt idx="3">
                  <c:v>Germany</c:v>
                </c:pt>
                <c:pt idx="4">
                  <c:v>Hong Kong SAR, China</c:v>
                </c:pt>
              </c:strCache>
            </c:strRef>
          </c:cat>
          <c:val>
            <c:numRef>
              <c:f>'GDP per cap'!$C$526:$C$530</c:f>
              <c:numCache>
                <c:formatCode>0.00</c:formatCode>
                <c:ptCount val="5"/>
                <c:pt idx="0">
                  <c:v>2.1359146602645769</c:v>
                </c:pt>
                <c:pt idx="1">
                  <c:v>1.5331592516049688</c:v>
                </c:pt>
                <c:pt idx="2">
                  <c:v>1.2403976470275044</c:v>
                </c:pt>
                <c:pt idx="3">
                  <c:v>1.1286261772227417</c:v>
                </c:pt>
                <c:pt idx="4">
                  <c:v>0.90055773531224359</c:v>
                </c:pt>
              </c:numCache>
            </c:numRef>
          </c:val>
        </c:ser>
        <c:gapWidth val="50"/>
        <c:axId val="108926080"/>
        <c:axId val="108927616"/>
      </c:barChart>
      <c:catAx>
        <c:axId val="108926080"/>
        <c:scaling>
          <c:orientation val="minMax"/>
        </c:scaling>
        <c:axPos val="b"/>
        <c:tickLblPos val="nextTo"/>
        <c:crossAx val="108927616"/>
        <c:crosses val="autoZero"/>
        <c:auto val="1"/>
        <c:lblAlgn val="ctr"/>
        <c:lblOffset val="100"/>
      </c:catAx>
      <c:valAx>
        <c:axId val="108927616"/>
        <c:scaling>
          <c:orientation val="minMax"/>
        </c:scaling>
        <c:axPos val="l"/>
        <c:majorGridlines/>
        <c:title>
          <c:tx>
            <c:rich>
              <a:bodyPr rot="-5400000" vert="horz"/>
              <a:lstStyle/>
              <a:p>
                <a:pPr>
                  <a:defRPr/>
                </a:pPr>
                <a:r>
                  <a:rPr lang="en-US"/>
                  <a:t>UK=1</a:t>
                </a:r>
              </a:p>
            </c:rich>
          </c:tx>
        </c:title>
        <c:numFmt formatCode="0.00" sourceLinked="1"/>
        <c:tickLblPos val="nextTo"/>
        <c:crossAx val="108926080"/>
        <c:crosses val="autoZero"/>
        <c:crossBetween val="between"/>
      </c:valAx>
    </c:plotArea>
    <c:plotVisOnly val="1"/>
  </c:chart>
  <c:spPr>
    <a:ln>
      <a:noFill/>
    </a:ln>
  </c:spPr>
  <c:printSettings>
    <c:headerFooter/>
    <c:pageMargins b="0.75000000000000122" l="0.70000000000000062" r="0.70000000000000062" t="0.750000000000001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Opex per Pax, 2010</a:t>
            </a:r>
          </a:p>
        </c:rich>
      </c:tx>
    </c:title>
    <c:pivotFmts>
      <c:pivotFmt>
        <c:idx val="0"/>
        <c:marker>
          <c:symbol val="none"/>
        </c:marker>
      </c:pivotFmt>
      <c:pivotFmt>
        <c:idx val="1"/>
        <c:marker>
          <c:symbol val="none"/>
        </c:marker>
        <c:dLbl>
          <c:idx val="0"/>
          <c:spPr/>
          <c:txPr>
            <a:bodyPr/>
            <a:lstStyle/>
            <a:p>
              <a:pPr>
                <a:defRPr/>
              </a:pPr>
              <a:endParaRPr lang="en-US"/>
            </a:p>
          </c:txPr>
          <c:showVal val="1"/>
        </c:dLbl>
      </c:pivotFmt>
      <c:pivotFmt>
        <c:idx val="2"/>
        <c:marker>
          <c:symbol val="none"/>
        </c:marker>
      </c:pivotFmt>
      <c:pivotFmt>
        <c:idx val="3"/>
        <c:marker>
          <c:symbol val="none"/>
        </c:marker>
      </c:pivotFmt>
      <c:pivotFmt>
        <c:idx val="4"/>
        <c:marker>
          <c:symbol val="none"/>
        </c:marker>
        <c:dLbl>
          <c:idx val="0"/>
          <c:spPr/>
          <c:txPr>
            <a:bodyPr/>
            <a:lstStyle/>
            <a:p>
              <a:pPr>
                <a:defRPr/>
              </a:pPr>
              <a:endParaRPr lang="en-US"/>
            </a:p>
          </c:txPr>
          <c:showVal val="1"/>
        </c:dLbl>
      </c:pivotFmt>
    </c:pivotFmts>
    <c:plotArea>
      <c:layout/>
      <c:barChart>
        <c:barDir val="col"/>
        <c:grouping val="clustered"/>
        <c:ser>
          <c:idx val="0"/>
          <c:order val="0"/>
          <c:tx>
            <c:v>Total</c:v>
          </c:tx>
          <c:dLbls>
            <c:showVal val="1"/>
          </c:dLbls>
          <c:cat>
            <c:strLit>
              <c:ptCount val="10"/>
              <c:pt idx="0">
                <c:v>Heathrow</c:v>
              </c:pt>
              <c:pt idx="1">
                <c:v>Aberdeen</c:v>
              </c:pt>
              <c:pt idx="2">
                <c:v>Southampton</c:v>
              </c:pt>
              <c:pt idx="3">
                <c:v>Manchester</c:v>
              </c:pt>
              <c:pt idx="4">
                <c:v>Gatwick</c:v>
              </c:pt>
              <c:pt idx="5">
                <c:v>Luton</c:v>
              </c:pt>
              <c:pt idx="6">
                <c:v>Stansted</c:v>
              </c:pt>
              <c:pt idx="7">
                <c:v>Birmingham</c:v>
              </c:pt>
              <c:pt idx="8">
                <c:v>Glasgow</c:v>
              </c:pt>
              <c:pt idx="9">
                <c:v>Edinburgh</c:v>
              </c:pt>
            </c:strLit>
          </c:cat>
          <c:val>
            <c:numLit>
              <c:formatCode>General</c:formatCode>
              <c:ptCount val="10"/>
              <c:pt idx="0">
                <c:v>13.59</c:v>
              </c:pt>
              <c:pt idx="1">
                <c:v>12.13</c:v>
              </c:pt>
              <c:pt idx="2">
                <c:v>10.02</c:v>
              </c:pt>
              <c:pt idx="3">
                <c:v>9.43</c:v>
              </c:pt>
              <c:pt idx="4">
                <c:v>9.0500000000000007</c:v>
              </c:pt>
              <c:pt idx="5">
                <c:v>7.8599999999999985</c:v>
              </c:pt>
              <c:pt idx="6">
                <c:v>7.73</c:v>
              </c:pt>
              <c:pt idx="7">
                <c:v>7.38</c:v>
              </c:pt>
              <c:pt idx="8">
                <c:v>6.2</c:v>
              </c:pt>
              <c:pt idx="9">
                <c:v>5.9700000000000024</c:v>
              </c:pt>
            </c:numLit>
          </c:val>
        </c:ser>
        <c:gapWidth val="50"/>
        <c:axId val="111747072"/>
        <c:axId val="111748608"/>
      </c:barChart>
      <c:catAx>
        <c:axId val="111747072"/>
        <c:scaling>
          <c:orientation val="minMax"/>
        </c:scaling>
        <c:axPos val="b"/>
        <c:tickLblPos val="nextTo"/>
        <c:crossAx val="111748608"/>
        <c:crosses val="autoZero"/>
        <c:auto val="1"/>
        <c:lblAlgn val="ctr"/>
        <c:lblOffset val="100"/>
      </c:catAx>
      <c:valAx>
        <c:axId val="111748608"/>
        <c:scaling>
          <c:orientation val="minMax"/>
        </c:scaling>
        <c:axPos val="l"/>
        <c:majorGridlines/>
        <c:title>
          <c:tx>
            <c:rich>
              <a:bodyPr rot="-5400000" vert="horz"/>
              <a:lstStyle/>
              <a:p>
                <a:pPr>
                  <a:defRPr/>
                </a:pPr>
                <a:r>
                  <a:rPr lang="en-US"/>
                  <a:t>£ nominal</a:t>
                </a:r>
              </a:p>
            </c:rich>
          </c:tx>
        </c:title>
        <c:numFmt formatCode="General" sourceLinked="1"/>
        <c:tickLblPos val="nextTo"/>
        <c:crossAx val="111747072"/>
        <c:crosses val="autoZero"/>
        <c:crossBetween val="between"/>
      </c:valAx>
    </c:plotArea>
    <c:plotVisOnly val="1"/>
  </c:chart>
  <c:spPr>
    <a:ln>
      <a:noFill/>
    </a:ln>
  </c:spPr>
  <c:txPr>
    <a:bodyPr/>
    <a:lstStyle/>
    <a:p>
      <a:pPr>
        <a:defRPr sz="10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Staff</a:t>
            </a:r>
            <a:r>
              <a:rPr lang="en-US" baseline="0"/>
              <a:t> Costs </a:t>
            </a:r>
            <a:r>
              <a:rPr lang="en-US"/>
              <a:t>per Pax</a:t>
            </a:r>
          </a:p>
        </c:rich>
      </c:tx>
      <c:overlay val="1"/>
    </c:title>
    <c:plotArea>
      <c:layout>
        <c:manualLayout>
          <c:layoutTarget val="inner"/>
          <c:xMode val="edge"/>
          <c:yMode val="edge"/>
          <c:x val="0.15738473315835524"/>
          <c:y val="0.11619536510378264"/>
          <c:w val="0.83106255468066459"/>
          <c:h val="0.66483125003100263"/>
        </c:manualLayout>
      </c:layout>
      <c:barChart>
        <c:barDir val="col"/>
        <c:grouping val="clustered"/>
        <c:ser>
          <c:idx val="0"/>
          <c:order val="0"/>
          <c:tx>
            <c:v>Average</c:v>
          </c:tx>
          <c:spPr>
            <a:solidFill>
              <a:schemeClr val="accent1"/>
            </a:solidFill>
          </c:spPr>
          <c:dLbls>
            <c:txPr>
              <a:bodyPr rot="-5400000" vert="horz"/>
              <a:lstStyle/>
              <a:p>
                <a:pPr>
                  <a:defRPr>
                    <a:solidFill>
                      <a:schemeClr val="bg1"/>
                    </a:solidFill>
                  </a:defRPr>
                </a:pPr>
                <a:endParaRPr lang="en-US"/>
              </a:p>
            </c:txPr>
            <c:dLblPos val="inEnd"/>
            <c:showVal val="1"/>
          </c:dLbls>
          <c:cat>
            <c:strRef>
              <c:f>'Int Analysis'!$AR$124:$AR$139</c:f>
              <c:strCache>
                <c:ptCount val="16"/>
                <c:pt idx="0">
                  <c:v>Zurich</c:v>
                </c:pt>
                <c:pt idx="1">
                  <c:v>Munich</c:v>
                </c:pt>
                <c:pt idx="2">
                  <c:v>Copenhagen</c:v>
                </c:pt>
                <c:pt idx="3">
                  <c:v>Dublin </c:v>
                </c:pt>
                <c:pt idx="4">
                  <c:v>Southampton</c:v>
                </c:pt>
                <c:pt idx="5">
                  <c:v>Gatwick</c:v>
                </c:pt>
                <c:pt idx="6">
                  <c:v>Heathrow</c:v>
                </c:pt>
                <c:pt idx="7">
                  <c:v>Aberdeen</c:v>
                </c:pt>
                <c:pt idx="8">
                  <c:v>Stansted</c:v>
                </c:pt>
                <c:pt idx="9">
                  <c:v>Manchester</c:v>
                </c:pt>
                <c:pt idx="10">
                  <c:v>Glasgow</c:v>
                </c:pt>
                <c:pt idx="11">
                  <c:v>Edinburgh</c:v>
                </c:pt>
                <c:pt idx="12">
                  <c:v>Birmingham</c:v>
                </c:pt>
                <c:pt idx="13">
                  <c:v>Amsterdam</c:v>
                </c:pt>
                <c:pt idx="14">
                  <c:v>Luton</c:v>
                </c:pt>
                <c:pt idx="15">
                  <c:v>Hong Kong</c:v>
                </c:pt>
              </c:strCache>
            </c:strRef>
          </c:cat>
          <c:val>
            <c:numRef>
              <c:f>'Int Analysis'!$AS$124:$AS$139</c:f>
              <c:numCache>
                <c:formatCode>_-* #,##0.00_-;\-* #,##0.00_-;_-* "-"??_-;_-@_-</c:formatCode>
                <c:ptCount val="16"/>
                <c:pt idx="0">
                  <c:v>7.6992136129597215</c:v>
                </c:pt>
                <c:pt idx="1">
                  <c:v>6.4655747213521977</c:v>
                </c:pt>
                <c:pt idx="2">
                  <c:v>5.0695914168434904</c:v>
                </c:pt>
                <c:pt idx="3">
                  <c:v>4.5390774636083506</c:v>
                </c:pt>
                <c:pt idx="4">
                  <c:v>4.250774288755478</c:v>
                </c:pt>
                <c:pt idx="5">
                  <c:v>4.2219746601001065</c:v>
                </c:pt>
                <c:pt idx="6">
                  <c:v>4.07009092807799</c:v>
                </c:pt>
                <c:pt idx="7">
                  <c:v>3.9020570448880023</c:v>
                </c:pt>
                <c:pt idx="8">
                  <c:v>3.1034568623358418</c:v>
                </c:pt>
                <c:pt idx="9">
                  <c:v>2.9439808860396015</c:v>
                </c:pt>
                <c:pt idx="10">
                  <c:v>2.7194336133236723</c:v>
                </c:pt>
                <c:pt idx="11">
                  <c:v>2.5901911970169365</c:v>
                </c:pt>
                <c:pt idx="12">
                  <c:v>2.5623537322633103</c:v>
                </c:pt>
                <c:pt idx="13">
                  <c:v>2.5583718851229245</c:v>
                </c:pt>
                <c:pt idx="14">
                  <c:v>2.3059848143508326</c:v>
                </c:pt>
                <c:pt idx="15">
                  <c:v>1.9380338467245966</c:v>
                </c:pt>
              </c:numCache>
            </c:numRef>
          </c:val>
        </c:ser>
        <c:gapWidth val="50"/>
        <c:axId val="99719808"/>
        <c:axId val="99811712"/>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2.4901960784314142E-2"/>
                  <c:y val="-3.4236487125659402E-2"/>
                </c:manualLayout>
              </c:layout>
              <c:showVal val="1"/>
            </c:dLbl>
            <c:txPr>
              <a:bodyPr/>
              <a:lstStyle/>
              <a:p>
                <a:pPr>
                  <a:defRPr sz="800"/>
                </a:pPr>
                <a:endParaRPr lang="en-US"/>
              </a:p>
            </c:txPr>
            <c:showVal val="1"/>
          </c:dLbls>
          <c:cat>
            <c:strRef>
              <c:f>'Int Analysis'!$AR$124:$AR$139</c:f>
              <c:strCache>
                <c:ptCount val="16"/>
                <c:pt idx="0">
                  <c:v>Zurich</c:v>
                </c:pt>
                <c:pt idx="1">
                  <c:v>Munich</c:v>
                </c:pt>
                <c:pt idx="2">
                  <c:v>Copenhagen</c:v>
                </c:pt>
                <c:pt idx="3">
                  <c:v>Dublin </c:v>
                </c:pt>
                <c:pt idx="4">
                  <c:v>Southampton</c:v>
                </c:pt>
                <c:pt idx="5">
                  <c:v>Gatwick</c:v>
                </c:pt>
                <c:pt idx="6">
                  <c:v>Heathrow</c:v>
                </c:pt>
                <c:pt idx="7">
                  <c:v>Aberdeen</c:v>
                </c:pt>
                <c:pt idx="8">
                  <c:v>Stansted</c:v>
                </c:pt>
                <c:pt idx="9">
                  <c:v>Manchester</c:v>
                </c:pt>
                <c:pt idx="10">
                  <c:v>Glasgow</c:v>
                </c:pt>
                <c:pt idx="11">
                  <c:v>Edinburgh</c:v>
                </c:pt>
                <c:pt idx="12">
                  <c:v>Birmingham</c:v>
                </c:pt>
                <c:pt idx="13">
                  <c:v>Amsterdam</c:v>
                </c:pt>
                <c:pt idx="14">
                  <c:v>Luton</c:v>
                </c:pt>
                <c:pt idx="15">
                  <c:v>Hong Kong</c:v>
                </c:pt>
              </c:strCache>
            </c:strRef>
          </c:cat>
          <c:val>
            <c:numRef>
              <c:f>'Int Analysis'!$AU$124:$AU$139</c:f>
              <c:numCache>
                <c:formatCode>_-* #,##0.00_-;\-* #,##0.00_-;_-* "-"??_-;_-@_-</c:formatCode>
                <c:ptCount val="16"/>
                <c:pt idx="0">
                  <c:v>3.808760060860191</c:v>
                </c:pt>
                <c:pt idx="1">
                  <c:v>3.808760060860191</c:v>
                </c:pt>
                <c:pt idx="2">
                  <c:v>3.808760060860191</c:v>
                </c:pt>
                <c:pt idx="3">
                  <c:v>3.808760060860191</c:v>
                </c:pt>
                <c:pt idx="4">
                  <c:v>3.808760060860191</c:v>
                </c:pt>
                <c:pt idx="5">
                  <c:v>3.808760060860191</c:v>
                </c:pt>
                <c:pt idx="6">
                  <c:v>3.808760060860191</c:v>
                </c:pt>
                <c:pt idx="7">
                  <c:v>3.808760060860191</c:v>
                </c:pt>
                <c:pt idx="8">
                  <c:v>3.808760060860191</c:v>
                </c:pt>
                <c:pt idx="9">
                  <c:v>3.808760060860191</c:v>
                </c:pt>
                <c:pt idx="10">
                  <c:v>3.808760060860191</c:v>
                </c:pt>
                <c:pt idx="11">
                  <c:v>3.808760060860191</c:v>
                </c:pt>
                <c:pt idx="12">
                  <c:v>3.808760060860191</c:v>
                </c:pt>
                <c:pt idx="13">
                  <c:v>3.808760060860191</c:v>
                </c:pt>
                <c:pt idx="14">
                  <c:v>3.808760060860191</c:v>
                </c:pt>
                <c:pt idx="15">
                  <c:v>3.808760060860191</c:v>
                </c:pt>
              </c:numCache>
            </c:numRef>
          </c:val>
        </c:ser>
        <c:ser>
          <c:idx val="1"/>
          <c:order val="2"/>
          <c:tx>
            <c:strRef>
              <c:f>'Int Analysis'!$B$145</c:f>
              <c:strCache>
                <c:ptCount val="1"/>
                <c:pt idx="0">
                  <c:v>Average (ex AMS)</c:v>
                </c:pt>
              </c:strCache>
            </c:strRef>
          </c:tx>
          <c:spPr>
            <a:ln w="12700">
              <a:solidFill>
                <a:srgbClr val="6AAD11"/>
              </a:solidFill>
              <a:prstDash val="sysDash"/>
            </a:ln>
          </c:spPr>
          <c:marker>
            <c:symbol val="none"/>
          </c:marker>
          <c:dLbls>
            <c:dLbl>
              <c:idx val="15"/>
              <c:layout>
                <c:manualLayout>
                  <c:x val="-1.8676470588235447E-2"/>
                  <c:y val="2.4899263364115992E-2"/>
                </c:manualLayout>
              </c:layout>
              <c:showVal val="1"/>
            </c:dLbl>
            <c:delete val="1"/>
          </c:dLbls>
          <c:val>
            <c:numRef>
              <c:f>'Int Analysis'!$AV$124:$AV$139</c:f>
              <c:numCache>
                <c:formatCode>_-* #,##0.00_-;\-* #,##0.00_-;_-* "-"??_-;_-@_-</c:formatCode>
                <c:ptCount val="16"/>
                <c:pt idx="0">
                  <c:v>3.892119272576009</c:v>
                </c:pt>
                <c:pt idx="1">
                  <c:v>3.892119272576009</c:v>
                </c:pt>
                <c:pt idx="2">
                  <c:v>3.892119272576009</c:v>
                </c:pt>
                <c:pt idx="3">
                  <c:v>3.892119272576009</c:v>
                </c:pt>
                <c:pt idx="4">
                  <c:v>3.892119272576009</c:v>
                </c:pt>
                <c:pt idx="5">
                  <c:v>3.892119272576009</c:v>
                </c:pt>
                <c:pt idx="6">
                  <c:v>3.892119272576009</c:v>
                </c:pt>
                <c:pt idx="7">
                  <c:v>3.892119272576009</c:v>
                </c:pt>
                <c:pt idx="8">
                  <c:v>3.892119272576009</c:v>
                </c:pt>
                <c:pt idx="9">
                  <c:v>3.892119272576009</c:v>
                </c:pt>
                <c:pt idx="10">
                  <c:v>3.892119272576009</c:v>
                </c:pt>
                <c:pt idx="11">
                  <c:v>3.892119272576009</c:v>
                </c:pt>
                <c:pt idx="12">
                  <c:v>3.892119272576009</c:v>
                </c:pt>
                <c:pt idx="13">
                  <c:v>3.892119272576009</c:v>
                </c:pt>
                <c:pt idx="14">
                  <c:v>3.892119272576009</c:v>
                </c:pt>
                <c:pt idx="15">
                  <c:v>3.892119272576009</c:v>
                </c:pt>
              </c:numCache>
            </c:numRef>
          </c:val>
        </c:ser>
        <c:marker val="1"/>
        <c:axId val="99719808"/>
        <c:axId val="99811712"/>
      </c:lineChart>
      <c:catAx>
        <c:axId val="99719808"/>
        <c:scaling>
          <c:orientation val="minMax"/>
        </c:scaling>
        <c:axPos val="b"/>
        <c:tickLblPos val="nextTo"/>
        <c:crossAx val="99811712"/>
        <c:crosses val="autoZero"/>
        <c:auto val="1"/>
        <c:lblAlgn val="ctr"/>
        <c:lblOffset val="100"/>
      </c:catAx>
      <c:valAx>
        <c:axId val="99811712"/>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99719808"/>
        <c:crosses val="autoZero"/>
        <c:crossBetween val="between"/>
      </c:valAx>
    </c:plotArea>
    <c:legend>
      <c:legendPos val="r"/>
      <c:legendEntry>
        <c:idx val="0"/>
        <c:delete val="1"/>
      </c:legendEntry>
      <c:layout>
        <c:manualLayout>
          <c:xMode val="edge"/>
          <c:yMode val="edge"/>
          <c:x val="0.78879986483288778"/>
          <c:y val="0.11972136229488342"/>
          <c:w val="0.21120016339869291"/>
          <c:h val="9.2411067232422373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Analysis'!$B$48</c:f>
              <c:strCache>
                <c:ptCount val="1"/>
                <c:pt idx="0">
                  <c:v>Heathrow</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Analysis'!$C$48:$O$48</c:f>
              <c:numCache>
                <c:formatCode>#,##0.00</c:formatCode>
                <c:ptCount val="13"/>
                <c:pt idx="0">
                  <c:v>11.72457597361853</c:v>
                </c:pt>
                <c:pt idx="1">
                  <c:v>13.264694762615946</c:v>
                </c:pt>
                <c:pt idx="2">
                  <c:v>12.777947880861403</c:v>
                </c:pt>
                <c:pt idx="3">
                  <c:v>12.960170842151593</c:v>
                </c:pt>
                <c:pt idx="4">
                  <c:v>13.08222187788328</c:v>
                </c:pt>
                <c:pt idx="5">
                  <c:v>14.224917631184006</c:v>
                </c:pt>
                <c:pt idx="6">
                  <c:v>15.154366893917214</c:v>
                </c:pt>
                <c:pt idx="7">
                  <c:v>17.727042899144237</c:v>
                </c:pt>
                <c:pt idx="8">
                  <c:v>23.129329188121432</c:v>
                </c:pt>
                <c:pt idx="9">
                  <c:v>27.259534555451911</c:v>
                </c:pt>
                <c:pt idx="10">
                  <c:v>23.577694944359475</c:v>
                </c:pt>
                <c:pt idx="11">
                  <c:v>22.111831733374832</c:v>
                </c:pt>
                <c:pt idx="12">
                  <c:v>23.495588412825093</c:v>
                </c:pt>
              </c:numCache>
            </c:numRef>
          </c:val>
        </c:ser>
        <c:ser>
          <c:idx val="1"/>
          <c:order val="1"/>
          <c:tx>
            <c:strRef>
              <c:f>'Int Analysis'!$B$46</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Analysis'!$C$46:$O$46</c:f>
              <c:numCache>
                <c:formatCode>#,##0.00</c:formatCode>
                <c:ptCount val="13"/>
                <c:pt idx="0">
                  <c:v>8.8822332909155879</c:v>
                </c:pt>
                <c:pt idx="1">
                  <c:v>9.8858515867401664</c:v>
                </c:pt>
                <c:pt idx="2">
                  <c:v>9.9599752232226795</c:v>
                </c:pt>
                <c:pt idx="3">
                  <c:v>10.244628535898256</c:v>
                </c:pt>
                <c:pt idx="4">
                  <c:v>9.7601863603050045</c:v>
                </c:pt>
                <c:pt idx="5">
                  <c:v>10.515593784088949</c:v>
                </c:pt>
                <c:pt idx="6">
                  <c:v>9.7138946063582594</c:v>
                </c:pt>
                <c:pt idx="7">
                  <c:v>10.745903408265516</c:v>
                </c:pt>
                <c:pt idx="8">
                  <c:v>11.687829005455262</c:v>
                </c:pt>
                <c:pt idx="9">
                  <c:v>20.386750579786764</c:v>
                </c:pt>
                <c:pt idx="10">
                  <c:v>12.59950462636262</c:v>
                </c:pt>
                <c:pt idx="11">
                  <c:v>11.867555009755828</c:v>
                </c:pt>
                <c:pt idx="12">
                  <c:v>11.963677356755834</c:v>
                </c:pt>
              </c:numCache>
            </c:numRef>
          </c:val>
        </c:ser>
        <c:ser>
          <c:idx val="2"/>
          <c:order val="2"/>
          <c:tx>
            <c:strRef>
              <c:f>'Int Analysis'!$B$52</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Analysis'!$C$52:$O$52</c:f>
              <c:numCache>
                <c:formatCode>#,##0.00</c:formatCode>
                <c:ptCount val="13"/>
                <c:pt idx="0">
                  <c:v>10.733552020771437</c:v>
                </c:pt>
                <c:pt idx="1">
                  <c:v>10.204916223988718</c:v>
                </c:pt>
                <c:pt idx="2">
                  <c:v>9.8390087359502605</c:v>
                </c:pt>
                <c:pt idx="3">
                  <c:v>7.4869894336577065</c:v>
                </c:pt>
                <c:pt idx="4">
                  <c:v>7.3434141659583396</c:v>
                </c:pt>
                <c:pt idx="5">
                  <c:v>7.1321790212070173</c:v>
                </c:pt>
                <c:pt idx="6">
                  <c:v>7.2205497560147966</c:v>
                </c:pt>
                <c:pt idx="7">
                  <c:v>7.0317584993577524</c:v>
                </c:pt>
                <c:pt idx="8">
                  <c:v>7.9886527189040963</c:v>
                </c:pt>
                <c:pt idx="9">
                  <c:v>8.7829754724229634</c:v>
                </c:pt>
                <c:pt idx="10">
                  <c:v>12.003722991343889</c:v>
                </c:pt>
                <c:pt idx="11">
                  <c:v>9.643292326993322</c:v>
                </c:pt>
                <c:pt idx="12">
                  <c:v>10.926404881088713</c:v>
                </c:pt>
              </c:numCache>
            </c:numRef>
          </c:val>
        </c:ser>
        <c:ser>
          <c:idx val="3"/>
          <c:order val="3"/>
          <c:tx>
            <c:strRef>
              <c:f>'Int Analysis'!$B$59</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Analysis'!$C$59:$O$59</c:f>
              <c:numCache>
                <c:formatCode>#,##0.00</c:formatCode>
                <c:ptCount val="13"/>
                <c:pt idx="0">
                  <c:v>11.828568886106302</c:v>
                </c:pt>
                <c:pt idx="1">
                  <c:v>12.854801500169282</c:v>
                </c:pt>
                <c:pt idx="2">
                  <c:v>12.593094206785567</c:v>
                </c:pt>
                <c:pt idx="3">
                  <c:v>12.872136442340903</c:v>
                </c:pt>
                <c:pt idx="4">
                  <c:v>12.049795784971193</c:v>
                </c:pt>
                <c:pt idx="5">
                  <c:v>12.651030867624501</c:v>
                </c:pt>
                <c:pt idx="6">
                  <c:v>11.999911020554919</c:v>
                </c:pt>
                <c:pt idx="7">
                  <c:v>12.07731298289378</c:v>
                </c:pt>
                <c:pt idx="8">
                  <c:v>12.896359447234673</c:v>
                </c:pt>
                <c:pt idx="9">
                  <c:v>14.966363337115565</c:v>
                </c:pt>
                <c:pt idx="10">
                  <c:v>13.531236775629862</c:v>
                </c:pt>
                <c:pt idx="11">
                  <c:v>12.741791572367852</c:v>
                </c:pt>
                <c:pt idx="12">
                  <c:v>13.208875461824752</c:v>
                </c:pt>
              </c:numCache>
            </c:numRef>
          </c:val>
        </c:ser>
        <c:marker val="1"/>
        <c:axId val="99860480"/>
        <c:axId val="99862016"/>
      </c:lineChart>
      <c:catAx>
        <c:axId val="99860480"/>
        <c:scaling>
          <c:orientation val="minMax"/>
        </c:scaling>
        <c:axPos val="b"/>
        <c:numFmt formatCode="General" sourceLinked="1"/>
        <c:tickLblPos val="nextTo"/>
        <c:crossAx val="99862016"/>
        <c:crosses val="autoZero"/>
        <c:auto val="1"/>
        <c:lblAlgn val="ctr"/>
        <c:lblOffset val="100"/>
      </c:catAx>
      <c:valAx>
        <c:axId val="99862016"/>
        <c:scaling>
          <c:orientation val="minMax"/>
        </c:scaling>
        <c:axPos val="l"/>
        <c:majorGridlines/>
        <c:title>
          <c:tx>
            <c:rich>
              <a:bodyPr rot="-5400000" vert="horz"/>
              <a:lstStyle/>
              <a:p>
                <a:pPr>
                  <a:defRPr/>
                </a:pPr>
                <a:r>
                  <a:rPr lang="en-US"/>
                  <a:t>£ 2011/12</a:t>
                </a:r>
              </a:p>
            </c:rich>
          </c:tx>
        </c:title>
        <c:numFmt formatCode="#,##0.00" sourceLinked="1"/>
        <c:tickLblPos val="nextTo"/>
        <c:crossAx val="99860480"/>
        <c:crosses val="autoZero"/>
        <c:crossBetween val="between"/>
      </c:valAx>
    </c:plotArea>
    <c:legend>
      <c:legendPos val="r"/>
      <c:layout>
        <c:manualLayout>
          <c:xMode val="edge"/>
          <c:yMode val="edge"/>
          <c:x val="0.13444380155055441"/>
          <c:y val="5.6758545591161745E-2"/>
          <c:w val="0.85398850167642515"/>
          <c:h val="0.16870914945119714"/>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Ordinary Opex per Pax</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Analysis'!$B$75</c:f>
              <c:strCache>
                <c:ptCount val="1"/>
                <c:pt idx="0">
                  <c:v>Heathrow</c:v>
                </c:pt>
              </c:strCache>
            </c:strRef>
          </c:tx>
          <c:spPr>
            <a:ln w="15875"/>
          </c:spPr>
          <c:cat>
            <c:numRef>
              <c:f>'Int Analysis'!$C$68:$O$68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Analysis'!$C$75:$O$75</c:f>
              <c:numCache>
                <c:formatCode>#,##0.00</c:formatCode>
                <c:ptCount val="13"/>
                <c:pt idx="0">
                  <c:v>11.72457597361853</c:v>
                </c:pt>
                <c:pt idx="1">
                  <c:v>13.092895716610695</c:v>
                </c:pt>
                <c:pt idx="2">
                  <c:v>12.777947880861403</c:v>
                </c:pt>
                <c:pt idx="3">
                  <c:v>12.960170842151593</c:v>
                </c:pt>
                <c:pt idx="4">
                  <c:v>13.041200087502235</c:v>
                </c:pt>
                <c:pt idx="5">
                  <c:v>13.761874048161998</c:v>
                </c:pt>
                <c:pt idx="6">
                  <c:v>14.423204904497448</c:v>
                </c:pt>
                <c:pt idx="7">
                  <c:v>15.115991208392455</c:v>
                </c:pt>
                <c:pt idx="8">
                  <c:v>21.260092332195576</c:v>
                </c:pt>
                <c:pt idx="9">
                  <c:v>23.292366435295264</c:v>
                </c:pt>
                <c:pt idx="10">
                  <c:v>22.878486540078423</c:v>
                </c:pt>
                <c:pt idx="11">
                  <c:v>21.470466448290754</c:v>
                </c:pt>
                <c:pt idx="12">
                  <c:v>21.382997447066792</c:v>
                </c:pt>
              </c:numCache>
            </c:numRef>
          </c:val>
        </c:ser>
        <c:ser>
          <c:idx val="1"/>
          <c:order val="1"/>
          <c:tx>
            <c:strRef>
              <c:f>'Int Analysis'!$B$73</c:f>
              <c:strCache>
                <c:ptCount val="1"/>
                <c:pt idx="0">
                  <c:v>Gatwick</c:v>
                </c:pt>
              </c:strCache>
            </c:strRef>
          </c:tx>
          <c:spPr>
            <a:ln w="15875"/>
          </c:spPr>
          <c:cat>
            <c:numRef>
              <c:f>'Int Analysis'!$C$68:$O$68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Analysis'!$C$73:$O$73</c:f>
              <c:numCache>
                <c:formatCode>#,##0.00</c:formatCode>
                <c:ptCount val="13"/>
                <c:pt idx="0">
                  <c:v>8.8822332909155879</c:v>
                </c:pt>
                <c:pt idx="1">
                  <c:v>9.8858515867401664</c:v>
                </c:pt>
                <c:pt idx="2">
                  <c:v>9.9599752232226795</c:v>
                </c:pt>
                <c:pt idx="3">
                  <c:v>10.244628535898256</c:v>
                </c:pt>
                <c:pt idx="4">
                  <c:v>9.7129024538360245</c:v>
                </c:pt>
                <c:pt idx="5">
                  <c:v>9.8417572297507459</c:v>
                </c:pt>
                <c:pt idx="6">
                  <c:v>9.4012435506328238</c:v>
                </c:pt>
                <c:pt idx="7">
                  <c:v>10.200276813805088</c:v>
                </c:pt>
                <c:pt idx="8">
                  <c:v>11.962722604089379</c:v>
                </c:pt>
                <c:pt idx="9">
                  <c:v>15.917491248952285</c:v>
                </c:pt>
                <c:pt idx="10">
                  <c:v>12.036435281861664</c:v>
                </c:pt>
                <c:pt idx="11">
                  <c:v>11.867555009755828</c:v>
                </c:pt>
                <c:pt idx="12">
                  <c:v>11.963677356755834</c:v>
                </c:pt>
              </c:numCache>
            </c:numRef>
          </c:val>
        </c:ser>
        <c:ser>
          <c:idx val="2"/>
          <c:order val="2"/>
          <c:tx>
            <c:strRef>
              <c:f>'Int Analysis'!$B$79</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Analysis'!$C$79:$O$79</c:f>
              <c:numCache>
                <c:formatCode>#,##0.00</c:formatCode>
                <c:ptCount val="13"/>
                <c:pt idx="0">
                  <c:v>10.733552020771437</c:v>
                </c:pt>
                <c:pt idx="1">
                  <c:v>10.204916223988718</c:v>
                </c:pt>
                <c:pt idx="2">
                  <c:v>9.8390087359502605</c:v>
                </c:pt>
                <c:pt idx="3">
                  <c:v>7.4869894336577065</c:v>
                </c:pt>
                <c:pt idx="4">
                  <c:v>7.3434141659583396</c:v>
                </c:pt>
                <c:pt idx="5">
                  <c:v>7.1202622642793525</c:v>
                </c:pt>
                <c:pt idx="6">
                  <c:v>7.0324281531760979</c:v>
                </c:pt>
                <c:pt idx="7">
                  <c:v>6.8102359543734847</c:v>
                </c:pt>
                <c:pt idx="8">
                  <c:v>7.5485998148966669</c:v>
                </c:pt>
                <c:pt idx="9">
                  <c:v>8.6296690311813471</c:v>
                </c:pt>
                <c:pt idx="10">
                  <c:v>9.9771204083897249</c:v>
                </c:pt>
                <c:pt idx="11">
                  <c:v>10.506956111913839</c:v>
                </c:pt>
                <c:pt idx="12">
                  <c:v>10.529386075276379</c:v>
                </c:pt>
              </c:numCache>
            </c:numRef>
          </c:val>
        </c:ser>
        <c:ser>
          <c:idx val="3"/>
          <c:order val="3"/>
          <c:tx>
            <c:strRef>
              <c:f>'Int Analysis'!$B$86</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Analysis'!$C$68:$O$68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Analysis'!$C$86:$O$86</c:f>
              <c:numCache>
                <c:formatCode>#,##0.00</c:formatCode>
                <c:ptCount val="13"/>
                <c:pt idx="0">
                  <c:v>11.828568886106302</c:v>
                </c:pt>
                <c:pt idx="1">
                  <c:v>12.751086206389751</c:v>
                </c:pt>
                <c:pt idx="2">
                  <c:v>12.560133792832834</c:v>
                </c:pt>
                <c:pt idx="3">
                  <c:v>12.785553694796178</c:v>
                </c:pt>
                <c:pt idx="4">
                  <c:v>12.005962311907881</c:v>
                </c:pt>
                <c:pt idx="5">
                  <c:v>12.566054718205027</c:v>
                </c:pt>
                <c:pt idx="6">
                  <c:v>11.904552772882273</c:v>
                </c:pt>
                <c:pt idx="7">
                  <c:v>11.766202942693214</c:v>
                </c:pt>
                <c:pt idx="8">
                  <c:v>12.659031244313114</c:v>
                </c:pt>
                <c:pt idx="9">
                  <c:v>13.79832245429891</c:v>
                </c:pt>
                <c:pt idx="10">
                  <c:v>13.462905704342438</c:v>
                </c:pt>
                <c:pt idx="11">
                  <c:v>12.757846766094392</c:v>
                </c:pt>
                <c:pt idx="12">
                  <c:v>12.90136907768863</c:v>
                </c:pt>
              </c:numCache>
            </c:numRef>
          </c:val>
        </c:ser>
        <c:marker val="1"/>
        <c:axId val="99951360"/>
        <c:axId val="99952896"/>
      </c:lineChart>
      <c:catAx>
        <c:axId val="99951360"/>
        <c:scaling>
          <c:orientation val="minMax"/>
        </c:scaling>
        <c:axPos val="b"/>
        <c:numFmt formatCode="General" sourceLinked="1"/>
        <c:tickLblPos val="nextTo"/>
        <c:crossAx val="99952896"/>
        <c:crosses val="autoZero"/>
        <c:auto val="1"/>
        <c:lblAlgn val="ctr"/>
        <c:lblOffset val="100"/>
      </c:catAx>
      <c:valAx>
        <c:axId val="99952896"/>
        <c:scaling>
          <c:orientation val="minMax"/>
        </c:scaling>
        <c:axPos val="l"/>
        <c:majorGridlines/>
        <c:title>
          <c:tx>
            <c:rich>
              <a:bodyPr rot="-5400000" vert="horz"/>
              <a:lstStyle/>
              <a:p>
                <a:pPr>
                  <a:defRPr/>
                </a:pPr>
                <a:r>
                  <a:rPr lang="en-US"/>
                  <a:t>£ 2011/12</a:t>
                </a:r>
              </a:p>
            </c:rich>
          </c:tx>
        </c:title>
        <c:numFmt formatCode="#,##0.00" sourceLinked="1"/>
        <c:tickLblPos val="nextTo"/>
        <c:crossAx val="99951360"/>
        <c:crosses val="autoZero"/>
        <c:crossBetween val="between"/>
      </c:valAx>
    </c:plotArea>
    <c:legend>
      <c:legendPos val="r"/>
      <c:layout>
        <c:manualLayout>
          <c:xMode val="edge"/>
          <c:yMode val="edge"/>
          <c:x val="0.13444380155055441"/>
          <c:y val="5.6758545591161745E-2"/>
          <c:w val="0.85398850167642515"/>
          <c:h val="0.16870914945119725"/>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Adjusted Opex per Pax</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Analysis'!$B$102</c:f>
              <c:strCache>
                <c:ptCount val="1"/>
                <c:pt idx="0">
                  <c:v>Heathrow</c:v>
                </c:pt>
              </c:strCache>
            </c:strRef>
          </c:tx>
          <c:spPr>
            <a:ln w="15875"/>
          </c:spPr>
          <c:cat>
            <c:numRef>
              <c:f>'Int Analysis'!$C$95:$N$95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Analysis'!$C$102:$O$102</c:f>
              <c:numCache>
                <c:formatCode>#,##0.00</c:formatCode>
                <c:ptCount val="13"/>
                <c:pt idx="0">
                  <c:v>8.9312668189926594</c:v>
                </c:pt>
                <c:pt idx="1">
                  <c:v>9.6704778790850412</c:v>
                </c:pt>
                <c:pt idx="2">
                  <c:v>9.5914219182142908</c:v>
                </c:pt>
                <c:pt idx="3">
                  <c:v>10.015137486641587</c:v>
                </c:pt>
                <c:pt idx="4">
                  <c:v>9.9682950625946436</c:v>
                </c:pt>
                <c:pt idx="5">
                  <c:v>10.626303328485401</c:v>
                </c:pt>
                <c:pt idx="6">
                  <c:v>10.81223036241021</c:v>
                </c:pt>
                <c:pt idx="7">
                  <c:v>11.463566761601538</c:v>
                </c:pt>
                <c:pt idx="8">
                  <c:v>13.06814529840744</c:v>
                </c:pt>
                <c:pt idx="9">
                  <c:v>13.409837184403763</c:v>
                </c:pt>
                <c:pt idx="10">
                  <c:v>12.982992079491142</c:v>
                </c:pt>
                <c:pt idx="11">
                  <c:v>11.957608557735323</c:v>
                </c:pt>
                <c:pt idx="12">
                  <c:v>12.126439809402292</c:v>
                </c:pt>
              </c:numCache>
            </c:numRef>
          </c:val>
        </c:ser>
        <c:ser>
          <c:idx val="1"/>
          <c:order val="1"/>
          <c:tx>
            <c:strRef>
              <c:f>'Int Analysis'!$B$100</c:f>
              <c:strCache>
                <c:ptCount val="1"/>
                <c:pt idx="0">
                  <c:v>Gatwick</c:v>
                </c:pt>
              </c:strCache>
            </c:strRef>
          </c:tx>
          <c:spPr>
            <a:ln w="15875"/>
          </c:spPr>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Analysis'!$C$100:$O$100</c:f>
              <c:numCache>
                <c:formatCode>#,##0.00</c:formatCode>
                <c:ptCount val="13"/>
                <c:pt idx="0">
                  <c:v>6.967810193261939</c:v>
                </c:pt>
                <c:pt idx="1">
                  <c:v>7.6785486735776196</c:v>
                </c:pt>
                <c:pt idx="2">
                  <c:v>7.7225894846726559</c:v>
                </c:pt>
                <c:pt idx="3">
                  <c:v>8.1671373245627432</c:v>
                </c:pt>
                <c:pt idx="4">
                  <c:v>7.7663816375297383</c:v>
                </c:pt>
                <c:pt idx="5">
                  <c:v>7.8314781759751089</c:v>
                </c:pt>
                <c:pt idx="6">
                  <c:v>7.2170285363287547</c:v>
                </c:pt>
                <c:pt idx="7">
                  <c:v>8.0667788127113269</c:v>
                </c:pt>
                <c:pt idx="8">
                  <c:v>8.9712334424828146</c:v>
                </c:pt>
                <c:pt idx="9">
                  <c:v>11.526342073595917</c:v>
                </c:pt>
                <c:pt idx="10">
                  <c:v>8.3764845426054322</c:v>
                </c:pt>
                <c:pt idx="11">
                  <c:v>7.8150748593656276</c:v>
                </c:pt>
                <c:pt idx="12">
                  <c:v>7.7728507323774592</c:v>
                </c:pt>
              </c:numCache>
            </c:numRef>
          </c:val>
        </c:ser>
        <c:ser>
          <c:idx val="2"/>
          <c:order val="2"/>
          <c:tx>
            <c:strRef>
              <c:f>'Int Analysis'!$B$106</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Analysis'!$C$106:$O$106</c:f>
              <c:numCache>
                <c:formatCode>#,##0.00</c:formatCode>
                <c:ptCount val="13"/>
                <c:pt idx="0">
                  <c:v>8.4857435989273853</c:v>
                </c:pt>
                <c:pt idx="1">
                  <c:v>8.0399665966697178</c:v>
                </c:pt>
                <c:pt idx="2">
                  <c:v>7.7464911171621118</c:v>
                </c:pt>
                <c:pt idx="3">
                  <c:v>5.5314324920306932</c:v>
                </c:pt>
                <c:pt idx="4">
                  <c:v>5.4673594520273774</c:v>
                </c:pt>
                <c:pt idx="5">
                  <c:v>5.40424926669571</c:v>
                </c:pt>
                <c:pt idx="6">
                  <c:v>5.3835976341780825</c:v>
                </c:pt>
                <c:pt idx="7">
                  <c:v>5.3545163730482974</c:v>
                </c:pt>
                <c:pt idx="8">
                  <c:v>6.0543542397505616</c:v>
                </c:pt>
                <c:pt idx="9">
                  <c:v>6.4042529486417452</c:v>
                </c:pt>
                <c:pt idx="10">
                  <c:v>6.6811074163324049</c:v>
                </c:pt>
                <c:pt idx="11">
                  <c:v>6.9779458119406019</c:v>
                </c:pt>
                <c:pt idx="12">
                  <c:v>7.2078484604520732</c:v>
                </c:pt>
              </c:numCache>
            </c:numRef>
          </c:val>
        </c:ser>
        <c:ser>
          <c:idx val="3"/>
          <c:order val="3"/>
          <c:tx>
            <c:strRef>
              <c:f>'Int Analysis'!$B$113</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Analysis'!$C$41:$N$41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'Int Analysis'!$C$113:$O$113</c:f>
              <c:numCache>
                <c:formatCode>#,##0.00</c:formatCode>
                <c:ptCount val="13"/>
                <c:pt idx="0">
                  <c:v>8.9147416517573763</c:v>
                </c:pt>
                <c:pt idx="1">
                  <c:v>9.6322741036741029</c:v>
                </c:pt>
                <c:pt idx="2">
                  <c:v>9.5659704021542922</c:v>
                </c:pt>
                <c:pt idx="3">
                  <c:v>9.6979442999550365</c:v>
                </c:pt>
                <c:pt idx="4">
                  <c:v>9.1129942560340549</c:v>
                </c:pt>
                <c:pt idx="5">
                  <c:v>9.3444004278860326</c:v>
                </c:pt>
                <c:pt idx="6">
                  <c:v>9.0983501285544381</c:v>
                </c:pt>
                <c:pt idx="7">
                  <c:v>9.0369316015831931</c:v>
                </c:pt>
                <c:pt idx="8">
                  <c:v>9.4744489102914624</c:v>
                </c:pt>
                <c:pt idx="9">
                  <c:v>9.7609022387462776</c:v>
                </c:pt>
                <c:pt idx="10">
                  <c:v>9.1592806348215579</c:v>
                </c:pt>
                <c:pt idx="11">
                  <c:v>8.7057055864491275</c:v>
                </c:pt>
                <c:pt idx="12">
                  <c:v>8.8446833012948094</c:v>
                </c:pt>
              </c:numCache>
            </c:numRef>
          </c:val>
        </c:ser>
        <c:marker val="1"/>
        <c:axId val="100038144"/>
        <c:axId val="100039680"/>
      </c:lineChart>
      <c:catAx>
        <c:axId val="100038144"/>
        <c:scaling>
          <c:orientation val="minMax"/>
        </c:scaling>
        <c:axPos val="b"/>
        <c:numFmt formatCode="General" sourceLinked="1"/>
        <c:tickLblPos val="nextTo"/>
        <c:crossAx val="100039680"/>
        <c:crosses val="autoZero"/>
        <c:auto val="1"/>
        <c:lblAlgn val="ctr"/>
        <c:lblOffset val="100"/>
      </c:catAx>
      <c:valAx>
        <c:axId val="100039680"/>
        <c:scaling>
          <c:orientation val="minMax"/>
        </c:scaling>
        <c:axPos val="l"/>
        <c:majorGridlines/>
        <c:title>
          <c:tx>
            <c:rich>
              <a:bodyPr rot="-5400000" vert="horz"/>
              <a:lstStyle/>
              <a:p>
                <a:pPr>
                  <a:defRPr/>
                </a:pPr>
                <a:r>
                  <a:rPr lang="en-US"/>
                  <a:t>£ 2011/12</a:t>
                </a:r>
              </a:p>
            </c:rich>
          </c:tx>
        </c:title>
        <c:numFmt formatCode="#,##0.00" sourceLinked="1"/>
        <c:tickLblPos val="nextTo"/>
        <c:crossAx val="100038144"/>
        <c:crosses val="autoZero"/>
        <c:crossBetween val="between"/>
      </c:valAx>
    </c:plotArea>
    <c:legend>
      <c:legendPos val="r"/>
      <c:layout>
        <c:manualLayout>
          <c:xMode val="edge"/>
          <c:yMode val="edge"/>
          <c:x val="0.13444380155055441"/>
          <c:y val="5.6758545591161745E-2"/>
          <c:w val="0.85398850167642515"/>
          <c:h val="0.16870914945119736"/>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Staff</a:t>
            </a:r>
            <a:r>
              <a:rPr lang="en-US" baseline="0"/>
              <a:t> Costs </a:t>
            </a:r>
            <a:r>
              <a:rPr lang="en-US"/>
              <a:t>per Pax</a:t>
            </a:r>
          </a:p>
        </c:rich>
      </c:tx>
      <c:overlay val="1"/>
    </c:title>
    <c:plotArea>
      <c:layout>
        <c:manualLayout>
          <c:layoutTarget val="inner"/>
          <c:xMode val="edge"/>
          <c:yMode val="edge"/>
          <c:x val="0.15738473315835524"/>
          <c:y val="0.18815315987390221"/>
          <c:w val="0.83106255468066459"/>
          <c:h val="0.61811773325471164"/>
        </c:manualLayout>
      </c:layout>
      <c:lineChart>
        <c:grouping val="standard"/>
        <c:ser>
          <c:idx val="0"/>
          <c:order val="0"/>
          <c:tx>
            <c:strRef>
              <c:f>'Int Analysis'!$B$130</c:f>
              <c:strCache>
                <c:ptCount val="1"/>
                <c:pt idx="0">
                  <c:v>Heathrow</c:v>
                </c:pt>
              </c:strCache>
            </c:strRef>
          </c:tx>
          <c:spPr>
            <a:ln w="15875"/>
          </c:spPr>
          <c:cat>
            <c:numRef>
              <c:f>'Int Analysis'!$C$123:$O$123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Analysis'!$C$130:$O$130</c:f>
              <c:numCache>
                <c:formatCode>#,##0.00</c:formatCode>
                <c:ptCount val="13"/>
                <c:pt idx="0">
                  <c:v>2.418570686696107</c:v>
                </c:pt>
                <c:pt idx="1">
                  <c:v>2.852768369192455</c:v>
                </c:pt>
                <c:pt idx="2">
                  <c:v>2.9933388456578465</c:v>
                </c:pt>
                <c:pt idx="3">
                  <c:v>3.2182838730315528</c:v>
                </c:pt>
                <c:pt idx="4">
                  <c:v>3.2276690522542699</c:v>
                </c:pt>
                <c:pt idx="5">
                  <c:v>3.3142253304488691</c:v>
                </c:pt>
                <c:pt idx="6">
                  <c:v>3.4385306766580475</c:v>
                </c:pt>
                <c:pt idx="7">
                  <c:v>3.6033190647988285</c:v>
                </c:pt>
                <c:pt idx="8">
                  <c:v>4.4468682447070051</c:v>
                </c:pt>
                <c:pt idx="9">
                  <c:v>3.8138069056561164</c:v>
                </c:pt>
                <c:pt idx="10">
                  <c:v>3.9691784243021431</c:v>
                </c:pt>
                <c:pt idx="11">
                  <c:v>3.8118331342525278</c:v>
                </c:pt>
                <c:pt idx="12">
                  <c:v>4.07009092807799</c:v>
                </c:pt>
              </c:numCache>
            </c:numRef>
          </c:val>
        </c:ser>
        <c:ser>
          <c:idx val="1"/>
          <c:order val="1"/>
          <c:tx>
            <c:strRef>
              <c:f>'Int Analysis'!$B$128</c:f>
              <c:strCache>
                <c:ptCount val="1"/>
                <c:pt idx="0">
                  <c:v>Gatwick</c:v>
                </c:pt>
              </c:strCache>
            </c:strRef>
          </c:tx>
          <c:spPr>
            <a:ln w="15875"/>
          </c:spPr>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Analysis'!$C$128:$O$128</c:f>
              <c:numCache>
                <c:formatCode>#,##0.00</c:formatCode>
                <c:ptCount val="13"/>
                <c:pt idx="0">
                  <c:v>2.4059641632674267</c:v>
                </c:pt>
                <c:pt idx="1">
                  <c:v>2.6908500016444021</c:v>
                </c:pt>
                <c:pt idx="2">
                  <c:v>2.9861882236292634</c:v>
                </c:pt>
                <c:pt idx="3">
                  <c:v>3.2936891913048472</c:v>
                </c:pt>
                <c:pt idx="4">
                  <c:v>3.1128571758744257</c:v>
                </c:pt>
                <c:pt idx="5">
                  <c:v>3.0060597396309805</c:v>
                </c:pt>
                <c:pt idx="6">
                  <c:v>2.6966153556318635</c:v>
                </c:pt>
                <c:pt idx="7">
                  <c:v>3.0973294104699631</c:v>
                </c:pt>
                <c:pt idx="8">
                  <c:v>3.4022125383893012</c:v>
                </c:pt>
                <c:pt idx="9">
                  <c:v>4.7205702658510083</c:v>
                </c:pt>
                <c:pt idx="10">
                  <c:v>4.2561418099043031</c:v>
                </c:pt>
                <c:pt idx="11">
                  <c:v>4.1560106651811912</c:v>
                </c:pt>
                <c:pt idx="12">
                  <c:v>4.2219746601001065</c:v>
                </c:pt>
              </c:numCache>
            </c:numRef>
          </c:val>
        </c:ser>
        <c:ser>
          <c:idx val="2"/>
          <c:order val="2"/>
          <c:tx>
            <c:strRef>
              <c:f>'Int Analysis'!$B$134</c:f>
              <c:strCache>
                <c:ptCount val="1"/>
                <c:pt idx="0">
                  <c:v>Stansted</c:v>
                </c:pt>
              </c:strCache>
            </c:strRef>
          </c:tx>
          <c:spPr>
            <a:ln w="15875">
              <a:solidFill>
                <a:schemeClr val="accent4"/>
              </a:solidFill>
              <a:prstDash val="solid"/>
            </a:ln>
          </c:spPr>
          <c:marker>
            <c:spPr>
              <a:solidFill>
                <a:schemeClr val="accent4"/>
              </a:solidFill>
              <a:ln>
                <a:solidFill>
                  <a:schemeClr val="accent4"/>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Analysis'!$C$134:$O$134</c:f>
              <c:numCache>
                <c:formatCode>#,##0.00</c:formatCode>
                <c:ptCount val="13"/>
                <c:pt idx="0">
                  <c:v>2.9896746172736566</c:v>
                </c:pt>
                <c:pt idx="1">
                  <c:v>2.5037278131958418</c:v>
                </c:pt>
                <c:pt idx="2">
                  <c:v>2.4097330970449629</c:v>
                </c:pt>
                <c:pt idx="3">
                  <c:v>2.3307045998166842</c:v>
                </c:pt>
                <c:pt idx="4">
                  <c:v>2.3517685878205996</c:v>
                </c:pt>
                <c:pt idx="5">
                  <c:v>2.2224751670093714</c:v>
                </c:pt>
                <c:pt idx="6">
                  <c:v>2.3404540588461753</c:v>
                </c:pt>
                <c:pt idx="7">
                  <c:v>2.3607974079751948</c:v>
                </c:pt>
                <c:pt idx="8">
                  <c:v>2.5822884696699679</c:v>
                </c:pt>
                <c:pt idx="9">
                  <c:v>2.6062095011074899</c:v>
                </c:pt>
                <c:pt idx="10">
                  <c:v>2.6056318923696384</c:v>
                </c:pt>
                <c:pt idx="11">
                  <c:v>2.8769727404968219</c:v>
                </c:pt>
                <c:pt idx="12">
                  <c:v>3.1034568623358418</c:v>
                </c:pt>
              </c:numCache>
            </c:numRef>
          </c:val>
        </c:ser>
        <c:ser>
          <c:idx val="3"/>
          <c:order val="3"/>
          <c:tx>
            <c:strRef>
              <c:f>'Int Analysis'!$B$141</c:f>
              <c:strCache>
                <c:ptCount val="1"/>
                <c:pt idx="0">
                  <c:v>Sample Average</c:v>
                </c:pt>
              </c:strCache>
            </c:strRef>
          </c:tx>
          <c:spPr>
            <a:ln w="12700">
              <a:solidFill>
                <a:schemeClr val="accent5"/>
              </a:solidFill>
              <a:prstDash val="solid"/>
            </a:ln>
          </c:spPr>
          <c:marker>
            <c:symbol val="circle"/>
            <c:size val="5"/>
            <c:spPr>
              <a:solidFill>
                <a:schemeClr val="accent5"/>
              </a:solidFill>
              <a:ln>
                <a:solidFill>
                  <a:schemeClr val="accent5"/>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txPr>
              <a:bodyPr/>
              <a:lstStyle/>
              <a:p>
                <a:pPr>
                  <a:defRPr sz="700"/>
                </a:pPr>
                <a:endParaRPr lang="en-US"/>
              </a:p>
            </c:txPr>
            <c:showVal val="1"/>
          </c:dLbls>
          <c:cat>
            <c:numRef>
              <c:f>'Int Analysis'!$C$41:$O$41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'Int Analysis'!$C$141:$O$141</c:f>
              <c:numCache>
                <c:formatCode>#,##0.00</c:formatCode>
                <c:ptCount val="13"/>
                <c:pt idx="0">
                  <c:v>3.7778502458231964</c:v>
                </c:pt>
                <c:pt idx="1">
                  <c:v>3.9629423260291854</c:v>
                </c:pt>
                <c:pt idx="2">
                  <c:v>3.914805242202708</c:v>
                </c:pt>
                <c:pt idx="3">
                  <c:v>3.9376356544980955</c:v>
                </c:pt>
                <c:pt idx="4">
                  <c:v>3.747411290949616</c:v>
                </c:pt>
                <c:pt idx="5">
                  <c:v>3.7964368784672078</c:v>
                </c:pt>
                <c:pt idx="6">
                  <c:v>3.7673440231457773</c:v>
                </c:pt>
                <c:pt idx="7">
                  <c:v>3.667147897077967</c:v>
                </c:pt>
                <c:pt idx="8">
                  <c:v>3.6898146477542926</c:v>
                </c:pt>
                <c:pt idx="9">
                  <c:v>3.8473189537564894</c:v>
                </c:pt>
                <c:pt idx="10">
                  <c:v>3.7793379819472372</c:v>
                </c:pt>
                <c:pt idx="11">
                  <c:v>3.5743491869632145</c:v>
                </c:pt>
                <c:pt idx="12">
                  <c:v>3.808760060860191</c:v>
                </c:pt>
              </c:numCache>
            </c:numRef>
          </c:val>
        </c:ser>
        <c:marker val="1"/>
        <c:axId val="100120832"/>
        <c:axId val="100167680"/>
      </c:lineChart>
      <c:catAx>
        <c:axId val="100120832"/>
        <c:scaling>
          <c:orientation val="minMax"/>
        </c:scaling>
        <c:axPos val="b"/>
        <c:numFmt formatCode="General" sourceLinked="1"/>
        <c:tickLblPos val="nextTo"/>
        <c:crossAx val="100167680"/>
        <c:crosses val="autoZero"/>
        <c:auto val="1"/>
        <c:lblAlgn val="ctr"/>
        <c:lblOffset val="100"/>
      </c:catAx>
      <c:valAx>
        <c:axId val="100167680"/>
        <c:scaling>
          <c:orientation val="minMax"/>
        </c:scaling>
        <c:axPos val="l"/>
        <c:majorGridlines/>
        <c:title>
          <c:tx>
            <c:rich>
              <a:bodyPr rot="-5400000" vert="horz"/>
              <a:lstStyle/>
              <a:p>
                <a:pPr>
                  <a:defRPr/>
                </a:pPr>
                <a:r>
                  <a:rPr lang="en-US"/>
                  <a:t>£ 2011/12</a:t>
                </a:r>
              </a:p>
            </c:rich>
          </c:tx>
        </c:title>
        <c:numFmt formatCode="#,##0.00" sourceLinked="1"/>
        <c:tickLblPos val="nextTo"/>
        <c:crossAx val="100120832"/>
        <c:crosses val="autoZero"/>
        <c:crossBetween val="between"/>
      </c:valAx>
    </c:plotArea>
    <c:legend>
      <c:legendPos val="r"/>
      <c:layout>
        <c:manualLayout>
          <c:xMode val="edge"/>
          <c:yMode val="edge"/>
          <c:x val="0.13444380155055441"/>
          <c:y val="5.6758545591161745E-2"/>
          <c:w val="0.85398850167642515"/>
          <c:h val="0.16870914945119747"/>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Total Opex per Pax (Factor Costs)</a:t>
            </a:r>
          </a:p>
        </c:rich>
      </c:tx>
      <c:overlay val="1"/>
    </c:title>
    <c:plotArea>
      <c:layout>
        <c:manualLayout>
          <c:layoutTarget val="inner"/>
          <c:xMode val="edge"/>
          <c:yMode val="edge"/>
          <c:x val="0.15738473315835524"/>
          <c:y val="0.13981609055408944"/>
          <c:w val="0.83106255468066459"/>
          <c:h val="0.66405855516395362"/>
        </c:manualLayout>
      </c:layout>
      <c:barChart>
        <c:barDir val="col"/>
        <c:grouping val="clustered"/>
        <c:ser>
          <c:idx val="0"/>
          <c:order val="0"/>
          <c:tx>
            <c:strRef>
              <c:f>'Int Analysis'!$BB$41</c:f>
              <c:strCache>
                <c:ptCount val="1"/>
                <c:pt idx="0">
                  <c:v>2012</c:v>
                </c:pt>
              </c:strCache>
            </c:strRef>
          </c:tx>
          <c:spPr>
            <a:solidFill>
              <a:schemeClr val="accent1"/>
            </a:solidFill>
          </c:spPr>
          <c:dLbls>
            <c:txPr>
              <a:bodyPr rot="-5400000" vert="horz"/>
              <a:lstStyle/>
              <a:p>
                <a:pPr>
                  <a:defRPr>
                    <a:solidFill>
                      <a:schemeClr val="bg1"/>
                    </a:solidFill>
                  </a:defRPr>
                </a:pPr>
                <a:endParaRPr lang="en-US"/>
              </a:p>
            </c:txPr>
            <c:dLblPos val="inEnd"/>
            <c:showVal val="1"/>
          </c:dLbls>
          <c:cat>
            <c:strRef>
              <c:f>'Int Analysis'!$BA$42:$BA$57</c:f>
              <c:strCache>
                <c:ptCount val="16"/>
                <c:pt idx="0">
                  <c:v>Heathrow</c:v>
                </c:pt>
                <c:pt idx="1">
                  <c:v>Munich</c:v>
                </c:pt>
                <c:pt idx="2">
                  <c:v>Amsterdam</c:v>
                </c:pt>
                <c:pt idx="3">
                  <c:v>Hong Kong</c:v>
                </c:pt>
                <c:pt idx="4">
                  <c:v>Zurich</c:v>
                </c:pt>
                <c:pt idx="5">
                  <c:v>Aberdeen</c:v>
                </c:pt>
                <c:pt idx="6">
                  <c:v>Manchester</c:v>
                </c:pt>
                <c:pt idx="7">
                  <c:v>Gatwick</c:v>
                </c:pt>
                <c:pt idx="8">
                  <c:v>Southampton</c:v>
                </c:pt>
                <c:pt idx="9">
                  <c:v>Edinburgh</c:v>
                </c:pt>
                <c:pt idx="10">
                  <c:v>Stansted</c:v>
                </c:pt>
                <c:pt idx="11">
                  <c:v>Birmingham</c:v>
                </c:pt>
                <c:pt idx="12">
                  <c:v>Dublin </c:v>
                </c:pt>
                <c:pt idx="13">
                  <c:v>Glasgow</c:v>
                </c:pt>
                <c:pt idx="14">
                  <c:v>Luton</c:v>
                </c:pt>
                <c:pt idx="15">
                  <c:v>Copenhagen</c:v>
                </c:pt>
              </c:strCache>
            </c:strRef>
          </c:cat>
          <c:val>
            <c:numRef>
              <c:f>'Int Analysis'!$BB$42:$BB$57</c:f>
              <c:numCache>
                <c:formatCode>_-* #,##0.00_-;\-* #,##0.00_-;_-* "-"??_-;_-@_-</c:formatCode>
                <c:ptCount val="16"/>
                <c:pt idx="0">
                  <c:v>23.495588412825093</c:v>
                </c:pt>
                <c:pt idx="1">
                  <c:v>18.727779641016422</c:v>
                </c:pt>
                <c:pt idx="2">
                  <c:v>13.602910922382113</c:v>
                </c:pt>
                <c:pt idx="3">
                  <c:v>12.73356850328163</c:v>
                </c:pt>
                <c:pt idx="4">
                  <c:v>12.648154884484711</c:v>
                </c:pt>
                <c:pt idx="5">
                  <c:v>12.64051720447778</c:v>
                </c:pt>
                <c:pt idx="6">
                  <c:v>12.131485887606106</c:v>
                </c:pt>
                <c:pt idx="7">
                  <c:v>11.963677356755834</c:v>
                </c:pt>
                <c:pt idx="8">
                  <c:v>11.321720829307379</c:v>
                </c:pt>
                <c:pt idx="9">
                  <c:v>11.112244607329567</c:v>
                </c:pt>
                <c:pt idx="10">
                  <c:v>10.926404881088713</c:v>
                </c:pt>
                <c:pt idx="11">
                  <c:v>10.447115630182948</c:v>
                </c:pt>
                <c:pt idx="12">
                  <c:v>9.8417602464937914</c:v>
                </c:pt>
                <c:pt idx="13">
                  <c:v>9.7420497702346776</c:v>
                </c:pt>
                <c:pt idx="14">
                  <c:v>9.5016989066774507</c:v>
                </c:pt>
                <c:pt idx="15">
                  <c:v>7.4629889864080425</c:v>
                </c:pt>
              </c:numCache>
            </c:numRef>
          </c:val>
        </c:ser>
        <c:gapWidth val="50"/>
        <c:axId val="100207232"/>
        <c:axId val="100249984"/>
      </c:barChart>
      <c:lineChart>
        <c:grouping val="standard"/>
        <c:ser>
          <c:idx val="2"/>
          <c:order val="1"/>
          <c:tx>
            <c:v>Average</c:v>
          </c:tx>
          <c:spPr>
            <a:ln w="12700">
              <a:solidFill>
                <a:schemeClr val="tx2"/>
              </a:solidFill>
              <a:prstDash val="dash"/>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layout>
                <c:manualLayout>
                  <c:x val="-1.4699210177871834E-2"/>
                  <c:y val="-2.5303265615552014E-2"/>
                </c:manualLayout>
              </c:layout>
              <c:showVal val="1"/>
            </c:dLbl>
            <c:txPr>
              <a:bodyPr/>
              <a:lstStyle/>
              <a:p>
                <a:pPr>
                  <a:defRPr sz="800"/>
                </a:pPr>
                <a:endParaRPr lang="en-US"/>
              </a:p>
            </c:txPr>
            <c:showVal val="1"/>
          </c:dLbls>
          <c:cat>
            <c:strRef>
              <c:f>'Int Analysis'!$BA$42:$BA$57</c:f>
              <c:strCache>
                <c:ptCount val="16"/>
                <c:pt idx="0">
                  <c:v>Heathrow</c:v>
                </c:pt>
                <c:pt idx="1">
                  <c:v>Munich</c:v>
                </c:pt>
                <c:pt idx="2">
                  <c:v>Amsterdam</c:v>
                </c:pt>
                <c:pt idx="3">
                  <c:v>Hong Kong</c:v>
                </c:pt>
                <c:pt idx="4">
                  <c:v>Zurich</c:v>
                </c:pt>
                <c:pt idx="5">
                  <c:v>Aberdeen</c:v>
                </c:pt>
                <c:pt idx="6">
                  <c:v>Manchester</c:v>
                </c:pt>
                <c:pt idx="7">
                  <c:v>Gatwick</c:v>
                </c:pt>
                <c:pt idx="8">
                  <c:v>Southampton</c:v>
                </c:pt>
                <c:pt idx="9">
                  <c:v>Edinburgh</c:v>
                </c:pt>
                <c:pt idx="10">
                  <c:v>Stansted</c:v>
                </c:pt>
                <c:pt idx="11">
                  <c:v>Birmingham</c:v>
                </c:pt>
                <c:pt idx="12">
                  <c:v>Dublin </c:v>
                </c:pt>
                <c:pt idx="13">
                  <c:v>Glasgow</c:v>
                </c:pt>
                <c:pt idx="14">
                  <c:v>Luton</c:v>
                </c:pt>
                <c:pt idx="15">
                  <c:v>Copenhagen</c:v>
                </c:pt>
              </c:strCache>
            </c:strRef>
          </c:cat>
          <c:val>
            <c:numRef>
              <c:f>'Int Analysis'!$BD$42:$BD$57</c:f>
              <c:numCache>
                <c:formatCode>_-* #,##0.00_-;\-* #,##0.00_-;_-* "-"??_-;_-@_-</c:formatCode>
                <c:ptCount val="16"/>
                <c:pt idx="0">
                  <c:v>12.393729166909516</c:v>
                </c:pt>
                <c:pt idx="1">
                  <c:v>12.393729166909516</c:v>
                </c:pt>
                <c:pt idx="2">
                  <c:v>12.393729166909516</c:v>
                </c:pt>
                <c:pt idx="3">
                  <c:v>12.393729166909516</c:v>
                </c:pt>
                <c:pt idx="4">
                  <c:v>12.393729166909516</c:v>
                </c:pt>
                <c:pt idx="5">
                  <c:v>12.393729166909516</c:v>
                </c:pt>
                <c:pt idx="6">
                  <c:v>12.393729166909516</c:v>
                </c:pt>
                <c:pt idx="7">
                  <c:v>12.393729166909516</c:v>
                </c:pt>
                <c:pt idx="8">
                  <c:v>12.393729166909516</c:v>
                </c:pt>
                <c:pt idx="9">
                  <c:v>12.393729166909516</c:v>
                </c:pt>
                <c:pt idx="10">
                  <c:v>12.393729166909516</c:v>
                </c:pt>
                <c:pt idx="11">
                  <c:v>12.393729166909516</c:v>
                </c:pt>
                <c:pt idx="12">
                  <c:v>12.393729166909516</c:v>
                </c:pt>
                <c:pt idx="13">
                  <c:v>12.393729166909516</c:v>
                </c:pt>
                <c:pt idx="14">
                  <c:v>12.393729166909516</c:v>
                </c:pt>
                <c:pt idx="15">
                  <c:v>12.393729166909516</c:v>
                </c:pt>
              </c:numCache>
            </c:numRef>
          </c:val>
        </c:ser>
        <c:ser>
          <c:idx val="1"/>
          <c:order val="2"/>
          <c:tx>
            <c:strRef>
              <c:f>'Int Analysis'!$V$63</c:f>
              <c:strCache>
                <c:ptCount val="1"/>
                <c:pt idx="0">
                  <c:v>Average (ex AMS)</c:v>
                </c:pt>
              </c:strCache>
            </c:strRef>
          </c:tx>
          <c:spPr>
            <a:ln w="12700">
              <a:solidFill>
                <a:srgbClr val="6AAD11"/>
              </a:solidFill>
              <a:prstDash val="sysDash"/>
            </a:ln>
          </c:spPr>
          <c:marker>
            <c:symbol val="none"/>
          </c:marker>
          <c:dLbls>
            <c:dLbl>
              <c:idx val="15"/>
              <c:layout>
                <c:manualLayout>
                  <c:x val="-1.2599323009604584E-2"/>
                  <c:y val="2.2140357413608047E-2"/>
                </c:manualLayout>
              </c:layout>
              <c:showVal val="1"/>
            </c:dLbl>
            <c:delete val="1"/>
          </c:dLbls>
          <c:val>
            <c:numRef>
              <c:f>'Int Analysis'!$BE$42:$BE$57</c:f>
              <c:numCache>
                <c:formatCode>_-* #,##0.00_-;\-* #,##0.00_-;_-* "-"??_-;_-@_-</c:formatCode>
                <c:ptCount val="16"/>
                <c:pt idx="0">
                  <c:v>11.543547234260634</c:v>
                </c:pt>
                <c:pt idx="1">
                  <c:v>11.543547234260634</c:v>
                </c:pt>
                <c:pt idx="2">
                  <c:v>11.543547234260634</c:v>
                </c:pt>
                <c:pt idx="3">
                  <c:v>11.543547234260634</c:v>
                </c:pt>
                <c:pt idx="4">
                  <c:v>11.543547234260634</c:v>
                </c:pt>
                <c:pt idx="5">
                  <c:v>11.543547234260634</c:v>
                </c:pt>
                <c:pt idx="6">
                  <c:v>11.543547234260634</c:v>
                </c:pt>
                <c:pt idx="7">
                  <c:v>11.543547234260634</c:v>
                </c:pt>
                <c:pt idx="8">
                  <c:v>11.543547234260634</c:v>
                </c:pt>
                <c:pt idx="9">
                  <c:v>11.543547234260634</c:v>
                </c:pt>
                <c:pt idx="10">
                  <c:v>11.543547234260634</c:v>
                </c:pt>
                <c:pt idx="11">
                  <c:v>11.543547234260634</c:v>
                </c:pt>
                <c:pt idx="12">
                  <c:v>11.543547234260634</c:v>
                </c:pt>
                <c:pt idx="13">
                  <c:v>11.543547234260634</c:v>
                </c:pt>
                <c:pt idx="14">
                  <c:v>11.543547234260634</c:v>
                </c:pt>
                <c:pt idx="15">
                  <c:v>11.543547234260634</c:v>
                </c:pt>
              </c:numCache>
            </c:numRef>
          </c:val>
        </c:ser>
        <c:marker val="1"/>
        <c:axId val="100207232"/>
        <c:axId val="100249984"/>
      </c:lineChart>
      <c:catAx>
        <c:axId val="100207232"/>
        <c:scaling>
          <c:orientation val="minMax"/>
        </c:scaling>
        <c:axPos val="b"/>
        <c:numFmt formatCode="General" sourceLinked="1"/>
        <c:tickLblPos val="nextTo"/>
        <c:crossAx val="100249984"/>
        <c:crosses val="autoZero"/>
        <c:auto val="1"/>
        <c:lblAlgn val="ctr"/>
        <c:lblOffset val="100"/>
      </c:catAx>
      <c:valAx>
        <c:axId val="100249984"/>
        <c:scaling>
          <c:orientation val="minMax"/>
        </c:scaling>
        <c:axPos val="l"/>
        <c:majorGridlines/>
        <c:title>
          <c:tx>
            <c:rich>
              <a:bodyPr rot="-5400000" vert="horz"/>
              <a:lstStyle/>
              <a:p>
                <a:pPr>
                  <a:defRPr/>
                </a:pPr>
                <a:r>
                  <a:rPr lang="en-US"/>
                  <a:t>£ 2011/12</a:t>
                </a:r>
              </a:p>
            </c:rich>
          </c:tx>
        </c:title>
        <c:numFmt formatCode="_-* #,##0.00_-;\-* #,##0.00_-;_-* &quot;-&quot;??_-;_-@_-" sourceLinked="1"/>
        <c:tickLblPos val="nextTo"/>
        <c:crossAx val="100207232"/>
        <c:crosses val="autoZero"/>
        <c:crossBetween val="between"/>
      </c:valAx>
    </c:plotArea>
    <c:legend>
      <c:legendPos val="r"/>
      <c:legendEntry>
        <c:idx val="0"/>
        <c:delete val="1"/>
      </c:legendEntry>
      <c:layout>
        <c:manualLayout>
          <c:xMode val="edge"/>
          <c:yMode val="edge"/>
          <c:x val="0.68683109499691131"/>
          <c:y val="0.15802835758893943"/>
          <c:w val="0.27117116163773997"/>
          <c:h val="9.3910480234065202E-2"/>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64</xdr:col>
      <xdr:colOff>382045</xdr:colOff>
      <xdr:row>37</xdr:row>
      <xdr:rowOff>0</xdr:rowOff>
    </xdr:from>
    <xdr:to>
      <xdr:col>74</xdr:col>
      <xdr:colOff>301450</xdr:colOff>
      <xdr:row>62</xdr:row>
      <xdr:rowOff>88971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0</xdr:colOff>
      <xdr:row>67</xdr:row>
      <xdr:rowOff>0</xdr:rowOff>
    </xdr:from>
    <xdr:to>
      <xdr:col>74</xdr:col>
      <xdr:colOff>531727</xdr:colOff>
      <xdr:row>91</xdr:row>
      <xdr:rowOff>163286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0</xdr:colOff>
      <xdr:row>95</xdr:row>
      <xdr:rowOff>0</xdr:rowOff>
    </xdr:from>
    <xdr:to>
      <xdr:col>74</xdr:col>
      <xdr:colOff>531727</xdr:colOff>
      <xdr:row>121</xdr:row>
      <xdr:rowOff>122465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-1</xdr:colOff>
      <xdr:row>123</xdr:row>
      <xdr:rowOff>0</xdr:rowOff>
    </xdr:from>
    <xdr:to>
      <xdr:col>75</xdr:col>
      <xdr:colOff>68823</xdr:colOff>
      <xdr:row>148</xdr:row>
      <xdr:rowOff>46324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353784</xdr:colOff>
      <xdr:row>37</xdr:row>
      <xdr:rowOff>122464</xdr:rowOff>
    </xdr:from>
    <xdr:to>
      <xdr:col>95</xdr:col>
      <xdr:colOff>314607</xdr:colOff>
      <xdr:row>64</xdr:row>
      <xdr:rowOff>5502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86</xdr:col>
      <xdr:colOff>144955</xdr:colOff>
      <xdr:row>66</xdr:row>
      <xdr:rowOff>13929</xdr:rowOff>
    </xdr:from>
    <xdr:to>
      <xdr:col>96</xdr:col>
      <xdr:colOff>213779</xdr:colOff>
      <xdr:row>92</xdr:row>
      <xdr:rowOff>101074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86</xdr:col>
      <xdr:colOff>455437</xdr:colOff>
      <xdr:row>95</xdr:row>
      <xdr:rowOff>40822</xdr:rowOff>
    </xdr:from>
    <xdr:to>
      <xdr:col>96</xdr:col>
      <xdr:colOff>524261</xdr:colOff>
      <xdr:row>122</xdr:row>
      <xdr:rowOff>93548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87</xdr:col>
      <xdr:colOff>160884</xdr:colOff>
      <xdr:row>123</xdr:row>
      <xdr:rowOff>98450</xdr:rowOff>
    </xdr:from>
    <xdr:to>
      <xdr:col>97</xdr:col>
      <xdr:colOff>229707</xdr:colOff>
      <xdr:row>148</xdr:row>
      <xdr:rowOff>151176</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75</xdr:col>
      <xdr:colOff>0</xdr:colOff>
      <xdr:row>37</xdr:row>
      <xdr:rowOff>0</xdr:rowOff>
    </xdr:from>
    <xdr:to>
      <xdr:col>84</xdr:col>
      <xdr:colOff>531726</xdr:colOff>
      <xdr:row>60</xdr:row>
      <xdr:rowOff>122466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96</xdr:col>
      <xdr:colOff>0</xdr:colOff>
      <xdr:row>37</xdr:row>
      <xdr:rowOff>0</xdr:rowOff>
    </xdr:from>
    <xdr:to>
      <xdr:col>105</xdr:col>
      <xdr:colOff>573144</xdr:colOff>
      <xdr:row>63</xdr:row>
      <xdr:rowOff>46324</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462644</xdr:colOff>
      <xdr:row>67</xdr:row>
      <xdr:rowOff>27214</xdr:rowOff>
    </xdr:from>
    <xdr:to>
      <xdr:col>85</xdr:col>
      <xdr:colOff>382049</xdr:colOff>
      <xdr:row>91</xdr:row>
      <xdr:rowOff>190500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97</xdr:col>
      <xdr:colOff>0</xdr:colOff>
      <xdr:row>66</xdr:row>
      <xdr:rowOff>0</xdr:rowOff>
    </xdr:from>
    <xdr:to>
      <xdr:col>107</xdr:col>
      <xdr:colOff>68824</xdr:colOff>
      <xdr:row>92</xdr:row>
      <xdr:rowOff>87145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75</xdr:col>
      <xdr:colOff>598715</xdr:colOff>
      <xdr:row>95</xdr:row>
      <xdr:rowOff>13608</xdr:rowOff>
    </xdr:from>
    <xdr:to>
      <xdr:col>85</xdr:col>
      <xdr:colOff>518120</xdr:colOff>
      <xdr:row>121</xdr:row>
      <xdr:rowOff>136073</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97</xdr:col>
      <xdr:colOff>435427</xdr:colOff>
      <xdr:row>94</xdr:row>
      <xdr:rowOff>108856</xdr:rowOff>
    </xdr:from>
    <xdr:to>
      <xdr:col>107</xdr:col>
      <xdr:colOff>504251</xdr:colOff>
      <xdr:row>121</xdr:row>
      <xdr:rowOff>161583</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76</xdr:col>
      <xdr:colOff>0</xdr:colOff>
      <xdr:row>123</xdr:row>
      <xdr:rowOff>0</xdr:rowOff>
    </xdr:from>
    <xdr:to>
      <xdr:col>86</xdr:col>
      <xdr:colOff>68824</xdr:colOff>
      <xdr:row>148</xdr:row>
      <xdr:rowOff>46324</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98</xdr:col>
      <xdr:colOff>0</xdr:colOff>
      <xdr:row>123</xdr:row>
      <xdr:rowOff>0</xdr:rowOff>
    </xdr:from>
    <xdr:to>
      <xdr:col>108</xdr:col>
      <xdr:colOff>68823</xdr:colOff>
      <xdr:row>148</xdr:row>
      <xdr:rowOff>52726</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87</xdr:col>
      <xdr:colOff>280147</xdr:colOff>
      <xdr:row>149</xdr:row>
      <xdr:rowOff>134470</xdr:rowOff>
    </xdr:from>
    <xdr:to>
      <xdr:col>97</xdr:col>
      <xdr:colOff>348970</xdr:colOff>
      <xdr:row>172</xdr:row>
      <xdr:rowOff>142184</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98</xdr:col>
      <xdr:colOff>358588</xdr:colOff>
      <xdr:row>150</xdr:row>
      <xdr:rowOff>11206</xdr:rowOff>
    </xdr:from>
    <xdr:to>
      <xdr:col>108</xdr:col>
      <xdr:colOff>427411</xdr:colOff>
      <xdr:row>173</xdr:row>
      <xdr:rowOff>18921</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88</xdr:col>
      <xdr:colOff>270368</xdr:colOff>
      <xdr:row>200</xdr:row>
      <xdr:rowOff>129581</xdr:rowOff>
    </xdr:from>
    <xdr:to>
      <xdr:col>98</xdr:col>
      <xdr:colOff>339190</xdr:colOff>
      <xdr:row>226</xdr:row>
      <xdr:rowOff>2199</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99</xdr:col>
      <xdr:colOff>524638</xdr:colOff>
      <xdr:row>200</xdr:row>
      <xdr:rowOff>62346</xdr:rowOff>
    </xdr:from>
    <xdr:to>
      <xdr:col>109</xdr:col>
      <xdr:colOff>593461</xdr:colOff>
      <xdr:row>225</xdr:row>
      <xdr:rowOff>87364</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88</xdr:col>
      <xdr:colOff>421064</xdr:colOff>
      <xdr:row>223</xdr:row>
      <xdr:rowOff>77932</xdr:rowOff>
    </xdr:from>
    <xdr:to>
      <xdr:col>99</xdr:col>
      <xdr:colOff>100214</xdr:colOff>
      <xdr:row>251</xdr:row>
      <xdr:rowOff>92632</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100</xdr:col>
      <xdr:colOff>268766</xdr:colOff>
      <xdr:row>223</xdr:row>
      <xdr:rowOff>50718</xdr:rowOff>
    </xdr:from>
    <xdr:to>
      <xdr:col>110</xdr:col>
      <xdr:colOff>544527</xdr:colOff>
      <xdr:row>251</xdr:row>
      <xdr:rowOff>44636</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110</xdr:col>
      <xdr:colOff>483177</xdr:colOff>
      <xdr:row>198</xdr:row>
      <xdr:rowOff>92652</xdr:rowOff>
    </xdr:from>
    <xdr:to>
      <xdr:col>120</xdr:col>
      <xdr:colOff>552000</xdr:colOff>
      <xdr:row>222</xdr:row>
      <xdr:rowOff>151440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88</xdr:col>
      <xdr:colOff>27215</xdr:colOff>
      <xdr:row>175</xdr:row>
      <xdr:rowOff>149679</xdr:rowOff>
    </xdr:from>
    <xdr:to>
      <xdr:col>98</xdr:col>
      <xdr:colOff>96036</xdr:colOff>
      <xdr:row>200</xdr:row>
      <xdr:rowOff>190500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99</xdr:col>
      <xdr:colOff>245918</xdr:colOff>
      <xdr:row>175</xdr:row>
      <xdr:rowOff>138545</xdr:rowOff>
    </xdr:from>
    <xdr:to>
      <xdr:col>109</xdr:col>
      <xdr:colOff>314740</xdr:colOff>
      <xdr:row>200</xdr:row>
      <xdr:rowOff>187807</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109</xdr:col>
      <xdr:colOff>0</xdr:colOff>
      <xdr:row>94</xdr:row>
      <xdr:rowOff>0</xdr:rowOff>
    </xdr:from>
    <xdr:to>
      <xdr:col>119</xdr:col>
      <xdr:colOff>68824</xdr:colOff>
      <xdr:row>121</xdr:row>
      <xdr:rowOff>52727</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65</xdr:col>
      <xdr:colOff>163285</xdr:colOff>
      <xdr:row>15</xdr:row>
      <xdr:rowOff>0</xdr:rowOff>
    </xdr:from>
    <xdr:to>
      <xdr:col>75</xdr:col>
      <xdr:colOff>82692</xdr:colOff>
      <xdr:row>37</xdr:row>
      <xdr:rowOff>0</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86</xdr:col>
      <xdr:colOff>217714</xdr:colOff>
      <xdr:row>14</xdr:row>
      <xdr:rowOff>0</xdr:rowOff>
    </xdr:from>
    <xdr:to>
      <xdr:col>96</xdr:col>
      <xdr:colOff>178537</xdr:colOff>
      <xdr:row>37</xdr:row>
      <xdr:rowOff>0</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108</xdr:col>
      <xdr:colOff>557893</xdr:colOff>
      <xdr:row>37</xdr:row>
      <xdr:rowOff>0</xdr:rowOff>
    </xdr:from>
    <xdr:to>
      <xdr:col>118</xdr:col>
      <xdr:colOff>518715</xdr:colOff>
      <xdr:row>63</xdr:row>
      <xdr:rowOff>46324</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119</xdr:col>
      <xdr:colOff>557892</xdr:colOff>
      <xdr:row>93</xdr:row>
      <xdr:rowOff>54429</xdr:rowOff>
    </xdr:from>
    <xdr:to>
      <xdr:col>130</xdr:col>
      <xdr:colOff>14394</xdr:colOff>
      <xdr:row>120</xdr:row>
      <xdr:rowOff>147977</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120</xdr:col>
      <xdr:colOff>0</xdr:colOff>
      <xdr:row>36</xdr:row>
      <xdr:rowOff>0</xdr:rowOff>
    </xdr:from>
    <xdr:to>
      <xdr:col>129</xdr:col>
      <xdr:colOff>573144</xdr:colOff>
      <xdr:row>62</xdr:row>
      <xdr:rowOff>19109</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122</xdr:col>
      <xdr:colOff>0</xdr:colOff>
      <xdr:row>198</xdr:row>
      <xdr:rowOff>0</xdr:rowOff>
    </xdr:from>
    <xdr:to>
      <xdr:col>132</xdr:col>
      <xdr:colOff>68823</xdr:colOff>
      <xdr:row>222</xdr:row>
      <xdr:rowOff>58788</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502227</xdr:colOff>
      <xdr:row>516</xdr:row>
      <xdr:rowOff>40821</xdr:rowOff>
    </xdr:from>
    <xdr:to>
      <xdr:col>16</xdr:col>
      <xdr:colOff>163286</xdr:colOff>
      <xdr:row>533</xdr:row>
      <xdr:rowOff>108857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530678</xdr:colOff>
      <xdr:row>514</xdr:row>
      <xdr:rowOff>122466</xdr:rowOff>
    </xdr:from>
    <xdr:to>
      <xdr:col>17</xdr:col>
      <xdr:colOff>598714</xdr:colOff>
      <xdr:row>532</xdr:row>
      <xdr:rowOff>68036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1006928</xdr:colOff>
      <xdr:row>8</xdr:row>
      <xdr:rowOff>122465</xdr:rowOff>
    </xdr:from>
    <xdr:to>
      <xdr:col>10</xdr:col>
      <xdr:colOff>122464</xdr:colOff>
      <xdr:row>25</xdr:row>
      <xdr:rowOff>40821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caafs01\Userdata$\ERCP\airports%20reg\Q6\Opex%20review\Airport%20Business%20Plan%20Analysis\Airport%20Business%20Plan%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RCP\airports%20reg\Q6\Opex%20review\Consultancy\Scope%20for%20Efficiency\Work\Draft%20Final%20Report\Model%20Data\CEPA%20CAA%20RUOE%20model%20-%20Sent%20to%20CA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Notes"/>
      <sheetName val="HTW - IBP "/>
      <sheetName val="HTW - Reg"/>
      <sheetName val="GAT - IBP"/>
      <sheetName val="GAT - Reg"/>
      <sheetName val="STN - IBP"/>
      <sheetName val="STN - Reg"/>
      <sheetName val="Q Summary"/>
      <sheetName val="Airport Analysis"/>
      <sheetName val="RPI"/>
      <sheetName val="CPI"/>
      <sheetName val="Inflation"/>
    </sheetNames>
    <sheetDataSet>
      <sheetData sheetId="0" refreshError="1"/>
      <sheetData sheetId="1" refreshError="1"/>
      <sheetData sheetId="2" refreshError="1"/>
      <sheetData sheetId="3" refreshError="1">
        <row r="36">
          <cell r="F36">
            <v>91.3</v>
          </cell>
          <cell r="G36">
            <v>92.9</v>
          </cell>
          <cell r="H36">
            <v>102.4</v>
          </cell>
          <cell r="I36">
            <v>110.6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ents &amp; Control"/>
      <sheetName val="General Inputs  &gt;&gt;&gt;"/>
      <sheetName val="RPI (GB)"/>
      <sheetName val="Excluded years"/>
      <sheetName val="Output Summary  &gt;&gt;&gt;"/>
      <sheetName val="Total opex"/>
      <sheetName val="sensitivity"/>
      <sheetName val="Company analysis (1)"/>
      <sheetName val="Company analysis (2)"/>
      <sheetName val="Industry analysis"/>
      <sheetName val="Airport inputs  &gt;&gt;&gt;"/>
      <sheetName val="UK  &gt;&gt;&gt;"/>
      <sheetName val="Airport UK opex"/>
      <sheetName val="Airport UK passengers"/>
      <sheetName val="Opex vs Pax"/>
      <sheetName val="Airport UK flights"/>
      <sheetName val="Airport UK WLUs"/>
      <sheetName val="Non-UK  &gt;&gt;&gt;"/>
      <sheetName val="Airport non-UK opex"/>
      <sheetName val="Airport non-UK passengers"/>
      <sheetName val="Airport non-UK flights"/>
      <sheetName val="Passengers"/>
      <sheetName val="RUOE calcs  &gt;&gt;"/>
      <sheetName val="Airports - UK Des &gt;&gt;&gt;"/>
      <sheetName val="Air UK Des Inputs (De)"/>
      <sheetName val="Air UK Des Inputs (Op)"/>
      <sheetName val="Air UK Des RUOE calcs"/>
      <sheetName val="Air UK Des Summary"/>
      <sheetName val="Airports - UK non-des &gt;&gt;&gt;"/>
      <sheetName val="Air UK non-des Inputs (De)"/>
      <sheetName val="Air UK non-des Inputs (Op)"/>
      <sheetName val="Air UK non-des RUOE calcs"/>
      <sheetName val="Air UK non-des Summary"/>
      <sheetName val="Airports - non-UK &gt;&gt;&gt;"/>
      <sheetName val="Air non-UK Inputs (De)"/>
      <sheetName val="Air non-UK Inputs (Op)"/>
      <sheetName val="Air non-UK RUOE calcs"/>
      <sheetName val="Air non-UK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H13">
            <v>39.587974500000001</v>
          </cell>
          <cell r="I13">
            <v>39.832344499999998</v>
          </cell>
          <cell r="J13">
            <v>40.542106750000002</v>
          </cell>
          <cell r="K13">
            <v>40.605595000000001</v>
          </cell>
          <cell r="L13">
            <v>42.946659500000003</v>
          </cell>
          <cell r="M13">
            <v>44.638835999999998</v>
          </cell>
          <cell r="N13">
            <v>46.498286</v>
          </cell>
          <cell r="O13">
            <v>47.703750249999999</v>
          </cell>
          <cell r="P13">
            <v>46.465106749999997</v>
          </cell>
          <cell r="Q13">
            <v>43.980714749999997</v>
          </cell>
          <cell r="R13">
            <v>46.347624750000001</v>
          </cell>
          <cell r="S13">
            <v>50.891127750000003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SDG Blue">
      <a:dk1>
        <a:sysClr val="windowText" lastClr="000000"/>
      </a:dk1>
      <a:lt1>
        <a:sysClr val="window" lastClr="FFFFFF"/>
      </a:lt1>
      <a:dk2>
        <a:srgbClr val="9E0A34"/>
      </a:dk2>
      <a:lt2>
        <a:srgbClr val="F8F8F8"/>
      </a:lt2>
      <a:accent1>
        <a:srgbClr val="002C5B"/>
      </a:accent1>
      <a:accent2>
        <a:srgbClr val="98A2BD"/>
      </a:accent2>
      <a:accent3>
        <a:srgbClr val="FCD5BC"/>
      </a:accent3>
      <a:accent4>
        <a:srgbClr val="F37321"/>
      </a:accent4>
      <a:accent5>
        <a:srgbClr val="6AAD11"/>
      </a:accent5>
      <a:accent6>
        <a:srgbClr val="D2E7B8"/>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uncan.kernohan@caa.co.uk" TargetMode="External"/><Relationship Id="rId1" Type="http://schemas.openxmlformats.org/officeDocument/2006/relationships/hyperlink" Target="http://www.caa.co.uk/application.aspx?catid=33&amp;pagetype=65&amp;appid=11&amp;mode=detail&amp;id=55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ci-europe.org/policy/position-papers.html?view=group&amp;group=1&amp;id=6"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oanda.com/currency/converter/"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hyperlink" Target="http://data.worldbank.org/indicator/PA.NUS.PPPC.RF"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data.worldbank.org/indicator/SL.GDP.PCAP.EM.KD/countries/1W?display=default"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data.worldbank.org/indicator/SL.GDP.PCAP.EM.KD/countries/1W?display=defaul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worldairportawards.com/awards_2012/top40airports.htm" TargetMode="External"/><Relationship Id="rId1" Type="http://schemas.openxmlformats.org/officeDocument/2006/relationships/hyperlink" Target="http://www.aci.aero/Airport-Service-Quality/ASQ-Awards/2012-Winners"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autoPageBreaks="0" fitToPage="1"/>
  </sheetPr>
  <dimension ref="A1:M61"/>
  <sheetViews>
    <sheetView showGridLines="0" tabSelected="1" zoomScale="85" zoomScaleNormal="85" workbookViewId="0">
      <selection activeCell="I14" sqref="I14"/>
    </sheetView>
  </sheetViews>
  <sheetFormatPr defaultRowHeight="12.75" outlineLevelRow="1"/>
  <cols>
    <col min="1" max="1" width="3.140625" style="5" customWidth="1"/>
    <col min="2" max="2" width="7.5703125" style="5" customWidth="1"/>
    <col min="3" max="3" width="11.7109375" style="5" customWidth="1"/>
    <col min="4" max="5" width="10.7109375" style="5" customWidth="1"/>
    <col min="6" max="6" width="17.5703125" style="5" customWidth="1"/>
    <col min="7" max="7" width="35.7109375" style="5" customWidth="1"/>
    <col min="8" max="9" width="17.5703125" style="5" customWidth="1"/>
    <col min="10" max="10" width="5.5703125" style="5" customWidth="1"/>
    <col min="11" max="11" width="11.85546875" style="5" customWidth="1"/>
    <col min="12" max="12" width="5.5703125" style="5" customWidth="1"/>
    <col min="13" max="14" width="11.85546875" style="5" customWidth="1"/>
    <col min="15" max="16384" width="9.140625" style="5"/>
  </cols>
  <sheetData>
    <row r="1" spans="1:13" ht="12.75" customHeight="1">
      <c r="A1" s="58"/>
    </row>
    <row r="2" spans="1:13">
      <c r="B2" s="57" t="s">
        <v>134</v>
      </c>
      <c r="C2" s="56"/>
      <c r="D2" s="55" t="str">
        <f>D10</f>
        <v>Duncan Kernohan</v>
      </c>
      <c r="E2" s="54"/>
      <c r="F2" s="54"/>
      <c r="G2" s="54"/>
      <c r="H2" s="54"/>
      <c r="I2" s="54"/>
      <c r="J2" s="54"/>
      <c r="K2" s="54"/>
      <c r="L2" s="54"/>
      <c r="M2" s="54"/>
    </row>
    <row r="3" spans="1:13">
      <c r="B3" s="52" t="s">
        <v>137</v>
      </c>
      <c r="C3" s="51"/>
      <c r="D3" s="53" t="str">
        <f>Info!$D$11 &amp; " - " &amp; Info!$D$12</f>
        <v>Airport Opex Benchmarking 2013 - duncan.kernohan@caa.co.uk</v>
      </c>
      <c r="E3" s="49"/>
      <c r="F3" s="49"/>
      <c r="G3" s="49"/>
      <c r="H3" s="49"/>
      <c r="I3" s="49"/>
      <c r="J3" s="49"/>
      <c r="K3" s="49"/>
      <c r="L3" s="49"/>
      <c r="M3" s="49"/>
    </row>
    <row r="4" spans="1:13">
      <c r="B4" s="52" t="s">
        <v>130</v>
      </c>
      <c r="C4" s="51"/>
      <c r="D4" s="50">
        <f>$D$16</f>
        <v>2.8</v>
      </c>
      <c r="E4" s="49"/>
      <c r="F4" s="49"/>
      <c r="G4" s="49"/>
      <c r="H4" s="49"/>
      <c r="I4" s="49"/>
      <c r="J4" s="49"/>
      <c r="K4" s="49"/>
      <c r="L4" s="49"/>
      <c r="M4" s="49"/>
    </row>
    <row r="5" spans="1:13">
      <c r="B5" s="48" t="s">
        <v>136</v>
      </c>
      <c r="C5" s="47"/>
      <c r="D5" s="46" t="str">
        <f ca="1">IF(CELL("filename",C1)="","",MID(CELL("filename",A1),FIND("]",CELL("filename",A1))+1,99))</f>
        <v>Info</v>
      </c>
      <c r="E5" s="45"/>
      <c r="F5" s="45"/>
      <c r="G5" s="45"/>
      <c r="H5" s="45"/>
      <c r="I5" s="45"/>
      <c r="J5" s="45"/>
      <c r="K5" s="45"/>
      <c r="L5" s="45"/>
      <c r="M5" s="45"/>
    </row>
    <row r="8" spans="1:13" ht="16.5">
      <c r="B8" s="7" t="s">
        <v>135</v>
      </c>
      <c r="C8" s="6"/>
      <c r="D8" s="6"/>
      <c r="E8" s="6"/>
      <c r="F8" s="6"/>
      <c r="G8" s="6"/>
      <c r="H8" s="6"/>
      <c r="I8" s="6"/>
      <c r="J8" s="6"/>
      <c r="K8" s="6"/>
      <c r="L8" s="6"/>
      <c r="M8" s="6"/>
    </row>
    <row r="9" spans="1:13" outlineLevel="1"/>
    <row r="10" spans="1:13" outlineLevel="1">
      <c r="C10" s="5" t="s">
        <v>134</v>
      </c>
      <c r="D10" s="44" t="s">
        <v>140</v>
      </c>
      <c r="E10" s="43"/>
      <c r="F10" s="43"/>
      <c r="G10" s="42"/>
    </row>
    <row r="11" spans="1:13" outlineLevel="1">
      <c r="C11" s="5" t="s">
        <v>133</v>
      </c>
      <c r="D11" s="41" t="s">
        <v>1324</v>
      </c>
      <c r="E11" s="40"/>
      <c r="F11" s="40"/>
      <c r="G11" s="39"/>
    </row>
    <row r="12" spans="1:13" outlineLevel="1">
      <c r="C12" s="5" t="s">
        <v>1327</v>
      </c>
      <c r="D12" s="383" t="s">
        <v>1328</v>
      </c>
      <c r="E12" s="40"/>
      <c r="F12" s="40"/>
      <c r="G12" s="39"/>
    </row>
    <row r="13" spans="1:13" outlineLevel="1">
      <c r="C13" s="5" t="s">
        <v>1325</v>
      </c>
      <c r="D13" s="382" t="s">
        <v>1326</v>
      </c>
      <c r="E13" s="40"/>
      <c r="F13" s="40"/>
      <c r="G13" s="39"/>
    </row>
    <row r="14" spans="1:13" outlineLevel="1">
      <c r="C14" s="34" t="s">
        <v>129</v>
      </c>
      <c r="D14" s="38"/>
      <c r="E14" s="37"/>
      <c r="F14" s="37"/>
      <c r="G14" s="36"/>
    </row>
    <row r="15" spans="1:13" outlineLevel="1">
      <c r="D15" s="35"/>
    </row>
    <row r="16" spans="1:13" outlineLevel="1">
      <c r="C16" s="34" t="s">
        <v>130</v>
      </c>
      <c r="D16" s="33">
        <v>2.8</v>
      </c>
      <c r="F16" s="32"/>
    </row>
    <row r="18" spans="2:13" ht="16.5">
      <c r="B18" s="7" t="s">
        <v>132</v>
      </c>
      <c r="C18" s="6"/>
      <c r="D18" s="6"/>
      <c r="E18" s="6"/>
      <c r="F18" s="6"/>
      <c r="G18" s="6"/>
      <c r="H18" s="6"/>
      <c r="I18" s="6"/>
      <c r="J18" s="6"/>
      <c r="K18" s="6"/>
      <c r="L18" s="6"/>
      <c r="M18" s="6"/>
    </row>
    <row r="19" spans="2:13" outlineLevel="1"/>
    <row r="20" spans="2:13" outlineLevel="1">
      <c r="D20" s="30" t="s">
        <v>131</v>
      </c>
      <c r="E20" s="31" t="s">
        <v>130</v>
      </c>
      <c r="F20" s="30" t="s">
        <v>129</v>
      </c>
      <c r="H20" s="30" t="s">
        <v>128</v>
      </c>
      <c r="J20" s="29" t="s">
        <v>127</v>
      </c>
      <c r="K20" s="29"/>
      <c r="L20" s="29" t="s">
        <v>126</v>
      </c>
      <c r="M20" s="29"/>
    </row>
    <row r="21" spans="2:13" outlineLevel="1">
      <c r="C21" s="5">
        <v>1</v>
      </c>
      <c r="D21" s="28"/>
      <c r="E21" s="27">
        <v>1</v>
      </c>
      <c r="F21" s="16" t="s">
        <v>1353</v>
      </c>
      <c r="G21" s="14"/>
      <c r="H21" s="16"/>
      <c r="I21" s="14"/>
      <c r="J21" s="26" t="s">
        <v>269</v>
      </c>
      <c r="K21" s="25"/>
      <c r="L21" s="26"/>
      <c r="M21" s="25"/>
    </row>
    <row r="22" spans="2:13" outlineLevel="1">
      <c r="C22" s="5">
        <f t="shared" ref="C22:C25" si="0">C21+1</f>
        <v>2</v>
      </c>
      <c r="D22" s="24"/>
      <c r="E22" s="23">
        <v>2</v>
      </c>
      <c r="F22" s="13" t="s">
        <v>267</v>
      </c>
      <c r="G22" s="11"/>
      <c r="H22" s="13"/>
      <c r="I22" s="11"/>
      <c r="J22" s="22" t="s">
        <v>268</v>
      </c>
      <c r="K22" s="21">
        <v>41233</v>
      </c>
      <c r="L22" s="22"/>
      <c r="M22" s="21"/>
    </row>
    <row r="23" spans="2:13" outlineLevel="1">
      <c r="C23" s="5">
        <f t="shared" si="0"/>
        <v>3</v>
      </c>
      <c r="D23" s="24"/>
      <c r="E23" s="23">
        <v>2.2999999999999998</v>
      </c>
      <c r="F23" s="13" t="s">
        <v>1311</v>
      </c>
      <c r="G23" s="11"/>
      <c r="H23" s="13"/>
      <c r="I23" s="11"/>
      <c r="J23" s="22" t="s">
        <v>269</v>
      </c>
      <c r="K23" s="21">
        <v>41263</v>
      </c>
      <c r="L23" s="22"/>
      <c r="M23" s="21"/>
    </row>
    <row r="24" spans="2:13" outlineLevel="1">
      <c r="C24" s="5">
        <f t="shared" si="0"/>
        <v>4</v>
      </c>
      <c r="D24" s="24"/>
      <c r="E24" s="23">
        <v>2.4</v>
      </c>
      <c r="F24" s="13" t="s">
        <v>1134</v>
      </c>
      <c r="G24" s="11"/>
      <c r="H24" s="13"/>
      <c r="I24" s="11"/>
      <c r="J24" s="22" t="s">
        <v>268</v>
      </c>
      <c r="K24" s="21">
        <v>41284</v>
      </c>
      <c r="L24" s="22"/>
      <c r="M24" s="21"/>
    </row>
    <row r="25" spans="2:13" outlineLevel="1">
      <c r="C25" s="5">
        <f t="shared" si="0"/>
        <v>5</v>
      </c>
      <c r="D25" s="24"/>
      <c r="E25" s="23">
        <v>2.5</v>
      </c>
      <c r="F25" s="13" t="s">
        <v>1173</v>
      </c>
      <c r="G25" s="11"/>
      <c r="H25" s="13"/>
      <c r="I25" s="11"/>
      <c r="J25" s="22" t="s">
        <v>268</v>
      </c>
      <c r="K25" s="21">
        <v>41373</v>
      </c>
      <c r="L25" s="22"/>
      <c r="M25" s="21"/>
    </row>
    <row r="26" spans="2:13" outlineLevel="1">
      <c r="C26" s="5">
        <v>6</v>
      </c>
      <c r="D26" s="24"/>
      <c r="E26" s="23">
        <v>2.6</v>
      </c>
      <c r="F26" s="13" t="s">
        <v>1180</v>
      </c>
      <c r="G26" s="11"/>
      <c r="H26" s="13"/>
      <c r="I26" s="11"/>
      <c r="J26" s="22" t="s">
        <v>268</v>
      </c>
      <c r="K26" s="21">
        <v>41394</v>
      </c>
      <c r="L26" s="22"/>
      <c r="M26" s="21"/>
    </row>
    <row r="27" spans="2:13" outlineLevel="1">
      <c r="C27" s="5">
        <v>7</v>
      </c>
      <c r="D27" s="24"/>
      <c r="E27" s="23">
        <v>2.7</v>
      </c>
      <c r="F27" s="13" t="s">
        <v>1181</v>
      </c>
      <c r="G27" s="11"/>
      <c r="H27" s="13"/>
      <c r="I27" s="11"/>
      <c r="J27" s="22" t="s">
        <v>268</v>
      </c>
      <c r="K27" s="21">
        <v>41463</v>
      </c>
      <c r="L27" s="22" t="s">
        <v>268</v>
      </c>
      <c r="M27" s="21">
        <v>41565</v>
      </c>
    </row>
    <row r="28" spans="2:13" outlineLevel="1">
      <c r="C28" s="5">
        <v>8</v>
      </c>
      <c r="D28" s="24"/>
      <c r="E28" s="23">
        <v>2.8</v>
      </c>
      <c r="F28" s="13" t="s">
        <v>1310</v>
      </c>
      <c r="G28" s="11"/>
      <c r="H28" s="13"/>
      <c r="I28" s="11"/>
      <c r="J28" s="22"/>
      <c r="K28" s="21"/>
      <c r="L28" s="22"/>
      <c r="M28" s="21"/>
    </row>
    <row r="29" spans="2:13" outlineLevel="1">
      <c r="C29" s="5">
        <v>9</v>
      </c>
      <c r="D29" s="20"/>
      <c r="E29" s="19"/>
      <c r="F29" s="10"/>
      <c r="G29" s="8"/>
      <c r="H29" s="10"/>
      <c r="I29" s="8"/>
      <c r="J29" s="18"/>
      <c r="K29" s="17"/>
      <c r="L29" s="18"/>
      <c r="M29" s="17"/>
    </row>
    <row r="31" spans="2:13" ht="16.5">
      <c r="B31" s="7" t="s">
        <v>125</v>
      </c>
      <c r="C31" s="6"/>
      <c r="D31" s="6"/>
      <c r="E31" s="6"/>
      <c r="F31" s="6"/>
      <c r="G31" s="6"/>
      <c r="H31" s="6"/>
      <c r="I31" s="6"/>
      <c r="J31" s="6"/>
      <c r="K31" s="6"/>
      <c r="L31" s="6"/>
      <c r="M31" s="6"/>
    </row>
    <row r="32" spans="2:13" hidden="1" outlineLevel="1"/>
    <row r="33" spans="2:13" hidden="1" outlineLevel="1">
      <c r="C33" s="5">
        <v>1</v>
      </c>
      <c r="D33" s="16"/>
      <c r="E33" s="15"/>
      <c r="F33" s="15"/>
      <c r="G33" s="15"/>
      <c r="H33" s="15"/>
      <c r="I33" s="15"/>
      <c r="J33" s="15"/>
      <c r="K33" s="15"/>
      <c r="L33" s="15"/>
      <c r="M33" s="14"/>
    </row>
    <row r="34" spans="2:13" hidden="1" outlineLevel="1">
      <c r="C34" s="5">
        <f t="shared" ref="C34:C39" si="1">C33+1</f>
        <v>2</v>
      </c>
      <c r="D34" s="13"/>
      <c r="E34" s="12"/>
      <c r="F34" s="12"/>
      <c r="G34" s="12"/>
      <c r="H34" s="12"/>
      <c r="I34" s="12"/>
      <c r="J34" s="12"/>
      <c r="K34" s="12"/>
      <c r="L34" s="12"/>
      <c r="M34" s="11"/>
    </row>
    <row r="35" spans="2:13" hidden="1" outlineLevel="1">
      <c r="C35" s="5">
        <f t="shared" si="1"/>
        <v>3</v>
      </c>
      <c r="D35" s="13"/>
      <c r="E35" s="12"/>
      <c r="F35" s="12"/>
      <c r="G35" s="12"/>
      <c r="H35" s="12"/>
      <c r="I35" s="12"/>
      <c r="J35" s="12"/>
      <c r="K35" s="12"/>
      <c r="L35" s="12"/>
      <c r="M35" s="11"/>
    </row>
    <row r="36" spans="2:13" hidden="1" outlineLevel="1">
      <c r="C36" s="5">
        <f t="shared" si="1"/>
        <v>4</v>
      </c>
      <c r="D36" s="13"/>
      <c r="E36" s="12"/>
      <c r="F36" s="12"/>
      <c r="G36" s="12"/>
      <c r="H36" s="12"/>
      <c r="I36" s="12"/>
      <c r="J36" s="12"/>
      <c r="K36" s="12"/>
      <c r="L36" s="12"/>
      <c r="M36" s="11"/>
    </row>
    <row r="37" spans="2:13" hidden="1" outlineLevel="1">
      <c r="C37" s="5">
        <f t="shared" si="1"/>
        <v>5</v>
      </c>
      <c r="D37" s="13"/>
      <c r="E37" s="12"/>
      <c r="F37" s="12"/>
      <c r="G37" s="12"/>
      <c r="H37" s="12"/>
      <c r="I37" s="12"/>
      <c r="J37" s="12"/>
      <c r="K37" s="12"/>
      <c r="L37" s="12"/>
      <c r="M37" s="11"/>
    </row>
    <row r="38" spans="2:13" hidden="1" outlineLevel="1">
      <c r="C38" s="5">
        <f t="shared" si="1"/>
        <v>6</v>
      </c>
      <c r="D38" s="13"/>
      <c r="E38" s="12"/>
      <c r="F38" s="12"/>
      <c r="G38" s="12"/>
      <c r="H38" s="12"/>
      <c r="I38" s="12"/>
      <c r="J38" s="12"/>
      <c r="K38" s="12"/>
      <c r="L38" s="12"/>
      <c r="M38" s="11"/>
    </row>
    <row r="39" spans="2:13" hidden="1" outlineLevel="1">
      <c r="C39" s="5">
        <f t="shared" si="1"/>
        <v>7</v>
      </c>
      <c r="D39" s="10"/>
      <c r="E39" s="9"/>
      <c r="F39" s="9"/>
      <c r="G39" s="9"/>
      <c r="H39" s="9"/>
      <c r="I39" s="9"/>
      <c r="J39" s="9"/>
      <c r="K39" s="9"/>
      <c r="L39" s="9"/>
      <c r="M39" s="8"/>
    </row>
    <row r="40" spans="2:13" collapsed="1"/>
    <row r="41" spans="2:13" ht="16.5">
      <c r="B41" s="7" t="s">
        <v>124</v>
      </c>
      <c r="C41" s="6"/>
      <c r="D41" s="6"/>
      <c r="E41" s="6"/>
      <c r="F41" s="6"/>
      <c r="G41" s="6"/>
      <c r="H41" s="6"/>
      <c r="I41" s="6"/>
      <c r="J41" s="6"/>
      <c r="K41" s="6"/>
      <c r="L41" s="6"/>
      <c r="M41" s="6"/>
    </row>
    <row r="42" spans="2:13" outlineLevel="1"/>
    <row r="43" spans="2:13" outlineLevel="1">
      <c r="C43" s="5">
        <v>1</v>
      </c>
      <c r="D43" s="16"/>
      <c r="E43" s="15"/>
      <c r="F43" s="15"/>
      <c r="G43" s="15"/>
      <c r="H43" s="15"/>
      <c r="I43" s="15"/>
      <c r="J43" s="15"/>
      <c r="K43" s="15"/>
      <c r="L43" s="15"/>
      <c r="M43" s="14"/>
    </row>
    <row r="44" spans="2:13" outlineLevel="1">
      <c r="C44" s="5">
        <f t="shared" ref="C44:C49" si="2">C43+1</f>
        <v>2</v>
      </c>
      <c r="D44" s="13"/>
      <c r="E44" s="12"/>
      <c r="F44" s="12"/>
      <c r="G44" s="12"/>
      <c r="H44" s="12"/>
      <c r="I44" s="12"/>
      <c r="J44" s="12"/>
      <c r="K44" s="12"/>
      <c r="L44" s="12"/>
      <c r="M44" s="11"/>
    </row>
    <row r="45" spans="2:13" outlineLevel="1">
      <c r="C45" s="5">
        <f t="shared" si="2"/>
        <v>3</v>
      </c>
      <c r="D45" s="13"/>
      <c r="E45" s="12"/>
      <c r="F45" s="12"/>
      <c r="G45" s="12"/>
      <c r="H45" s="12"/>
      <c r="I45" s="12"/>
      <c r="J45" s="12"/>
      <c r="K45" s="12"/>
      <c r="L45" s="12"/>
      <c r="M45" s="11"/>
    </row>
    <row r="46" spans="2:13" outlineLevel="1">
      <c r="C46" s="5">
        <f t="shared" si="2"/>
        <v>4</v>
      </c>
      <c r="D46" s="13"/>
      <c r="E46" s="12"/>
      <c r="F46" s="12"/>
      <c r="G46" s="12"/>
      <c r="H46" s="12"/>
      <c r="I46" s="12"/>
      <c r="J46" s="12"/>
      <c r="K46" s="12"/>
      <c r="L46" s="12"/>
      <c r="M46" s="11"/>
    </row>
    <row r="47" spans="2:13" outlineLevel="1">
      <c r="C47" s="5">
        <f t="shared" si="2"/>
        <v>5</v>
      </c>
      <c r="D47" s="13"/>
      <c r="E47" s="12"/>
      <c r="F47" s="12"/>
      <c r="G47" s="12"/>
      <c r="H47" s="12"/>
      <c r="I47" s="12"/>
      <c r="J47" s="12"/>
      <c r="K47" s="12"/>
      <c r="L47" s="12"/>
      <c r="M47" s="11"/>
    </row>
    <row r="48" spans="2:13" outlineLevel="1">
      <c r="C48" s="5">
        <f t="shared" si="2"/>
        <v>6</v>
      </c>
      <c r="D48" s="13"/>
      <c r="E48" s="12"/>
      <c r="F48" s="12"/>
      <c r="G48" s="12"/>
      <c r="H48" s="12"/>
      <c r="I48" s="12"/>
      <c r="J48" s="12"/>
      <c r="K48" s="12"/>
      <c r="L48" s="12"/>
      <c r="M48" s="11"/>
    </row>
    <row r="49" spans="2:13" outlineLevel="1">
      <c r="C49" s="5">
        <f t="shared" si="2"/>
        <v>7</v>
      </c>
      <c r="D49" s="10"/>
      <c r="E49" s="9"/>
      <c r="F49" s="9"/>
      <c r="G49" s="9"/>
      <c r="H49" s="9"/>
      <c r="I49" s="9"/>
      <c r="J49" s="9"/>
      <c r="K49" s="9"/>
      <c r="L49" s="9"/>
      <c r="M49" s="8"/>
    </row>
    <row r="51" spans="2:13" ht="16.5">
      <c r="B51" s="7" t="s">
        <v>123</v>
      </c>
      <c r="C51" s="6"/>
      <c r="D51" s="6"/>
      <c r="E51" s="6"/>
      <c r="F51" s="6"/>
      <c r="G51" s="6"/>
      <c r="H51" s="6"/>
      <c r="I51" s="6"/>
      <c r="J51" s="6"/>
      <c r="K51" s="6"/>
      <c r="L51" s="6"/>
      <c r="M51" s="6"/>
    </row>
    <row r="52" spans="2:13" outlineLevel="1"/>
    <row r="53" spans="2:13" outlineLevel="1">
      <c r="C53" s="5">
        <v>1</v>
      </c>
      <c r="D53" s="402" t="s">
        <v>1333</v>
      </c>
      <c r="E53" s="403"/>
      <c r="F53" s="403"/>
      <c r="G53" s="403"/>
      <c r="H53" s="403"/>
      <c r="I53" s="403"/>
      <c r="J53" s="403"/>
      <c r="K53" s="403"/>
      <c r="L53" s="403"/>
      <c r="M53" s="404"/>
    </row>
    <row r="54" spans="2:13" outlineLevel="1">
      <c r="C54" s="5">
        <f t="shared" ref="C54:C59" si="3">C53+1</f>
        <v>2</v>
      </c>
      <c r="D54" s="330" t="s">
        <v>1334</v>
      </c>
      <c r="E54" s="331"/>
      <c r="F54" s="331"/>
      <c r="G54" s="331"/>
      <c r="H54" s="331"/>
      <c r="I54" s="331"/>
      <c r="J54" s="331"/>
      <c r="K54" s="331"/>
      <c r="L54" s="331"/>
      <c r="M54" s="332"/>
    </row>
    <row r="55" spans="2:13" outlineLevel="1">
      <c r="C55" s="5">
        <f t="shared" si="3"/>
        <v>3</v>
      </c>
      <c r="D55" s="333" t="s">
        <v>1332</v>
      </c>
      <c r="E55" s="334"/>
      <c r="F55" s="334"/>
      <c r="G55" s="334"/>
      <c r="H55" s="334"/>
      <c r="I55" s="334"/>
      <c r="J55" s="334"/>
      <c r="K55" s="334"/>
      <c r="L55" s="334"/>
      <c r="M55" s="335"/>
    </row>
    <row r="56" spans="2:13" outlineLevel="1">
      <c r="C56" s="5">
        <f t="shared" si="3"/>
        <v>4</v>
      </c>
      <c r="D56" s="378" t="s">
        <v>1329</v>
      </c>
      <c r="E56" s="405"/>
      <c r="F56" s="405"/>
      <c r="G56" s="405"/>
      <c r="H56" s="405"/>
      <c r="I56" s="405"/>
      <c r="J56" s="405"/>
      <c r="K56" s="405"/>
      <c r="L56" s="405"/>
      <c r="M56" s="380"/>
    </row>
    <row r="57" spans="2:13" outlineLevel="1">
      <c r="C57" s="5">
        <f t="shared" si="3"/>
        <v>5</v>
      </c>
      <c r="D57" s="378"/>
      <c r="E57" s="379"/>
      <c r="F57" s="379"/>
      <c r="G57" s="379"/>
      <c r="H57" s="379"/>
      <c r="I57" s="379"/>
      <c r="J57" s="379"/>
      <c r="K57" s="379"/>
      <c r="L57" s="379"/>
      <c r="M57" s="380"/>
    </row>
    <row r="58" spans="2:13" outlineLevel="1">
      <c r="C58" s="5">
        <f t="shared" si="3"/>
        <v>6</v>
      </c>
      <c r="D58" s="378"/>
      <c r="E58" s="379"/>
      <c r="F58" s="379"/>
      <c r="G58" s="379"/>
      <c r="H58" s="379"/>
      <c r="I58" s="379"/>
      <c r="J58" s="379"/>
      <c r="K58" s="379"/>
      <c r="L58" s="379"/>
      <c r="M58" s="380"/>
    </row>
    <row r="59" spans="2:13" outlineLevel="1">
      <c r="C59" s="5">
        <f t="shared" si="3"/>
        <v>7</v>
      </c>
      <c r="D59" s="10"/>
      <c r="E59" s="9"/>
      <c r="F59" s="9"/>
      <c r="G59" s="9"/>
      <c r="H59" s="9"/>
      <c r="I59" s="9"/>
      <c r="J59" s="9"/>
      <c r="K59" s="9"/>
      <c r="L59" s="9"/>
      <c r="M59" s="8"/>
    </row>
    <row r="61" spans="2:13" ht="16.5">
      <c r="B61" s="7" t="s">
        <v>122</v>
      </c>
      <c r="C61" s="6"/>
      <c r="D61" s="6"/>
      <c r="E61" s="6"/>
      <c r="F61" s="6"/>
      <c r="G61" s="6"/>
      <c r="H61" s="6"/>
      <c r="I61" s="6"/>
      <c r="J61" s="6"/>
      <c r="K61" s="6"/>
      <c r="L61" s="6"/>
      <c r="M61" s="6"/>
    </row>
  </sheetData>
  <hyperlinks>
    <hyperlink ref="D13" r:id="rId1"/>
    <hyperlink ref="D12" r:id="rId2"/>
  </hyperlinks>
  <pageMargins left="0.75" right="0.75" top="1" bottom="1" header="0.5" footer="0.5"/>
  <pageSetup paperSize="9" scale="63" orientation="landscape" r:id="rId3"/>
  <headerFooter alignWithMargins="0">
    <oddFooter>&amp;L&amp;F \ &amp;A&amp;R&amp;T  &amp;D</oddFooter>
  </headerFooter>
</worksheet>
</file>

<file path=xl/worksheets/sheet10.xml><?xml version="1.0" encoding="utf-8"?>
<worksheet xmlns="http://schemas.openxmlformats.org/spreadsheetml/2006/main" xmlns:r="http://schemas.openxmlformats.org/officeDocument/2006/relationships">
  <sheetPr>
    <pageSetUpPr autoPageBreaks="0" fitToPage="1"/>
  </sheetPr>
  <dimension ref="A1:S71"/>
  <sheetViews>
    <sheetView showGridLines="0" zoomScale="55" zoomScaleNormal="55" workbookViewId="0">
      <selection activeCell="N1" sqref="N1:N1048576"/>
    </sheetView>
  </sheetViews>
  <sheetFormatPr defaultRowHeight="12.75"/>
  <cols>
    <col min="1" max="1" width="3.140625" style="90" customWidth="1"/>
    <col min="2" max="2" width="22.7109375" style="90" customWidth="1"/>
    <col min="3" max="14" width="10.7109375" style="90" customWidth="1"/>
    <col min="15" max="16384" width="9.140625" style="90"/>
  </cols>
  <sheetData>
    <row r="1" spans="1:19" ht="12.75" customHeight="1">
      <c r="A1" s="145"/>
    </row>
    <row r="2" spans="1:19">
      <c r="B2" s="308" t="s">
        <v>134</v>
      </c>
      <c r="C2" s="91"/>
      <c r="D2" s="147" t="str">
        <f>Info!$D$10</f>
        <v>Duncan Kernohan</v>
      </c>
      <c r="E2" s="91"/>
      <c r="F2" s="91"/>
      <c r="G2" s="91"/>
      <c r="H2" s="91"/>
      <c r="I2" s="91"/>
      <c r="J2" s="91"/>
      <c r="K2" s="91"/>
      <c r="L2" s="91"/>
      <c r="M2" s="91"/>
      <c r="N2" s="91"/>
      <c r="O2" s="91"/>
      <c r="P2" s="91"/>
      <c r="Q2" s="91"/>
      <c r="R2" s="91"/>
      <c r="S2" s="91"/>
    </row>
    <row r="3" spans="1:19">
      <c r="B3" s="310" t="s">
        <v>137</v>
      </c>
      <c r="C3" s="92"/>
      <c r="D3" s="149" t="str">
        <f>Info!$D$11 &amp; " - " &amp; Info!$D$12</f>
        <v>Airport Opex Benchmarking 2013 - duncan.kernohan@caa.co.uk</v>
      </c>
      <c r="E3" s="92"/>
      <c r="F3" s="92"/>
      <c r="G3" s="92"/>
      <c r="H3" s="92"/>
      <c r="I3" s="92"/>
      <c r="J3" s="92"/>
      <c r="K3" s="92"/>
      <c r="L3" s="92"/>
      <c r="M3" s="92"/>
      <c r="N3" s="92"/>
      <c r="O3" s="92"/>
      <c r="P3" s="92"/>
      <c r="Q3" s="92"/>
      <c r="R3" s="92"/>
      <c r="S3" s="92"/>
    </row>
    <row r="4" spans="1:19">
      <c r="B4" s="310" t="s">
        <v>130</v>
      </c>
      <c r="C4" s="92"/>
      <c r="D4" s="150">
        <f>Info!$D$16</f>
        <v>2.8</v>
      </c>
      <c r="E4" s="92"/>
      <c r="F4" s="92"/>
      <c r="G4" s="92"/>
      <c r="H4" s="92"/>
      <c r="I4" s="92"/>
      <c r="J4" s="92"/>
      <c r="K4" s="92"/>
      <c r="L4" s="92"/>
      <c r="M4" s="92"/>
      <c r="N4" s="92"/>
      <c r="O4" s="92"/>
      <c r="P4" s="92"/>
      <c r="Q4" s="92"/>
      <c r="R4" s="92"/>
      <c r="S4" s="92"/>
    </row>
    <row r="5" spans="1:19">
      <c r="B5" s="312" t="s">
        <v>138</v>
      </c>
      <c r="C5" s="93"/>
      <c r="D5" s="152" t="str">
        <f ca="1">IF(CELL("filename",C1)="","",MID(CELL("filename",A1),FIND("]",CELL("filename",A1))+1,99))</f>
        <v>Freight</v>
      </c>
      <c r="E5" s="93"/>
      <c r="F5" s="93"/>
      <c r="G5" s="93"/>
      <c r="H5" s="93"/>
      <c r="I5" s="93"/>
      <c r="J5" s="93"/>
      <c r="K5" s="93"/>
      <c r="L5" s="93"/>
      <c r="M5" s="93"/>
      <c r="N5" s="93"/>
      <c r="O5" s="93"/>
      <c r="P5" s="93"/>
      <c r="Q5" s="93"/>
      <c r="R5" s="93"/>
      <c r="S5" s="93"/>
    </row>
    <row r="8" spans="1:19">
      <c r="B8" s="314" t="s">
        <v>141</v>
      </c>
      <c r="C8" s="94"/>
      <c r="D8" s="94"/>
      <c r="E8" s="94"/>
      <c r="F8" s="94"/>
      <c r="G8" s="94"/>
      <c r="H8" s="94"/>
      <c r="I8" s="94"/>
      <c r="J8" s="94"/>
      <c r="K8" s="94"/>
      <c r="L8" s="94"/>
      <c r="M8" s="94"/>
      <c r="N8" s="94"/>
      <c r="O8" s="94"/>
      <c r="P8" s="94"/>
      <c r="Q8" s="94"/>
      <c r="R8" s="94"/>
      <c r="S8" s="94"/>
    </row>
    <row r="9" spans="1:19" s="133" customFormat="1">
      <c r="B9" s="65"/>
      <c r="C9" s="137"/>
      <c r="D9" s="137"/>
      <c r="E9" s="137"/>
      <c r="F9" s="137"/>
      <c r="G9" s="137"/>
      <c r="H9" s="137"/>
      <c r="I9" s="137"/>
      <c r="J9" s="137"/>
      <c r="K9" s="137"/>
      <c r="L9" s="137"/>
      <c r="M9" s="137"/>
      <c r="N9" s="137"/>
      <c r="O9" s="137"/>
      <c r="P9" s="137"/>
      <c r="Q9" s="137"/>
      <c r="R9" s="137"/>
      <c r="S9" s="137"/>
    </row>
    <row r="10" spans="1:19" s="133" customFormat="1">
      <c r="B10" s="65" t="s">
        <v>143</v>
      </c>
      <c r="C10" s="137" t="s">
        <v>145</v>
      </c>
      <c r="D10" s="137" t="s">
        <v>144</v>
      </c>
      <c r="E10" s="137"/>
      <c r="F10" s="137"/>
      <c r="G10" s="137"/>
      <c r="H10" s="137"/>
      <c r="I10" s="137"/>
      <c r="J10" s="137"/>
      <c r="K10" s="137"/>
      <c r="L10" s="137"/>
      <c r="M10" s="137"/>
      <c r="N10" s="137"/>
      <c r="O10" s="137"/>
      <c r="P10" s="137"/>
      <c r="Q10" s="137"/>
      <c r="R10" s="137"/>
      <c r="S10" s="137"/>
    </row>
    <row r="12" spans="1:19">
      <c r="B12" s="290" t="s">
        <v>142</v>
      </c>
      <c r="C12" s="290">
        <v>2000</v>
      </c>
      <c r="D12" s="290">
        <v>2001</v>
      </c>
      <c r="E12" s="290">
        <v>2002</v>
      </c>
      <c r="F12" s="290">
        <v>2003</v>
      </c>
      <c r="G12" s="290">
        <v>2004</v>
      </c>
      <c r="H12" s="290">
        <v>2005</v>
      </c>
      <c r="I12" s="290">
        <v>2006</v>
      </c>
      <c r="J12" s="290">
        <v>2007</v>
      </c>
      <c r="K12" s="290">
        <v>2008</v>
      </c>
      <c r="L12" s="290">
        <v>2009</v>
      </c>
      <c r="M12" s="290">
        <v>2010</v>
      </c>
      <c r="N12" s="290"/>
    </row>
    <row r="13" spans="1:19">
      <c r="B13" s="347" t="s">
        <v>35</v>
      </c>
      <c r="C13" s="372">
        <v>318905.413</v>
      </c>
      <c r="D13" s="372">
        <v>280098.28000000003</v>
      </c>
      <c r="E13" s="372">
        <v>242519.31200000001</v>
      </c>
      <c r="F13" s="372">
        <v>222915.82199999999</v>
      </c>
      <c r="G13" s="372">
        <v>218203.94099999999</v>
      </c>
      <c r="H13" s="372">
        <v>222778.30499999999</v>
      </c>
      <c r="I13" s="372">
        <v>211856.81899999999</v>
      </c>
      <c r="J13" s="372">
        <v>171077.82699999999</v>
      </c>
      <c r="K13" s="372">
        <v>107702.02899999999</v>
      </c>
      <c r="L13" s="372">
        <v>74679.521999999997</v>
      </c>
      <c r="M13" s="372">
        <v>104031.963</v>
      </c>
      <c r="N13" s="289"/>
    </row>
    <row r="14" spans="1:19">
      <c r="B14" s="347" t="s">
        <v>36</v>
      </c>
      <c r="C14" s="372">
        <v>1306907.06</v>
      </c>
      <c r="D14" s="372">
        <v>1180305.977</v>
      </c>
      <c r="E14" s="372">
        <v>1234939.8799999999</v>
      </c>
      <c r="F14" s="372">
        <v>1223438.5430000001</v>
      </c>
      <c r="G14" s="372">
        <v>1325172.8259999999</v>
      </c>
      <c r="H14" s="372">
        <v>1305685.733</v>
      </c>
      <c r="I14" s="372">
        <v>1263128.855</v>
      </c>
      <c r="J14" s="372">
        <v>1310986.5519999999</v>
      </c>
      <c r="K14" s="372">
        <v>1397053.818</v>
      </c>
      <c r="L14" s="372">
        <v>1277649.665</v>
      </c>
      <c r="M14" s="372">
        <v>1472988.06</v>
      </c>
      <c r="N14" s="289"/>
    </row>
    <row r="15" spans="1:19">
      <c r="B15" s="347" t="s">
        <v>38</v>
      </c>
      <c r="C15" s="372">
        <v>32992.392</v>
      </c>
      <c r="D15" s="372">
        <v>23069.662</v>
      </c>
      <c r="E15" s="372">
        <v>20459.266</v>
      </c>
      <c r="F15" s="372">
        <v>22849.777999999998</v>
      </c>
      <c r="G15" s="372">
        <v>26161.367999999999</v>
      </c>
      <c r="H15" s="372">
        <v>23108.39</v>
      </c>
      <c r="I15" s="372">
        <v>17992.862000000001</v>
      </c>
      <c r="J15" s="372">
        <v>38095.440999999999</v>
      </c>
      <c r="K15" s="372">
        <v>40517.99</v>
      </c>
      <c r="L15" s="372">
        <v>28643.403999999999</v>
      </c>
      <c r="M15" s="372">
        <v>28743.271000000001</v>
      </c>
      <c r="N15" s="289"/>
    </row>
    <row r="16" spans="1:19">
      <c r="B16" s="347" t="s">
        <v>39</v>
      </c>
      <c r="C16" s="372">
        <v>172.64699999999999</v>
      </c>
      <c r="D16" s="372">
        <v>303.91899999999998</v>
      </c>
      <c r="E16" s="372">
        <v>325.66899999999998</v>
      </c>
      <c r="F16" s="372">
        <v>34.296999999999997</v>
      </c>
      <c r="G16" s="372">
        <v>15.042</v>
      </c>
      <c r="H16" s="372">
        <v>53.417000000000002</v>
      </c>
      <c r="I16" s="372">
        <v>69.551000000000002</v>
      </c>
      <c r="J16" s="372">
        <v>133.64599999999999</v>
      </c>
      <c r="K16" s="372">
        <v>15.984</v>
      </c>
      <c r="L16" s="372">
        <v>0</v>
      </c>
      <c r="M16" s="372">
        <v>3.355</v>
      </c>
      <c r="N16" s="289"/>
    </row>
    <row r="17" spans="2:14">
      <c r="B17" s="347" t="s">
        <v>40</v>
      </c>
      <c r="C17" s="372">
        <v>166063.745</v>
      </c>
      <c r="D17" s="372">
        <v>165659.639</v>
      </c>
      <c r="E17" s="372">
        <v>184449.01699999999</v>
      </c>
      <c r="F17" s="372">
        <v>198564.90700000001</v>
      </c>
      <c r="G17" s="372">
        <v>225772.397</v>
      </c>
      <c r="H17" s="372">
        <v>237044.87400000001</v>
      </c>
      <c r="I17" s="372">
        <v>224312.21900000001</v>
      </c>
      <c r="J17" s="372">
        <v>203746.56400000001</v>
      </c>
      <c r="K17" s="372">
        <v>197738.177</v>
      </c>
      <c r="L17" s="372">
        <v>182810.024</v>
      </c>
      <c r="M17" s="372">
        <v>202238.30100000001</v>
      </c>
      <c r="N17" s="289"/>
    </row>
    <row r="18" spans="2:14">
      <c r="B18" s="347" t="s">
        <v>42</v>
      </c>
      <c r="C18" s="372">
        <v>4489.2849999999999</v>
      </c>
      <c r="D18" s="372">
        <v>4926.8050000000003</v>
      </c>
      <c r="E18" s="372">
        <v>3807.99</v>
      </c>
      <c r="F18" s="372">
        <v>3477.5729999999999</v>
      </c>
      <c r="G18" s="372">
        <v>3761.7370000000001</v>
      </c>
      <c r="H18" s="372">
        <v>4089.4290000000001</v>
      </c>
      <c r="I18" s="372">
        <v>4021.6080000000002</v>
      </c>
      <c r="J18" s="372">
        <v>3434.348</v>
      </c>
      <c r="K18" s="372">
        <v>4005.7530000000002</v>
      </c>
      <c r="L18" s="372">
        <v>3822.2130000000002</v>
      </c>
      <c r="M18" s="372">
        <v>4210.7879999999996</v>
      </c>
      <c r="N18" s="289"/>
    </row>
    <row r="19" spans="2:14">
      <c r="B19" s="347" t="s">
        <v>43</v>
      </c>
      <c r="C19" s="372">
        <v>40.146999999999998</v>
      </c>
      <c r="D19" s="372">
        <v>39.609000000000002</v>
      </c>
      <c r="E19" s="372">
        <v>35.134</v>
      </c>
      <c r="F19" s="372">
        <v>37.243000000000002</v>
      </c>
      <c r="G19" s="372">
        <v>35.213000000000001</v>
      </c>
      <c r="H19" s="372">
        <v>35.265999999999998</v>
      </c>
      <c r="I19" s="372">
        <v>36.396000000000001</v>
      </c>
      <c r="J19" s="372">
        <v>35.167000000000002</v>
      </c>
      <c r="K19" s="372">
        <v>34.412999999999997</v>
      </c>
      <c r="L19" s="372">
        <v>29.812999999999999</v>
      </c>
      <c r="M19" s="372">
        <v>28.942</v>
      </c>
      <c r="N19" s="289"/>
    </row>
    <row r="20" spans="2:14">
      <c r="B20" s="347" t="s">
        <v>44</v>
      </c>
      <c r="C20" s="372">
        <v>819.87300000000005</v>
      </c>
      <c r="D20" s="372">
        <v>508.54500000000002</v>
      </c>
      <c r="E20" s="372">
        <v>1058.0509999999999</v>
      </c>
      <c r="F20" s="372">
        <v>1177.463</v>
      </c>
      <c r="G20" s="372">
        <v>955.40499999999997</v>
      </c>
      <c r="H20" s="372">
        <v>516.22799999999995</v>
      </c>
      <c r="I20" s="372">
        <v>827.39200000000005</v>
      </c>
      <c r="J20" s="372">
        <v>1056.8130000000001</v>
      </c>
      <c r="K20" s="372">
        <v>167.76300000000001</v>
      </c>
      <c r="L20" s="372">
        <v>137.744</v>
      </c>
      <c r="M20" s="372">
        <v>154.61799999999999</v>
      </c>
      <c r="N20" s="289"/>
    </row>
    <row r="21" spans="2:14">
      <c r="B21" s="347" t="s">
        <v>45</v>
      </c>
      <c r="C21" s="372">
        <v>30599.489000000001</v>
      </c>
      <c r="D21" s="372">
        <v>32130.105</v>
      </c>
      <c r="E21" s="372">
        <v>29474.435000000001</v>
      </c>
      <c r="F21" s="372">
        <v>29619.871999999999</v>
      </c>
      <c r="G21" s="372">
        <v>32148.011999999999</v>
      </c>
      <c r="H21" s="372">
        <v>37877.550000000003</v>
      </c>
      <c r="I21" s="372">
        <v>38416.720999999998</v>
      </c>
      <c r="J21" s="372">
        <v>38428.557000000001</v>
      </c>
      <c r="K21" s="372">
        <v>36114.582999999999</v>
      </c>
      <c r="L21" s="372">
        <v>29803.741000000002</v>
      </c>
      <c r="M21" s="372">
        <v>29716.096000000001</v>
      </c>
      <c r="N21" s="289"/>
    </row>
    <row r="22" spans="2:14">
      <c r="B22" s="347" t="s">
        <v>46</v>
      </c>
      <c r="C22" s="372">
        <v>261.39999999999998</v>
      </c>
      <c r="D22" s="372">
        <v>241.62700000000001</v>
      </c>
      <c r="E22" s="372">
        <v>219.24700000000001</v>
      </c>
      <c r="F22" s="372">
        <v>206.096</v>
      </c>
      <c r="G22" s="372">
        <v>218.006</v>
      </c>
      <c r="H22" s="372">
        <v>235.40700000000001</v>
      </c>
      <c r="I22" s="372">
        <v>245.14500000000001</v>
      </c>
      <c r="J22" s="372">
        <v>239.59800000000001</v>
      </c>
      <c r="K22" s="372">
        <v>234.80099999999999</v>
      </c>
      <c r="L22" s="372">
        <v>224.256</v>
      </c>
      <c r="M22" s="372">
        <v>195.13399999999999</v>
      </c>
      <c r="N22" s="289"/>
    </row>
    <row r="23" spans="2:14">
      <c r="B23" s="347" t="s">
        <v>47</v>
      </c>
      <c r="C23" s="372">
        <v>1</v>
      </c>
      <c r="D23" s="372">
        <v>0</v>
      </c>
      <c r="E23" s="372">
        <v>0</v>
      </c>
      <c r="F23" s="372">
        <v>0</v>
      </c>
      <c r="G23" s="372">
        <v>0</v>
      </c>
      <c r="H23" s="372">
        <v>0</v>
      </c>
      <c r="I23" s="372">
        <v>0</v>
      </c>
      <c r="J23" s="372">
        <v>0</v>
      </c>
      <c r="K23" s="372">
        <v>0</v>
      </c>
      <c r="L23" s="372">
        <v>0</v>
      </c>
      <c r="M23" s="372">
        <v>0</v>
      </c>
      <c r="N23" s="289"/>
    </row>
    <row r="24" spans="2:14">
      <c r="B24" s="347" t="s">
        <v>48</v>
      </c>
      <c r="C24" s="372">
        <v>9409.7049999999999</v>
      </c>
      <c r="D24" s="372">
        <v>11886.166999999999</v>
      </c>
      <c r="E24" s="372">
        <v>13325.683000000001</v>
      </c>
      <c r="F24" s="372">
        <v>11572.9</v>
      </c>
      <c r="G24" s="372">
        <v>9848.7559999999994</v>
      </c>
      <c r="H24" s="372">
        <v>12939.026</v>
      </c>
      <c r="I24" s="372">
        <v>14681.02</v>
      </c>
      <c r="J24" s="372">
        <v>13584.94</v>
      </c>
      <c r="K24" s="372">
        <v>12191.896000000001</v>
      </c>
      <c r="L24" s="372">
        <v>13069.929</v>
      </c>
      <c r="M24" s="372">
        <v>21604.93</v>
      </c>
      <c r="N24" s="289"/>
    </row>
    <row r="25" spans="2:14">
      <c r="B25" s="347" t="s">
        <v>49</v>
      </c>
      <c r="C25" s="372">
        <v>101.10599999999999</v>
      </c>
      <c r="D25" s="372">
        <v>80.91</v>
      </c>
      <c r="E25" s="372">
        <v>62.776000000000003</v>
      </c>
      <c r="F25" s="372">
        <v>57.15</v>
      </c>
      <c r="G25" s="372">
        <v>56.216000000000001</v>
      </c>
      <c r="H25" s="372">
        <v>61.896999999999998</v>
      </c>
      <c r="I25" s="372">
        <v>54.941000000000003</v>
      </c>
      <c r="J25" s="372">
        <v>41.174999999999997</v>
      </c>
      <c r="K25" s="372">
        <v>47.323999999999998</v>
      </c>
      <c r="L25" s="372">
        <v>45.796999999999997</v>
      </c>
      <c r="M25" s="372">
        <v>40.917999999999999</v>
      </c>
      <c r="N25" s="289"/>
    </row>
    <row r="26" spans="2:14">
      <c r="B26" s="347" t="s">
        <v>50</v>
      </c>
      <c r="C26" s="372">
        <v>5388.7370000000001</v>
      </c>
      <c r="D26" s="372">
        <v>5095.6480000000001</v>
      </c>
      <c r="E26" s="372">
        <v>5682.8720000000003</v>
      </c>
      <c r="F26" s="372">
        <v>5149.9639999999999</v>
      </c>
      <c r="G26" s="372">
        <v>5570.7690000000002</v>
      </c>
      <c r="H26" s="372">
        <v>5718.9650000000001</v>
      </c>
      <c r="I26" s="372">
        <v>5068.33</v>
      </c>
      <c r="J26" s="372">
        <v>253.387</v>
      </c>
      <c r="K26" s="372">
        <v>16.759</v>
      </c>
      <c r="L26" s="372">
        <v>3.85</v>
      </c>
      <c r="M26" s="372">
        <v>304.35399999999998</v>
      </c>
      <c r="N26" s="289"/>
    </row>
    <row r="27" spans="2:14">
      <c r="B27" s="347" t="s">
        <v>51</v>
      </c>
      <c r="C27" s="372">
        <v>77.242000000000004</v>
      </c>
      <c r="D27" s="372">
        <v>34.645000000000003</v>
      </c>
      <c r="E27" s="372">
        <v>58.750999999999998</v>
      </c>
      <c r="F27" s="372">
        <v>119.937</v>
      </c>
      <c r="G27" s="372">
        <v>7.149</v>
      </c>
      <c r="H27" s="372">
        <v>16.265000000000001</v>
      </c>
      <c r="I27" s="372">
        <v>32.088999999999999</v>
      </c>
      <c r="J27" s="372">
        <v>20.417999999999999</v>
      </c>
      <c r="K27" s="372">
        <v>3.2410000000000001</v>
      </c>
      <c r="L27" s="372">
        <v>2.4E-2</v>
      </c>
      <c r="M27" s="372">
        <v>0</v>
      </c>
      <c r="N27" s="289"/>
    </row>
    <row r="28" spans="2:14">
      <c r="B28" s="347" t="s">
        <v>52</v>
      </c>
      <c r="C28" s="372">
        <v>43.085000000000001</v>
      </c>
      <c r="D28" s="372">
        <v>107.95</v>
      </c>
      <c r="E28" s="372">
        <v>75.88</v>
      </c>
      <c r="F28" s="372">
        <v>72.45</v>
      </c>
      <c r="G28" s="372">
        <v>88.95</v>
      </c>
      <c r="H28" s="372">
        <v>171.35</v>
      </c>
      <c r="I28" s="372">
        <v>44.8</v>
      </c>
      <c r="J28" s="372">
        <v>128.65</v>
      </c>
      <c r="K28" s="372">
        <v>17.7</v>
      </c>
      <c r="L28" s="372">
        <v>15.05</v>
      </c>
      <c r="M28" s="372">
        <v>11.15</v>
      </c>
      <c r="N28" s="289"/>
    </row>
    <row r="29" spans="2:14">
      <c r="B29" s="347" t="s">
        <v>53</v>
      </c>
      <c r="C29" s="372">
        <v>1.9279999999999999</v>
      </c>
      <c r="D29" s="372">
        <v>1.786</v>
      </c>
      <c r="E29" s="372">
        <v>2.0499999999999998</v>
      </c>
      <c r="F29" s="372">
        <v>1.9059999999999999</v>
      </c>
      <c r="G29" s="372">
        <v>1.931</v>
      </c>
      <c r="H29" s="372">
        <v>1.885</v>
      </c>
      <c r="I29" s="372">
        <v>1.9890000000000001</v>
      </c>
      <c r="J29" s="372">
        <v>1.4990000000000001</v>
      </c>
      <c r="K29" s="372">
        <v>0.91800000000000004</v>
      </c>
      <c r="L29" s="372">
        <v>0.754</v>
      </c>
      <c r="M29" s="372">
        <v>0.157</v>
      </c>
      <c r="N29" s="289"/>
    </row>
    <row r="30" spans="2:14">
      <c r="B30" s="347" t="s">
        <v>54</v>
      </c>
      <c r="C30" s="372">
        <v>900.37</v>
      </c>
      <c r="D30" s="372">
        <v>1153.01</v>
      </c>
      <c r="E30" s="372">
        <v>1287.039</v>
      </c>
      <c r="F30" s="372">
        <v>2186.1970000000001</v>
      </c>
      <c r="G30" s="372">
        <v>2622.085</v>
      </c>
      <c r="H30" s="372">
        <v>2563.701</v>
      </c>
      <c r="I30" s="372">
        <v>2212.1030000000001</v>
      </c>
      <c r="J30" s="372">
        <v>2391.134</v>
      </c>
      <c r="K30" s="372">
        <v>1334.4449999999999</v>
      </c>
      <c r="L30" s="372">
        <v>178.29499999999999</v>
      </c>
      <c r="M30" s="372">
        <v>28.341999999999999</v>
      </c>
      <c r="N30" s="289"/>
    </row>
    <row r="31" spans="2:14">
      <c r="B31" s="347" t="s">
        <v>55</v>
      </c>
      <c r="C31" s="372">
        <v>1</v>
      </c>
      <c r="D31" s="372">
        <v>10</v>
      </c>
      <c r="E31" s="372">
        <v>1</v>
      </c>
      <c r="F31" s="372">
        <v>0</v>
      </c>
      <c r="G31" s="372">
        <v>12.3</v>
      </c>
      <c r="H31" s="372">
        <v>0</v>
      </c>
      <c r="I31" s="372">
        <v>0</v>
      </c>
      <c r="J31" s="372">
        <v>0</v>
      </c>
      <c r="K31" s="372">
        <v>0</v>
      </c>
      <c r="L31" s="372">
        <v>0</v>
      </c>
      <c r="M31" s="372">
        <v>0</v>
      </c>
      <c r="N31" s="289"/>
    </row>
    <row r="32" spans="2:14">
      <c r="B32" s="347" t="s">
        <v>56</v>
      </c>
      <c r="C32" s="372">
        <v>0</v>
      </c>
      <c r="D32" s="372">
        <v>413</v>
      </c>
      <c r="E32" s="372">
        <v>168</v>
      </c>
      <c r="F32" s="372">
        <v>6.0000000000000001E-3</v>
      </c>
      <c r="G32" s="372">
        <v>4.8000000000000001E-2</v>
      </c>
      <c r="H32" s="372">
        <v>0.16200000000000001</v>
      </c>
      <c r="I32" s="372">
        <v>3.3000000000000002E-2</v>
      </c>
      <c r="J32" s="372">
        <v>4.3999999999999997E-2</v>
      </c>
      <c r="K32" s="372">
        <v>0</v>
      </c>
      <c r="L32" s="372">
        <v>0</v>
      </c>
      <c r="M32" s="372">
        <v>0</v>
      </c>
      <c r="N32" s="289"/>
    </row>
    <row r="33" spans="2:14">
      <c r="B33" s="347" t="s">
        <v>57</v>
      </c>
      <c r="C33" s="372">
        <v>3270.1570000000002</v>
      </c>
      <c r="D33" s="372">
        <v>4109.57</v>
      </c>
      <c r="E33" s="372">
        <v>4673.4809999999998</v>
      </c>
      <c r="F33" s="372">
        <v>3314.1469999999999</v>
      </c>
      <c r="G33" s="372">
        <v>3298.616</v>
      </c>
      <c r="H33" s="372">
        <v>6141.9440000000004</v>
      </c>
      <c r="I33" s="372">
        <v>7785.4390000000003</v>
      </c>
      <c r="J33" s="372">
        <v>7469.4530000000004</v>
      </c>
      <c r="K33" s="372">
        <v>5920.7259999999997</v>
      </c>
      <c r="L33" s="372">
        <v>2439.5230000000001</v>
      </c>
      <c r="M33" s="372">
        <v>0</v>
      </c>
      <c r="N33" s="289"/>
    </row>
    <row r="34" spans="2:14">
      <c r="B34" s="347" t="s">
        <v>58</v>
      </c>
      <c r="C34" s="372">
        <v>0</v>
      </c>
      <c r="D34" s="372">
        <v>0</v>
      </c>
      <c r="E34" s="372">
        <v>0</v>
      </c>
      <c r="F34" s="372">
        <v>0</v>
      </c>
      <c r="G34" s="372">
        <v>0</v>
      </c>
      <c r="H34" s="372">
        <v>30.574999999999999</v>
      </c>
      <c r="I34" s="372">
        <v>167.239</v>
      </c>
      <c r="J34" s="372">
        <v>1602.0519999999999</v>
      </c>
      <c r="K34" s="372">
        <v>1349.9960000000001</v>
      </c>
      <c r="L34" s="372">
        <v>344.08600000000001</v>
      </c>
      <c r="M34" s="372">
        <v>216.29300000000001</v>
      </c>
      <c r="N34" s="289"/>
    </row>
    <row r="35" spans="2:14">
      <c r="B35" s="347" t="s">
        <v>60</v>
      </c>
      <c r="C35" s="372">
        <v>3006.9470000000001</v>
      </c>
      <c r="D35" s="372">
        <v>1926.65</v>
      </c>
      <c r="E35" s="372">
        <v>1006.577</v>
      </c>
      <c r="F35" s="372">
        <v>1086.741</v>
      </c>
      <c r="G35" s="372">
        <v>484.61099999999999</v>
      </c>
      <c r="H35" s="372">
        <v>362.96699999999998</v>
      </c>
      <c r="I35" s="372">
        <v>456.61599999999999</v>
      </c>
      <c r="J35" s="372">
        <v>786.06399999999996</v>
      </c>
      <c r="K35" s="372">
        <v>289.95100000000002</v>
      </c>
      <c r="L35" s="372">
        <v>297.858</v>
      </c>
      <c r="M35" s="372">
        <v>0</v>
      </c>
      <c r="N35" s="289"/>
    </row>
    <row r="36" spans="2:14">
      <c r="B36" s="347" t="s">
        <v>61</v>
      </c>
      <c r="C36" s="372">
        <v>178247.93599999999</v>
      </c>
      <c r="D36" s="372">
        <v>195009.43900000001</v>
      </c>
      <c r="E36" s="372">
        <v>219251.522</v>
      </c>
      <c r="F36" s="372">
        <v>227060.06599999999</v>
      </c>
      <c r="G36" s="372">
        <v>253053.39499999999</v>
      </c>
      <c r="H36" s="372">
        <v>266569.136</v>
      </c>
      <c r="I36" s="372">
        <v>272302.94</v>
      </c>
      <c r="J36" s="372">
        <v>274752.84499999997</v>
      </c>
      <c r="K36" s="372">
        <v>261506.671</v>
      </c>
      <c r="L36" s="372">
        <v>255120.834</v>
      </c>
      <c r="M36" s="372">
        <v>273669.10200000001</v>
      </c>
      <c r="N36" s="289"/>
    </row>
    <row r="37" spans="2:14">
      <c r="B37" s="347" t="s">
        <v>62</v>
      </c>
      <c r="C37" s="372">
        <v>17893.721000000001</v>
      </c>
      <c r="D37" s="372">
        <v>16169.32</v>
      </c>
      <c r="E37" s="372">
        <v>21232.092000000001</v>
      </c>
      <c r="F37" s="372">
        <v>24761.120999999999</v>
      </c>
      <c r="G37" s="372">
        <v>27376.023000000001</v>
      </c>
      <c r="H37" s="372">
        <v>29595.496999999999</v>
      </c>
      <c r="I37" s="372">
        <v>36388.777999999998</v>
      </c>
      <c r="J37" s="372">
        <v>19291.815999999999</v>
      </c>
      <c r="K37" s="372">
        <v>12417.769</v>
      </c>
      <c r="L37" s="372">
        <v>23791.486000000001</v>
      </c>
      <c r="M37" s="372">
        <v>20356.871999999999</v>
      </c>
      <c r="N37" s="289"/>
    </row>
    <row r="38" spans="2:14">
      <c r="B38" s="347" t="s">
        <v>63</v>
      </c>
      <c r="C38" s="372">
        <v>0</v>
      </c>
      <c r="D38" s="372">
        <v>0</v>
      </c>
      <c r="E38" s="372">
        <v>1.9E-2</v>
      </c>
      <c r="F38" s="372">
        <v>13.147</v>
      </c>
      <c r="G38" s="372">
        <v>52.91</v>
      </c>
      <c r="H38" s="372">
        <v>70.644000000000005</v>
      </c>
      <c r="I38" s="372">
        <v>62.927999999999997</v>
      </c>
      <c r="J38" s="372">
        <v>68.289000000000001</v>
      </c>
      <c r="K38" s="372">
        <v>46.77</v>
      </c>
      <c r="L38" s="372">
        <v>24.582000000000001</v>
      </c>
      <c r="M38" s="372">
        <v>10.042</v>
      </c>
      <c r="N38" s="289"/>
    </row>
    <row r="39" spans="2:14">
      <c r="B39" s="347" t="s">
        <v>64</v>
      </c>
      <c r="C39" s="372">
        <v>8544.5049999999992</v>
      </c>
      <c r="D39" s="372">
        <v>5927.5780000000004</v>
      </c>
      <c r="E39" s="372">
        <v>5040.6790000000001</v>
      </c>
      <c r="F39" s="372">
        <v>4927.1840000000002</v>
      </c>
      <c r="G39" s="372">
        <v>8121.8459999999995</v>
      </c>
      <c r="H39" s="372">
        <v>8733.3449999999993</v>
      </c>
      <c r="I39" s="372">
        <v>6288.7060000000001</v>
      </c>
      <c r="J39" s="372">
        <v>4275.875</v>
      </c>
      <c r="K39" s="372">
        <v>3545.6959999999999</v>
      </c>
      <c r="L39" s="372">
        <v>2333.8429999999998</v>
      </c>
      <c r="M39" s="372">
        <v>2913.819</v>
      </c>
      <c r="N39" s="289"/>
    </row>
    <row r="40" spans="2:14">
      <c r="B40" s="347" t="s">
        <v>65</v>
      </c>
      <c r="C40" s="372">
        <v>0</v>
      </c>
      <c r="D40" s="372">
        <v>0</v>
      </c>
      <c r="E40" s="372">
        <v>2.5</v>
      </c>
      <c r="F40" s="372">
        <v>0</v>
      </c>
      <c r="G40" s="372">
        <v>0</v>
      </c>
      <c r="H40" s="372">
        <v>0</v>
      </c>
      <c r="I40" s="372">
        <v>0</v>
      </c>
      <c r="J40" s="372">
        <v>0</v>
      </c>
      <c r="K40" s="372">
        <v>0.16</v>
      </c>
      <c r="L40" s="372">
        <v>2.5000000000000001E-2</v>
      </c>
      <c r="M40" s="372">
        <v>0</v>
      </c>
      <c r="N40" s="289"/>
    </row>
    <row r="41" spans="2:14">
      <c r="B41" s="347" t="s">
        <v>67</v>
      </c>
      <c r="C41" s="372">
        <v>128.488</v>
      </c>
      <c r="D41" s="372">
        <v>157.17400000000001</v>
      </c>
      <c r="E41" s="372">
        <v>125.613</v>
      </c>
      <c r="F41" s="372">
        <v>945.13599999999997</v>
      </c>
      <c r="G41" s="372">
        <v>752.41</v>
      </c>
      <c r="H41" s="372">
        <v>114.211</v>
      </c>
      <c r="I41" s="372">
        <v>144.309</v>
      </c>
      <c r="J41" s="372">
        <v>143.59</v>
      </c>
      <c r="K41" s="372">
        <v>167.76</v>
      </c>
      <c r="L41" s="372">
        <v>240.85599999999999</v>
      </c>
      <c r="M41" s="372">
        <v>600.25300000000004</v>
      </c>
      <c r="N41" s="289"/>
    </row>
    <row r="42" spans="2:14">
      <c r="B42" s="347" t="s">
        <v>68</v>
      </c>
      <c r="C42" s="372">
        <v>286.04500000000002</v>
      </c>
      <c r="D42" s="372">
        <v>459.4</v>
      </c>
      <c r="E42" s="372">
        <v>880.03700000000003</v>
      </c>
      <c r="F42" s="372">
        <v>966.51900000000001</v>
      </c>
      <c r="G42" s="372">
        <v>1392.7360000000001</v>
      </c>
      <c r="H42" s="372">
        <v>894.30799999999999</v>
      </c>
      <c r="I42" s="372">
        <v>651.78800000000001</v>
      </c>
      <c r="J42" s="372">
        <v>568.02700000000004</v>
      </c>
      <c r="K42" s="372">
        <v>526.07600000000002</v>
      </c>
      <c r="L42" s="372">
        <v>451.738</v>
      </c>
      <c r="M42" s="372">
        <v>144.24100000000001</v>
      </c>
      <c r="N42" s="289"/>
    </row>
    <row r="43" spans="2:14">
      <c r="B43" s="347" t="s">
        <v>69</v>
      </c>
      <c r="C43" s="372">
        <v>171.24100000000001</v>
      </c>
      <c r="D43" s="372">
        <v>175.672</v>
      </c>
      <c r="E43" s="372">
        <v>190.69300000000001</v>
      </c>
      <c r="F43" s="372">
        <v>195.86600000000001</v>
      </c>
      <c r="G43" s="372">
        <v>199.91</v>
      </c>
      <c r="H43" s="372">
        <v>196.91499999999999</v>
      </c>
      <c r="I43" s="372">
        <v>245.066</v>
      </c>
      <c r="J43" s="372">
        <v>271.60000000000002</v>
      </c>
      <c r="K43" s="372">
        <v>275.012</v>
      </c>
      <c r="L43" s="372">
        <v>228.745</v>
      </c>
      <c r="M43" s="372">
        <v>213.33600000000001</v>
      </c>
      <c r="N43" s="289"/>
    </row>
    <row r="44" spans="2:14">
      <c r="B44" s="347" t="s">
        <v>70</v>
      </c>
      <c r="C44" s="372">
        <v>277</v>
      </c>
      <c r="D44" s="372">
        <v>227</v>
      </c>
      <c r="E44" s="372">
        <v>279</v>
      </c>
      <c r="F44" s="372">
        <v>258</v>
      </c>
      <c r="G44" s="372">
        <v>211</v>
      </c>
      <c r="H44" s="372">
        <v>183.1</v>
      </c>
      <c r="I44" s="372">
        <v>163.797</v>
      </c>
      <c r="J44" s="372">
        <v>173.97300000000001</v>
      </c>
      <c r="K44" s="372">
        <v>180.58</v>
      </c>
      <c r="L44" s="372">
        <v>143.1</v>
      </c>
      <c r="M44" s="372">
        <v>139.80000000000001</v>
      </c>
      <c r="N44" s="289"/>
    </row>
    <row r="45" spans="2:14">
      <c r="B45" s="347" t="s">
        <v>71</v>
      </c>
      <c r="C45" s="372">
        <v>28.5</v>
      </c>
      <c r="D45" s="372">
        <v>30.2</v>
      </c>
      <c r="E45" s="372">
        <v>37.869999999999997</v>
      </c>
      <c r="F45" s="372">
        <v>38.49</v>
      </c>
      <c r="G45" s="372">
        <v>42.09</v>
      </c>
      <c r="H45" s="372">
        <v>41.4</v>
      </c>
      <c r="I45" s="372">
        <v>350.72</v>
      </c>
      <c r="J45" s="372">
        <v>37.15</v>
      </c>
      <c r="K45" s="372">
        <v>38.049999999999997</v>
      </c>
      <c r="L45" s="372">
        <v>29.1</v>
      </c>
      <c r="M45" s="372">
        <v>30</v>
      </c>
      <c r="N45" s="289"/>
    </row>
    <row r="46" spans="2:14">
      <c r="B46" s="347" t="s">
        <v>72</v>
      </c>
      <c r="C46" s="372">
        <v>128.77199999999999</v>
      </c>
      <c r="D46" s="372">
        <v>110.93300000000001</v>
      </c>
      <c r="E46" s="372">
        <v>123.452</v>
      </c>
      <c r="F46" s="372">
        <v>226.721</v>
      </c>
      <c r="G46" s="372">
        <v>451.43</v>
      </c>
      <c r="H46" s="372">
        <v>137.81899999999999</v>
      </c>
      <c r="I46" s="372">
        <v>101.90300000000001</v>
      </c>
      <c r="J46" s="372">
        <v>108.083</v>
      </c>
      <c r="K46" s="372">
        <v>105.56399999999999</v>
      </c>
      <c r="L46" s="372">
        <v>88.585999999999999</v>
      </c>
      <c r="M46" s="372">
        <v>83.918000000000006</v>
      </c>
      <c r="N46" s="289"/>
    </row>
    <row r="47" spans="2:14">
      <c r="B47" s="347" t="s">
        <v>73</v>
      </c>
      <c r="C47" s="372">
        <v>0</v>
      </c>
      <c r="D47" s="372">
        <v>0</v>
      </c>
      <c r="E47" s="372">
        <v>0</v>
      </c>
      <c r="F47" s="372">
        <v>88.7</v>
      </c>
      <c r="G47" s="372">
        <v>46</v>
      </c>
      <c r="H47" s="372">
        <v>38.799999999999997</v>
      </c>
      <c r="I47" s="372">
        <v>84.908000000000001</v>
      </c>
      <c r="J47" s="372">
        <v>21.46</v>
      </c>
      <c r="K47" s="372">
        <v>17.8</v>
      </c>
      <c r="L47" s="372">
        <v>19.59</v>
      </c>
      <c r="M47" s="372">
        <v>21.88</v>
      </c>
      <c r="N47" s="289"/>
    </row>
    <row r="48" spans="2:14">
      <c r="B48" s="347" t="s">
        <v>74</v>
      </c>
      <c r="C48" s="372">
        <v>708.87900000000002</v>
      </c>
      <c r="D48" s="372">
        <v>2363.8879999999999</v>
      </c>
      <c r="E48" s="372">
        <v>113.815</v>
      </c>
      <c r="F48" s="372">
        <v>83.05</v>
      </c>
      <c r="G48" s="372">
        <v>79.173000000000002</v>
      </c>
      <c r="H48" s="372">
        <v>91.85</v>
      </c>
      <c r="I48" s="372">
        <v>101.14700000000001</v>
      </c>
      <c r="J48" s="372">
        <v>109.077</v>
      </c>
      <c r="K48" s="372">
        <v>334.21899999999999</v>
      </c>
      <c r="L48" s="372">
        <v>359.29399999999998</v>
      </c>
      <c r="M48" s="372">
        <v>234.62200000000001</v>
      </c>
      <c r="N48" s="289"/>
    </row>
    <row r="49" spans="2:14">
      <c r="B49" s="347" t="s">
        <v>75</v>
      </c>
      <c r="C49" s="372">
        <v>8.0000000000000002E-3</v>
      </c>
      <c r="D49" s="372">
        <v>8.0000000000000002E-3</v>
      </c>
      <c r="E49" s="372">
        <v>8.0000000000000002E-3</v>
      </c>
      <c r="F49" s="372">
        <v>44.329000000000001</v>
      </c>
      <c r="G49" s="372">
        <v>5.0000000000000001E-3</v>
      </c>
      <c r="H49" s="372">
        <v>0.56200000000000006</v>
      </c>
      <c r="I49" s="372">
        <v>0</v>
      </c>
      <c r="J49" s="372">
        <v>0</v>
      </c>
      <c r="K49" s="372">
        <v>0</v>
      </c>
      <c r="L49" s="372">
        <v>0</v>
      </c>
      <c r="M49" s="372">
        <v>0</v>
      </c>
      <c r="N49" s="289"/>
    </row>
    <row r="50" spans="2:14">
      <c r="B50" s="347" t="s">
        <v>76</v>
      </c>
      <c r="C50" s="372">
        <v>28628.351999999999</v>
      </c>
      <c r="D50" s="372">
        <v>22821.287</v>
      </c>
      <c r="E50" s="372">
        <v>13589.15</v>
      </c>
      <c r="F50" s="372">
        <v>11580.391</v>
      </c>
      <c r="G50" s="372">
        <v>9243.143</v>
      </c>
      <c r="H50" s="372">
        <v>8521.1360000000004</v>
      </c>
      <c r="I50" s="372">
        <v>5723.9009999999998</v>
      </c>
      <c r="J50" s="372">
        <v>3709.0239999999999</v>
      </c>
      <c r="K50" s="372">
        <v>3739.8910000000001</v>
      </c>
      <c r="L50" s="372">
        <v>264.30099999999999</v>
      </c>
      <c r="M50" s="372">
        <v>265.32600000000002</v>
      </c>
      <c r="N50" s="289"/>
    </row>
    <row r="51" spans="2:14">
      <c r="B51" s="347" t="s">
        <v>77</v>
      </c>
      <c r="C51" s="372">
        <v>0.8</v>
      </c>
      <c r="D51" s="372">
        <v>0</v>
      </c>
      <c r="E51" s="372">
        <v>0</v>
      </c>
      <c r="F51" s="372">
        <v>0</v>
      </c>
      <c r="G51" s="372">
        <v>0</v>
      </c>
      <c r="H51" s="372">
        <v>0</v>
      </c>
      <c r="I51" s="372">
        <v>0</v>
      </c>
      <c r="J51" s="372">
        <v>0</v>
      </c>
      <c r="K51" s="372">
        <v>0</v>
      </c>
      <c r="L51" s="372">
        <v>0</v>
      </c>
      <c r="M51" s="372">
        <v>0</v>
      </c>
      <c r="N51" s="289"/>
    </row>
    <row r="52" spans="2:14">
      <c r="B52" s="347" t="s">
        <v>78</v>
      </c>
      <c r="C52" s="372">
        <v>116602.459</v>
      </c>
      <c r="D52" s="372">
        <v>106405.826</v>
      </c>
      <c r="E52" s="372">
        <v>113278.977</v>
      </c>
      <c r="F52" s="372">
        <v>122639.054</v>
      </c>
      <c r="G52" s="372">
        <v>149180.74400000001</v>
      </c>
      <c r="H52" s="372">
        <v>147484.20300000001</v>
      </c>
      <c r="I52" s="372">
        <v>148957.39499999999</v>
      </c>
      <c r="J52" s="372">
        <v>165365.94399999999</v>
      </c>
      <c r="K52" s="372">
        <v>141780.69200000001</v>
      </c>
      <c r="L52" s="372">
        <v>102543.314</v>
      </c>
      <c r="M52" s="372">
        <v>115921.98299999999</v>
      </c>
      <c r="N52" s="289"/>
    </row>
    <row r="53" spans="2:14">
      <c r="B53" s="347" t="s">
        <v>79</v>
      </c>
      <c r="C53" s="372">
        <v>32238.147000000001</v>
      </c>
      <c r="D53" s="372">
        <v>35521.269</v>
      </c>
      <c r="E53" s="372">
        <v>32240.13</v>
      </c>
      <c r="F53" s="372">
        <v>43026.406000000003</v>
      </c>
      <c r="G53" s="372">
        <v>26625.927</v>
      </c>
      <c r="H53" s="372">
        <v>7611.5879999999997</v>
      </c>
      <c r="I53" s="372">
        <v>20841.038</v>
      </c>
      <c r="J53" s="372">
        <v>28370.597000000002</v>
      </c>
      <c r="K53" s="372">
        <v>25673.280999999999</v>
      </c>
      <c r="L53" s="372">
        <v>30037.96</v>
      </c>
      <c r="M53" s="372">
        <v>28102.605</v>
      </c>
      <c r="N53" s="289"/>
    </row>
    <row r="54" spans="2:14">
      <c r="B54" s="347" t="s">
        <v>80</v>
      </c>
      <c r="C54" s="372">
        <v>485.09800000000001</v>
      </c>
      <c r="D54" s="372">
        <v>783.32</v>
      </c>
      <c r="E54" s="372">
        <v>1437.288</v>
      </c>
      <c r="F54" s="372">
        <v>923.79300000000001</v>
      </c>
      <c r="G54" s="372">
        <v>799.08299999999997</v>
      </c>
      <c r="H54" s="372">
        <v>198.815</v>
      </c>
      <c r="I54" s="372">
        <v>306.26299999999998</v>
      </c>
      <c r="J54" s="372">
        <v>785.00800000000004</v>
      </c>
      <c r="K54" s="372">
        <v>1937.8009999999999</v>
      </c>
      <c r="L54" s="372">
        <v>2596.6239999999998</v>
      </c>
      <c r="M54" s="372">
        <v>3650.1750000000002</v>
      </c>
      <c r="N54" s="289"/>
    </row>
    <row r="55" spans="2:14">
      <c r="B55" s="347" t="s">
        <v>82</v>
      </c>
      <c r="C55" s="372">
        <v>144.5</v>
      </c>
      <c r="D55" s="372">
        <v>95.474000000000004</v>
      </c>
      <c r="E55" s="372">
        <v>92.287000000000006</v>
      </c>
      <c r="F55" s="372">
        <v>79.795000000000002</v>
      </c>
      <c r="G55" s="372">
        <v>57.606000000000002</v>
      </c>
      <c r="H55" s="372">
        <v>76.114000000000004</v>
      </c>
      <c r="I55" s="372">
        <v>126.075</v>
      </c>
      <c r="J55" s="372">
        <v>187.941</v>
      </c>
      <c r="K55" s="372">
        <v>239.27600000000001</v>
      </c>
      <c r="L55" s="372">
        <v>338.81799999999998</v>
      </c>
      <c r="M55" s="372">
        <v>265.53500000000003</v>
      </c>
      <c r="N55" s="289"/>
    </row>
    <row r="56" spans="2:14">
      <c r="B56" s="347" t="s">
        <v>84</v>
      </c>
      <c r="C56" s="372">
        <v>207</v>
      </c>
      <c r="D56" s="372">
        <v>192</v>
      </c>
      <c r="E56" s="372">
        <v>206</v>
      </c>
      <c r="F56" s="372">
        <v>197</v>
      </c>
      <c r="G56" s="372">
        <v>196</v>
      </c>
      <c r="H56" s="372">
        <v>193</v>
      </c>
      <c r="I56" s="372">
        <v>196</v>
      </c>
      <c r="J56" s="372">
        <v>217</v>
      </c>
      <c r="K56" s="372">
        <v>190</v>
      </c>
      <c r="L56" s="372">
        <v>156</v>
      </c>
      <c r="M56" s="372">
        <v>159</v>
      </c>
      <c r="N56" s="289"/>
    </row>
    <row r="57" spans="2:14">
      <c r="B57" s="347" t="s">
        <v>85</v>
      </c>
      <c r="C57" s="372">
        <v>83.25</v>
      </c>
      <c r="D57" s="372">
        <v>47.5</v>
      </c>
      <c r="E57" s="372">
        <v>45.75</v>
      </c>
      <c r="F57" s="372">
        <v>68.25</v>
      </c>
      <c r="G57" s="372">
        <v>0</v>
      </c>
      <c r="H57" s="372">
        <v>0</v>
      </c>
      <c r="I57" s="372">
        <v>0</v>
      </c>
      <c r="J57" s="372">
        <v>0</v>
      </c>
      <c r="K57" s="372">
        <v>0</v>
      </c>
      <c r="L57" s="372">
        <v>0</v>
      </c>
      <c r="M57" s="372">
        <v>0</v>
      </c>
      <c r="N57" s="289"/>
    </row>
    <row r="58" spans="2:14">
      <c r="B58" s="347" t="s">
        <v>86</v>
      </c>
      <c r="C58" s="372">
        <v>41450.271999999997</v>
      </c>
      <c r="D58" s="372">
        <v>43104.485999999997</v>
      </c>
      <c r="E58" s="372">
        <v>39500.241000000002</v>
      </c>
      <c r="F58" s="372">
        <v>39974.796999999999</v>
      </c>
      <c r="G58" s="372">
        <v>34101.955999999998</v>
      </c>
      <c r="H58" s="372">
        <v>29199.279999999999</v>
      </c>
      <c r="I58" s="372">
        <v>28536.701000000001</v>
      </c>
      <c r="J58" s="372">
        <v>31517.35</v>
      </c>
      <c r="K58" s="372">
        <v>22965.993999999999</v>
      </c>
      <c r="L58" s="372">
        <v>13385.143</v>
      </c>
      <c r="M58" s="372">
        <v>12163.136</v>
      </c>
      <c r="N58" s="289"/>
    </row>
    <row r="59" spans="2:14">
      <c r="B59" s="347" t="s">
        <v>87</v>
      </c>
      <c r="C59" s="372">
        <v>955.58299999999997</v>
      </c>
      <c r="D59" s="372">
        <v>713.93700000000001</v>
      </c>
      <c r="E59" s="372">
        <v>675.80700000000002</v>
      </c>
      <c r="F59" s="372">
        <v>655.37800000000004</v>
      </c>
      <c r="G59" s="372">
        <v>694.90899999999999</v>
      </c>
      <c r="H59" s="372">
        <v>725.428</v>
      </c>
      <c r="I59" s="372">
        <v>730.02</v>
      </c>
      <c r="J59" s="372">
        <v>765.23900000000003</v>
      </c>
      <c r="K59" s="372">
        <v>723.36099999999999</v>
      </c>
      <c r="L59" s="372">
        <v>751.56799999999998</v>
      </c>
      <c r="M59" s="372">
        <v>765.14</v>
      </c>
      <c r="N59" s="289"/>
    </row>
    <row r="60" spans="2:14">
      <c r="B60" s="347" t="s">
        <v>88</v>
      </c>
      <c r="C60" s="372">
        <v>13</v>
      </c>
      <c r="D60" s="372">
        <v>0</v>
      </c>
      <c r="E60" s="372">
        <v>4</v>
      </c>
      <c r="F60" s="372">
        <v>0</v>
      </c>
      <c r="G60" s="372">
        <v>0</v>
      </c>
      <c r="H60" s="372">
        <v>0</v>
      </c>
      <c r="I60" s="372">
        <v>0</v>
      </c>
      <c r="J60" s="372">
        <v>0</v>
      </c>
      <c r="K60" s="372">
        <v>0</v>
      </c>
      <c r="L60" s="372">
        <v>0</v>
      </c>
      <c r="M60" s="372">
        <v>0</v>
      </c>
      <c r="N60" s="289"/>
    </row>
    <row r="61" spans="2:14">
      <c r="B61" s="347" t="s">
        <v>89</v>
      </c>
      <c r="C61" s="372">
        <v>243.672</v>
      </c>
      <c r="D61" s="372">
        <v>332.40899999999999</v>
      </c>
      <c r="E61" s="372">
        <v>381.572</v>
      </c>
      <c r="F61" s="372">
        <v>322.03399999999999</v>
      </c>
      <c r="G61" s="372">
        <v>271.77999999999997</v>
      </c>
      <c r="H61" s="372">
        <v>203.92500000000001</v>
      </c>
      <c r="I61" s="372">
        <v>194.679</v>
      </c>
      <c r="J61" s="372">
        <v>297.15499999999997</v>
      </c>
      <c r="K61" s="372">
        <v>264.11399999999998</v>
      </c>
      <c r="L61" s="372">
        <v>209.12100000000001</v>
      </c>
      <c r="M61" s="372">
        <v>115.66</v>
      </c>
      <c r="N61" s="289"/>
    </row>
    <row r="62" spans="2:14">
      <c r="B62" s="347" t="s">
        <v>90</v>
      </c>
      <c r="C62" s="372">
        <v>247.65</v>
      </c>
      <c r="D62" s="372">
        <v>405.12099999999998</v>
      </c>
      <c r="E62" s="372">
        <v>767.27200000000005</v>
      </c>
      <c r="F62" s="372">
        <v>742.82899999999995</v>
      </c>
      <c r="G62" s="372">
        <v>771.65499999999997</v>
      </c>
      <c r="H62" s="372">
        <v>558.53</v>
      </c>
      <c r="I62" s="372">
        <v>520.41</v>
      </c>
      <c r="J62" s="372">
        <v>558.34100000000001</v>
      </c>
      <c r="K62" s="372">
        <v>550.86800000000005</v>
      </c>
      <c r="L62" s="372">
        <v>475.31099999999998</v>
      </c>
      <c r="M62" s="372">
        <v>191.67099999999999</v>
      </c>
      <c r="N62" s="289"/>
    </row>
    <row r="63" spans="2:14">
      <c r="B63" s="347" t="s">
        <v>91</v>
      </c>
      <c r="C63" s="372">
        <v>78.638999999999996</v>
      </c>
      <c r="D63" s="372">
        <v>90.164000000000001</v>
      </c>
      <c r="E63" s="372">
        <v>98.313000000000002</v>
      </c>
      <c r="F63" s="372">
        <v>202.78</v>
      </c>
      <c r="G63" s="372">
        <v>413.09500000000003</v>
      </c>
      <c r="H63" s="372">
        <v>81.123999999999995</v>
      </c>
      <c r="I63" s="372">
        <v>85.614000000000004</v>
      </c>
      <c r="J63" s="372">
        <v>103.961</v>
      </c>
      <c r="K63" s="372">
        <v>143.512</v>
      </c>
      <c r="L63" s="372">
        <v>53.25</v>
      </c>
      <c r="M63" s="372">
        <v>268.07400000000001</v>
      </c>
      <c r="N63" s="289"/>
    </row>
    <row r="64" spans="2:14">
      <c r="B64" s="347" t="s">
        <v>93</v>
      </c>
      <c r="C64" s="372">
        <v>28.093</v>
      </c>
      <c r="D64" s="372">
        <v>26.372</v>
      </c>
      <c r="E64" s="372">
        <v>26.035</v>
      </c>
      <c r="F64" s="372">
        <v>26.135999999999999</v>
      </c>
      <c r="G64" s="372">
        <v>25.213999999999999</v>
      </c>
      <c r="H64" s="372">
        <v>25.074000000000002</v>
      </c>
      <c r="I64" s="372">
        <v>25.334</v>
      </c>
      <c r="J64" s="372">
        <v>24.004000000000001</v>
      </c>
      <c r="K64" s="372">
        <v>22.550999999999998</v>
      </c>
      <c r="L64" s="372">
        <v>21.088999999999999</v>
      </c>
      <c r="M64" s="372">
        <v>19.027999999999999</v>
      </c>
      <c r="N64" s="289"/>
    </row>
    <row r="65" spans="2:14">
      <c r="B65" s="347" t="s">
        <v>94</v>
      </c>
      <c r="C65" s="372">
        <v>5.0439999999999996</v>
      </c>
      <c r="D65" s="372">
        <v>7.5410000000000004</v>
      </c>
      <c r="E65" s="372">
        <v>2.7629999999999999</v>
      </c>
      <c r="F65" s="372">
        <v>4.16</v>
      </c>
      <c r="G65" s="372">
        <v>6.0789999999999997</v>
      </c>
      <c r="H65" s="372">
        <v>5.0990000000000002</v>
      </c>
      <c r="I65" s="372">
        <v>4.7869999999999999</v>
      </c>
      <c r="J65" s="372">
        <v>2.1320000000000001</v>
      </c>
      <c r="K65" s="372">
        <v>1.627</v>
      </c>
      <c r="L65" s="372">
        <v>1.488</v>
      </c>
      <c r="M65" s="372">
        <v>0.21299999999999999</v>
      </c>
      <c r="N65" s="289"/>
    </row>
    <row r="66" spans="2:14">
      <c r="B66" s="347" t="s">
        <v>95</v>
      </c>
      <c r="C66" s="372">
        <v>510.48899999999998</v>
      </c>
      <c r="D66" s="372">
        <v>414.93099999999998</v>
      </c>
      <c r="E66" s="372">
        <v>449.36399999999998</v>
      </c>
      <c r="F66" s="372">
        <v>440.05</v>
      </c>
      <c r="G66" s="372">
        <v>468.76499999999999</v>
      </c>
      <c r="H66" s="372">
        <v>331.1</v>
      </c>
      <c r="I66" s="372">
        <v>280.8</v>
      </c>
      <c r="J66" s="372">
        <v>290.01499999999999</v>
      </c>
      <c r="K66" s="372">
        <v>323.49299999999999</v>
      </c>
      <c r="L66" s="372">
        <v>274.98899999999998</v>
      </c>
      <c r="M66" s="372">
        <v>216.25</v>
      </c>
      <c r="N66" s="289"/>
    </row>
    <row r="67" spans="2:14">
      <c r="B67" s="347" t="s">
        <v>96</v>
      </c>
      <c r="C67" s="372">
        <v>4806.6030000000001</v>
      </c>
      <c r="D67" s="372">
        <v>4540.2730000000001</v>
      </c>
      <c r="E67" s="372">
        <v>4445.0590000000002</v>
      </c>
      <c r="F67" s="372">
        <v>4147.2070000000003</v>
      </c>
      <c r="G67" s="372">
        <v>3700.5830000000001</v>
      </c>
      <c r="H67" s="372">
        <v>3434.2710000000002</v>
      </c>
      <c r="I67" s="372">
        <v>3581.6729999999998</v>
      </c>
      <c r="J67" s="372">
        <v>3420.2310000000002</v>
      </c>
      <c r="K67" s="372">
        <v>3309.12</v>
      </c>
      <c r="L67" s="372">
        <v>2901.194</v>
      </c>
      <c r="M67" s="372">
        <v>2131.721</v>
      </c>
      <c r="N67" s="289"/>
    </row>
    <row r="68" spans="2:14">
      <c r="B68" s="347" t="s">
        <v>97</v>
      </c>
      <c r="C68" s="372">
        <v>2647.5129999999999</v>
      </c>
      <c r="D68" s="372">
        <v>2240.3519999999999</v>
      </c>
      <c r="E68" s="372">
        <v>2178.27</v>
      </c>
      <c r="F68" s="372">
        <v>2297.4250000000002</v>
      </c>
      <c r="G68" s="372">
        <v>2348.011</v>
      </c>
      <c r="H68" s="372">
        <v>2361.346</v>
      </c>
      <c r="I68" s="372">
        <v>897.14</v>
      </c>
      <c r="J68" s="372">
        <v>533.41800000000001</v>
      </c>
      <c r="K68" s="372">
        <v>595.30700000000002</v>
      </c>
      <c r="L68" s="372">
        <v>499.50299999999999</v>
      </c>
      <c r="M68" s="372">
        <v>403.77300000000002</v>
      </c>
      <c r="N68" s="289"/>
    </row>
    <row r="69" spans="2:14">
      <c r="B69" s="347" t="s">
        <v>98</v>
      </c>
      <c r="C69" s="372">
        <v>6180.4350000000004</v>
      </c>
      <c r="D69" s="372">
        <v>5849.085</v>
      </c>
      <c r="E69" s="372">
        <v>5542.7250000000004</v>
      </c>
      <c r="F69" s="372">
        <v>5271.0810000000001</v>
      </c>
      <c r="G69" s="372">
        <v>5064.3670000000002</v>
      </c>
      <c r="H69" s="372">
        <v>4559.4549999999999</v>
      </c>
      <c r="I69" s="372">
        <v>4875.0460000000003</v>
      </c>
      <c r="J69" s="372">
        <v>4415.7520000000004</v>
      </c>
      <c r="K69" s="372">
        <v>4331.826</v>
      </c>
      <c r="L69" s="372">
        <v>3672.288</v>
      </c>
      <c r="M69" s="372">
        <v>3026.7429999999999</v>
      </c>
      <c r="N69" s="289"/>
    </row>
    <row r="71" spans="2:14">
      <c r="B71" s="314" t="s">
        <v>122</v>
      </c>
      <c r="C71" s="94"/>
      <c r="D71" s="94"/>
      <c r="E71" s="94"/>
      <c r="F71" s="94"/>
      <c r="G71" s="94"/>
      <c r="H71" s="94"/>
      <c r="I71" s="94"/>
      <c r="J71" s="94"/>
      <c r="K71" s="94"/>
      <c r="L71" s="94"/>
      <c r="M71" s="94"/>
      <c r="N71" s="94"/>
    </row>
  </sheetData>
  <pageMargins left="0.75" right="0.75" top="1" bottom="1" header="0.5" footer="0.5"/>
  <pageSetup paperSize="9" scale="83" orientation="landscape" r:id="rId1"/>
  <headerFooter alignWithMargins="0">
    <oddFooter>&amp;L&amp;F \ &amp;A&amp;R&amp;T  &amp;D</oddFooter>
  </headerFooter>
</worksheet>
</file>

<file path=xl/worksheets/sheet11.xml><?xml version="1.0" encoding="utf-8"?>
<worksheet xmlns="http://schemas.openxmlformats.org/spreadsheetml/2006/main" xmlns:r="http://schemas.openxmlformats.org/officeDocument/2006/relationships">
  <sheetPr>
    <pageSetUpPr autoPageBreaks="0" fitToPage="1"/>
  </sheetPr>
  <dimension ref="A1:S82"/>
  <sheetViews>
    <sheetView showGridLines="0" zoomScale="85" workbookViewId="0">
      <selection activeCell="N1" sqref="N1:N1048576"/>
    </sheetView>
  </sheetViews>
  <sheetFormatPr defaultRowHeight="12.75"/>
  <cols>
    <col min="1" max="1" width="3.140625" style="90" customWidth="1"/>
    <col min="2" max="2" width="19.140625" style="90" customWidth="1"/>
    <col min="3" max="3" width="7.7109375" style="90" customWidth="1"/>
    <col min="4" max="14" width="11.7109375" style="90" customWidth="1"/>
    <col min="15" max="16384" width="9.140625" style="90"/>
  </cols>
  <sheetData>
    <row r="1" spans="1:19" ht="12.75" customHeight="1">
      <c r="A1" s="145"/>
    </row>
    <row r="2" spans="1:19">
      <c r="B2" s="308" t="s">
        <v>134</v>
      </c>
      <c r="C2" s="91"/>
      <c r="D2" s="147" t="str">
        <f>Info!$D$10</f>
        <v>Duncan Kernohan</v>
      </c>
      <c r="E2" s="91"/>
      <c r="F2" s="91"/>
      <c r="G2" s="91"/>
      <c r="H2" s="91"/>
      <c r="I2" s="91"/>
      <c r="J2" s="91"/>
      <c r="K2" s="91"/>
      <c r="L2" s="91"/>
      <c r="M2" s="91"/>
      <c r="N2" s="91"/>
      <c r="O2" s="91"/>
      <c r="P2" s="91"/>
      <c r="Q2" s="91"/>
      <c r="R2" s="91"/>
      <c r="S2" s="91"/>
    </row>
    <row r="3" spans="1:19">
      <c r="B3" s="310" t="s">
        <v>137</v>
      </c>
      <c r="C3" s="92"/>
      <c r="D3" s="149" t="str">
        <f>Info!$D$11 &amp; " - " &amp; Info!$D$12</f>
        <v>Airport Opex Benchmarking 2013 - duncan.kernohan@caa.co.uk</v>
      </c>
      <c r="E3" s="92"/>
      <c r="F3" s="92"/>
      <c r="G3" s="92"/>
      <c r="H3" s="92"/>
      <c r="I3" s="92"/>
      <c r="J3" s="92"/>
      <c r="K3" s="92"/>
      <c r="L3" s="92"/>
      <c r="M3" s="92"/>
      <c r="N3" s="92"/>
      <c r="O3" s="92"/>
      <c r="P3" s="92"/>
      <c r="Q3" s="92"/>
      <c r="R3" s="92"/>
      <c r="S3" s="92"/>
    </row>
    <row r="4" spans="1:19">
      <c r="B4" s="310" t="s">
        <v>130</v>
      </c>
      <c r="C4" s="92"/>
      <c r="D4" s="150">
        <f>Info!$D$16</f>
        <v>2.8</v>
      </c>
      <c r="E4" s="92"/>
      <c r="F4" s="92"/>
      <c r="G4" s="92"/>
      <c r="H4" s="92"/>
      <c r="I4" s="92"/>
      <c r="J4" s="92"/>
      <c r="K4" s="92"/>
      <c r="L4" s="92"/>
      <c r="M4" s="92"/>
      <c r="N4" s="92"/>
      <c r="O4" s="92"/>
      <c r="P4" s="92"/>
      <c r="Q4" s="92"/>
      <c r="R4" s="92"/>
      <c r="S4" s="92"/>
    </row>
    <row r="5" spans="1:19">
      <c r="B5" s="312" t="s">
        <v>138</v>
      </c>
      <c r="C5" s="93"/>
      <c r="D5" s="152" t="str">
        <f ca="1">IF(CELL("filename",C1)="","",MID(CELL("filename",A1),FIND("]",CELL("filename",A1))+1,99))</f>
        <v>ATMs</v>
      </c>
      <c r="E5" s="93"/>
      <c r="F5" s="93"/>
      <c r="G5" s="93"/>
      <c r="H5" s="93"/>
      <c r="I5" s="93"/>
      <c r="J5" s="93"/>
      <c r="K5" s="93"/>
      <c r="L5" s="93"/>
      <c r="M5" s="93"/>
      <c r="N5" s="93"/>
      <c r="O5" s="93"/>
      <c r="P5" s="93"/>
      <c r="Q5" s="93"/>
      <c r="R5" s="93"/>
      <c r="S5" s="93"/>
    </row>
    <row r="8" spans="1:19">
      <c r="B8" s="314" t="s">
        <v>148</v>
      </c>
      <c r="C8" s="94"/>
      <c r="D8" s="94"/>
      <c r="E8" s="94"/>
      <c r="F8" s="94"/>
      <c r="G8" s="94"/>
      <c r="H8" s="94"/>
      <c r="I8" s="94"/>
      <c r="J8" s="94"/>
      <c r="K8" s="94"/>
      <c r="L8" s="94"/>
      <c r="M8" s="94"/>
      <c r="N8" s="94"/>
      <c r="O8" s="94"/>
      <c r="P8" s="94"/>
      <c r="Q8" s="94"/>
      <c r="R8" s="94"/>
      <c r="S8" s="94"/>
    </row>
    <row r="10" spans="1:19">
      <c r="B10" s="65" t="s">
        <v>143</v>
      </c>
      <c r="C10" s="137" t="s">
        <v>145</v>
      </c>
      <c r="D10" s="137"/>
      <c r="E10" s="138" t="s">
        <v>154</v>
      </c>
    </row>
    <row r="12" spans="1:19">
      <c r="B12" s="290" t="s">
        <v>150</v>
      </c>
      <c r="C12" s="290">
        <v>2000</v>
      </c>
      <c r="D12" s="290">
        <v>2001</v>
      </c>
      <c r="E12" s="290">
        <v>2002</v>
      </c>
      <c r="F12" s="290">
        <v>2003</v>
      </c>
      <c r="G12" s="290">
        <v>2004</v>
      </c>
      <c r="H12" s="290">
        <v>2005</v>
      </c>
      <c r="I12" s="290">
        <v>2006</v>
      </c>
      <c r="J12" s="290">
        <v>2007</v>
      </c>
      <c r="K12" s="290">
        <v>2008</v>
      </c>
      <c r="L12" s="290">
        <v>2009</v>
      </c>
      <c r="M12" s="290">
        <v>2010</v>
      </c>
      <c r="N12" s="290"/>
    </row>
    <row r="13" spans="1:19">
      <c r="B13" s="347" t="s">
        <v>35</v>
      </c>
      <c r="C13" s="372">
        <v>251207</v>
      </c>
      <c r="D13" s="372">
        <v>243981</v>
      </c>
      <c r="E13" s="372">
        <v>233643</v>
      </c>
      <c r="F13" s="372">
        <v>234455</v>
      </c>
      <c r="G13" s="372">
        <v>241174</v>
      </c>
      <c r="H13" s="372">
        <v>251953</v>
      </c>
      <c r="I13" s="372">
        <v>254414</v>
      </c>
      <c r="J13" s="372">
        <v>258921</v>
      </c>
      <c r="K13" s="372">
        <v>256352</v>
      </c>
      <c r="L13" s="372">
        <v>245377</v>
      </c>
      <c r="M13" s="372">
        <v>233553</v>
      </c>
      <c r="N13" s="289"/>
      <c r="P13" s="126"/>
    </row>
    <row r="14" spans="1:19">
      <c r="B14" s="347" t="s">
        <v>36</v>
      </c>
      <c r="C14" s="372">
        <v>459723</v>
      </c>
      <c r="D14" s="372">
        <v>457639</v>
      </c>
      <c r="E14" s="372">
        <v>460292</v>
      </c>
      <c r="F14" s="372">
        <v>457077</v>
      </c>
      <c r="G14" s="372">
        <v>469786</v>
      </c>
      <c r="H14" s="372">
        <v>472041</v>
      </c>
      <c r="I14" s="372">
        <v>470891</v>
      </c>
      <c r="J14" s="372">
        <v>475789</v>
      </c>
      <c r="K14" s="372">
        <v>473207</v>
      </c>
      <c r="L14" s="372">
        <v>460178</v>
      </c>
      <c r="M14" s="372">
        <v>449271</v>
      </c>
      <c r="N14" s="289"/>
    </row>
    <row r="15" spans="1:19">
      <c r="B15" s="347" t="s">
        <v>37</v>
      </c>
      <c r="C15" s="372">
        <v>49004</v>
      </c>
      <c r="D15" s="372">
        <v>53763</v>
      </c>
      <c r="E15" s="372">
        <v>52956</v>
      </c>
      <c r="F15" s="372">
        <v>48019</v>
      </c>
      <c r="G15" s="372">
        <v>53199</v>
      </c>
      <c r="H15" s="372">
        <v>60693</v>
      </c>
      <c r="I15" s="372">
        <v>66129</v>
      </c>
      <c r="J15" s="372">
        <v>77274</v>
      </c>
      <c r="K15" s="372">
        <v>84074</v>
      </c>
      <c r="L15" s="372">
        <v>66907</v>
      </c>
      <c r="M15" s="372">
        <v>59919</v>
      </c>
      <c r="N15" s="289"/>
    </row>
    <row r="16" spans="1:19">
      <c r="B16" s="347" t="s">
        <v>38</v>
      </c>
      <c r="C16" s="372">
        <v>55547</v>
      </c>
      <c r="D16" s="372">
        <v>55987</v>
      </c>
      <c r="E16" s="372">
        <v>55009</v>
      </c>
      <c r="F16" s="372">
        <v>58421</v>
      </c>
      <c r="G16" s="372">
        <v>64243</v>
      </c>
      <c r="H16" s="372">
        <v>75424</v>
      </c>
      <c r="I16" s="372">
        <v>78840</v>
      </c>
      <c r="J16" s="372">
        <v>83319</v>
      </c>
      <c r="K16" s="372">
        <v>85661</v>
      </c>
      <c r="L16" s="372">
        <v>75094</v>
      </c>
      <c r="M16" s="372">
        <v>68571</v>
      </c>
      <c r="N16" s="289"/>
    </row>
    <row r="17" spans="2:14">
      <c r="B17" s="347" t="s">
        <v>39</v>
      </c>
      <c r="C17" s="372">
        <v>172</v>
      </c>
      <c r="D17" s="372">
        <v>223</v>
      </c>
      <c r="E17" s="372">
        <v>233</v>
      </c>
      <c r="F17" s="372">
        <v>78</v>
      </c>
      <c r="G17" s="372">
        <v>65</v>
      </c>
      <c r="H17" s="372">
        <v>118</v>
      </c>
      <c r="I17" s="372">
        <v>562</v>
      </c>
      <c r="J17" s="372">
        <v>878</v>
      </c>
      <c r="K17" s="372">
        <v>869</v>
      </c>
      <c r="L17" s="372">
        <v>75</v>
      </c>
      <c r="M17" s="372">
        <v>64</v>
      </c>
      <c r="N17" s="289"/>
    </row>
    <row r="18" spans="2:14">
      <c r="B18" s="347" t="s">
        <v>40</v>
      </c>
      <c r="C18" s="372">
        <v>143634</v>
      </c>
      <c r="D18" s="372">
        <v>150565</v>
      </c>
      <c r="E18" s="372">
        <v>152435</v>
      </c>
      <c r="F18" s="372">
        <v>169219</v>
      </c>
      <c r="G18" s="372">
        <v>176769</v>
      </c>
      <c r="H18" s="372">
        <v>178012</v>
      </c>
      <c r="I18" s="372">
        <v>189995</v>
      </c>
      <c r="J18" s="372">
        <v>191522</v>
      </c>
      <c r="K18" s="372">
        <v>177285</v>
      </c>
      <c r="L18" s="372">
        <v>155985</v>
      </c>
      <c r="M18" s="372">
        <v>142993</v>
      </c>
      <c r="N18" s="289"/>
    </row>
    <row r="19" spans="2:14">
      <c r="B19" s="347" t="s">
        <v>41</v>
      </c>
      <c r="C19" s="372">
        <v>2237</v>
      </c>
      <c r="D19" s="372">
        <v>0</v>
      </c>
      <c r="E19" s="372">
        <v>0</v>
      </c>
      <c r="F19" s="372">
        <v>0</v>
      </c>
      <c r="G19" s="372">
        <v>0</v>
      </c>
      <c r="H19" s="372">
        <v>0</v>
      </c>
      <c r="I19" s="372">
        <v>0</v>
      </c>
      <c r="J19" s="372">
        <v>0</v>
      </c>
      <c r="K19" s="372">
        <v>0</v>
      </c>
      <c r="L19" s="372">
        <v>0</v>
      </c>
      <c r="M19" s="372">
        <v>0</v>
      </c>
      <c r="N19" s="289"/>
    </row>
    <row r="20" spans="2:14">
      <c r="B20" s="347" t="s">
        <v>42</v>
      </c>
      <c r="C20" s="372">
        <v>78003</v>
      </c>
      <c r="D20" s="372">
        <v>83291</v>
      </c>
      <c r="E20" s="372">
        <v>79516</v>
      </c>
      <c r="F20" s="372">
        <v>76818</v>
      </c>
      <c r="G20" s="372">
        <v>80684</v>
      </c>
      <c r="H20" s="372">
        <v>89480</v>
      </c>
      <c r="I20" s="372">
        <v>97863</v>
      </c>
      <c r="J20" s="372">
        <v>102835</v>
      </c>
      <c r="K20" s="372">
        <v>100169</v>
      </c>
      <c r="L20" s="372">
        <v>94386</v>
      </c>
      <c r="M20" s="372">
        <v>87950</v>
      </c>
      <c r="N20" s="289"/>
    </row>
    <row r="21" spans="2:14">
      <c r="B21" s="347" t="s">
        <v>43</v>
      </c>
      <c r="C21" s="372">
        <v>1056</v>
      </c>
      <c r="D21" s="372">
        <v>1111</v>
      </c>
      <c r="E21" s="372">
        <v>1092</v>
      </c>
      <c r="F21" s="372">
        <v>1082</v>
      </c>
      <c r="G21" s="372">
        <v>1102</v>
      </c>
      <c r="H21" s="372">
        <v>1089</v>
      </c>
      <c r="I21" s="372">
        <v>1118</v>
      </c>
      <c r="J21" s="372">
        <v>1176</v>
      </c>
      <c r="K21" s="372">
        <v>1249</v>
      </c>
      <c r="L21" s="372">
        <v>1196</v>
      </c>
      <c r="M21" s="372">
        <v>1177</v>
      </c>
      <c r="N21" s="289"/>
    </row>
    <row r="22" spans="2:14">
      <c r="B22" s="347" t="s">
        <v>44</v>
      </c>
      <c r="C22" s="372">
        <v>33050</v>
      </c>
      <c r="D22" s="372">
        <v>32494</v>
      </c>
      <c r="E22" s="372">
        <v>37072</v>
      </c>
      <c r="F22" s="372">
        <v>31638</v>
      </c>
      <c r="G22" s="372">
        <v>33439</v>
      </c>
      <c r="H22" s="372">
        <v>37298</v>
      </c>
      <c r="I22" s="372">
        <v>36862</v>
      </c>
      <c r="J22" s="372">
        <v>39925</v>
      </c>
      <c r="K22" s="372">
        <v>40205</v>
      </c>
      <c r="L22" s="372">
        <v>37604</v>
      </c>
      <c r="M22" s="372">
        <v>38702</v>
      </c>
      <c r="N22" s="289"/>
    </row>
    <row r="23" spans="2:14">
      <c r="B23" s="347" t="s">
        <v>45</v>
      </c>
      <c r="C23" s="372">
        <v>41256</v>
      </c>
      <c r="D23" s="372">
        <v>45706</v>
      </c>
      <c r="E23" s="372">
        <v>38453</v>
      </c>
      <c r="F23" s="372">
        <v>39894</v>
      </c>
      <c r="G23" s="372">
        <v>43373</v>
      </c>
      <c r="H23" s="372">
        <v>47695</v>
      </c>
      <c r="I23" s="372">
        <v>48212</v>
      </c>
      <c r="J23" s="372">
        <v>51805</v>
      </c>
      <c r="K23" s="372">
        <v>53631</v>
      </c>
      <c r="L23" s="372">
        <v>44060</v>
      </c>
      <c r="M23" s="372">
        <v>39230</v>
      </c>
      <c r="N23" s="289"/>
    </row>
    <row r="24" spans="2:14">
      <c r="B24" s="347" t="s">
        <v>46</v>
      </c>
      <c r="C24" s="372">
        <v>2061</v>
      </c>
      <c r="D24" s="372">
        <v>2129</v>
      </c>
      <c r="E24" s="372">
        <v>2093</v>
      </c>
      <c r="F24" s="372">
        <v>2342</v>
      </c>
      <c r="G24" s="372">
        <v>2387</v>
      </c>
      <c r="H24" s="372">
        <v>2694</v>
      </c>
      <c r="I24" s="372">
        <v>2771</v>
      </c>
      <c r="J24" s="372">
        <v>2857</v>
      </c>
      <c r="K24" s="372">
        <v>2755</v>
      </c>
      <c r="L24" s="372">
        <v>2791</v>
      </c>
      <c r="M24" s="372">
        <v>2555</v>
      </c>
      <c r="N24" s="289"/>
    </row>
    <row r="25" spans="2:14">
      <c r="B25" s="347" t="s">
        <v>47</v>
      </c>
      <c r="C25" s="372">
        <v>224</v>
      </c>
      <c r="D25" s="372">
        <v>374</v>
      </c>
      <c r="E25" s="372">
        <v>125</v>
      </c>
      <c r="F25" s="372">
        <v>113</v>
      </c>
      <c r="G25" s="372">
        <v>89</v>
      </c>
      <c r="H25" s="372">
        <v>27</v>
      </c>
      <c r="I25" s="372">
        <v>6</v>
      </c>
      <c r="J25" s="372">
        <v>0</v>
      </c>
      <c r="K25" s="372">
        <v>0</v>
      </c>
      <c r="L25" s="372">
        <v>0</v>
      </c>
      <c r="M25" s="372">
        <v>0</v>
      </c>
      <c r="N25" s="289"/>
    </row>
    <row r="26" spans="2:14">
      <c r="B26" s="347" t="s">
        <v>48</v>
      </c>
      <c r="C26" s="372">
        <v>108445</v>
      </c>
      <c r="D26" s="372">
        <v>111008</v>
      </c>
      <c r="E26" s="372">
        <v>112284</v>
      </c>
      <c r="F26" s="372">
        <v>116040</v>
      </c>
      <c r="G26" s="372">
        <v>109202</v>
      </c>
      <c r="H26" s="372">
        <v>112963</v>
      </c>
      <c r="I26" s="372">
        <v>108658</v>
      </c>
      <c r="J26" s="372">
        <v>104481</v>
      </c>
      <c r="K26" s="372">
        <v>102856</v>
      </c>
      <c r="L26" s="372">
        <v>93936</v>
      </c>
      <c r="M26" s="372">
        <v>84790</v>
      </c>
      <c r="N26" s="289"/>
    </row>
    <row r="27" spans="2:14">
      <c r="B27" s="347" t="s">
        <v>49</v>
      </c>
      <c r="C27" s="372">
        <v>12498</v>
      </c>
      <c r="D27" s="372">
        <v>8091</v>
      </c>
      <c r="E27" s="372">
        <v>7768</v>
      </c>
      <c r="F27" s="372">
        <v>9195</v>
      </c>
      <c r="G27" s="372">
        <v>10173</v>
      </c>
      <c r="H27" s="372">
        <v>12652</v>
      </c>
      <c r="I27" s="372">
        <v>12622</v>
      </c>
      <c r="J27" s="372">
        <v>12688</v>
      </c>
      <c r="K27" s="372">
        <v>10630</v>
      </c>
      <c r="L27" s="372">
        <v>10888</v>
      </c>
      <c r="M27" s="372">
        <v>9589</v>
      </c>
      <c r="N27" s="289"/>
    </row>
    <row r="28" spans="2:14">
      <c r="B28" s="347" t="s">
        <v>50</v>
      </c>
      <c r="C28" s="372">
        <v>5625</v>
      </c>
      <c r="D28" s="372">
        <v>5155</v>
      </c>
      <c r="E28" s="372">
        <v>7600</v>
      </c>
      <c r="F28" s="372">
        <v>9646</v>
      </c>
      <c r="G28" s="372">
        <v>9616</v>
      </c>
      <c r="H28" s="372">
        <v>11598</v>
      </c>
      <c r="I28" s="372">
        <v>11889</v>
      </c>
      <c r="J28" s="372">
        <v>12186</v>
      </c>
      <c r="K28" s="372">
        <v>11792</v>
      </c>
      <c r="L28" s="372">
        <v>9269</v>
      </c>
      <c r="M28" s="372">
        <v>7468</v>
      </c>
      <c r="N28" s="289"/>
    </row>
    <row r="29" spans="2:14">
      <c r="B29" s="347" t="s">
        <v>51</v>
      </c>
      <c r="C29" s="372">
        <v>34434</v>
      </c>
      <c r="D29" s="372">
        <v>40947</v>
      </c>
      <c r="E29" s="372">
        <v>45829</v>
      </c>
      <c r="F29" s="372">
        <v>49548</v>
      </c>
      <c r="G29" s="372">
        <v>54793</v>
      </c>
      <c r="H29" s="372">
        <v>61311</v>
      </c>
      <c r="I29" s="372">
        <v>65825</v>
      </c>
      <c r="J29" s="372">
        <v>58741</v>
      </c>
      <c r="K29" s="372">
        <v>60068</v>
      </c>
      <c r="L29" s="372">
        <v>53796</v>
      </c>
      <c r="M29" s="372">
        <v>53788</v>
      </c>
      <c r="N29" s="289"/>
    </row>
    <row r="30" spans="2:14">
      <c r="B30" s="347" t="s">
        <v>52</v>
      </c>
      <c r="C30" s="372">
        <v>1637</v>
      </c>
      <c r="D30" s="372">
        <v>1506</v>
      </c>
      <c r="E30" s="372">
        <v>83</v>
      </c>
      <c r="F30" s="372">
        <v>105</v>
      </c>
      <c r="G30" s="372">
        <v>113</v>
      </c>
      <c r="H30" s="372">
        <v>80</v>
      </c>
      <c r="I30" s="372">
        <v>121</v>
      </c>
      <c r="J30" s="372">
        <v>69</v>
      </c>
      <c r="K30" s="372">
        <v>41</v>
      </c>
      <c r="L30" s="372">
        <v>38</v>
      </c>
      <c r="M30" s="372">
        <v>32</v>
      </c>
      <c r="N30" s="289"/>
    </row>
    <row r="31" spans="2:14">
      <c r="B31" s="347" t="s">
        <v>53</v>
      </c>
      <c r="C31" s="372">
        <v>941</v>
      </c>
      <c r="D31" s="372">
        <v>961</v>
      </c>
      <c r="E31" s="372">
        <v>980</v>
      </c>
      <c r="F31" s="372">
        <v>967</v>
      </c>
      <c r="G31" s="372">
        <v>971</v>
      </c>
      <c r="H31" s="372">
        <v>987</v>
      </c>
      <c r="I31" s="372">
        <v>962</v>
      </c>
      <c r="J31" s="372">
        <v>972</v>
      </c>
      <c r="K31" s="372">
        <v>978</v>
      </c>
      <c r="L31" s="372">
        <v>961</v>
      </c>
      <c r="M31" s="372">
        <v>910</v>
      </c>
      <c r="N31" s="289"/>
    </row>
    <row r="32" spans="2:14">
      <c r="B32" s="347" t="s">
        <v>54</v>
      </c>
      <c r="C32" s="372">
        <v>19423</v>
      </c>
      <c r="D32" s="372">
        <v>21764</v>
      </c>
      <c r="E32" s="372">
        <v>18736</v>
      </c>
      <c r="F32" s="372">
        <v>21231</v>
      </c>
      <c r="G32" s="372">
        <v>21993</v>
      </c>
      <c r="H32" s="372">
        <v>20553</v>
      </c>
      <c r="I32" s="372">
        <v>21872</v>
      </c>
      <c r="J32" s="372">
        <v>23039</v>
      </c>
      <c r="K32" s="372">
        <v>23481</v>
      </c>
      <c r="L32" s="372">
        <v>20455</v>
      </c>
      <c r="M32" s="372">
        <v>17189</v>
      </c>
      <c r="N32" s="289"/>
    </row>
    <row r="33" spans="2:14">
      <c r="B33" s="347" t="s">
        <v>55</v>
      </c>
      <c r="C33" s="372">
        <v>354</v>
      </c>
      <c r="D33" s="372">
        <v>224</v>
      </c>
      <c r="E33" s="372">
        <v>7</v>
      </c>
      <c r="F33" s="372">
        <v>9</v>
      </c>
      <c r="G33" s="372">
        <v>0</v>
      </c>
      <c r="H33" s="372">
        <v>0</v>
      </c>
      <c r="I33" s="372">
        <v>0</v>
      </c>
      <c r="J33" s="372">
        <v>0</v>
      </c>
      <c r="K33" s="372">
        <v>0</v>
      </c>
      <c r="L33" s="372">
        <v>0</v>
      </c>
      <c r="M33" s="372">
        <v>0</v>
      </c>
      <c r="N33" s="289"/>
    </row>
    <row r="34" spans="2:14">
      <c r="B34" s="347" t="s">
        <v>56</v>
      </c>
      <c r="C34" s="372">
        <v>3261</v>
      </c>
      <c r="D34" s="372">
        <v>4736</v>
      </c>
      <c r="E34" s="372">
        <v>4340</v>
      </c>
      <c r="F34" s="372">
        <v>4278</v>
      </c>
      <c r="G34" s="372">
        <v>4309</v>
      </c>
      <c r="H34" s="372">
        <v>4146</v>
      </c>
      <c r="I34" s="372">
        <v>4747</v>
      </c>
      <c r="J34" s="372">
        <v>5733</v>
      </c>
      <c r="K34" s="372">
        <v>5823</v>
      </c>
      <c r="L34" s="372">
        <v>4185</v>
      </c>
      <c r="M34" s="372">
        <v>3848</v>
      </c>
      <c r="N34" s="289"/>
    </row>
    <row r="35" spans="2:14">
      <c r="B35" s="347" t="s">
        <v>57</v>
      </c>
      <c r="C35" s="372">
        <v>3296</v>
      </c>
      <c r="D35" s="372">
        <v>3994</v>
      </c>
      <c r="E35" s="372">
        <v>3860</v>
      </c>
      <c r="F35" s="372">
        <v>1950</v>
      </c>
      <c r="G35" s="372">
        <v>7460</v>
      </c>
      <c r="H35" s="372">
        <v>9729</v>
      </c>
      <c r="I35" s="372">
        <v>8177</v>
      </c>
      <c r="J35" s="372">
        <v>7496</v>
      </c>
      <c r="K35" s="372">
        <v>4415</v>
      </c>
      <c r="L35" s="372">
        <v>1117</v>
      </c>
      <c r="M35" s="372">
        <v>0</v>
      </c>
      <c r="N35" s="289"/>
    </row>
    <row r="36" spans="2:14">
      <c r="B36" s="347" t="s">
        <v>58</v>
      </c>
      <c r="C36" s="372"/>
      <c r="D36" s="372"/>
      <c r="E36" s="372"/>
      <c r="F36" s="372"/>
      <c r="G36" s="372"/>
      <c r="H36" s="372">
        <v>5271</v>
      </c>
      <c r="I36" s="372">
        <v>7694</v>
      </c>
      <c r="J36" s="372">
        <v>8754</v>
      </c>
      <c r="K36" s="372">
        <v>7426</v>
      </c>
      <c r="L36" s="372">
        <v>6145</v>
      </c>
      <c r="M36" s="372">
        <v>6926</v>
      </c>
      <c r="N36" s="289"/>
    </row>
    <row r="37" spans="2:14">
      <c r="B37" s="347" t="s">
        <v>59</v>
      </c>
      <c r="C37" s="372">
        <v>2354</v>
      </c>
      <c r="D37" s="372">
        <v>2602</v>
      </c>
      <c r="E37" s="372">
        <v>2762</v>
      </c>
      <c r="F37" s="372">
        <v>2803</v>
      </c>
      <c r="G37" s="372">
        <v>2383</v>
      </c>
      <c r="H37" s="372">
        <v>2356</v>
      </c>
      <c r="I37" s="372">
        <v>2339</v>
      </c>
      <c r="J37" s="372">
        <v>3188</v>
      </c>
      <c r="K37" s="372">
        <v>3644</v>
      </c>
      <c r="L37" s="372">
        <v>3936</v>
      </c>
      <c r="M37" s="372">
        <v>3646</v>
      </c>
      <c r="N37" s="289"/>
    </row>
    <row r="38" spans="2:14">
      <c r="B38" s="347" t="s">
        <v>60</v>
      </c>
      <c r="C38" s="372">
        <v>10212</v>
      </c>
      <c r="D38" s="372">
        <v>9890</v>
      </c>
      <c r="E38" s="372">
        <v>9322</v>
      </c>
      <c r="F38" s="372">
        <v>9333</v>
      </c>
      <c r="G38" s="372">
        <v>10434</v>
      </c>
      <c r="H38" s="372">
        <v>11638</v>
      </c>
      <c r="I38" s="372">
        <v>12371</v>
      </c>
      <c r="J38" s="372">
        <v>11254</v>
      </c>
      <c r="K38" s="372">
        <v>9301</v>
      </c>
      <c r="L38" s="372">
        <v>5714</v>
      </c>
      <c r="M38" s="372">
        <v>5597</v>
      </c>
      <c r="N38" s="289"/>
    </row>
    <row r="39" spans="2:14">
      <c r="B39" s="347" t="s">
        <v>61</v>
      </c>
      <c r="C39" s="372">
        <v>39874</v>
      </c>
      <c r="D39" s="372">
        <v>40926</v>
      </c>
      <c r="E39" s="372">
        <v>48596</v>
      </c>
      <c r="F39" s="372">
        <v>54010</v>
      </c>
      <c r="G39" s="372">
        <v>55904</v>
      </c>
      <c r="H39" s="372">
        <v>53811</v>
      </c>
      <c r="I39" s="372">
        <v>56305</v>
      </c>
      <c r="J39" s="372">
        <v>61496</v>
      </c>
      <c r="K39" s="372">
        <v>66111</v>
      </c>
      <c r="L39" s="372">
        <v>57410</v>
      </c>
      <c r="M39" s="372">
        <v>52108</v>
      </c>
      <c r="N39" s="289"/>
    </row>
    <row r="40" spans="2:14">
      <c r="B40" s="347" t="s">
        <v>62</v>
      </c>
      <c r="C40" s="372">
        <v>86150</v>
      </c>
      <c r="D40" s="372">
        <v>98228</v>
      </c>
      <c r="E40" s="372">
        <v>104839</v>
      </c>
      <c r="F40" s="372">
        <v>105179</v>
      </c>
      <c r="G40" s="372">
        <v>111768</v>
      </c>
      <c r="H40" s="372">
        <v>115959</v>
      </c>
      <c r="I40" s="372">
        <v>115846</v>
      </c>
      <c r="J40" s="372">
        <v>115190</v>
      </c>
      <c r="K40" s="372">
        <v>113535</v>
      </c>
      <c r="L40" s="372">
        <v>106477</v>
      </c>
      <c r="M40" s="372">
        <v>100584</v>
      </c>
      <c r="N40" s="289"/>
    </row>
    <row r="41" spans="2:14">
      <c r="B41" s="347" t="s">
        <v>63</v>
      </c>
      <c r="C41" s="372">
        <v>7367</v>
      </c>
      <c r="D41" s="372">
        <v>7140</v>
      </c>
      <c r="E41" s="372">
        <v>5283</v>
      </c>
      <c r="F41" s="372">
        <v>5626</v>
      </c>
      <c r="G41" s="372">
        <v>8251</v>
      </c>
      <c r="H41" s="372">
        <v>11732</v>
      </c>
      <c r="I41" s="372">
        <v>15252</v>
      </c>
      <c r="J41" s="372">
        <v>16825</v>
      </c>
      <c r="K41" s="372">
        <v>15066</v>
      </c>
      <c r="L41" s="372">
        <v>13226</v>
      </c>
      <c r="M41" s="372">
        <v>12330</v>
      </c>
      <c r="N41" s="289"/>
    </row>
    <row r="42" spans="2:14">
      <c r="B42" s="347" t="s">
        <v>64</v>
      </c>
      <c r="C42" s="372">
        <v>87652</v>
      </c>
      <c r="D42" s="372">
        <v>91197</v>
      </c>
      <c r="E42" s="372">
        <v>87312</v>
      </c>
      <c r="F42" s="372">
        <v>88076</v>
      </c>
      <c r="G42" s="372">
        <v>92146</v>
      </c>
      <c r="H42" s="372">
        <v>96555</v>
      </c>
      <c r="I42" s="372">
        <v>96754</v>
      </c>
      <c r="J42" s="372">
        <v>93668</v>
      </c>
      <c r="K42" s="372">
        <v>86647</v>
      </c>
      <c r="L42" s="372">
        <v>74051</v>
      </c>
      <c r="M42" s="372">
        <v>68871</v>
      </c>
      <c r="N42" s="289"/>
    </row>
    <row r="43" spans="2:14">
      <c r="B43" s="347" t="s">
        <v>65</v>
      </c>
      <c r="C43" s="372">
        <v>0</v>
      </c>
      <c r="D43" s="372">
        <v>2</v>
      </c>
      <c r="E43" s="372">
        <v>5</v>
      </c>
      <c r="F43" s="372">
        <v>0</v>
      </c>
      <c r="G43" s="372">
        <v>0</v>
      </c>
      <c r="H43" s="372">
        <v>0</v>
      </c>
      <c r="I43" s="372">
        <v>4</v>
      </c>
      <c r="J43" s="372">
        <v>452</v>
      </c>
      <c r="K43" s="372">
        <v>1652</v>
      </c>
      <c r="L43" s="372">
        <v>1751</v>
      </c>
      <c r="M43" s="372">
        <v>1518</v>
      </c>
      <c r="N43" s="289"/>
    </row>
    <row r="44" spans="2:14">
      <c r="B44" s="347" t="s">
        <v>66</v>
      </c>
      <c r="C44" s="372">
        <v>100</v>
      </c>
      <c r="D44" s="372">
        <v>104</v>
      </c>
      <c r="E44" s="372">
        <v>88</v>
      </c>
      <c r="F44" s="372">
        <v>514</v>
      </c>
      <c r="G44" s="372">
        <v>1516</v>
      </c>
      <c r="H44" s="372">
        <v>1512</v>
      </c>
      <c r="I44" s="372">
        <v>0</v>
      </c>
      <c r="J44" s="372">
        <v>0</v>
      </c>
      <c r="K44" s="372">
        <v>0</v>
      </c>
      <c r="L44" s="372">
        <v>0</v>
      </c>
      <c r="M44" s="372">
        <v>0</v>
      </c>
      <c r="N44" s="289"/>
    </row>
    <row r="45" spans="2:14">
      <c r="B45" s="347" t="s">
        <v>67</v>
      </c>
      <c r="C45" s="372">
        <v>14177</v>
      </c>
      <c r="D45" s="372">
        <v>14326</v>
      </c>
      <c r="E45" s="372">
        <v>14833</v>
      </c>
      <c r="F45" s="372">
        <v>12519</v>
      </c>
      <c r="G45" s="372">
        <v>11955</v>
      </c>
      <c r="H45" s="372">
        <v>11265</v>
      </c>
      <c r="I45" s="372">
        <v>13157</v>
      </c>
      <c r="J45" s="372">
        <v>13490</v>
      </c>
      <c r="K45" s="372">
        <v>12960</v>
      </c>
      <c r="L45" s="372">
        <v>14195</v>
      </c>
      <c r="M45" s="372">
        <v>13410</v>
      </c>
      <c r="N45" s="289"/>
    </row>
    <row r="46" spans="2:14">
      <c r="B46" s="347" t="s">
        <v>68</v>
      </c>
      <c r="C46" s="372">
        <v>8232</v>
      </c>
      <c r="D46" s="372">
        <v>8745</v>
      </c>
      <c r="E46" s="372">
        <v>9632</v>
      </c>
      <c r="F46" s="372">
        <v>12034</v>
      </c>
      <c r="G46" s="372">
        <v>14783</v>
      </c>
      <c r="H46" s="372">
        <v>16359</v>
      </c>
      <c r="I46" s="372">
        <v>16575</v>
      </c>
      <c r="J46" s="372">
        <v>15054</v>
      </c>
      <c r="K46" s="372">
        <v>13537</v>
      </c>
      <c r="L46" s="372">
        <v>11696</v>
      </c>
      <c r="M46" s="372">
        <v>9608</v>
      </c>
      <c r="N46" s="289"/>
    </row>
    <row r="47" spans="2:14">
      <c r="B47" s="347" t="s">
        <v>69</v>
      </c>
      <c r="C47" s="372">
        <v>1110</v>
      </c>
      <c r="D47" s="372">
        <v>1119</v>
      </c>
      <c r="E47" s="372">
        <v>1130</v>
      </c>
      <c r="F47" s="372">
        <v>1125</v>
      </c>
      <c r="G47" s="372">
        <v>1124</v>
      </c>
      <c r="H47" s="372">
        <v>1122</v>
      </c>
      <c r="I47" s="372">
        <v>1307</v>
      </c>
      <c r="J47" s="372">
        <v>1345</v>
      </c>
      <c r="K47" s="372">
        <v>1477</v>
      </c>
      <c r="L47" s="372">
        <v>1279</v>
      </c>
      <c r="M47" s="372">
        <v>1410</v>
      </c>
      <c r="N47" s="289"/>
    </row>
    <row r="48" spans="2:14">
      <c r="B48" s="347" t="s">
        <v>70</v>
      </c>
      <c r="C48" s="372">
        <v>10571</v>
      </c>
      <c r="D48" s="372">
        <v>11191</v>
      </c>
      <c r="E48" s="372">
        <v>12177</v>
      </c>
      <c r="F48" s="372">
        <v>11877</v>
      </c>
      <c r="G48" s="372">
        <v>12191</v>
      </c>
      <c r="H48" s="372">
        <v>11359</v>
      </c>
      <c r="I48" s="372">
        <v>11104</v>
      </c>
      <c r="J48" s="372">
        <v>12102</v>
      </c>
      <c r="K48" s="372">
        <v>11279</v>
      </c>
      <c r="L48" s="372">
        <v>10955</v>
      </c>
      <c r="M48" s="372">
        <v>10297</v>
      </c>
      <c r="N48" s="289"/>
    </row>
    <row r="49" spans="2:14">
      <c r="B49" s="347" t="s">
        <v>71</v>
      </c>
      <c r="C49" s="372">
        <v>2262</v>
      </c>
      <c r="D49" s="372">
        <v>2326</v>
      </c>
      <c r="E49" s="372">
        <v>2346</v>
      </c>
      <c r="F49" s="372">
        <v>2628</v>
      </c>
      <c r="G49" s="372">
        <v>2778</v>
      </c>
      <c r="H49" s="372">
        <v>2668</v>
      </c>
      <c r="I49" s="372">
        <v>2588</v>
      </c>
      <c r="J49" s="372">
        <v>2690</v>
      </c>
      <c r="K49" s="372">
        <v>2578</v>
      </c>
      <c r="L49" s="372">
        <v>2124</v>
      </c>
      <c r="M49" s="372">
        <v>2072</v>
      </c>
      <c r="N49" s="289"/>
    </row>
    <row r="50" spans="2:14">
      <c r="B50" s="347" t="s">
        <v>72</v>
      </c>
      <c r="C50" s="372">
        <v>7219</v>
      </c>
      <c r="D50" s="372">
        <v>7228</v>
      </c>
      <c r="E50" s="372">
        <v>7969</v>
      </c>
      <c r="F50" s="372">
        <v>8650</v>
      </c>
      <c r="G50" s="372">
        <v>9223</v>
      </c>
      <c r="H50" s="372">
        <v>8966</v>
      </c>
      <c r="I50" s="372">
        <v>9935</v>
      </c>
      <c r="J50" s="372">
        <v>10814</v>
      </c>
      <c r="K50" s="372">
        <v>11198</v>
      </c>
      <c r="L50" s="372">
        <v>10801</v>
      </c>
      <c r="M50" s="372">
        <v>10393</v>
      </c>
      <c r="N50" s="289"/>
    </row>
    <row r="51" spans="2:14">
      <c r="B51" s="347" t="s">
        <v>73</v>
      </c>
      <c r="C51" s="372"/>
      <c r="D51" s="372"/>
      <c r="E51" s="372"/>
      <c r="F51" s="372">
        <v>4753</v>
      </c>
      <c r="G51" s="372">
        <v>4649</v>
      </c>
      <c r="H51" s="372">
        <v>4492</v>
      </c>
      <c r="I51" s="372">
        <v>4430</v>
      </c>
      <c r="J51" s="372">
        <v>5108</v>
      </c>
      <c r="K51" s="372">
        <v>4752</v>
      </c>
      <c r="L51" s="372">
        <v>5282</v>
      </c>
      <c r="M51" s="372">
        <v>5238</v>
      </c>
      <c r="N51" s="289"/>
    </row>
    <row r="52" spans="2:14">
      <c r="B52" s="347" t="s">
        <v>74</v>
      </c>
      <c r="C52" s="372">
        <v>28656</v>
      </c>
      <c r="D52" s="372">
        <v>28397</v>
      </c>
      <c r="E52" s="372">
        <v>28566</v>
      </c>
      <c r="F52" s="372">
        <v>29397</v>
      </c>
      <c r="G52" s="372">
        <v>31493</v>
      </c>
      <c r="H52" s="372">
        <v>35949</v>
      </c>
      <c r="I52" s="372">
        <v>37251</v>
      </c>
      <c r="J52" s="372">
        <v>39603</v>
      </c>
      <c r="K52" s="372">
        <v>37604</v>
      </c>
      <c r="L52" s="372">
        <v>32531</v>
      </c>
      <c r="M52" s="372">
        <v>33428</v>
      </c>
      <c r="N52" s="289"/>
    </row>
    <row r="53" spans="2:14">
      <c r="B53" s="347" t="s">
        <v>75</v>
      </c>
      <c r="C53" s="372">
        <v>1241</v>
      </c>
      <c r="D53" s="372">
        <v>663</v>
      </c>
      <c r="E53" s="372">
        <v>587</v>
      </c>
      <c r="F53" s="372">
        <v>585</v>
      </c>
      <c r="G53" s="372">
        <v>564</v>
      </c>
      <c r="H53" s="372">
        <v>1210</v>
      </c>
      <c r="I53" s="372">
        <v>1462</v>
      </c>
      <c r="J53" s="372">
        <v>1667</v>
      </c>
      <c r="K53" s="372">
        <v>1545</v>
      </c>
      <c r="L53" s="372">
        <v>1629</v>
      </c>
      <c r="M53" s="372">
        <v>1408</v>
      </c>
      <c r="N53" s="289"/>
    </row>
    <row r="54" spans="2:14">
      <c r="B54" s="347" t="s">
        <v>76</v>
      </c>
      <c r="C54" s="372">
        <v>29878</v>
      </c>
      <c r="D54" s="372">
        <v>30510</v>
      </c>
      <c r="E54" s="372">
        <v>32763</v>
      </c>
      <c r="F54" s="372">
        <v>38760</v>
      </c>
      <c r="G54" s="372">
        <v>39736</v>
      </c>
      <c r="H54" s="372">
        <v>49341</v>
      </c>
      <c r="I54" s="372">
        <v>47792</v>
      </c>
      <c r="J54" s="372">
        <v>45772</v>
      </c>
      <c r="K54" s="372">
        <v>43708</v>
      </c>
      <c r="L54" s="372">
        <v>42143</v>
      </c>
      <c r="M54" s="372">
        <v>43124</v>
      </c>
      <c r="N54" s="289"/>
    </row>
    <row r="55" spans="2:14">
      <c r="B55" s="347" t="s">
        <v>77</v>
      </c>
      <c r="C55" s="372">
        <v>238</v>
      </c>
      <c r="D55" s="372">
        <v>2</v>
      </c>
      <c r="E55" s="372">
        <v>365</v>
      </c>
      <c r="F55" s="372">
        <v>618</v>
      </c>
      <c r="G55" s="372">
        <v>595</v>
      </c>
      <c r="H55" s="372">
        <v>378</v>
      </c>
      <c r="I55" s="372">
        <v>329</v>
      </c>
      <c r="J55" s="372">
        <v>351</v>
      </c>
      <c r="K55" s="372">
        <v>263</v>
      </c>
      <c r="L55" s="372">
        <v>137</v>
      </c>
      <c r="M55" s="372">
        <v>119</v>
      </c>
      <c r="N55" s="289"/>
    </row>
    <row r="56" spans="2:14">
      <c r="B56" s="347" t="s">
        <v>78</v>
      </c>
      <c r="C56" s="372">
        <v>177575</v>
      </c>
      <c r="D56" s="372">
        <v>182097</v>
      </c>
      <c r="E56" s="372">
        <v>177545</v>
      </c>
      <c r="F56" s="372">
        <v>191518</v>
      </c>
      <c r="G56" s="372">
        <v>208493</v>
      </c>
      <c r="H56" s="372">
        <v>217987</v>
      </c>
      <c r="I56" s="372">
        <v>213026</v>
      </c>
      <c r="J56" s="372">
        <v>206503</v>
      </c>
      <c r="K56" s="372">
        <v>191228</v>
      </c>
      <c r="L56" s="372">
        <v>162126</v>
      </c>
      <c r="M56" s="372">
        <v>148876</v>
      </c>
      <c r="N56" s="289"/>
    </row>
    <row r="57" spans="2:14">
      <c r="B57" s="347" t="s">
        <v>79</v>
      </c>
      <c r="C57" s="372">
        <v>935</v>
      </c>
      <c r="D57" s="372">
        <v>937</v>
      </c>
      <c r="E57" s="372">
        <v>805</v>
      </c>
      <c r="F57" s="372">
        <v>1106</v>
      </c>
      <c r="G57" s="372">
        <v>3333</v>
      </c>
      <c r="H57" s="372">
        <v>4631</v>
      </c>
      <c r="I57" s="372">
        <v>461</v>
      </c>
      <c r="J57" s="372">
        <v>608</v>
      </c>
      <c r="K57" s="372">
        <v>540</v>
      </c>
      <c r="L57" s="372">
        <v>583</v>
      </c>
      <c r="M57" s="372">
        <v>1151</v>
      </c>
      <c r="N57" s="289"/>
    </row>
    <row r="58" spans="2:14">
      <c r="B58" s="347" t="s">
        <v>80</v>
      </c>
      <c r="C58" s="372">
        <v>42655</v>
      </c>
      <c r="D58" s="372">
        <v>45792</v>
      </c>
      <c r="E58" s="372">
        <v>44080</v>
      </c>
      <c r="F58" s="372">
        <v>42483</v>
      </c>
      <c r="G58" s="372">
        <v>49921</v>
      </c>
      <c r="H58" s="372">
        <v>55494</v>
      </c>
      <c r="I58" s="372">
        <v>58053</v>
      </c>
      <c r="J58" s="372">
        <v>58395</v>
      </c>
      <c r="K58" s="372">
        <v>54706</v>
      </c>
      <c r="L58" s="372">
        <v>49798</v>
      </c>
      <c r="M58" s="372">
        <v>46970</v>
      </c>
      <c r="N58" s="289"/>
    </row>
    <row r="59" spans="2:14">
      <c r="B59" s="347" t="s">
        <v>81</v>
      </c>
      <c r="C59" s="372"/>
      <c r="D59" s="372"/>
      <c r="E59" s="372"/>
      <c r="F59" s="372"/>
      <c r="G59" s="372">
        <v>6961</v>
      </c>
      <c r="H59" s="372">
        <v>8390</v>
      </c>
      <c r="I59" s="372">
        <v>9983</v>
      </c>
      <c r="J59" s="372">
        <v>10262</v>
      </c>
      <c r="K59" s="372">
        <v>12229</v>
      </c>
      <c r="L59" s="372">
        <v>12658</v>
      </c>
      <c r="M59" s="372">
        <v>11454</v>
      </c>
      <c r="N59" s="289"/>
    </row>
    <row r="60" spans="2:14">
      <c r="B60" s="347" t="s">
        <v>82</v>
      </c>
      <c r="C60" s="372">
        <v>15860</v>
      </c>
      <c r="D60" s="372">
        <v>15635</v>
      </c>
      <c r="E60" s="372">
        <v>13962</v>
      </c>
      <c r="F60" s="372">
        <v>16476</v>
      </c>
      <c r="G60" s="372">
        <v>14886</v>
      </c>
      <c r="H60" s="372">
        <v>17255</v>
      </c>
      <c r="I60" s="372">
        <v>21350</v>
      </c>
      <c r="J60" s="372">
        <v>22596</v>
      </c>
      <c r="K60" s="372">
        <v>20806</v>
      </c>
      <c r="L60" s="372">
        <v>19997</v>
      </c>
      <c r="M60" s="372">
        <v>15926</v>
      </c>
      <c r="N60" s="289"/>
    </row>
    <row r="61" spans="2:14">
      <c r="B61" s="347" t="s">
        <v>83</v>
      </c>
      <c r="C61" s="372"/>
      <c r="D61" s="372"/>
      <c r="E61" s="372"/>
      <c r="F61" s="372"/>
      <c r="G61" s="372"/>
      <c r="H61" s="372"/>
      <c r="I61" s="372"/>
      <c r="J61" s="372"/>
      <c r="K61" s="372"/>
      <c r="L61" s="372">
        <v>80</v>
      </c>
      <c r="M61" s="372">
        <v>91</v>
      </c>
      <c r="N61" s="289"/>
    </row>
    <row r="62" spans="2:14">
      <c r="B62" s="347" t="s">
        <v>84</v>
      </c>
      <c r="C62" s="372">
        <v>6642</v>
      </c>
      <c r="D62" s="372">
        <v>6748</v>
      </c>
      <c r="E62" s="372">
        <v>6806</v>
      </c>
      <c r="F62" s="372">
        <v>6876</v>
      </c>
      <c r="G62" s="372">
        <v>7137</v>
      </c>
      <c r="H62" s="372">
        <v>6521</v>
      </c>
      <c r="I62" s="372">
        <v>6300</v>
      </c>
      <c r="J62" s="372">
        <v>6477</v>
      </c>
      <c r="K62" s="372">
        <v>6038</v>
      </c>
      <c r="L62" s="372">
        <v>4904</v>
      </c>
      <c r="M62" s="372">
        <v>4838</v>
      </c>
      <c r="N62" s="289"/>
    </row>
    <row r="63" spans="2:14">
      <c r="B63" s="347" t="s">
        <v>85</v>
      </c>
      <c r="C63" s="372">
        <v>7079</v>
      </c>
      <c r="D63" s="372">
        <v>7130</v>
      </c>
      <c r="E63" s="372">
        <v>4738</v>
      </c>
      <c r="F63" s="372">
        <v>4317</v>
      </c>
      <c r="G63" s="372">
        <v>6190</v>
      </c>
      <c r="H63" s="372">
        <v>6152</v>
      </c>
      <c r="I63" s="372">
        <v>4661</v>
      </c>
      <c r="J63" s="372">
        <v>4662</v>
      </c>
      <c r="K63" s="372">
        <v>6223</v>
      </c>
      <c r="L63" s="372">
        <v>8054</v>
      </c>
      <c r="M63" s="372">
        <v>6984</v>
      </c>
      <c r="N63" s="289"/>
    </row>
    <row r="64" spans="2:14">
      <c r="B64" s="347" t="s">
        <v>86</v>
      </c>
      <c r="C64" s="372">
        <v>11414</v>
      </c>
      <c r="D64" s="372">
        <v>13429</v>
      </c>
      <c r="E64" s="372">
        <v>15221</v>
      </c>
      <c r="F64" s="372">
        <v>19366</v>
      </c>
      <c r="G64" s="372">
        <v>19050</v>
      </c>
      <c r="H64" s="372">
        <v>20512</v>
      </c>
      <c r="I64" s="372">
        <v>19405</v>
      </c>
      <c r="J64" s="372">
        <v>20336</v>
      </c>
      <c r="K64" s="372">
        <v>20397</v>
      </c>
      <c r="L64" s="372">
        <v>15464</v>
      </c>
      <c r="M64" s="372">
        <v>13100</v>
      </c>
      <c r="N64" s="289"/>
    </row>
    <row r="65" spans="2:14">
      <c r="B65" s="347" t="s">
        <v>87</v>
      </c>
      <c r="C65" s="372">
        <v>10829</v>
      </c>
      <c r="D65" s="372">
        <v>10758</v>
      </c>
      <c r="E65" s="372">
        <v>10295</v>
      </c>
      <c r="F65" s="372">
        <v>9848</v>
      </c>
      <c r="G65" s="372">
        <v>9967</v>
      </c>
      <c r="H65" s="372">
        <v>10408</v>
      </c>
      <c r="I65" s="372">
        <v>11409</v>
      </c>
      <c r="J65" s="372">
        <v>11269</v>
      </c>
      <c r="K65" s="372">
        <v>10696</v>
      </c>
      <c r="L65" s="372">
        <v>12656</v>
      </c>
      <c r="M65" s="372">
        <v>12700</v>
      </c>
      <c r="N65" s="289"/>
    </row>
    <row r="66" spans="2:14">
      <c r="B66" s="347" t="s">
        <v>88</v>
      </c>
      <c r="C66" s="372">
        <v>665</v>
      </c>
      <c r="D66" s="372">
        <v>656</v>
      </c>
      <c r="E66" s="372">
        <v>679</v>
      </c>
      <c r="F66" s="372">
        <v>814</v>
      </c>
      <c r="G66" s="372">
        <v>1745</v>
      </c>
      <c r="H66" s="372">
        <v>2017</v>
      </c>
      <c r="I66" s="372">
        <v>1405</v>
      </c>
      <c r="J66" s="372">
        <v>2175</v>
      </c>
      <c r="K66" s="372">
        <v>1507</v>
      </c>
      <c r="L66" s="372">
        <v>585</v>
      </c>
      <c r="M66" s="372">
        <v>564</v>
      </c>
      <c r="N66" s="289"/>
    </row>
    <row r="67" spans="2:14">
      <c r="B67" s="347" t="s">
        <v>89</v>
      </c>
      <c r="C67" s="372">
        <v>27711</v>
      </c>
      <c r="D67" s="372">
        <v>28140</v>
      </c>
      <c r="E67" s="372">
        <v>27662</v>
      </c>
      <c r="F67" s="372">
        <v>32431</v>
      </c>
      <c r="G67" s="372">
        <v>37199</v>
      </c>
      <c r="H67" s="372">
        <v>43829</v>
      </c>
      <c r="I67" s="372">
        <v>46314</v>
      </c>
      <c r="J67" s="372">
        <v>47016</v>
      </c>
      <c r="K67" s="372">
        <v>44525</v>
      </c>
      <c r="L67" s="372">
        <v>40520</v>
      </c>
      <c r="M67" s="372">
        <v>40333</v>
      </c>
      <c r="N67" s="289"/>
    </row>
    <row r="68" spans="2:14">
      <c r="B68" s="347" t="s">
        <v>90</v>
      </c>
      <c r="C68" s="372">
        <v>3595</v>
      </c>
      <c r="D68" s="372">
        <v>3705</v>
      </c>
      <c r="E68" s="372">
        <v>4442</v>
      </c>
      <c r="F68" s="372">
        <v>5309</v>
      </c>
      <c r="G68" s="372">
        <v>5779</v>
      </c>
      <c r="H68" s="372">
        <v>6242</v>
      </c>
      <c r="I68" s="372">
        <v>7168</v>
      </c>
      <c r="J68" s="372">
        <v>7429</v>
      </c>
      <c r="K68" s="372">
        <v>7784</v>
      </c>
      <c r="L68" s="372">
        <v>7161</v>
      </c>
      <c r="M68" s="372">
        <v>6419</v>
      </c>
      <c r="N68" s="289"/>
    </row>
    <row r="69" spans="2:14">
      <c r="B69" s="347" t="s">
        <v>91</v>
      </c>
      <c r="C69" s="372">
        <v>4701</v>
      </c>
      <c r="D69" s="372">
        <v>5327</v>
      </c>
      <c r="E69" s="372">
        <v>5475</v>
      </c>
      <c r="F69" s="372">
        <v>4447</v>
      </c>
      <c r="G69" s="372">
        <v>4737</v>
      </c>
      <c r="H69" s="372">
        <v>5706</v>
      </c>
      <c r="I69" s="372">
        <v>6604</v>
      </c>
      <c r="J69" s="372">
        <v>7603</v>
      </c>
      <c r="K69" s="372">
        <v>7816</v>
      </c>
      <c r="L69" s="372">
        <v>6651</v>
      </c>
      <c r="M69" s="372">
        <v>6588</v>
      </c>
      <c r="N69" s="289"/>
    </row>
    <row r="70" spans="2:14">
      <c r="B70" s="347" t="s">
        <v>92</v>
      </c>
      <c r="C70" s="372"/>
      <c r="D70" s="372"/>
      <c r="E70" s="372"/>
      <c r="F70" s="372"/>
      <c r="G70" s="372">
        <v>1281</v>
      </c>
      <c r="H70" s="372">
        <v>0</v>
      </c>
      <c r="I70" s="372">
        <v>0</v>
      </c>
      <c r="J70" s="372">
        <v>0</v>
      </c>
      <c r="K70" s="372">
        <v>0</v>
      </c>
      <c r="L70" s="372">
        <v>0</v>
      </c>
      <c r="M70" s="372">
        <v>0</v>
      </c>
      <c r="N70" s="289"/>
    </row>
    <row r="71" spans="2:14">
      <c r="B71" s="347" t="s">
        <v>93</v>
      </c>
      <c r="C71" s="372">
        <v>594</v>
      </c>
      <c r="D71" s="372">
        <v>599</v>
      </c>
      <c r="E71" s="372">
        <v>612</v>
      </c>
      <c r="F71" s="372">
        <v>615</v>
      </c>
      <c r="G71" s="372">
        <v>604</v>
      </c>
      <c r="H71" s="372">
        <v>605</v>
      </c>
      <c r="I71" s="372">
        <v>601</v>
      </c>
      <c r="J71" s="372">
        <v>606</v>
      </c>
      <c r="K71" s="372">
        <v>798</v>
      </c>
      <c r="L71" s="372">
        <v>957</v>
      </c>
      <c r="M71" s="372">
        <v>860</v>
      </c>
      <c r="N71" s="289"/>
    </row>
    <row r="72" spans="2:14">
      <c r="B72" s="347" t="s">
        <v>94</v>
      </c>
      <c r="C72" s="372">
        <v>2311</v>
      </c>
      <c r="D72" s="372">
        <v>2368</v>
      </c>
      <c r="E72" s="372">
        <v>2383</v>
      </c>
      <c r="F72" s="372">
        <v>2377</v>
      </c>
      <c r="G72" s="372">
        <v>2375</v>
      </c>
      <c r="H72" s="372">
        <v>2732</v>
      </c>
      <c r="I72" s="372">
        <v>2661</v>
      </c>
      <c r="J72" s="372">
        <v>2273</v>
      </c>
      <c r="K72" s="372">
        <v>2141</v>
      </c>
      <c r="L72" s="372">
        <v>2206</v>
      </c>
      <c r="M72" s="372">
        <v>1948</v>
      </c>
      <c r="N72" s="289"/>
    </row>
    <row r="73" spans="2:14">
      <c r="B73" s="347" t="s">
        <v>95</v>
      </c>
      <c r="C73" s="372">
        <v>7698</v>
      </c>
      <c r="D73" s="372">
        <v>7504</v>
      </c>
      <c r="E73" s="372">
        <v>8049</v>
      </c>
      <c r="F73" s="372">
        <v>8288</v>
      </c>
      <c r="G73" s="372">
        <v>8769</v>
      </c>
      <c r="H73" s="372">
        <v>9425</v>
      </c>
      <c r="I73" s="372">
        <v>9292</v>
      </c>
      <c r="J73" s="372">
        <v>9156</v>
      </c>
      <c r="K73" s="372">
        <v>8541</v>
      </c>
      <c r="L73" s="372">
        <v>8074</v>
      </c>
      <c r="M73" s="372">
        <v>7916</v>
      </c>
      <c r="N73" s="289"/>
    </row>
    <row r="74" spans="2:14">
      <c r="B74" s="347" t="s">
        <v>96</v>
      </c>
      <c r="C74" s="372">
        <v>36990</v>
      </c>
      <c r="D74" s="372">
        <v>36832</v>
      </c>
      <c r="E74" s="372">
        <v>34902</v>
      </c>
      <c r="F74" s="372">
        <v>32062</v>
      </c>
      <c r="G74" s="372">
        <v>35287</v>
      </c>
      <c r="H74" s="372">
        <v>33802</v>
      </c>
      <c r="I74" s="372">
        <v>34517</v>
      </c>
      <c r="J74" s="372">
        <v>38218</v>
      </c>
      <c r="K74" s="372">
        <v>39655</v>
      </c>
      <c r="L74" s="372">
        <v>38325</v>
      </c>
      <c r="M74" s="372">
        <v>37263</v>
      </c>
      <c r="N74" s="289"/>
    </row>
    <row r="75" spans="2:14">
      <c r="B75" s="347" t="s">
        <v>97</v>
      </c>
      <c r="C75" s="372">
        <v>23935</v>
      </c>
      <c r="D75" s="372">
        <v>22838</v>
      </c>
      <c r="E75" s="372">
        <v>24606</v>
      </c>
      <c r="F75" s="372">
        <v>29824</v>
      </c>
      <c r="G75" s="372">
        <v>32245</v>
      </c>
      <c r="H75" s="372">
        <v>32455</v>
      </c>
      <c r="I75" s="372">
        <v>32048</v>
      </c>
      <c r="J75" s="372">
        <v>30268</v>
      </c>
      <c r="K75" s="372">
        <v>27929</v>
      </c>
      <c r="L75" s="372">
        <v>26444</v>
      </c>
      <c r="M75" s="372">
        <v>24085</v>
      </c>
      <c r="N75" s="289"/>
    </row>
    <row r="76" spans="2:14">
      <c r="B76" s="347" t="s">
        <v>98</v>
      </c>
      <c r="C76" s="372">
        <v>45835</v>
      </c>
      <c r="D76" s="372">
        <v>44470</v>
      </c>
      <c r="E76" s="372">
        <v>40880</v>
      </c>
      <c r="F76" s="372">
        <v>38206</v>
      </c>
      <c r="G76" s="372">
        <v>40402</v>
      </c>
      <c r="H76" s="372">
        <v>38346</v>
      </c>
      <c r="I76" s="372">
        <v>37947</v>
      </c>
      <c r="J76" s="372">
        <v>40809</v>
      </c>
      <c r="K76" s="372">
        <v>43713</v>
      </c>
      <c r="L76" s="372">
        <v>37650</v>
      </c>
      <c r="M76" s="372">
        <v>37919</v>
      </c>
      <c r="N76" s="289"/>
    </row>
    <row r="77" spans="2:14">
      <c r="B77" s="347" t="s">
        <v>99</v>
      </c>
      <c r="C77" s="372">
        <v>45</v>
      </c>
      <c r="D77" s="372">
        <v>24</v>
      </c>
      <c r="E77" s="372">
        <v>0</v>
      </c>
      <c r="F77" s="372">
        <v>0</v>
      </c>
      <c r="G77" s="372">
        <v>0</v>
      </c>
      <c r="H77" s="372">
        <v>0</v>
      </c>
      <c r="I77" s="372">
        <v>0</v>
      </c>
      <c r="J77" s="372"/>
      <c r="K77" s="372"/>
      <c r="L77" s="372"/>
      <c r="M77" s="372"/>
      <c r="N77" s="289"/>
    </row>
    <row r="78" spans="2:14">
      <c r="B78" s="347" t="s">
        <v>149</v>
      </c>
      <c r="C78" s="372"/>
      <c r="D78" s="372">
        <v>0</v>
      </c>
      <c r="E78" s="372"/>
      <c r="F78" s="372">
        <v>0</v>
      </c>
      <c r="G78" s="372"/>
      <c r="H78" s="372"/>
      <c r="I78" s="372"/>
      <c r="J78" s="372"/>
      <c r="K78" s="372"/>
      <c r="L78" s="372"/>
      <c r="M78" s="372"/>
      <c r="N78" s="289"/>
    </row>
    <row r="79" spans="2:14">
      <c r="B79" s="347" t="s">
        <v>100</v>
      </c>
      <c r="C79" s="372">
        <v>4125</v>
      </c>
      <c r="D79" s="372">
        <v>1604</v>
      </c>
      <c r="E79" s="372">
        <v>771</v>
      </c>
      <c r="F79" s="372">
        <v>0</v>
      </c>
      <c r="G79" s="372">
        <v>0</v>
      </c>
      <c r="H79" s="372"/>
      <c r="I79" s="372"/>
      <c r="J79" s="372"/>
      <c r="K79" s="372"/>
      <c r="L79" s="372"/>
      <c r="M79" s="372"/>
      <c r="N79" s="289"/>
    </row>
    <row r="80" spans="2:14">
      <c r="B80" s="347" t="s">
        <v>101</v>
      </c>
      <c r="C80" s="372">
        <v>682</v>
      </c>
      <c r="D80" s="372">
        <v>138</v>
      </c>
      <c r="E80" s="372"/>
      <c r="F80" s="372"/>
      <c r="G80" s="372"/>
      <c r="H80" s="372"/>
      <c r="I80" s="372"/>
      <c r="J80" s="372"/>
      <c r="K80" s="372"/>
      <c r="L80" s="372"/>
      <c r="M80" s="372"/>
      <c r="N80" s="347"/>
    </row>
    <row r="82" spans="2:14">
      <c r="B82" s="314" t="s">
        <v>122</v>
      </c>
      <c r="C82" s="94"/>
      <c r="D82" s="94"/>
      <c r="E82" s="94"/>
      <c r="F82" s="94"/>
      <c r="G82" s="94"/>
      <c r="H82" s="94"/>
      <c r="I82" s="94"/>
      <c r="J82" s="94"/>
      <c r="K82" s="94"/>
      <c r="L82" s="94"/>
      <c r="M82" s="94"/>
      <c r="N82" s="94"/>
    </row>
  </sheetData>
  <pageMargins left="0.75" right="0.75" top="1" bottom="1" header="0.5" footer="0.5"/>
  <pageSetup paperSize="9" scale="83" orientation="landscape" r:id="rId1"/>
  <headerFooter alignWithMargins="0">
    <oddFooter>&amp;L&amp;F \ &amp;A&amp;R&amp;T  &amp;D</oddFooter>
  </headerFooter>
</worksheet>
</file>

<file path=xl/worksheets/sheet12.xml><?xml version="1.0" encoding="utf-8"?>
<worksheet xmlns="http://schemas.openxmlformats.org/spreadsheetml/2006/main" xmlns:r="http://schemas.openxmlformats.org/officeDocument/2006/relationships">
  <sheetPr>
    <pageSetUpPr autoPageBreaks="0" fitToPage="1"/>
  </sheetPr>
  <dimension ref="A1:N83"/>
  <sheetViews>
    <sheetView showGridLines="0" zoomScale="85" workbookViewId="0">
      <selection activeCell="P21" sqref="P21"/>
    </sheetView>
  </sheetViews>
  <sheetFormatPr defaultRowHeight="12.75"/>
  <cols>
    <col min="1" max="1" width="3.140625" style="90" customWidth="1"/>
    <col min="2" max="2" width="33.5703125" style="90" customWidth="1"/>
    <col min="3" max="3" width="7.7109375" style="90" customWidth="1"/>
    <col min="4" max="14" width="11.7109375" style="90" customWidth="1"/>
    <col min="15" max="16384" width="9.140625" style="90"/>
  </cols>
  <sheetData>
    <row r="1" spans="1:14" ht="12.75" customHeight="1">
      <c r="A1" s="145"/>
    </row>
    <row r="2" spans="1:14">
      <c r="B2" s="308" t="s">
        <v>134</v>
      </c>
      <c r="C2" s="91"/>
      <c r="D2" s="147" t="str">
        <f>Info!$D$10</f>
        <v>Duncan Kernohan</v>
      </c>
      <c r="E2" s="91"/>
      <c r="F2" s="91"/>
      <c r="G2" s="91"/>
      <c r="H2" s="91"/>
      <c r="I2" s="91"/>
      <c r="J2" s="91"/>
      <c r="K2" s="91"/>
      <c r="L2" s="91"/>
      <c r="M2" s="91"/>
      <c r="N2" s="91"/>
    </row>
    <row r="3" spans="1:14">
      <c r="B3" s="310" t="s">
        <v>137</v>
      </c>
      <c r="C3" s="92"/>
      <c r="D3" s="149" t="str">
        <f>Info!$D$11 &amp; " - " &amp; Info!$D$12</f>
        <v>Airport Opex Benchmarking 2013 - duncan.kernohan@caa.co.uk</v>
      </c>
      <c r="E3" s="92"/>
      <c r="F3" s="92"/>
      <c r="G3" s="92"/>
      <c r="H3" s="92"/>
      <c r="I3" s="92"/>
      <c r="J3" s="92"/>
      <c r="K3" s="92"/>
      <c r="L3" s="92"/>
      <c r="M3" s="92"/>
      <c r="N3" s="92"/>
    </row>
    <row r="4" spans="1:14">
      <c r="B4" s="310" t="s">
        <v>130</v>
      </c>
      <c r="C4" s="92"/>
      <c r="D4" s="150">
        <f>Info!$D$16</f>
        <v>2.8</v>
      </c>
      <c r="E4" s="92"/>
      <c r="F4" s="92"/>
      <c r="G4" s="92"/>
      <c r="H4" s="92"/>
      <c r="I4" s="92"/>
      <c r="J4" s="92"/>
      <c r="K4" s="92"/>
      <c r="L4" s="92"/>
      <c r="M4" s="92"/>
      <c r="N4" s="92"/>
    </row>
    <row r="5" spans="1:14">
      <c r="B5" s="312" t="s">
        <v>138</v>
      </c>
      <c r="C5" s="93"/>
      <c r="D5" s="152" t="str">
        <f ca="1">IF(CELL("filename",C1)="","",MID(CELL("filename",A1),FIND("]",CELL("filename",A1))+1,99))</f>
        <v>Aircraft Movements</v>
      </c>
      <c r="E5" s="93"/>
      <c r="F5" s="93"/>
      <c r="G5" s="93"/>
      <c r="H5" s="93"/>
      <c r="I5" s="93"/>
      <c r="J5" s="93"/>
      <c r="K5" s="93"/>
      <c r="L5" s="93"/>
      <c r="M5" s="93"/>
      <c r="N5" s="93"/>
    </row>
    <row r="8" spans="1:14">
      <c r="B8" s="314" t="s">
        <v>152</v>
      </c>
      <c r="C8" s="94"/>
      <c r="D8" s="94"/>
      <c r="E8" s="94"/>
      <c r="F8" s="94"/>
      <c r="G8" s="94"/>
      <c r="H8" s="94"/>
      <c r="I8" s="94"/>
      <c r="J8" s="94"/>
      <c r="K8" s="94"/>
      <c r="L8" s="94"/>
      <c r="M8" s="94"/>
      <c r="N8" s="94"/>
    </row>
    <row r="10" spans="1:14">
      <c r="B10" s="65" t="s">
        <v>143</v>
      </c>
      <c r="C10" s="137" t="s">
        <v>145</v>
      </c>
      <c r="E10" s="90" t="s">
        <v>153</v>
      </c>
    </row>
    <row r="12" spans="1:14">
      <c r="B12" s="290" t="s">
        <v>150</v>
      </c>
      <c r="C12" s="290">
        <v>2000</v>
      </c>
      <c r="D12" s="290">
        <v>2001</v>
      </c>
      <c r="E12" s="290">
        <v>2002</v>
      </c>
      <c r="F12" s="290">
        <v>2003</v>
      </c>
      <c r="G12" s="290">
        <v>2004</v>
      </c>
      <c r="H12" s="290">
        <v>2005</v>
      </c>
      <c r="I12" s="290">
        <v>2006</v>
      </c>
      <c r="J12" s="290">
        <v>2007</v>
      </c>
      <c r="K12" s="290">
        <v>2008</v>
      </c>
      <c r="L12" s="290">
        <v>2009</v>
      </c>
      <c r="M12" s="290">
        <v>2010</v>
      </c>
      <c r="N12" s="290"/>
    </row>
    <row r="13" spans="1:14">
      <c r="B13" s="347" t="s">
        <v>35</v>
      </c>
      <c r="C13" s="372">
        <v>260854</v>
      </c>
      <c r="D13" s="372">
        <v>252543</v>
      </c>
      <c r="E13" s="372">
        <v>242379</v>
      </c>
      <c r="F13" s="372">
        <v>242731</v>
      </c>
      <c r="G13" s="372">
        <v>251195</v>
      </c>
      <c r="H13" s="372">
        <v>261292</v>
      </c>
      <c r="I13" s="372">
        <v>263363</v>
      </c>
      <c r="J13" s="372">
        <v>266550</v>
      </c>
      <c r="K13" s="372">
        <v>263653</v>
      </c>
      <c r="L13" s="372">
        <v>251879</v>
      </c>
      <c r="M13" s="372">
        <v>240500</v>
      </c>
      <c r="N13" s="347"/>
    </row>
    <row r="14" spans="1:14">
      <c r="B14" s="347" t="s">
        <v>36</v>
      </c>
      <c r="C14" s="372">
        <v>466799</v>
      </c>
      <c r="D14" s="372">
        <v>463567</v>
      </c>
      <c r="E14" s="372">
        <v>466545</v>
      </c>
      <c r="F14" s="372">
        <v>463650</v>
      </c>
      <c r="G14" s="372">
        <v>476001</v>
      </c>
      <c r="H14" s="372">
        <v>477887</v>
      </c>
      <c r="I14" s="372">
        <v>477048</v>
      </c>
      <c r="J14" s="372">
        <v>481476</v>
      </c>
      <c r="K14" s="372">
        <v>478693</v>
      </c>
      <c r="L14" s="372">
        <v>466393</v>
      </c>
      <c r="M14" s="372">
        <v>454823</v>
      </c>
      <c r="N14" s="347"/>
    </row>
    <row r="15" spans="1:14">
      <c r="B15" s="347" t="s">
        <v>37</v>
      </c>
      <c r="C15" s="372">
        <v>52643</v>
      </c>
      <c r="D15" s="372">
        <v>57361</v>
      </c>
      <c r="E15" s="372">
        <v>56291</v>
      </c>
      <c r="F15" s="372">
        <v>52856</v>
      </c>
      <c r="G15" s="372">
        <v>61029</v>
      </c>
      <c r="H15" s="372">
        <v>71105</v>
      </c>
      <c r="I15" s="372">
        <v>79436</v>
      </c>
      <c r="J15" s="372">
        <v>91177</v>
      </c>
      <c r="K15" s="372">
        <v>94516</v>
      </c>
      <c r="L15" s="372">
        <v>76861</v>
      </c>
      <c r="M15" s="372">
        <v>68640</v>
      </c>
      <c r="N15" s="347"/>
    </row>
    <row r="16" spans="1:14">
      <c r="B16" s="347" t="s">
        <v>38</v>
      </c>
      <c r="C16" s="372">
        <v>84648</v>
      </c>
      <c r="D16" s="372">
        <v>83711</v>
      </c>
      <c r="E16" s="372">
        <v>80924</v>
      </c>
      <c r="F16" s="372">
        <v>85302</v>
      </c>
      <c r="G16" s="372">
        <v>94379</v>
      </c>
      <c r="H16" s="372">
        <v>107892</v>
      </c>
      <c r="I16" s="372">
        <v>116131</v>
      </c>
      <c r="J16" s="372">
        <v>120238</v>
      </c>
      <c r="K16" s="372">
        <v>117859</v>
      </c>
      <c r="L16" s="372">
        <v>98736</v>
      </c>
      <c r="M16" s="372">
        <v>94574</v>
      </c>
      <c r="N16" s="347"/>
    </row>
    <row r="17" spans="2:14">
      <c r="B17" s="347" t="s">
        <v>39</v>
      </c>
      <c r="C17" s="372">
        <v>51818</v>
      </c>
      <c r="D17" s="372">
        <v>48012</v>
      </c>
      <c r="E17" s="372">
        <v>43054</v>
      </c>
      <c r="F17" s="372">
        <v>42803</v>
      </c>
      <c r="G17" s="372">
        <v>37558</v>
      </c>
      <c r="H17" s="372">
        <v>38696</v>
      </c>
      <c r="I17" s="372">
        <v>38858</v>
      </c>
      <c r="J17" s="372">
        <v>39881</v>
      </c>
      <c r="K17" s="372">
        <v>37227</v>
      </c>
      <c r="L17" s="372">
        <v>31785</v>
      </c>
      <c r="M17" s="372">
        <v>27320</v>
      </c>
      <c r="N17" s="347"/>
    </row>
    <row r="18" spans="2:14">
      <c r="B18" s="347" t="s">
        <v>40</v>
      </c>
      <c r="C18" s="372">
        <v>165760</v>
      </c>
      <c r="D18" s="372">
        <v>169583</v>
      </c>
      <c r="E18" s="372">
        <v>170544</v>
      </c>
      <c r="F18" s="372">
        <v>186475</v>
      </c>
      <c r="G18" s="372">
        <v>192245</v>
      </c>
      <c r="H18" s="372">
        <v>193511</v>
      </c>
      <c r="I18" s="372">
        <v>206693</v>
      </c>
      <c r="J18" s="372">
        <v>208462</v>
      </c>
      <c r="K18" s="372">
        <v>193282</v>
      </c>
      <c r="L18" s="372">
        <v>167817</v>
      </c>
      <c r="M18" s="372">
        <v>155140</v>
      </c>
      <c r="N18" s="347"/>
    </row>
    <row r="19" spans="2:14">
      <c r="B19" s="347" t="s">
        <v>41</v>
      </c>
      <c r="C19" s="372">
        <v>12777</v>
      </c>
      <c r="D19" s="372">
        <v>10786</v>
      </c>
      <c r="E19" s="372">
        <v>11667</v>
      </c>
      <c r="F19" s="372">
        <v>11076</v>
      </c>
      <c r="G19" s="372">
        <v>11161</v>
      </c>
      <c r="H19" s="372">
        <v>12018</v>
      </c>
      <c r="I19" s="372">
        <v>14225</v>
      </c>
      <c r="J19" s="372">
        <v>13126</v>
      </c>
      <c r="K19" s="372">
        <v>11326</v>
      </c>
      <c r="L19" s="372">
        <v>8391</v>
      </c>
      <c r="M19" s="372">
        <v>8055</v>
      </c>
      <c r="N19" s="347"/>
    </row>
    <row r="20" spans="2:14">
      <c r="B20" s="347" t="s">
        <v>42</v>
      </c>
      <c r="C20" s="372">
        <v>99564</v>
      </c>
      <c r="D20" s="372">
        <v>104801</v>
      </c>
      <c r="E20" s="372">
        <v>100207</v>
      </c>
      <c r="F20" s="372">
        <v>97895</v>
      </c>
      <c r="G20" s="372">
        <v>98598</v>
      </c>
      <c r="H20" s="372">
        <v>109232</v>
      </c>
      <c r="I20" s="372">
        <v>116971</v>
      </c>
      <c r="J20" s="372">
        <v>121927</v>
      </c>
      <c r="K20" s="372">
        <v>119831</v>
      </c>
      <c r="L20" s="372">
        <v>109876</v>
      </c>
      <c r="M20" s="372">
        <v>102396</v>
      </c>
      <c r="N20" s="347"/>
    </row>
    <row r="21" spans="2:14">
      <c r="B21" s="347" t="s">
        <v>43</v>
      </c>
      <c r="C21" s="372">
        <v>1349</v>
      </c>
      <c r="D21" s="372">
        <v>1355</v>
      </c>
      <c r="E21" s="372">
        <v>1307</v>
      </c>
      <c r="F21" s="372">
        <v>1394</v>
      </c>
      <c r="G21" s="372">
        <v>1358</v>
      </c>
      <c r="H21" s="372">
        <v>1323</v>
      </c>
      <c r="I21" s="372">
        <v>1321</v>
      </c>
      <c r="J21" s="372">
        <v>1296</v>
      </c>
      <c r="K21" s="372">
        <v>1310</v>
      </c>
      <c r="L21" s="372">
        <v>1356</v>
      </c>
      <c r="M21" s="372">
        <v>1252</v>
      </c>
      <c r="N21" s="347"/>
    </row>
    <row r="22" spans="2:14">
      <c r="B22" s="347" t="s">
        <v>44</v>
      </c>
      <c r="C22" s="372">
        <v>36773</v>
      </c>
      <c r="D22" s="372">
        <v>35158</v>
      </c>
      <c r="E22" s="372">
        <v>40027</v>
      </c>
      <c r="F22" s="372">
        <v>34523</v>
      </c>
      <c r="G22" s="372">
        <v>36290</v>
      </c>
      <c r="H22" s="372">
        <v>40443</v>
      </c>
      <c r="I22" s="372">
        <v>39411</v>
      </c>
      <c r="J22" s="372">
        <v>43022</v>
      </c>
      <c r="K22" s="372">
        <v>42990</v>
      </c>
      <c r="L22" s="372">
        <v>39330</v>
      </c>
      <c r="M22" s="372">
        <v>40324</v>
      </c>
      <c r="N22" s="347"/>
    </row>
    <row r="23" spans="2:14">
      <c r="B23" s="347" t="s">
        <v>45</v>
      </c>
      <c r="C23" s="372">
        <v>97563</v>
      </c>
      <c r="D23" s="372">
        <v>95354</v>
      </c>
      <c r="E23" s="372">
        <v>79376</v>
      </c>
      <c r="F23" s="372">
        <v>79394</v>
      </c>
      <c r="G23" s="372">
        <v>80091</v>
      </c>
      <c r="H23" s="372">
        <v>81350</v>
      </c>
      <c r="I23" s="372">
        <v>77652</v>
      </c>
      <c r="J23" s="372">
        <v>77395</v>
      </c>
      <c r="K23" s="372">
        <v>77943</v>
      </c>
      <c r="L23" s="372">
        <v>68813</v>
      </c>
      <c r="M23" s="372">
        <v>60742</v>
      </c>
      <c r="N23" s="347"/>
    </row>
    <row r="24" spans="2:14">
      <c r="B24" s="347" t="s">
        <v>151</v>
      </c>
      <c r="C24" s="372">
        <v>3834</v>
      </c>
      <c r="D24" s="372">
        <v>8328</v>
      </c>
      <c r="E24" s="372">
        <v>9288</v>
      </c>
      <c r="F24" s="372">
        <v>10615</v>
      </c>
      <c r="G24" s="372">
        <v>11324</v>
      </c>
      <c r="H24" s="372">
        <v>12475</v>
      </c>
      <c r="I24" s="372">
        <v>12238</v>
      </c>
      <c r="J24" s="372">
        <v>13354</v>
      </c>
      <c r="K24" s="372">
        <v>15462</v>
      </c>
      <c r="L24" s="372">
        <v>17460</v>
      </c>
      <c r="M24" s="372">
        <v>15514</v>
      </c>
      <c r="N24" s="347"/>
    </row>
    <row r="25" spans="2:14">
      <c r="B25" s="347" t="s">
        <v>46</v>
      </c>
      <c r="C25" s="372">
        <v>4257</v>
      </c>
      <c r="D25" s="372">
        <v>4162</v>
      </c>
      <c r="E25" s="372">
        <v>4068</v>
      </c>
      <c r="F25" s="372">
        <v>4147</v>
      </c>
      <c r="G25" s="372">
        <v>4209</v>
      </c>
      <c r="H25" s="372">
        <v>4466</v>
      </c>
      <c r="I25" s="372">
        <v>4462</v>
      </c>
      <c r="J25" s="372">
        <v>4810</v>
      </c>
      <c r="K25" s="372">
        <v>4660</v>
      </c>
      <c r="L25" s="372">
        <v>4779</v>
      </c>
      <c r="M25" s="372">
        <v>4402</v>
      </c>
      <c r="N25" s="347"/>
    </row>
    <row r="26" spans="2:14">
      <c r="B26" s="347" t="s">
        <v>47</v>
      </c>
      <c r="C26" s="372">
        <v>79601</v>
      </c>
      <c r="D26" s="372">
        <v>92413</v>
      </c>
      <c r="E26" s="372">
        <v>80239</v>
      </c>
      <c r="F26" s="372">
        <v>86174</v>
      </c>
      <c r="G26" s="372">
        <v>73671</v>
      </c>
      <c r="H26" s="372">
        <v>70473</v>
      </c>
      <c r="I26" s="372">
        <v>65180</v>
      </c>
      <c r="J26" s="372">
        <v>69244</v>
      </c>
      <c r="K26" s="372">
        <v>62211</v>
      </c>
      <c r="L26" s="372">
        <v>58279</v>
      </c>
      <c r="M26" s="372">
        <v>49830</v>
      </c>
      <c r="N26" s="347"/>
    </row>
    <row r="27" spans="2:14">
      <c r="B27" s="347" t="s">
        <v>48</v>
      </c>
      <c r="C27" s="372">
        <v>126209</v>
      </c>
      <c r="D27" s="372">
        <v>125159</v>
      </c>
      <c r="E27" s="372">
        <v>124900</v>
      </c>
      <c r="F27" s="372">
        <v>128740</v>
      </c>
      <c r="G27" s="372">
        <v>120839</v>
      </c>
      <c r="H27" s="372">
        <v>123133</v>
      </c>
      <c r="I27" s="372">
        <v>119490</v>
      </c>
      <c r="J27" s="372">
        <v>114679</v>
      </c>
      <c r="K27" s="372">
        <v>112227</v>
      </c>
      <c r="L27" s="372">
        <v>101221</v>
      </c>
      <c r="M27" s="372">
        <v>95454</v>
      </c>
      <c r="N27" s="347"/>
    </row>
    <row r="28" spans="2:14">
      <c r="B28" s="347" t="s">
        <v>49</v>
      </c>
      <c r="C28" s="372">
        <v>75496</v>
      </c>
      <c r="D28" s="372">
        <v>71788</v>
      </c>
      <c r="E28" s="372">
        <v>68786</v>
      </c>
      <c r="F28" s="372">
        <v>75371</v>
      </c>
      <c r="G28" s="372">
        <v>76314</v>
      </c>
      <c r="H28" s="372">
        <v>76779</v>
      </c>
      <c r="I28" s="372">
        <v>65990</v>
      </c>
      <c r="J28" s="372">
        <v>58824</v>
      </c>
      <c r="K28" s="372">
        <v>54249</v>
      </c>
      <c r="L28" s="372">
        <v>52575</v>
      </c>
      <c r="M28" s="372">
        <v>50905</v>
      </c>
      <c r="N28" s="347"/>
    </row>
    <row r="29" spans="2:14">
      <c r="B29" s="347" t="s">
        <v>50</v>
      </c>
      <c r="C29" s="372">
        <v>86445</v>
      </c>
      <c r="D29" s="372">
        <v>78365</v>
      </c>
      <c r="E29" s="372">
        <v>67507</v>
      </c>
      <c r="F29" s="372">
        <v>76177</v>
      </c>
      <c r="G29" s="372">
        <v>77142</v>
      </c>
      <c r="H29" s="372">
        <v>79512</v>
      </c>
      <c r="I29" s="372">
        <v>75505</v>
      </c>
      <c r="J29" s="372">
        <v>71742</v>
      </c>
      <c r="K29" s="372">
        <v>78527</v>
      </c>
      <c r="L29" s="372">
        <v>82538</v>
      </c>
      <c r="M29" s="372">
        <v>55398</v>
      </c>
      <c r="N29" s="347"/>
    </row>
    <row r="30" spans="2:14">
      <c r="B30" s="347" t="s">
        <v>51</v>
      </c>
      <c r="C30" s="372">
        <v>63234</v>
      </c>
      <c r="D30" s="372">
        <v>69854</v>
      </c>
      <c r="E30" s="372">
        <v>72152</v>
      </c>
      <c r="F30" s="372">
        <v>74635</v>
      </c>
      <c r="G30" s="372">
        <v>77956</v>
      </c>
      <c r="H30" s="372">
        <v>84289</v>
      </c>
      <c r="I30" s="372">
        <v>84583</v>
      </c>
      <c r="J30" s="372">
        <v>76428</v>
      </c>
      <c r="K30" s="372">
        <v>76517</v>
      </c>
      <c r="L30" s="372">
        <v>70245</v>
      </c>
      <c r="M30" s="372">
        <v>69134</v>
      </c>
      <c r="N30" s="347"/>
    </row>
    <row r="31" spans="2:14">
      <c r="B31" s="347" t="s">
        <v>52</v>
      </c>
      <c r="C31" s="372">
        <v>46776</v>
      </c>
      <c r="D31" s="372">
        <v>52542</v>
      </c>
      <c r="E31" s="372">
        <v>50756</v>
      </c>
      <c r="F31" s="372">
        <v>51645</v>
      </c>
      <c r="G31" s="372">
        <v>49902</v>
      </c>
      <c r="H31" s="372">
        <v>45285</v>
      </c>
      <c r="I31" s="372">
        <v>27148</v>
      </c>
      <c r="J31" s="372">
        <v>38983</v>
      </c>
      <c r="K31" s="372">
        <v>42602</v>
      </c>
      <c r="L31" s="372">
        <v>39573</v>
      </c>
      <c r="M31" s="372">
        <v>24304</v>
      </c>
      <c r="N31" s="347"/>
    </row>
    <row r="32" spans="2:14">
      <c r="B32" s="347" t="s">
        <v>53</v>
      </c>
      <c r="C32" s="372">
        <v>1931</v>
      </c>
      <c r="D32" s="372">
        <v>2081</v>
      </c>
      <c r="E32" s="372">
        <v>1957</v>
      </c>
      <c r="F32" s="372">
        <v>1828</v>
      </c>
      <c r="G32" s="372">
        <v>1913</v>
      </c>
      <c r="H32" s="372">
        <v>2500</v>
      </c>
      <c r="I32" s="372">
        <v>3837</v>
      </c>
      <c r="J32" s="372">
        <v>3674</v>
      </c>
      <c r="K32" s="372">
        <v>1921</v>
      </c>
      <c r="L32" s="372">
        <v>2418</v>
      </c>
      <c r="M32" s="372">
        <v>2334</v>
      </c>
      <c r="N32" s="347"/>
    </row>
    <row r="33" spans="2:14">
      <c r="B33" s="347" t="s">
        <v>54</v>
      </c>
      <c r="C33" s="372">
        <v>64298</v>
      </c>
      <c r="D33" s="372">
        <v>67624</v>
      </c>
      <c r="E33" s="372">
        <v>49115</v>
      </c>
      <c r="F33" s="372">
        <v>48590</v>
      </c>
      <c r="G33" s="372">
        <v>43023</v>
      </c>
      <c r="H33" s="372">
        <v>43040</v>
      </c>
      <c r="I33" s="372">
        <v>42055</v>
      </c>
      <c r="J33" s="372">
        <v>43963</v>
      </c>
      <c r="K33" s="372">
        <v>37123</v>
      </c>
      <c r="L33" s="372">
        <v>27003</v>
      </c>
      <c r="M33" s="372">
        <v>25645</v>
      </c>
      <c r="N33" s="347"/>
    </row>
    <row r="34" spans="2:14">
      <c r="B34" s="347" t="s">
        <v>55</v>
      </c>
      <c r="C34" s="372">
        <v>16044</v>
      </c>
      <c r="D34" s="372">
        <v>18824</v>
      </c>
      <c r="E34" s="372">
        <v>19022</v>
      </c>
      <c r="F34" s="372">
        <v>22524</v>
      </c>
      <c r="G34" s="372">
        <v>25442</v>
      </c>
      <c r="H34" s="372">
        <v>24353</v>
      </c>
      <c r="I34" s="372">
        <v>21597</v>
      </c>
      <c r="J34" s="372">
        <v>23363</v>
      </c>
      <c r="K34" s="372">
        <v>19626</v>
      </c>
      <c r="L34" s="372">
        <v>21395</v>
      </c>
      <c r="M34" s="372">
        <v>18419</v>
      </c>
      <c r="N34" s="347"/>
    </row>
    <row r="35" spans="2:14">
      <c r="B35" s="347" t="s">
        <v>56</v>
      </c>
      <c r="C35" s="372">
        <v>10894</v>
      </c>
      <c r="D35" s="372">
        <v>11554</v>
      </c>
      <c r="E35" s="372">
        <v>9830</v>
      </c>
      <c r="F35" s="372">
        <v>11585</v>
      </c>
      <c r="G35" s="372">
        <v>10848</v>
      </c>
      <c r="H35" s="372">
        <v>12016</v>
      </c>
      <c r="I35" s="372">
        <v>11941</v>
      </c>
      <c r="J35" s="372">
        <v>11598</v>
      </c>
      <c r="K35" s="372">
        <v>13035</v>
      </c>
      <c r="L35" s="372">
        <v>10286</v>
      </c>
      <c r="M35" s="372">
        <v>9948</v>
      </c>
      <c r="N35" s="347"/>
    </row>
    <row r="36" spans="2:14">
      <c r="B36" s="347" t="s">
        <v>57</v>
      </c>
      <c r="C36" s="372">
        <v>59309</v>
      </c>
      <c r="D36" s="372">
        <v>63853</v>
      </c>
      <c r="E36" s="372">
        <v>61115</v>
      </c>
      <c r="F36" s="372">
        <v>67022</v>
      </c>
      <c r="G36" s="372">
        <v>64368</v>
      </c>
      <c r="H36" s="372">
        <v>68085</v>
      </c>
      <c r="I36" s="372">
        <v>61784</v>
      </c>
      <c r="J36" s="372">
        <v>54925</v>
      </c>
      <c r="K36" s="372">
        <v>56144</v>
      </c>
      <c r="L36" s="372">
        <v>51147</v>
      </c>
      <c r="M36" s="372">
        <v>6648</v>
      </c>
      <c r="N36" s="347"/>
    </row>
    <row r="37" spans="2:14">
      <c r="B37" s="347" t="s">
        <v>58</v>
      </c>
      <c r="C37" s="372"/>
      <c r="D37" s="372"/>
      <c r="E37" s="372"/>
      <c r="F37" s="372"/>
      <c r="G37" s="372"/>
      <c r="H37" s="372">
        <v>6914</v>
      </c>
      <c r="I37" s="372">
        <v>11033</v>
      </c>
      <c r="J37" s="372">
        <v>12667</v>
      </c>
      <c r="K37" s="372">
        <v>13066</v>
      </c>
      <c r="L37" s="372">
        <v>10584</v>
      </c>
      <c r="M37" s="372">
        <v>11030</v>
      </c>
      <c r="N37" s="347"/>
    </row>
    <row r="38" spans="2:14">
      <c r="B38" s="347" t="s">
        <v>59</v>
      </c>
      <c r="C38" s="372">
        <v>36723</v>
      </c>
      <c r="D38" s="372">
        <v>28349</v>
      </c>
      <c r="E38" s="372">
        <v>18713</v>
      </c>
      <c r="F38" s="372">
        <v>30716</v>
      </c>
      <c r="G38" s="372">
        <v>32099</v>
      </c>
      <c r="H38" s="372">
        <v>37261</v>
      </c>
      <c r="I38" s="372">
        <v>37444</v>
      </c>
      <c r="J38" s="372">
        <v>37292</v>
      </c>
      <c r="K38" s="372">
        <v>36297</v>
      </c>
      <c r="L38" s="372">
        <v>39274</v>
      </c>
      <c r="M38" s="372">
        <v>37169</v>
      </c>
      <c r="N38" s="347"/>
    </row>
    <row r="39" spans="2:14">
      <c r="B39" s="347" t="s">
        <v>60</v>
      </c>
      <c r="C39" s="372">
        <v>54625</v>
      </c>
      <c r="D39" s="372">
        <v>58494</v>
      </c>
      <c r="E39" s="372">
        <v>52276</v>
      </c>
      <c r="F39" s="372">
        <v>51976</v>
      </c>
      <c r="G39" s="372">
        <v>49529</v>
      </c>
      <c r="H39" s="372">
        <v>51717</v>
      </c>
      <c r="I39" s="372">
        <v>55788</v>
      </c>
      <c r="J39" s="372">
        <v>57515</v>
      </c>
      <c r="K39" s="372">
        <v>45310</v>
      </c>
      <c r="L39" s="372">
        <v>25208</v>
      </c>
      <c r="M39" s="372">
        <v>20756</v>
      </c>
      <c r="N39" s="347"/>
    </row>
    <row r="40" spans="2:14">
      <c r="B40" s="347" t="s">
        <v>61</v>
      </c>
      <c r="C40" s="372">
        <v>68075</v>
      </c>
      <c r="D40" s="372">
        <v>74052</v>
      </c>
      <c r="E40" s="372">
        <v>82922</v>
      </c>
      <c r="F40" s="372">
        <v>89553</v>
      </c>
      <c r="G40" s="372">
        <v>89068</v>
      </c>
      <c r="H40" s="372">
        <v>85823</v>
      </c>
      <c r="I40" s="372">
        <v>88592</v>
      </c>
      <c r="J40" s="372">
        <v>93989</v>
      </c>
      <c r="K40" s="372">
        <v>93038</v>
      </c>
      <c r="L40" s="372">
        <v>83256</v>
      </c>
      <c r="M40" s="372">
        <v>69452</v>
      </c>
      <c r="N40" s="347"/>
    </row>
    <row r="41" spans="2:14">
      <c r="B41" s="347" t="s">
        <v>62</v>
      </c>
      <c r="C41" s="372">
        <v>102387</v>
      </c>
      <c r="D41" s="372">
        <v>112361</v>
      </c>
      <c r="E41" s="372">
        <v>118416</v>
      </c>
      <c r="F41" s="372">
        <v>118943</v>
      </c>
      <c r="G41" s="372">
        <v>125317</v>
      </c>
      <c r="H41" s="372">
        <v>127122</v>
      </c>
      <c r="I41" s="372">
        <v>126914</v>
      </c>
      <c r="J41" s="372">
        <v>128172</v>
      </c>
      <c r="K41" s="372">
        <v>125550</v>
      </c>
      <c r="L41" s="372">
        <v>115969</v>
      </c>
      <c r="M41" s="372">
        <v>108997</v>
      </c>
      <c r="N41" s="347"/>
    </row>
    <row r="42" spans="2:14">
      <c r="B42" s="347" t="s">
        <v>63</v>
      </c>
      <c r="C42" s="372">
        <v>46291</v>
      </c>
      <c r="D42" s="372">
        <v>49560</v>
      </c>
      <c r="E42" s="372">
        <v>41544</v>
      </c>
      <c r="F42" s="372">
        <v>45611</v>
      </c>
      <c r="G42" s="372">
        <v>50509</v>
      </c>
      <c r="H42" s="372">
        <v>55083</v>
      </c>
      <c r="I42" s="372">
        <v>52005</v>
      </c>
      <c r="J42" s="372">
        <v>50062</v>
      </c>
      <c r="K42" s="372">
        <v>44134</v>
      </c>
      <c r="L42" s="372">
        <v>37562</v>
      </c>
      <c r="M42" s="372">
        <v>33740</v>
      </c>
      <c r="N42" s="347"/>
    </row>
    <row r="43" spans="2:14">
      <c r="B43" s="347" t="s">
        <v>64</v>
      </c>
      <c r="C43" s="372">
        <v>104929</v>
      </c>
      <c r="D43" s="372">
        <v>110408</v>
      </c>
      <c r="E43" s="372">
        <v>104393</v>
      </c>
      <c r="F43" s="372">
        <v>105597</v>
      </c>
      <c r="G43" s="372">
        <v>107885</v>
      </c>
      <c r="H43" s="372">
        <v>110581</v>
      </c>
      <c r="I43" s="372">
        <v>110034</v>
      </c>
      <c r="J43" s="372">
        <v>108305</v>
      </c>
      <c r="K43" s="372">
        <v>100087</v>
      </c>
      <c r="L43" s="372">
        <v>85281</v>
      </c>
      <c r="M43" s="372">
        <v>77755</v>
      </c>
      <c r="N43" s="347"/>
    </row>
    <row r="44" spans="2:14">
      <c r="B44" s="347" t="s">
        <v>65</v>
      </c>
      <c r="C44" s="372">
        <v>82334</v>
      </c>
      <c r="D44" s="372">
        <v>82357</v>
      </c>
      <c r="E44" s="372">
        <v>80168</v>
      </c>
      <c r="F44" s="372">
        <v>80803</v>
      </c>
      <c r="G44" s="372">
        <v>90285</v>
      </c>
      <c r="H44" s="372">
        <v>82771</v>
      </c>
      <c r="I44" s="372">
        <v>83453</v>
      </c>
      <c r="J44" s="372">
        <v>78694</v>
      </c>
      <c r="K44" s="372">
        <v>76755</v>
      </c>
      <c r="L44" s="372">
        <v>68075</v>
      </c>
      <c r="M44" s="372">
        <v>67788</v>
      </c>
      <c r="N44" s="347"/>
    </row>
    <row r="45" spans="2:14">
      <c r="B45" s="347" t="s">
        <v>66</v>
      </c>
      <c r="C45" s="372">
        <v>28410</v>
      </c>
      <c r="D45" s="372">
        <v>27098</v>
      </c>
      <c r="E45" s="372">
        <v>20591</v>
      </c>
      <c r="F45" s="372">
        <v>24444</v>
      </c>
      <c r="G45" s="372">
        <v>21148</v>
      </c>
      <c r="H45" s="372">
        <v>23018</v>
      </c>
      <c r="I45" s="372">
        <v>26833</v>
      </c>
      <c r="J45" s="372">
        <v>22801</v>
      </c>
      <c r="K45" s="372">
        <v>23227</v>
      </c>
      <c r="L45" s="372">
        <v>18851</v>
      </c>
      <c r="M45" s="372">
        <v>17731</v>
      </c>
      <c r="N45" s="347"/>
    </row>
    <row r="46" spans="2:14">
      <c r="B46" s="347" t="s">
        <v>67</v>
      </c>
      <c r="C46" s="372">
        <v>38894</v>
      </c>
      <c r="D46" s="372">
        <v>39858</v>
      </c>
      <c r="E46" s="372">
        <v>42361</v>
      </c>
      <c r="F46" s="372">
        <v>39318</v>
      </c>
      <c r="G46" s="372">
        <v>38455</v>
      </c>
      <c r="H46" s="372">
        <v>36839</v>
      </c>
      <c r="I46" s="372">
        <v>37545</v>
      </c>
      <c r="J46" s="372">
        <v>38797</v>
      </c>
      <c r="K46" s="372">
        <v>37758</v>
      </c>
      <c r="L46" s="372">
        <v>35060</v>
      </c>
      <c r="M46" s="372">
        <v>32813</v>
      </c>
      <c r="N46" s="347"/>
    </row>
    <row r="47" spans="2:14">
      <c r="B47" s="347" t="s">
        <v>68</v>
      </c>
      <c r="C47" s="372">
        <v>25368</v>
      </c>
      <c r="D47" s="372">
        <v>27298</v>
      </c>
      <c r="E47" s="372">
        <v>26959</v>
      </c>
      <c r="F47" s="372">
        <v>31171</v>
      </c>
      <c r="G47" s="372">
        <v>33477</v>
      </c>
      <c r="H47" s="372">
        <v>37879</v>
      </c>
      <c r="I47" s="372">
        <v>40826</v>
      </c>
      <c r="J47" s="372">
        <v>39139</v>
      </c>
      <c r="K47" s="372">
        <v>40538</v>
      </c>
      <c r="L47" s="372">
        <v>30290</v>
      </c>
      <c r="M47" s="372">
        <v>28155</v>
      </c>
      <c r="N47" s="347"/>
    </row>
    <row r="48" spans="2:14">
      <c r="B48" s="347" t="s">
        <v>69</v>
      </c>
      <c r="C48" s="372">
        <v>2322</v>
      </c>
      <c r="D48" s="372">
        <v>2326</v>
      </c>
      <c r="E48" s="372">
        <v>2178</v>
      </c>
      <c r="F48" s="372">
        <v>2576</v>
      </c>
      <c r="G48" s="372">
        <v>2306</v>
      </c>
      <c r="H48" s="372">
        <v>2334</v>
      </c>
      <c r="I48" s="372">
        <v>2558</v>
      </c>
      <c r="J48" s="372">
        <v>2650</v>
      </c>
      <c r="K48" s="372">
        <v>2625</v>
      </c>
      <c r="L48" s="372">
        <v>2603</v>
      </c>
      <c r="M48" s="372">
        <v>2775</v>
      </c>
      <c r="N48" s="347"/>
    </row>
    <row r="49" spans="2:14">
      <c r="B49" s="347" t="s">
        <v>70</v>
      </c>
      <c r="C49" s="372">
        <v>12795</v>
      </c>
      <c r="D49" s="372">
        <v>13314</v>
      </c>
      <c r="E49" s="372">
        <v>14135</v>
      </c>
      <c r="F49" s="372">
        <v>13866</v>
      </c>
      <c r="G49" s="372">
        <v>14167</v>
      </c>
      <c r="H49" s="372">
        <v>13170</v>
      </c>
      <c r="I49" s="372">
        <v>12924</v>
      </c>
      <c r="J49" s="372">
        <v>14138</v>
      </c>
      <c r="K49" s="372">
        <v>12951</v>
      </c>
      <c r="L49" s="372">
        <v>12945</v>
      </c>
      <c r="M49" s="372">
        <v>12097</v>
      </c>
      <c r="N49" s="347"/>
    </row>
    <row r="50" spans="2:14">
      <c r="B50" s="347" t="s">
        <v>71</v>
      </c>
      <c r="C50" s="372">
        <v>2285</v>
      </c>
      <c r="D50" s="372">
        <v>2368</v>
      </c>
      <c r="E50" s="372">
        <v>2370</v>
      </c>
      <c r="F50" s="372">
        <v>2684</v>
      </c>
      <c r="G50" s="372">
        <v>2821</v>
      </c>
      <c r="H50" s="372">
        <v>2710</v>
      </c>
      <c r="I50" s="372">
        <v>2614</v>
      </c>
      <c r="J50" s="372">
        <v>2752</v>
      </c>
      <c r="K50" s="372">
        <v>2578</v>
      </c>
      <c r="L50" s="372">
        <v>2126</v>
      </c>
      <c r="M50" s="372">
        <v>2072</v>
      </c>
      <c r="N50" s="347"/>
    </row>
    <row r="51" spans="2:14">
      <c r="B51" s="347" t="s">
        <v>72</v>
      </c>
      <c r="C51" s="372">
        <v>11733</v>
      </c>
      <c r="D51" s="372">
        <v>11838</v>
      </c>
      <c r="E51" s="372">
        <v>12461</v>
      </c>
      <c r="F51" s="372">
        <v>13524</v>
      </c>
      <c r="G51" s="372">
        <v>13466</v>
      </c>
      <c r="H51" s="372">
        <v>13375</v>
      </c>
      <c r="I51" s="372">
        <v>14719</v>
      </c>
      <c r="J51" s="372">
        <v>15574</v>
      </c>
      <c r="K51" s="372">
        <v>15982</v>
      </c>
      <c r="L51" s="372">
        <v>15590</v>
      </c>
      <c r="M51" s="372">
        <v>14535</v>
      </c>
      <c r="N51" s="347"/>
    </row>
    <row r="52" spans="2:14">
      <c r="B52" s="347" t="s">
        <v>73</v>
      </c>
      <c r="C52" s="372"/>
      <c r="D52" s="372"/>
      <c r="E52" s="372"/>
      <c r="F52" s="372">
        <v>16424</v>
      </c>
      <c r="G52" s="372">
        <v>16232</v>
      </c>
      <c r="H52" s="372">
        <v>15411</v>
      </c>
      <c r="I52" s="372">
        <v>12598</v>
      </c>
      <c r="J52" s="372">
        <v>14718</v>
      </c>
      <c r="K52" s="372">
        <v>11962</v>
      </c>
      <c r="L52" s="372">
        <v>8396</v>
      </c>
      <c r="M52" s="372">
        <v>10412</v>
      </c>
      <c r="N52" s="347"/>
    </row>
    <row r="53" spans="2:14">
      <c r="B53" s="347" t="s">
        <v>74</v>
      </c>
      <c r="C53" s="372">
        <v>59221</v>
      </c>
      <c r="D53" s="372">
        <v>66119</v>
      </c>
      <c r="E53" s="372">
        <v>65118</v>
      </c>
      <c r="F53" s="372">
        <v>60713</v>
      </c>
      <c r="G53" s="372">
        <v>57638</v>
      </c>
      <c r="H53" s="372">
        <v>69193</v>
      </c>
      <c r="I53" s="372">
        <v>66921</v>
      </c>
      <c r="J53" s="372">
        <v>65249</v>
      </c>
      <c r="K53" s="372">
        <v>61699</v>
      </c>
      <c r="L53" s="372">
        <v>53817</v>
      </c>
      <c r="M53" s="372">
        <v>52284</v>
      </c>
      <c r="N53" s="347"/>
    </row>
    <row r="54" spans="2:14">
      <c r="B54" s="347" t="s">
        <v>75</v>
      </c>
      <c r="C54" s="372">
        <v>2555</v>
      </c>
      <c r="D54" s="372">
        <v>2441</v>
      </c>
      <c r="E54" s="372">
        <v>2240</v>
      </c>
      <c r="F54" s="372">
        <v>2361</v>
      </c>
      <c r="G54" s="372">
        <v>2214</v>
      </c>
      <c r="H54" s="372">
        <v>2416</v>
      </c>
      <c r="I54" s="372">
        <v>2131</v>
      </c>
      <c r="J54" s="372">
        <v>2050</v>
      </c>
      <c r="K54" s="372">
        <v>2085</v>
      </c>
      <c r="L54" s="372">
        <v>2157</v>
      </c>
      <c r="M54" s="372">
        <v>1859</v>
      </c>
      <c r="N54" s="347"/>
    </row>
    <row r="55" spans="2:14">
      <c r="B55" s="347" t="s">
        <v>76</v>
      </c>
      <c r="C55" s="372">
        <v>76257</v>
      </c>
      <c r="D55" s="372">
        <v>74659</v>
      </c>
      <c r="E55" s="372">
        <v>74313</v>
      </c>
      <c r="F55" s="372">
        <v>84405</v>
      </c>
      <c r="G55" s="372">
        <v>85393</v>
      </c>
      <c r="H55" s="372">
        <v>92970</v>
      </c>
      <c r="I55" s="372">
        <v>91263</v>
      </c>
      <c r="J55" s="372">
        <v>86668</v>
      </c>
      <c r="K55" s="372">
        <v>84890</v>
      </c>
      <c r="L55" s="372">
        <v>79298</v>
      </c>
      <c r="M55" s="372">
        <v>68164</v>
      </c>
      <c r="N55" s="347"/>
    </row>
    <row r="56" spans="2:14">
      <c r="B56" s="347" t="s">
        <v>77</v>
      </c>
      <c r="C56" s="372">
        <v>24570</v>
      </c>
      <c r="D56" s="372">
        <v>27027</v>
      </c>
      <c r="E56" s="372">
        <v>22274</v>
      </c>
      <c r="F56" s="372">
        <v>25903</v>
      </c>
      <c r="G56" s="372">
        <v>24268</v>
      </c>
      <c r="H56" s="372">
        <v>22044</v>
      </c>
      <c r="I56" s="372">
        <v>20236</v>
      </c>
      <c r="J56" s="372">
        <v>24725</v>
      </c>
      <c r="K56" s="372">
        <v>21488</v>
      </c>
      <c r="L56" s="372">
        <v>21785</v>
      </c>
      <c r="M56" s="372">
        <v>20527</v>
      </c>
      <c r="N56" s="347"/>
    </row>
    <row r="57" spans="2:14">
      <c r="B57" s="347" t="s">
        <v>78</v>
      </c>
      <c r="C57" s="372">
        <v>193448</v>
      </c>
      <c r="D57" s="372">
        <v>197170</v>
      </c>
      <c r="E57" s="372">
        <v>192506</v>
      </c>
      <c r="F57" s="372">
        <v>207118</v>
      </c>
      <c r="G57" s="372">
        <v>224700</v>
      </c>
      <c r="H57" s="372">
        <v>234835</v>
      </c>
      <c r="I57" s="372">
        <v>229729</v>
      </c>
      <c r="J57" s="372">
        <v>222703</v>
      </c>
      <c r="K57" s="372">
        <v>204610</v>
      </c>
      <c r="L57" s="372">
        <v>172515</v>
      </c>
      <c r="M57" s="372">
        <v>159114</v>
      </c>
      <c r="N57" s="347"/>
    </row>
    <row r="58" spans="2:14">
      <c r="B58" s="347" t="s">
        <v>79</v>
      </c>
      <c r="C58" s="372">
        <v>27258</v>
      </c>
      <c r="D58" s="372">
        <v>25532</v>
      </c>
      <c r="E58" s="372">
        <v>21284</v>
      </c>
      <c r="F58" s="372">
        <v>24934</v>
      </c>
      <c r="G58" s="372">
        <v>23324</v>
      </c>
      <c r="H58" s="372">
        <v>21358</v>
      </c>
      <c r="I58" s="372">
        <v>16687</v>
      </c>
      <c r="J58" s="372">
        <v>21521</v>
      </c>
      <c r="K58" s="372">
        <v>19269</v>
      </c>
      <c r="L58" s="372">
        <v>18902</v>
      </c>
      <c r="M58" s="372">
        <v>16260</v>
      </c>
      <c r="N58" s="347"/>
    </row>
    <row r="59" spans="2:14">
      <c r="B59" s="347" t="s">
        <v>80</v>
      </c>
      <c r="C59" s="372">
        <v>82940</v>
      </c>
      <c r="D59" s="372">
        <v>82524</v>
      </c>
      <c r="E59" s="372">
        <v>79173</v>
      </c>
      <c r="F59" s="372">
        <v>75113</v>
      </c>
      <c r="G59" s="372">
        <v>77721</v>
      </c>
      <c r="H59" s="372">
        <v>77882</v>
      </c>
      <c r="I59" s="372">
        <v>81655</v>
      </c>
      <c r="J59" s="372">
        <v>79200</v>
      </c>
      <c r="K59" s="372">
        <v>72904</v>
      </c>
      <c r="L59" s="372">
        <v>69254</v>
      </c>
      <c r="M59" s="372">
        <v>66677</v>
      </c>
      <c r="N59" s="347"/>
    </row>
    <row r="60" spans="2:14">
      <c r="B60" s="347" t="s">
        <v>81</v>
      </c>
      <c r="C60" s="372"/>
      <c r="D60" s="372"/>
      <c r="E60" s="372"/>
      <c r="F60" s="372"/>
      <c r="G60" s="372">
        <v>8908</v>
      </c>
      <c r="H60" s="372">
        <v>9279</v>
      </c>
      <c r="I60" s="372">
        <v>11087</v>
      </c>
      <c r="J60" s="372">
        <v>11178</v>
      </c>
      <c r="K60" s="372">
        <v>12238</v>
      </c>
      <c r="L60" s="372">
        <v>12835</v>
      </c>
      <c r="M60" s="372">
        <v>11680</v>
      </c>
      <c r="N60" s="347"/>
    </row>
    <row r="61" spans="2:14">
      <c r="B61" s="347" t="s">
        <v>82</v>
      </c>
      <c r="C61" s="372">
        <v>48580</v>
      </c>
      <c r="D61" s="372">
        <v>49450</v>
      </c>
      <c r="E61" s="372">
        <v>44968</v>
      </c>
      <c r="F61" s="372">
        <v>52487</v>
      </c>
      <c r="G61" s="372">
        <v>47302</v>
      </c>
      <c r="H61" s="372">
        <v>47321</v>
      </c>
      <c r="I61" s="372">
        <v>52735</v>
      </c>
      <c r="J61" s="372">
        <v>54086</v>
      </c>
      <c r="K61" s="372">
        <v>47792</v>
      </c>
      <c r="L61" s="372">
        <v>42003</v>
      </c>
      <c r="M61" s="372">
        <v>36864</v>
      </c>
      <c r="N61" s="347"/>
    </row>
    <row r="62" spans="2:14">
      <c r="B62" s="347" t="s">
        <v>83</v>
      </c>
      <c r="C62" s="372"/>
      <c r="D62" s="372"/>
      <c r="E62" s="372"/>
      <c r="F62" s="372"/>
      <c r="G62" s="372"/>
      <c r="H62" s="372"/>
      <c r="I62" s="372"/>
      <c r="J62" s="372"/>
      <c r="K62" s="372"/>
      <c r="L62" s="372">
        <v>36316</v>
      </c>
      <c r="M62" s="372">
        <v>38382</v>
      </c>
      <c r="N62" s="347"/>
    </row>
    <row r="63" spans="2:14">
      <c r="B63" s="347" t="s">
        <v>84</v>
      </c>
      <c r="C63" s="372">
        <v>6919</v>
      </c>
      <c r="D63" s="372">
        <v>7223</v>
      </c>
      <c r="E63" s="372">
        <v>7304</v>
      </c>
      <c r="F63" s="372">
        <v>7361</v>
      </c>
      <c r="G63" s="372">
        <v>7521</v>
      </c>
      <c r="H63" s="372">
        <v>6865</v>
      </c>
      <c r="I63" s="372">
        <v>6694</v>
      </c>
      <c r="J63" s="372">
        <v>6899</v>
      </c>
      <c r="K63" s="372">
        <v>6406</v>
      </c>
      <c r="L63" s="372">
        <v>5218</v>
      </c>
      <c r="M63" s="372">
        <v>5064</v>
      </c>
      <c r="N63" s="347"/>
    </row>
    <row r="64" spans="2:14">
      <c r="B64" s="347" t="s">
        <v>85</v>
      </c>
      <c r="C64" s="372">
        <v>32798</v>
      </c>
      <c r="D64" s="372">
        <v>35390</v>
      </c>
      <c r="E64" s="372">
        <v>29315</v>
      </c>
      <c r="F64" s="372">
        <v>29014</v>
      </c>
      <c r="G64" s="372">
        <v>29137</v>
      </c>
      <c r="H64" s="372">
        <v>27906</v>
      </c>
      <c r="I64" s="372">
        <v>25472</v>
      </c>
      <c r="J64" s="372">
        <v>18377</v>
      </c>
      <c r="K64" s="372">
        <v>19651</v>
      </c>
      <c r="L64" s="372">
        <v>19763</v>
      </c>
      <c r="M64" s="372">
        <v>18495</v>
      </c>
      <c r="N64" s="347"/>
    </row>
    <row r="65" spans="2:14">
      <c r="B65" s="347" t="s">
        <v>86</v>
      </c>
      <c r="C65" s="372">
        <v>44940</v>
      </c>
      <c r="D65" s="372">
        <v>48144</v>
      </c>
      <c r="E65" s="372">
        <v>43190</v>
      </c>
      <c r="F65" s="372">
        <v>57099</v>
      </c>
      <c r="G65" s="372">
        <v>55998</v>
      </c>
      <c r="H65" s="372">
        <v>54996</v>
      </c>
      <c r="I65" s="372">
        <v>48189</v>
      </c>
      <c r="J65" s="372">
        <v>47910</v>
      </c>
      <c r="K65" s="372">
        <v>42708</v>
      </c>
      <c r="L65" s="372">
        <v>34230</v>
      </c>
      <c r="M65" s="372">
        <v>33087</v>
      </c>
      <c r="N65" s="347"/>
    </row>
    <row r="66" spans="2:14">
      <c r="B66" s="347" t="s">
        <v>87</v>
      </c>
      <c r="C66" s="372">
        <v>11354</v>
      </c>
      <c r="D66" s="372">
        <v>11223</v>
      </c>
      <c r="E66" s="372">
        <v>10997</v>
      </c>
      <c r="F66" s="372">
        <v>10728</v>
      </c>
      <c r="G66" s="372">
        <v>10958</v>
      </c>
      <c r="H66" s="372">
        <v>11257</v>
      </c>
      <c r="I66" s="372">
        <v>12335</v>
      </c>
      <c r="J66" s="372">
        <v>12961</v>
      </c>
      <c r="K66" s="372">
        <v>12951</v>
      </c>
      <c r="L66" s="372">
        <v>14364</v>
      </c>
      <c r="M66" s="372">
        <v>13841</v>
      </c>
      <c r="N66" s="347"/>
    </row>
    <row r="67" spans="2:14">
      <c r="B67" s="347" t="s">
        <v>88</v>
      </c>
      <c r="C67" s="372">
        <v>69204</v>
      </c>
      <c r="D67" s="372">
        <v>78458</v>
      </c>
      <c r="E67" s="372">
        <v>72336</v>
      </c>
      <c r="F67" s="372">
        <v>78119</v>
      </c>
      <c r="G67" s="372">
        <v>70162</v>
      </c>
      <c r="H67" s="372">
        <v>72095</v>
      </c>
      <c r="I67" s="372">
        <v>69142</v>
      </c>
      <c r="J67" s="372">
        <v>70420</v>
      </c>
      <c r="K67" s="372">
        <v>60551</v>
      </c>
      <c r="L67" s="372">
        <v>60775</v>
      </c>
      <c r="M67" s="372">
        <v>60218</v>
      </c>
      <c r="N67" s="347"/>
    </row>
    <row r="68" spans="2:14">
      <c r="B68" s="347" t="s">
        <v>89</v>
      </c>
      <c r="C68" s="372">
        <v>54138</v>
      </c>
      <c r="D68" s="372">
        <v>48204</v>
      </c>
      <c r="E68" s="372">
        <v>46767</v>
      </c>
      <c r="F68" s="372">
        <v>51423</v>
      </c>
      <c r="G68" s="372">
        <v>54484</v>
      </c>
      <c r="H68" s="372">
        <v>58045</v>
      </c>
      <c r="I68" s="372">
        <v>55786</v>
      </c>
      <c r="J68" s="372">
        <v>54183</v>
      </c>
      <c r="K68" s="372">
        <v>50689</v>
      </c>
      <c r="L68" s="372">
        <v>45502</v>
      </c>
      <c r="M68" s="372">
        <v>45350</v>
      </c>
      <c r="N68" s="347"/>
    </row>
    <row r="69" spans="2:14">
      <c r="B69" s="347" t="s">
        <v>90</v>
      </c>
      <c r="C69" s="372">
        <v>8115</v>
      </c>
      <c r="D69" s="372">
        <v>7943</v>
      </c>
      <c r="E69" s="372">
        <v>8092</v>
      </c>
      <c r="F69" s="372">
        <v>8841</v>
      </c>
      <c r="G69" s="372">
        <v>9508</v>
      </c>
      <c r="H69" s="372">
        <v>10665</v>
      </c>
      <c r="I69" s="372">
        <v>12363</v>
      </c>
      <c r="J69" s="372">
        <v>12716</v>
      </c>
      <c r="K69" s="372">
        <v>13072</v>
      </c>
      <c r="L69" s="372">
        <v>11627</v>
      </c>
      <c r="M69" s="372">
        <v>10952</v>
      </c>
      <c r="N69" s="347"/>
    </row>
    <row r="70" spans="2:14">
      <c r="B70" s="347" t="s">
        <v>91</v>
      </c>
      <c r="C70" s="372">
        <v>9517</v>
      </c>
      <c r="D70" s="372">
        <v>11094</v>
      </c>
      <c r="E70" s="372">
        <v>11776</v>
      </c>
      <c r="F70" s="372">
        <v>8701</v>
      </c>
      <c r="G70" s="372">
        <v>8655</v>
      </c>
      <c r="H70" s="372">
        <v>10553</v>
      </c>
      <c r="I70" s="372">
        <v>12185</v>
      </c>
      <c r="J70" s="372">
        <v>13984</v>
      </c>
      <c r="K70" s="372">
        <v>14758</v>
      </c>
      <c r="L70" s="372">
        <v>12159</v>
      </c>
      <c r="M70" s="372">
        <v>11118</v>
      </c>
      <c r="N70" s="347"/>
    </row>
    <row r="71" spans="2:14">
      <c r="B71" s="347" t="s">
        <v>92</v>
      </c>
      <c r="C71" s="372"/>
      <c r="D71" s="372"/>
      <c r="E71" s="372"/>
      <c r="F71" s="372"/>
      <c r="G71" s="372">
        <v>11204</v>
      </c>
      <c r="H71" s="372">
        <v>26019</v>
      </c>
      <c r="I71" s="372">
        <v>24524</v>
      </c>
      <c r="J71" s="372">
        <v>26663</v>
      </c>
      <c r="K71" s="372">
        <v>33037</v>
      </c>
      <c r="L71" s="372">
        <v>30948</v>
      </c>
      <c r="M71" s="372">
        <v>35899</v>
      </c>
      <c r="N71" s="347"/>
    </row>
    <row r="72" spans="2:14">
      <c r="B72" s="347" t="s">
        <v>93</v>
      </c>
      <c r="C72" s="372">
        <v>938</v>
      </c>
      <c r="D72" s="372">
        <v>868</v>
      </c>
      <c r="E72" s="372">
        <v>901</v>
      </c>
      <c r="F72" s="372">
        <v>849</v>
      </c>
      <c r="G72" s="372">
        <v>868</v>
      </c>
      <c r="H72" s="372">
        <v>858</v>
      </c>
      <c r="I72" s="372">
        <v>858</v>
      </c>
      <c r="J72" s="372">
        <v>868</v>
      </c>
      <c r="K72" s="372">
        <v>1071</v>
      </c>
      <c r="L72" s="372">
        <v>1316</v>
      </c>
      <c r="M72" s="372">
        <v>1210</v>
      </c>
      <c r="N72" s="347"/>
    </row>
    <row r="73" spans="2:14">
      <c r="B73" s="347" t="s">
        <v>94</v>
      </c>
      <c r="C73" s="372">
        <v>5389</v>
      </c>
      <c r="D73" s="372">
        <v>5521</v>
      </c>
      <c r="E73" s="372">
        <v>5440</v>
      </c>
      <c r="F73" s="372">
        <v>6363</v>
      </c>
      <c r="G73" s="372">
        <v>5624</v>
      </c>
      <c r="H73" s="372">
        <v>6931</v>
      </c>
      <c r="I73" s="372">
        <v>6721</v>
      </c>
      <c r="J73" s="372">
        <v>6327</v>
      </c>
      <c r="K73" s="372">
        <v>7221</v>
      </c>
      <c r="L73" s="372">
        <v>6231</v>
      </c>
      <c r="M73" s="372">
        <v>4754</v>
      </c>
      <c r="N73" s="347"/>
    </row>
    <row r="74" spans="2:14">
      <c r="B74" s="347" t="s">
        <v>95</v>
      </c>
      <c r="C74" s="372">
        <v>14170</v>
      </c>
      <c r="D74" s="372">
        <v>14311</v>
      </c>
      <c r="E74" s="372">
        <v>14388</v>
      </c>
      <c r="F74" s="372">
        <v>15407</v>
      </c>
      <c r="G74" s="372">
        <v>15186</v>
      </c>
      <c r="H74" s="372">
        <v>15250</v>
      </c>
      <c r="I74" s="372">
        <v>14976</v>
      </c>
      <c r="J74" s="372">
        <v>14579</v>
      </c>
      <c r="K74" s="372">
        <v>13033</v>
      </c>
      <c r="L74" s="372">
        <v>12985</v>
      </c>
      <c r="M74" s="372">
        <v>12833</v>
      </c>
      <c r="N74" s="347"/>
    </row>
    <row r="75" spans="2:14">
      <c r="B75" s="347" t="s">
        <v>96</v>
      </c>
      <c r="C75" s="372">
        <v>56705</v>
      </c>
      <c r="D75" s="372">
        <v>56772</v>
      </c>
      <c r="E75" s="372">
        <v>53224</v>
      </c>
      <c r="F75" s="372">
        <v>50810</v>
      </c>
      <c r="G75" s="372">
        <v>56199</v>
      </c>
      <c r="H75" s="372">
        <v>54918</v>
      </c>
      <c r="I75" s="372">
        <v>54400</v>
      </c>
      <c r="J75" s="372">
        <v>59747</v>
      </c>
      <c r="K75" s="372">
        <v>59494</v>
      </c>
      <c r="L75" s="372">
        <v>57634</v>
      </c>
      <c r="M75" s="372">
        <v>55557</v>
      </c>
      <c r="N75" s="347"/>
    </row>
    <row r="76" spans="2:14">
      <c r="B76" s="347" t="s">
        <v>97</v>
      </c>
      <c r="C76" s="372">
        <v>35948</v>
      </c>
      <c r="D76" s="372">
        <v>35762</v>
      </c>
      <c r="E76" s="372">
        <v>39708</v>
      </c>
      <c r="F76" s="372">
        <v>44157</v>
      </c>
      <c r="G76" s="372">
        <v>45056</v>
      </c>
      <c r="H76" s="372">
        <v>46272</v>
      </c>
      <c r="I76" s="372">
        <v>49356</v>
      </c>
      <c r="J76" s="372">
        <v>45515</v>
      </c>
      <c r="K76" s="372">
        <v>41294</v>
      </c>
      <c r="L76" s="372">
        <v>40539</v>
      </c>
      <c r="M76" s="372">
        <v>36652</v>
      </c>
      <c r="N76" s="347"/>
    </row>
    <row r="77" spans="2:14">
      <c r="B77" s="347" t="s">
        <v>98</v>
      </c>
      <c r="C77" s="372">
        <v>79879</v>
      </c>
      <c r="D77" s="372">
        <v>79503</v>
      </c>
      <c r="E77" s="372">
        <v>72873</v>
      </c>
      <c r="F77" s="372">
        <v>74592</v>
      </c>
      <c r="G77" s="372">
        <v>71572</v>
      </c>
      <c r="H77" s="372">
        <v>69909</v>
      </c>
      <c r="I77" s="372">
        <v>69508</v>
      </c>
      <c r="J77" s="372">
        <v>72409</v>
      </c>
      <c r="K77" s="372">
        <v>75743</v>
      </c>
      <c r="L77" s="372">
        <v>64120</v>
      </c>
      <c r="M77" s="372">
        <v>61739</v>
      </c>
      <c r="N77" s="347"/>
    </row>
    <row r="78" spans="2:14">
      <c r="B78" s="347" t="s">
        <v>99</v>
      </c>
      <c r="C78" s="372">
        <v>1506</v>
      </c>
      <c r="D78" s="372">
        <v>1511</v>
      </c>
      <c r="E78" s="372">
        <v>1638</v>
      </c>
      <c r="F78" s="372">
        <v>1460</v>
      </c>
      <c r="G78" s="372">
        <v>1537</v>
      </c>
      <c r="H78" s="372">
        <v>2212</v>
      </c>
      <c r="I78" s="372">
        <v>1060</v>
      </c>
      <c r="J78" s="372"/>
      <c r="K78" s="372"/>
      <c r="L78" s="372"/>
      <c r="M78" s="372"/>
      <c r="N78" s="347"/>
    </row>
    <row r="79" spans="2:14">
      <c r="B79" s="347" t="s">
        <v>149</v>
      </c>
      <c r="C79" s="372"/>
      <c r="D79" s="372">
        <v>0</v>
      </c>
      <c r="E79" s="372"/>
      <c r="F79" s="372">
        <v>0</v>
      </c>
      <c r="G79" s="372"/>
      <c r="H79" s="372"/>
      <c r="I79" s="372"/>
      <c r="J79" s="372"/>
      <c r="K79" s="372"/>
      <c r="L79" s="372"/>
      <c r="M79" s="372"/>
      <c r="N79" s="347"/>
    </row>
    <row r="80" spans="2:14">
      <c r="B80" s="347" t="s">
        <v>100</v>
      </c>
      <c r="C80" s="372">
        <v>8407</v>
      </c>
      <c r="D80" s="372">
        <v>6627</v>
      </c>
      <c r="E80" s="372">
        <v>4706</v>
      </c>
      <c r="F80" s="372">
        <v>8800</v>
      </c>
      <c r="G80" s="372">
        <v>1637</v>
      </c>
      <c r="H80" s="372"/>
      <c r="I80" s="372"/>
      <c r="J80" s="372"/>
      <c r="K80" s="372"/>
      <c r="L80" s="372"/>
      <c r="M80" s="372"/>
      <c r="N80" s="347"/>
    </row>
    <row r="81" spans="2:14">
      <c r="B81" s="347" t="s">
        <v>101</v>
      </c>
      <c r="C81" s="372">
        <v>684</v>
      </c>
      <c r="D81" s="372">
        <v>138</v>
      </c>
      <c r="E81" s="372"/>
      <c r="F81" s="372"/>
      <c r="G81" s="372"/>
      <c r="H81" s="372"/>
      <c r="I81" s="372"/>
      <c r="J81" s="372"/>
      <c r="K81" s="372"/>
      <c r="L81" s="372"/>
      <c r="M81" s="372"/>
      <c r="N81" s="347"/>
    </row>
    <row r="83" spans="2:14">
      <c r="B83" s="314" t="s">
        <v>122</v>
      </c>
      <c r="C83" s="94"/>
      <c r="D83" s="94"/>
      <c r="E83" s="94"/>
      <c r="F83" s="94"/>
      <c r="G83" s="94"/>
      <c r="H83" s="94"/>
      <c r="I83" s="94"/>
      <c r="J83" s="94"/>
      <c r="K83" s="94"/>
      <c r="L83" s="94"/>
      <c r="M83" s="94"/>
      <c r="N83" s="94"/>
    </row>
  </sheetData>
  <pageMargins left="0.75" right="0.75" top="1" bottom="1" header="0.5" footer="0.5"/>
  <pageSetup paperSize="9" scale="83" orientation="landscape" r:id="rId1"/>
  <headerFooter alignWithMargins="0">
    <oddFooter>&amp;L&amp;F \ &amp;A&amp;R&amp;T  &amp;D</oddFooter>
  </headerFooter>
</worksheet>
</file>

<file path=xl/worksheets/sheet13.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zoomScale="85" workbookViewId="0">
      <selection activeCell="R28" sqref="R28"/>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UK&gt;&gt;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14.xml><?xml version="1.0" encoding="utf-8"?>
<worksheet xmlns="http://schemas.openxmlformats.org/spreadsheetml/2006/main" xmlns:r="http://schemas.openxmlformats.org/officeDocument/2006/relationships">
  <sheetPr>
    <pageSetUpPr autoPageBreaks="0" fitToPage="1"/>
  </sheetPr>
  <dimension ref="A1:P105"/>
  <sheetViews>
    <sheetView showGridLines="0" zoomScale="70" zoomScaleNormal="70" workbookViewId="0">
      <pane xSplit="3" ySplit="15" topLeftCell="D24" activePane="bottomRight" state="frozen"/>
      <selection pane="topRight" activeCell="D1" sqref="D1"/>
      <selection pane="bottomLeft" activeCell="A14" sqref="A14"/>
      <selection pane="bottomRight" activeCell="A175" sqref="A175:XFD175"/>
    </sheetView>
  </sheetViews>
  <sheetFormatPr defaultRowHeight="12.75" outlineLevelRow="2"/>
  <cols>
    <col min="1" max="1" width="3.140625" style="90" customWidth="1"/>
    <col min="2" max="2" width="46" style="90" customWidth="1"/>
    <col min="3" max="3" width="36" style="90" customWidth="1"/>
    <col min="4" max="14" width="15.7109375" style="90" customWidth="1"/>
    <col min="15" max="15" width="11.7109375" style="90" customWidth="1"/>
    <col min="16" max="16384" width="9.140625" style="90"/>
  </cols>
  <sheetData>
    <row r="1" spans="1:15" ht="12.75" customHeight="1">
      <c r="A1" s="145"/>
    </row>
    <row r="2" spans="1:15">
      <c r="B2" s="146" t="s">
        <v>134</v>
      </c>
      <c r="C2" s="91"/>
      <c r="D2" s="91"/>
      <c r="E2" s="147" t="str">
        <f>Info!$D$10</f>
        <v>Duncan Kernohan</v>
      </c>
      <c r="F2" s="91"/>
      <c r="G2" s="91"/>
      <c r="H2" s="91"/>
      <c r="I2" s="91"/>
      <c r="J2" s="91"/>
      <c r="K2" s="91"/>
      <c r="L2" s="91"/>
      <c r="M2" s="91"/>
      <c r="N2" s="91"/>
      <c r="O2" s="91"/>
    </row>
    <row r="3" spans="1:15">
      <c r="B3" s="148" t="s">
        <v>137</v>
      </c>
      <c r="C3" s="92"/>
      <c r="D3" s="92"/>
      <c r="E3" s="149" t="str">
        <f>Info!$D$11 &amp; " - " &amp; Info!$D$12</f>
        <v>Airport Opex Benchmarking 2013 - duncan.kernohan@caa.co.uk</v>
      </c>
      <c r="F3" s="92"/>
      <c r="G3" s="92"/>
      <c r="H3" s="92"/>
      <c r="I3" s="92"/>
      <c r="J3" s="92"/>
      <c r="K3" s="92"/>
      <c r="L3" s="92"/>
      <c r="M3" s="92"/>
      <c r="N3" s="92"/>
      <c r="O3" s="92"/>
    </row>
    <row r="4" spans="1:15">
      <c r="B4" s="148" t="s">
        <v>130</v>
      </c>
      <c r="C4" s="92"/>
      <c r="D4" s="92"/>
      <c r="E4" s="150">
        <f>Info!$D$16</f>
        <v>2.8</v>
      </c>
      <c r="F4" s="92"/>
      <c r="G4" s="92"/>
      <c r="H4" s="92"/>
      <c r="I4" s="92"/>
      <c r="J4" s="92"/>
      <c r="K4" s="92"/>
      <c r="L4" s="92"/>
      <c r="M4" s="92"/>
      <c r="N4" s="92"/>
      <c r="O4" s="92"/>
    </row>
    <row r="5" spans="1:15">
      <c r="B5" s="151" t="s">
        <v>138</v>
      </c>
      <c r="C5" s="93"/>
      <c r="D5" s="93"/>
      <c r="E5" s="152" t="str">
        <f ca="1">IF(CELL("filename",D1)="","",MID(CELL("filename",A1),FIND("]",CELL("filename",A1))+1,99))</f>
        <v>ABD</v>
      </c>
      <c r="F5" s="93"/>
      <c r="G5" s="93"/>
      <c r="H5" s="93"/>
      <c r="I5" s="93"/>
      <c r="J5" s="93"/>
      <c r="K5" s="93"/>
      <c r="L5" s="93"/>
      <c r="M5" s="93"/>
      <c r="N5" s="93"/>
      <c r="O5" s="93"/>
    </row>
    <row r="8" spans="1:15">
      <c r="B8" s="153" t="s">
        <v>1033</v>
      </c>
      <c r="C8" s="94"/>
      <c r="D8" s="94"/>
      <c r="E8" s="94"/>
      <c r="F8" s="94"/>
      <c r="G8" s="94"/>
      <c r="H8" s="94"/>
      <c r="I8" s="94"/>
      <c r="J8" s="94"/>
      <c r="K8" s="94"/>
      <c r="L8" s="94"/>
      <c r="M8" s="94"/>
      <c r="N8" s="94"/>
      <c r="O8" s="94"/>
    </row>
    <row r="10" spans="1:15">
      <c r="B10" s="138" t="s">
        <v>143</v>
      </c>
      <c r="C10" s="138"/>
      <c r="D10" s="138" t="s">
        <v>270</v>
      </c>
    </row>
    <row r="11" spans="1:15">
      <c r="B11" s="138"/>
      <c r="C11" s="138"/>
    </row>
    <row r="12" spans="1:15">
      <c r="B12" s="153" t="s">
        <v>198</v>
      </c>
      <c r="C12" s="94"/>
      <c r="D12" s="94"/>
      <c r="E12" s="94"/>
      <c r="F12" s="94"/>
      <c r="G12" s="94"/>
      <c r="H12" s="94"/>
      <c r="I12" s="94"/>
      <c r="J12" s="94"/>
      <c r="K12" s="94"/>
      <c r="L12" s="94"/>
      <c r="M12" s="94"/>
      <c r="N12" s="94"/>
      <c r="O12" s="94"/>
    </row>
    <row r="13" spans="1:15">
      <c r="B13" s="138"/>
      <c r="C13" s="138"/>
    </row>
    <row r="14" spans="1:15">
      <c r="B14" s="101" t="s">
        <v>167</v>
      </c>
      <c r="C14" s="101"/>
    </row>
    <row r="15" spans="1:15">
      <c r="B15" s="138" t="s">
        <v>271</v>
      </c>
      <c r="C15" s="138"/>
      <c r="D15" s="154" t="s">
        <v>109</v>
      </c>
      <c r="E15" s="154" t="s">
        <v>110</v>
      </c>
      <c r="F15" s="154" t="s">
        <v>111</v>
      </c>
      <c r="G15" s="154" t="s">
        <v>22</v>
      </c>
      <c r="H15" s="154" t="s">
        <v>23</v>
      </c>
      <c r="I15" s="154" t="s">
        <v>24</v>
      </c>
      <c r="J15" s="154" t="s">
        <v>295</v>
      </c>
      <c r="K15" s="154">
        <v>2007</v>
      </c>
      <c r="L15" s="154">
        <v>2008</v>
      </c>
      <c r="M15" s="154">
        <v>2009</v>
      </c>
      <c r="N15" s="154">
        <v>2010</v>
      </c>
      <c r="O15" s="154">
        <v>2011</v>
      </c>
    </row>
    <row r="16" spans="1:15">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row>
    <row r="17" spans="2:15">
      <c r="B17" s="138" t="s">
        <v>164</v>
      </c>
      <c r="C17" s="138"/>
      <c r="D17" s="154" t="s">
        <v>160</v>
      </c>
      <c r="E17" s="154" t="s">
        <v>160</v>
      </c>
      <c r="F17" s="154" t="s">
        <v>160</v>
      </c>
      <c r="G17" s="154" t="s">
        <v>160</v>
      </c>
      <c r="H17" s="154" t="s">
        <v>160</v>
      </c>
      <c r="I17" s="154" t="s">
        <v>160</v>
      </c>
      <c r="J17" s="154" t="s">
        <v>176</v>
      </c>
      <c r="K17" s="154" t="s">
        <v>174</v>
      </c>
      <c r="L17" s="154" t="s">
        <v>174</v>
      </c>
      <c r="M17" s="154" t="s">
        <v>174</v>
      </c>
      <c r="N17" s="154" t="s">
        <v>174</v>
      </c>
      <c r="O17" s="154" t="s">
        <v>174</v>
      </c>
    </row>
    <row r="18" spans="2:15">
      <c r="B18" s="138"/>
      <c r="C18" s="138"/>
      <c r="D18" s="154"/>
      <c r="E18" s="154"/>
      <c r="F18" s="154"/>
      <c r="G18" s="154"/>
      <c r="H18" s="154"/>
      <c r="I18" s="154"/>
      <c r="J18" s="154"/>
      <c r="K18" s="154"/>
      <c r="L18" s="154"/>
      <c r="M18" s="154"/>
      <c r="N18" s="154"/>
      <c r="O18" s="154"/>
    </row>
    <row r="19" spans="2:15">
      <c r="B19" s="106" t="s">
        <v>1314</v>
      </c>
      <c r="C19" s="106" t="s">
        <v>1315</v>
      </c>
      <c r="E19" s="133"/>
      <c r="F19" s="133"/>
      <c r="G19" s="133"/>
      <c r="H19" s="133"/>
      <c r="I19" s="133"/>
      <c r="J19" s="133"/>
      <c r="K19" s="133"/>
      <c r="L19" s="133"/>
      <c r="M19" s="133"/>
      <c r="N19" s="133"/>
      <c r="O19" s="133"/>
    </row>
    <row r="20" spans="2:15" hidden="1" outlineLevel="2">
      <c r="B20" s="90" t="s">
        <v>240</v>
      </c>
      <c r="C20" s="138" t="s">
        <v>165</v>
      </c>
      <c r="D20" s="141">
        <v>5850</v>
      </c>
      <c r="E20" s="141">
        <v>5721</v>
      </c>
      <c r="F20" s="141">
        <v>5882</v>
      </c>
      <c r="G20" s="141">
        <v>6608</v>
      </c>
      <c r="H20" s="141">
        <v>6616</v>
      </c>
      <c r="I20" s="141">
        <v>7221</v>
      </c>
      <c r="J20" s="141">
        <v>5728</v>
      </c>
      <c r="K20" s="141">
        <v>8128</v>
      </c>
      <c r="L20" s="141">
        <v>8668</v>
      </c>
      <c r="M20" s="141">
        <v>8172</v>
      </c>
      <c r="N20" s="141">
        <v>8758</v>
      </c>
      <c r="O20" s="141">
        <v>9305</v>
      </c>
    </row>
    <row r="21" spans="2:15" hidden="1" outlineLevel="2">
      <c r="B21" s="90" t="s">
        <v>240</v>
      </c>
      <c r="C21" s="138" t="s">
        <v>166</v>
      </c>
      <c r="D21" s="141">
        <v>434</v>
      </c>
      <c r="E21" s="141">
        <v>424</v>
      </c>
      <c r="F21" s="141">
        <v>433</v>
      </c>
      <c r="G21" s="141">
        <v>592</v>
      </c>
      <c r="H21" s="141">
        <v>563</v>
      </c>
      <c r="I21" s="141">
        <v>615</v>
      </c>
      <c r="J21" s="141">
        <v>534</v>
      </c>
      <c r="K21" s="141">
        <v>657</v>
      </c>
      <c r="L21" s="141">
        <v>707</v>
      </c>
      <c r="M21" s="141">
        <v>661</v>
      </c>
      <c r="N21" s="141">
        <v>706</v>
      </c>
      <c r="O21" s="141">
        <v>815</v>
      </c>
    </row>
    <row r="22" spans="2:15" hidden="1" outlineLevel="2">
      <c r="B22" s="90" t="s">
        <v>240</v>
      </c>
      <c r="C22" s="138" t="s">
        <v>189</v>
      </c>
      <c r="D22" s="141">
        <v>238</v>
      </c>
      <c r="E22" s="141">
        <v>1218</v>
      </c>
      <c r="F22" s="141">
        <v>1168</v>
      </c>
      <c r="G22" s="141">
        <v>1491</v>
      </c>
      <c r="H22" s="141">
        <v>1734</v>
      </c>
      <c r="I22" s="141">
        <v>1765</v>
      </c>
      <c r="J22" s="141">
        <v>1482</v>
      </c>
      <c r="K22" s="141">
        <v>1715</v>
      </c>
      <c r="L22" s="141">
        <v>1114</v>
      </c>
      <c r="M22" s="141">
        <v>929</v>
      </c>
      <c r="N22" s="141">
        <v>1205</v>
      </c>
      <c r="O22" s="141">
        <v>1209</v>
      </c>
    </row>
    <row r="23" spans="2:15" hidden="1" outlineLevel="2">
      <c r="B23" s="90" t="s">
        <v>240</v>
      </c>
      <c r="C23" s="138" t="s">
        <v>188</v>
      </c>
      <c r="D23" s="141">
        <v>0</v>
      </c>
      <c r="E23" s="141">
        <v>-147</v>
      </c>
      <c r="F23" s="141">
        <v>336</v>
      </c>
      <c r="G23" s="141">
        <v>347</v>
      </c>
      <c r="H23" s="141">
        <v>303</v>
      </c>
      <c r="I23" s="141">
        <v>618</v>
      </c>
      <c r="J23" s="141">
        <f>410+45</f>
        <v>455</v>
      </c>
      <c r="K23" s="141">
        <f>498+58</f>
        <v>556</v>
      </c>
      <c r="L23" s="141">
        <f>538+147</f>
        <v>685</v>
      </c>
      <c r="M23" s="141">
        <v>534</v>
      </c>
      <c r="N23" s="141">
        <v>531</v>
      </c>
      <c r="O23" s="141">
        <v>590</v>
      </c>
    </row>
    <row r="24" spans="2:15" outlineLevel="1" collapsed="1">
      <c r="B24" s="173" t="s">
        <v>287</v>
      </c>
      <c r="C24" s="138"/>
      <c r="D24" s="159">
        <f t="shared" ref="D24:O24" si="0">SUBTOTAL(9,D20:D23)</f>
        <v>6522</v>
      </c>
      <c r="E24" s="159">
        <f t="shared" si="0"/>
        <v>7216</v>
      </c>
      <c r="F24" s="159">
        <f t="shared" si="0"/>
        <v>7819</v>
      </c>
      <c r="G24" s="159">
        <f t="shared" si="0"/>
        <v>9038</v>
      </c>
      <c r="H24" s="159">
        <f t="shared" si="0"/>
        <v>9216</v>
      </c>
      <c r="I24" s="159">
        <f t="shared" si="0"/>
        <v>10219</v>
      </c>
      <c r="J24" s="159">
        <f t="shared" si="0"/>
        <v>8199</v>
      </c>
      <c r="K24" s="159">
        <f t="shared" si="0"/>
        <v>11056</v>
      </c>
      <c r="L24" s="159">
        <f t="shared" si="0"/>
        <v>11174</v>
      </c>
      <c r="M24" s="159">
        <f t="shared" si="0"/>
        <v>10296</v>
      </c>
      <c r="N24" s="159">
        <f t="shared" si="0"/>
        <v>11200</v>
      </c>
      <c r="O24" s="159">
        <f t="shared" si="0"/>
        <v>11919</v>
      </c>
    </row>
    <row r="25" spans="2:15" s="133" customFormat="1" outlineLevel="1">
      <c r="C25" s="137"/>
      <c r="D25" s="141"/>
      <c r="E25" s="141"/>
      <c r="F25" s="141"/>
      <c r="G25" s="141"/>
      <c r="H25" s="141"/>
      <c r="I25" s="141"/>
      <c r="J25" s="141"/>
      <c r="K25" s="141"/>
      <c r="L25" s="141"/>
      <c r="M25" s="141"/>
      <c r="N25" s="141"/>
      <c r="O25" s="141"/>
    </row>
    <row r="26" spans="2:15" s="133" customFormat="1" hidden="1" outlineLevel="2">
      <c r="B26" s="133" t="s">
        <v>30</v>
      </c>
      <c r="C26" s="138" t="s">
        <v>170</v>
      </c>
      <c r="D26" s="141">
        <v>1530</v>
      </c>
      <c r="E26" s="141">
        <v>1647</v>
      </c>
      <c r="F26" s="141">
        <v>1772</v>
      </c>
      <c r="G26" s="141">
        <v>2209</v>
      </c>
      <c r="H26" s="141">
        <v>1896</v>
      </c>
      <c r="I26" s="141">
        <v>2148</v>
      </c>
      <c r="J26" s="141">
        <v>1648</v>
      </c>
      <c r="K26" s="141">
        <v>2629</v>
      </c>
      <c r="L26" s="141">
        <v>3021</v>
      </c>
      <c r="M26" s="141">
        <v>3892</v>
      </c>
      <c r="N26" s="141">
        <v>6918</v>
      </c>
      <c r="O26" s="141">
        <v>2523</v>
      </c>
    </row>
    <row r="27" spans="2:15" s="133" customFormat="1" outlineLevel="1" collapsed="1">
      <c r="B27" s="106" t="s">
        <v>288</v>
      </c>
      <c r="C27" s="138"/>
      <c r="D27" s="159">
        <f t="shared" ref="D27:O27" si="1">SUBTOTAL(9,D26:D26)</f>
        <v>1530</v>
      </c>
      <c r="E27" s="159">
        <f t="shared" si="1"/>
        <v>1647</v>
      </c>
      <c r="F27" s="159">
        <f t="shared" si="1"/>
        <v>1772</v>
      </c>
      <c r="G27" s="159">
        <f t="shared" si="1"/>
        <v>2209</v>
      </c>
      <c r="H27" s="159">
        <f t="shared" si="1"/>
        <v>1896</v>
      </c>
      <c r="I27" s="159">
        <f t="shared" si="1"/>
        <v>2148</v>
      </c>
      <c r="J27" s="159">
        <f t="shared" si="1"/>
        <v>1648</v>
      </c>
      <c r="K27" s="159">
        <f t="shared" si="1"/>
        <v>2629</v>
      </c>
      <c r="L27" s="159">
        <f t="shared" si="1"/>
        <v>3021</v>
      </c>
      <c r="M27" s="159">
        <f t="shared" si="1"/>
        <v>3892</v>
      </c>
      <c r="N27" s="159">
        <f t="shared" si="1"/>
        <v>6918</v>
      </c>
      <c r="O27" s="159">
        <f t="shared" si="1"/>
        <v>2523</v>
      </c>
    </row>
    <row r="28" spans="2:15" s="133" customFormat="1" outlineLevel="1">
      <c r="C28" s="138"/>
      <c r="D28" s="141"/>
      <c r="E28" s="141"/>
      <c r="F28" s="141"/>
      <c r="G28" s="141"/>
      <c r="H28" s="141"/>
      <c r="I28" s="141"/>
      <c r="J28" s="141"/>
      <c r="K28" s="141"/>
      <c r="L28" s="141"/>
      <c r="M28" s="141"/>
      <c r="N28" s="141"/>
      <c r="O28" s="141"/>
    </row>
    <row r="29" spans="2:15" s="133" customFormat="1" hidden="1" outlineLevel="2">
      <c r="B29" s="133" t="s">
        <v>256</v>
      </c>
      <c r="C29" s="138" t="s">
        <v>183</v>
      </c>
      <c r="D29" s="155">
        <v>139</v>
      </c>
      <c r="E29" s="155">
        <v>95</v>
      </c>
      <c r="F29" s="155">
        <v>3</v>
      </c>
      <c r="G29" s="155">
        <v>4</v>
      </c>
      <c r="H29" s="155">
        <v>13</v>
      </c>
      <c r="I29" s="155">
        <v>20</v>
      </c>
      <c r="J29" s="155">
        <v>10</v>
      </c>
      <c r="K29" s="155">
        <v>57</v>
      </c>
      <c r="L29" s="155">
        <v>32</v>
      </c>
      <c r="M29" s="155">
        <v>977</v>
      </c>
      <c r="N29" s="155">
        <v>994</v>
      </c>
      <c r="O29" s="155">
        <v>1070</v>
      </c>
    </row>
    <row r="30" spans="2:15" s="133" customFormat="1" hidden="1" outlineLevel="2">
      <c r="B30" s="133" t="s">
        <v>256</v>
      </c>
      <c r="C30" s="138" t="s">
        <v>201</v>
      </c>
      <c r="D30" s="141">
        <v>1575</v>
      </c>
      <c r="E30" s="141">
        <v>1822</v>
      </c>
      <c r="F30" s="141">
        <v>1402</v>
      </c>
      <c r="G30" s="141">
        <v>1706</v>
      </c>
      <c r="H30" s="141">
        <v>1679</v>
      </c>
      <c r="I30" s="141">
        <v>2307</v>
      </c>
      <c r="J30" s="141">
        <v>1663</v>
      </c>
      <c r="K30" s="141">
        <v>2555</v>
      </c>
      <c r="L30" s="141">
        <v>2370</v>
      </c>
      <c r="M30" s="141">
        <v>2972</v>
      </c>
      <c r="N30" s="141">
        <v>2839</v>
      </c>
      <c r="O30" s="141">
        <v>3063</v>
      </c>
    </row>
    <row r="31" spans="2:15" s="133" customFormat="1" hidden="1" outlineLevel="2">
      <c r="B31" s="133" t="s">
        <v>256</v>
      </c>
      <c r="C31" s="138" t="s">
        <v>184</v>
      </c>
      <c r="D31" s="141">
        <v>1000</v>
      </c>
      <c r="E31" s="141">
        <v>1062</v>
      </c>
      <c r="F31" s="141">
        <v>1048</v>
      </c>
      <c r="G31" s="141">
        <v>1073</v>
      </c>
      <c r="H31" s="141">
        <v>1081</v>
      </c>
      <c r="I31" s="141">
        <v>1147</v>
      </c>
      <c r="J31" s="141">
        <v>828</v>
      </c>
      <c r="K31" s="141">
        <v>1228</v>
      </c>
      <c r="L31" s="141">
        <v>1295</v>
      </c>
      <c r="M31" s="141">
        <v>1172</v>
      </c>
      <c r="N31" s="141">
        <v>1314</v>
      </c>
      <c r="O31" s="141">
        <v>1858</v>
      </c>
    </row>
    <row r="32" spans="2:15" s="133" customFormat="1" hidden="1" outlineLevel="2">
      <c r="B32" s="133" t="s">
        <v>256</v>
      </c>
      <c r="C32" s="138" t="s">
        <v>202</v>
      </c>
      <c r="D32" s="141">
        <v>998</v>
      </c>
      <c r="E32" s="141">
        <v>919</v>
      </c>
      <c r="F32" s="141">
        <v>1018</v>
      </c>
      <c r="G32" s="141">
        <v>923</v>
      </c>
      <c r="H32" s="141">
        <v>1242</v>
      </c>
      <c r="I32" s="141">
        <v>1292</v>
      </c>
      <c r="J32" s="141">
        <v>1135</v>
      </c>
      <c r="K32" s="141">
        <v>1696</v>
      </c>
      <c r="L32" s="141">
        <v>1851</v>
      </c>
      <c r="M32" s="141">
        <v>1970</v>
      </c>
      <c r="N32" s="141">
        <v>2503</v>
      </c>
      <c r="O32" s="141">
        <v>2382</v>
      </c>
    </row>
    <row r="33" spans="2:16" s="133" customFormat="1" hidden="1" outlineLevel="2">
      <c r="B33" s="133" t="s">
        <v>256</v>
      </c>
      <c r="C33" s="138" t="s">
        <v>185</v>
      </c>
      <c r="D33" s="141">
        <v>424</v>
      </c>
      <c r="E33" s="141">
        <v>454</v>
      </c>
      <c r="F33" s="141">
        <v>465</v>
      </c>
      <c r="G33" s="141">
        <v>443</v>
      </c>
      <c r="H33" s="141">
        <v>437</v>
      </c>
      <c r="I33" s="141">
        <v>510</v>
      </c>
      <c r="J33" s="141">
        <v>516</v>
      </c>
      <c r="K33" s="141">
        <v>735</v>
      </c>
      <c r="L33" s="141">
        <v>864</v>
      </c>
      <c r="M33" s="141">
        <v>697</v>
      </c>
      <c r="N33" s="141">
        <v>783</v>
      </c>
      <c r="O33" s="141">
        <v>770</v>
      </c>
    </row>
    <row r="34" spans="2:16" s="133" customFormat="1" hidden="1" outlineLevel="2">
      <c r="B34" s="133" t="s">
        <v>256</v>
      </c>
      <c r="C34" s="138" t="s">
        <v>186</v>
      </c>
      <c r="D34" s="141">
        <v>1111</v>
      </c>
      <c r="E34" s="141">
        <v>1413</v>
      </c>
      <c r="F34" s="141">
        <v>916</v>
      </c>
      <c r="G34" s="141">
        <v>1039</v>
      </c>
      <c r="H34" s="141">
        <v>1068</v>
      </c>
      <c r="I34" s="141">
        <v>1281</v>
      </c>
      <c r="J34" s="141">
        <v>886</v>
      </c>
      <c r="K34" s="141">
        <v>1224</v>
      </c>
      <c r="L34" s="141">
        <v>2005</v>
      </c>
      <c r="M34" s="141">
        <v>1937</v>
      </c>
      <c r="N34" s="141">
        <v>2015</v>
      </c>
      <c r="O34" s="141">
        <v>2247</v>
      </c>
    </row>
    <row r="35" spans="2:16" s="133" customFormat="1" hidden="1" outlineLevel="2">
      <c r="B35" s="133" t="s">
        <v>256</v>
      </c>
      <c r="C35" s="138" t="s">
        <v>180</v>
      </c>
      <c r="D35" s="141">
        <v>2762</v>
      </c>
      <c r="E35" s="141">
        <v>3420</v>
      </c>
      <c r="F35" s="141">
        <v>3614</v>
      </c>
      <c r="G35" s="141">
        <v>3754</v>
      </c>
      <c r="H35" s="141">
        <v>3601</v>
      </c>
      <c r="I35" s="141">
        <v>3933</v>
      </c>
      <c r="J35" s="141">
        <v>3036</v>
      </c>
      <c r="K35" s="141">
        <v>3500</v>
      </c>
      <c r="L35" s="141">
        <v>2883</v>
      </c>
      <c r="M35" s="141">
        <v>2692</v>
      </c>
      <c r="N35" s="141">
        <v>2933</v>
      </c>
      <c r="O35" s="141">
        <v>2419</v>
      </c>
    </row>
    <row r="36" spans="2:16" s="133" customFormat="1" hidden="1" outlineLevel="2">
      <c r="B36" s="133" t="s">
        <v>256</v>
      </c>
      <c r="C36" s="138" t="s">
        <v>259</v>
      </c>
      <c r="D36" s="155">
        <v>0</v>
      </c>
      <c r="E36" s="155">
        <v>0</v>
      </c>
      <c r="F36" s="155">
        <v>0</v>
      </c>
      <c r="G36" s="155">
        <v>0</v>
      </c>
      <c r="H36" s="155">
        <v>0</v>
      </c>
      <c r="I36" s="155">
        <v>0</v>
      </c>
      <c r="J36" s="155">
        <v>0</v>
      </c>
      <c r="K36" s="155">
        <v>0</v>
      </c>
      <c r="L36" s="155">
        <v>0</v>
      </c>
      <c r="M36" s="155">
        <v>6383</v>
      </c>
      <c r="N36" s="155">
        <v>8935</v>
      </c>
      <c r="O36" s="155">
        <v>8710</v>
      </c>
    </row>
    <row r="37" spans="2:16" s="133" customFormat="1" hidden="1" outlineLevel="2">
      <c r="B37" s="133" t="s">
        <v>256</v>
      </c>
      <c r="C37" s="138" t="s">
        <v>178</v>
      </c>
      <c r="D37" s="155">
        <v>0</v>
      </c>
      <c r="E37" s="155">
        <v>0</v>
      </c>
      <c r="F37" s="155">
        <v>0</v>
      </c>
      <c r="G37" s="155">
        <v>-6</v>
      </c>
      <c r="H37" s="155">
        <v>112</v>
      </c>
      <c r="I37" s="155">
        <v>153</v>
      </c>
      <c r="J37" s="155">
        <v>9</v>
      </c>
      <c r="K37" s="155">
        <v>2</v>
      </c>
      <c r="L37" s="155">
        <v>-7</v>
      </c>
      <c r="M37" s="155">
        <v>-128</v>
      </c>
      <c r="N37" s="155">
        <v>0</v>
      </c>
      <c r="O37" s="155">
        <v>0</v>
      </c>
    </row>
    <row r="38" spans="2:16" s="133" customFormat="1" outlineLevel="1" collapsed="1">
      <c r="B38" s="106" t="s">
        <v>289</v>
      </c>
      <c r="C38" s="138"/>
      <c r="D38" s="159">
        <f t="shared" ref="D38:O38" si="2">SUBTOTAL(9,D29:D37)</f>
        <v>8009</v>
      </c>
      <c r="E38" s="159">
        <f t="shared" si="2"/>
        <v>9185</v>
      </c>
      <c r="F38" s="159">
        <f t="shared" si="2"/>
        <v>8466</v>
      </c>
      <c r="G38" s="159">
        <f t="shared" si="2"/>
        <v>8936</v>
      </c>
      <c r="H38" s="159">
        <f t="shared" si="2"/>
        <v>9233</v>
      </c>
      <c r="I38" s="159">
        <f t="shared" si="2"/>
        <v>10643</v>
      </c>
      <c r="J38" s="159">
        <f t="shared" si="2"/>
        <v>8083</v>
      </c>
      <c r="K38" s="159">
        <f t="shared" si="2"/>
        <v>10997</v>
      </c>
      <c r="L38" s="159">
        <f t="shared" si="2"/>
        <v>11293</v>
      </c>
      <c r="M38" s="159">
        <f t="shared" si="2"/>
        <v>18672</v>
      </c>
      <c r="N38" s="159">
        <f t="shared" si="2"/>
        <v>22316</v>
      </c>
      <c r="O38" s="159">
        <f t="shared" si="2"/>
        <v>22519</v>
      </c>
    </row>
    <row r="39" spans="2:16" s="133" customFormat="1" outlineLevel="1">
      <c r="C39" s="138"/>
      <c r="D39" s="141"/>
      <c r="E39" s="141"/>
      <c r="F39" s="141"/>
      <c r="G39" s="141"/>
      <c r="H39" s="141"/>
      <c r="I39" s="141"/>
      <c r="J39" s="141"/>
      <c r="K39" s="141"/>
      <c r="L39" s="141"/>
      <c r="M39" s="141"/>
      <c r="N39" s="141"/>
      <c r="O39" s="141"/>
    </row>
    <row r="40" spans="2:16" s="30" customFormat="1" hidden="1" outlineLevel="2">
      <c r="B40" s="90" t="s">
        <v>172</v>
      </c>
      <c r="C40" s="138" t="s">
        <v>172</v>
      </c>
      <c r="D40" s="141">
        <v>0</v>
      </c>
      <c r="E40" s="141">
        <v>0</v>
      </c>
      <c r="F40" s="141">
        <v>0</v>
      </c>
      <c r="G40" s="141">
        <v>0</v>
      </c>
      <c r="H40" s="141">
        <v>292</v>
      </c>
      <c r="I40" s="141">
        <v>0</v>
      </c>
      <c r="J40" s="141">
        <v>95</v>
      </c>
      <c r="K40" s="141">
        <v>1249</v>
      </c>
      <c r="L40" s="141">
        <v>648</v>
      </c>
      <c r="M40" s="141">
        <v>8098</v>
      </c>
      <c r="N40" s="141">
        <v>-3304</v>
      </c>
      <c r="O40" s="141">
        <v>1650</v>
      </c>
    </row>
    <row r="41" spans="2:16" s="30" customFormat="1" outlineLevel="1" collapsed="1">
      <c r="B41" s="30" t="s">
        <v>290</v>
      </c>
      <c r="C41" s="138"/>
      <c r="D41" s="159">
        <f t="shared" ref="D41:O41" si="3">SUBTOTAL(9,D40:D40)</f>
        <v>0</v>
      </c>
      <c r="E41" s="159">
        <f t="shared" si="3"/>
        <v>0</v>
      </c>
      <c r="F41" s="159">
        <f t="shared" si="3"/>
        <v>0</v>
      </c>
      <c r="G41" s="159">
        <f t="shared" si="3"/>
        <v>0</v>
      </c>
      <c r="H41" s="159">
        <f t="shared" si="3"/>
        <v>292</v>
      </c>
      <c r="I41" s="159">
        <f t="shared" si="3"/>
        <v>0</v>
      </c>
      <c r="J41" s="159">
        <f t="shared" si="3"/>
        <v>95</v>
      </c>
      <c r="K41" s="159">
        <f t="shared" si="3"/>
        <v>1249</v>
      </c>
      <c r="L41" s="159">
        <f t="shared" si="3"/>
        <v>648</v>
      </c>
      <c r="M41" s="159">
        <f t="shared" si="3"/>
        <v>8098</v>
      </c>
      <c r="N41" s="159">
        <f t="shared" si="3"/>
        <v>-3304</v>
      </c>
      <c r="O41" s="159">
        <f t="shared" si="3"/>
        <v>1650</v>
      </c>
    </row>
    <row r="42" spans="2:16" s="106" customFormat="1" outlineLevel="1">
      <c r="B42" s="133"/>
      <c r="C42" s="138"/>
      <c r="D42" s="141"/>
      <c r="E42" s="141"/>
      <c r="F42" s="141"/>
      <c r="G42" s="141"/>
      <c r="H42" s="141"/>
      <c r="I42" s="141"/>
      <c r="J42" s="141"/>
      <c r="K42" s="141"/>
      <c r="L42" s="141"/>
      <c r="M42" s="141"/>
      <c r="N42" s="141"/>
      <c r="O42" s="141"/>
    </row>
    <row r="43" spans="2:16" s="106" customFormat="1">
      <c r="B43" s="106" t="s">
        <v>286</v>
      </c>
      <c r="C43" s="138"/>
      <c r="D43" s="159">
        <f>SUBTOTAL(9,D20:D41)</f>
        <v>16061</v>
      </c>
      <c r="E43" s="159">
        <f t="shared" ref="E43:N43" si="4">SUBTOTAL(9,E20:E41)</f>
        <v>18048</v>
      </c>
      <c r="F43" s="159">
        <f t="shared" si="4"/>
        <v>18057</v>
      </c>
      <c r="G43" s="159">
        <f t="shared" si="4"/>
        <v>20183</v>
      </c>
      <c r="H43" s="159">
        <f t="shared" si="4"/>
        <v>20637</v>
      </c>
      <c r="I43" s="159">
        <f t="shared" si="4"/>
        <v>23010</v>
      </c>
      <c r="J43" s="159">
        <f t="shared" si="4"/>
        <v>18025</v>
      </c>
      <c r="K43" s="159">
        <f t="shared" si="4"/>
        <v>25931</v>
      </c>
      <c r="L43" s="159">
        <f t="shared" si="4"/>
        <v>26136</v>
      </c>
      <c r="M43" s="159">
        <f t="shared" si="4"/>
        <v>40958</v>
      </c>
      <c r="N43" s="159">
        <f t="shared" si="4"/>
        <v>37130</v>
      </c>
      <c r="O43" s="159">
        <f>SUBTOTAL(9,O20:O41)</f>
        <v>38611</v>
      </c>
      <c r="P43" s="114"/>
    </row>
    <row r="44" spans="2:16" s="106" customFormat="1">
      <c r="B44" s="133"/>
      <c r="C44" s="138"/>
      <c r="D44" s="141"/>
      <c r="E44" s="141"/>
      <c r="F44" s="141"/>
      <c r="G44" s="141"/>
      <c r="H44" s="141"/>
      <c r="I44" s="141"/>
      <c r="J44" s="141"/>
      <c r="K44" s="141"/>
      <c r="L44" s="141"/>
      <c r="M44" s="141"/>
      <c r="N44" s="141"/>
      <c r="O44" s="141"/>
    </row>
    <row r="45" spans="2:16" s="30" customFormat="1">
      <c r="B45" s="138" t="s">
        <v>1123</v>
      </c>
      <c r="C45" s="90"/>
      <c r="D45" s="159">
        <f>D47-D24-D27-D38</f>
        <v>0</v>
      </c>
      <c r="E45" s="159">
        <f t="shared" ref="E45:O45" si="5">E47-E24-E27-E38</f>
        <v>0</v>
      </c>
      <c r="F45" s="159">
        <f t="shared" si="5"/>
        <v>0</v>
      </c>
      <c r="G45" s="159">
        <f t="shared" si="5"/>
        <v>0</v>
      </c>
      <c r="H45" s="159">
        <f t="shared" si="5"/>
        <v>0</v>
      </c>
      <c r="I45" s="159">
        <f>I47-I24-I27-I38</f>
        <v>0</v>
      </c>
      <c r="J45" s="159">
        <f>J47-J24-J27-J38</f>
        <v>0</v>
      </c>
      <c r="K45" s="159">
        <f t="shared" si="5"/>
        <v>0</v>
      </c>
      <c r="L45" s="159">
        <f t="shared" si="5"/>
        <v>0</v>
      </c>
      <c r="M45" s="159">
        <f t="shared" si="5"/>
        <v>0</v>
      </c>
      <c r="N45" s="159">
        <f t="shared" si="5"/>
        <v>0</v>
      </c>
      <c r="O45" s="159">
        <f t="shared" si="5"/>
        <v>0</v>
      </c>
    </row>
    <row r="46" spans="2:16" s="106" customFormat="1">
      <c r="B46" s="138"/>
      <c r="C46" s="138"/>
      <c r="D46" s="141"/>
      <c r="E46" s="141"/>
      <c r="F46" s="141"/>
      <c r="G46" s="141"/>
      <c r="H46" s="141"/>
      <c r="I46" s="141"/>
      <c r="J46" s="141"/>
      <c r="K46" s="141"/>
      <c r="L46" s="141"/>
      <c r="M46" s="141"/>
      <c r="N46" s="141"/>
      <c r="O46" s="141"/>
    </row>
    <row r="47" spans="2:16" s="30" customFormat="1">
      <c r="B47" s="138" t="s">
        <v>1316</v>
      </c>
      <c r="C47" s="138"/>
      <c r="D47" s="141">
        <v>16061</v>
      </c>
      <c r="E47" s="141">
        <v>18048</v>
      </c>
      <c r="F47" s="141">
        <v>18057</v>
      </c>
      <c r="G47" s="141">
        <v>20183</v>
      </c>
      <c r="H47" s="141">
        <v>20345</v>
      </c>
      <c r="I47" s="141">
        <v>23010</v>
      </c>
      <c r="J47" s="141">
        <v>17930</v>
      </c>
      <c r="K47" s="141">
        <v>24682</v>
      </c>
      <c r="L47" s="141">
        <v>25488</v>
      </c>
      <c r="M47" s="141">
        <v>32860</v>
      </c>
      <c r="N47" s="141">
        <v>40434</v>
      </c>
      <c r="O47" s="141">
        <v>36961</v>
      </c>
      <c r="P47" s="79"/>
    </row>
    <row r="48" spans="2:16" s="122" customFormat="1">
      <c r="B48" s="168"/>
      <c r="C48" s="168"/>
      <c r="D48" s="161"/>
      <c r="E48" s="161"/>
      <c r="F48" s="161"/>
      <c r="G48" s="161"/>
      <c r="H48" s="161"/>
      <c r="I48" s="161"/>
      <c r="J48" s="161"/>
      <c r="K48" s="161"/>
      <c r="L48" s="161"/>
      <c r="M48" s="161"/>
      <c r="N48" s="161"/>
      <c r="O48" s="161"/>
      <c r="P48" s="234"/>
    </row>
    <row r="49" spans="1:16" s="30" customFormat="1">
      <c r="B49" s="138" t="s">
        <v>1317</v>
      </c>
      <c r="C49" s="138"/>
      <c r="D49" s="159">
        <f>D47+D41</f>
        <v>16061</v>
      </c>
      <c r="E49" s="159">
        <f t="shared" ref="E49:O49" si="6">E47+E41</f>
        <v>18048</v>
      </c>
      <c r="F49" s="159">
        <f t="shared" si="6"/>
        <v>18057</v>
      </c>
      <c r="G49" s="159">
        <f t="shared" si="6"/>
        <v>20183</v>
      </c>
      <c r="H49" s="159">
        <f t="shared" si="6"/>
        <v>20637</v>
      </c>
      <c r="I49" s="159">
        <f>I47+I41</f>
        <v>23010</v>
      </c>
      <c r="J49" s="159">
        <f>J47+J41</f>
        <v>18025</v>
      </c>
      <c r="K49" s="159">
        <f>K47+K41</f>
        <v>25931</v>
      </c>
      <c r="L49" s="159">
        <f t="shared" si="6"/>
        <v>26136</v>
      </c>
      <c r="M49" s="159">
        <f t="shared" si="6"/>
        <v>40958</v>
      </c>
      <c r="N49" s="159">
        <f t="shared" si="6"/>
        <v>37130</v>
      </c>
      <c r="O49" s="159">
        <f t="shared" si="6"/>
        <v>38611</v>
      </c>
      <c r="P49" s="79"/>
    </row>
    <row r="50" spans="1:16" s="106" customFormat="1">
      <c r="B50" s="138"/>
      <c r="C50" s="138"/>
      <c r="D50" s="141"/>
      <c r="E50" s="141"/>
      <c r="F50" s="141"/>
      <c r="G50" s="141"/>
      <c r="H50" s="141"/>
      <c r="I50" s="141"/>
      <c r="J50" s="141"/>
      <c r="K50" s="141"/>
      <c r="L50" s="141"/>
      <c r="M50" s="141"/>
      <c r="N50" s="141"/>
      <c r="O50" s="141"/>
      <c r="P50" s="114"/>
    </row>
    <row r="51" spans="1:16" s="30" customFormat="1">
      <c r="A51" s="122"/>
      <c r="B51" s="138" t="s">
        <v>1131</v>
      </c>
      <c r="C51" s="138"/>
      <c r="D51" s="159">
        <f>D47-D27-D36-D37-D29</f>
        <v>14392</v>
      </c>
      <c r="E51" s="159">
        <f t="shared" ref="E51:O51" si="7">E47-E27-E36-E37-E29</f>
        <v>16306</v>
      </c>
      <c r="F51" s="159">
        <f t="shared" si="7"/>
        <v>16282</v>
      </c>
      <c r="G51" s="159">
        <f t="shared" si="7"/>
        <v>17976</v>
      </c>
      <c r="H51" s="159">
        <f t="shared" si="7"/>
        <v>18324</v>
      </c>
      <c r="I51" s="159">
        <f t="shared" si="7"/>
        <v>20689</v>
      </c>
      <c r="J51" s="159">
        <f t="shared" si="7"/>
        <v>16263</v>
      </c>
      <c r="K51" s="159">
        <f t="shared" si="7"/>
        <v>21994</v>
      </c>
      <c r="L51" s="159">
        <f t="shared" si="7"/>
        <v>22442</v>
      </c>
      <c r="M51" s="159">
        <f t="shared" si="7"/>
        <v>21736</v>
      </c>
      <c r="N51" s="159">
        <f t="shared" si="7"/>
        <v>23587</v>
      </c>
      <c r="O51" s="159">
        <f t="shared" si="7"/>
        <v>24658</v>
      </c>
      <c r="P51" s="79"/>
    </row>
    <row r="52" spans="1:16" s="106" customFormat="1">
      <c r="B52" s="138"/>
      <c r="C52" s="138"/>
      <c r="D52" s="141"/>
      <c r="E52" s="141"/>
      <c r="F52" s="141"/>
      <c r="G52" s="141"/>
      <c r="H52" s="141"/>
      <c r="I52" s="141"/>
      <c r="J52" s="141"/>
      <c r="K52" s="141"/>
      <c r="L52" s="141"/>
      <c r="M52" s="141"/>
      <c r="N52" s="141"/>
      <c r="O52" s="141"/>
      <c r="P52" s="114"/>
    </row>
    <row r="53" spans="1:16" s="133" customFormat="1">
      <c r="B53" s="138" t="s">
        <v>292</v>
      </c>
      <c r="C53" s="138"/>
      <c r="D53" s="141">
        <v>26974</v>
      </c>
      <c r="E53" s="141">
        <v>28023</v>
      </c>
      <c r="F53" s="141">
        <v>28214</v>
      </c>
      <c r="G53" s="141">
        <v>28888</v>
      </c>
      <c r="H53" s="141">
        <v>30589</v>
      </c>
      <c r="I53" s="141">
        <v>33954</v>
      </c>
      <c r="J53" s="141">
        <v>28663</v>
      </c>
      <c r="K53" s="141">
        <v>40927</v>
      </c>
      <c r="L53" s="141">
        <v>41853</v>
      </c>
      <c r="M53" s="141">
        <v>47942</v>
      </c>
      <c r="N53" s="141">
        <v>49142</v>
      </c>
      <c r="O53" s="141">
        <v>52983</v>
      </c>
    </row>
    <row r="54" spans="1:16" s="133" customFormat="1">
      <c r="B54" s="138"/>
      <c r="C54" s="180"/>
      <c r="D54" s="174"/>
      <c r="E54" s="174"/>
      <c r="F54" s="174"/>
      <c r="G54" s="174"/>
      <c r="H54" s="174"/>
      <c r="I54" s="174"/>
      <c r="J54" s="174"/>
      <c r="K54" s="174"/>
      <c r="L54" s="174"/>
      <c r="M54" s="174"/>
      <c r="N54" s="174"/>
      <c r="O54" s="174"/>
    </row>
    <row r="55" spans="1:16">
      <c r="B55" s="138" t="s">
        <v>1321</v>
      </c>
      <c r="C55" s="138"/>
      <c r="D55" s="159">
        <f t="shared" ref="D55:O55" si="8">D53-D47</f>
        <v>10913</v>
      </c>
      <c r="E55" s="159">
        <f t="shared" si="8"/>
        <v>9975</v>
      </c>
      <c r="F55" s="159">
        <f t="shared" si="8"/>
        <v>10157</v>
      </c>
      <c r="G55" s="159">
        <f t="shared" si="8"/>
        <v>8705</v>
      </c>
      <c r="H55" s="159">
        <f t="shared" si="8"/>
        <v>10244</v>
      </c>
      <c r="I55" s="159">
        <f t="shared" si="8"/>
        <v>10944</v>
      </c>
      <c r="J55" s="159">
        <f t="shared" si="8"/>
        <v>10733</v>
      </c>
      <c r="K55" s="159">
        <f t="shared" si="8"/>
        <v>16245</v>
      </c>
      <c r="L55" s="159">
        <f t="shared" si="8"/>
        <v>16365</v>
      </c>
      <c r="M55" s="159">
        <f t="shared" si="8"/>
        <v>15082</v>
      </c>
      <c r="N55" s="159">
        <f t="shared" si="8"/>
        <v>8708</v>
      </c>
      <c r="O55" s="159">
        <f t="shared" si="8"/>
        <v>16022</v>
      </c>
    </row>
    <row r="56" spans="1:16">
      <c r="B56" s="176"/>
      <c r="C56" s="154"/>
      <c r="D56" s="160"/>
      <c r="E56" s="160"/>
      <c r="F56" s="160"/>
      <c r="G56" s="160"/>
      <c r="H56" s="160"/>
      <c r="I56" s="160"/>
      <c r="J56" s="160"/>
      <c r="K56" s="160"/>
      <c r="L56" s="160"/>
      <c r="M56" s="160"/>
      <c r="N56" s="160"/>
      <c r="O56" s="160"/>
    </row>
    <row r="57" spans="1:16">
      <c r="B57" s="138" t="s">
        <v>1206</v>
      </c>
      <c r="C57" s="138"/>
      <c r="D57" s="162">
        <f>D55/D53</f>
        <v>0.40457477570994294</v>
      </c>
      <c r="E57" s="162">
        <f t="shared" ref="E57:O57" si="9">E55/E53</f>
        <v>0.35595760625200729</v>
      </c>
      <c r="F57" s="162">
        <f t="shared" si="9"/>
        <v>0.35999858226412418</v>
      </c>
      <c r="G57" s="162">
        <f t="shared" si="9"/>
        <v>0.30133619495984493</v>
      </c>
      <c r="H57" s="162">
        <f t="shared" si="9"/>
        <v>0.33489162770930725</v>
      </c>
      <c r="I57" s="162">
        <f>I55/I53</f>
        <v>0.32231843081816575</v>
      </c>
      <c r="J57" s="162">
        <f t="shared" si="9"/>
        <v>0.37445487213480794</v>
      </c>
      <c r="K57" s="162">
        <f t="shared" si="9"/>
        <v>0.39692623451511228</v>
      </c>
      <c r="L57" s="162">
        <f t="shared" si="9"/>
        <v>0.39101139703247079</v>
      </c>
      <c r="M57" s="162">
        <f t="shared" si="9"/>
        <v>0.31458846105711069</v>
      </c>
      <c r="N57" s="162">
        <f t="shared" si="9"/>
        <v>0.17720076512962435</v>
      </c>
      <c r="O57" s="162">
        <f t="shared" si="9"/>
        <v>0.30239888266047599</v>
      </c>
    </row>
    <row r="58" spans="1:16">
      <c r="B58" s="154"/>
      <c r="C58" s="154"/>
      <c r="D58" s="141"/>
      <c r="E58" s="141"/>
      <c r="F58" s="141"/>
      <c r="G58" s="141"/>
      <c r="H58" s="141"/>
      <c r="I58" s="141"/>
      <c r="J58" s="141"/>
      <c r="K58" s="141"/>
      <c r="L58" s="141"/>
      <c r="M58" s="141"/>
      <c r="N58" s="141"/>
      <c r="O58" s="141"/>
    </row>
    <row r="59" spans="1:16">
      <c r="B59" s="90" t="s">
        <v>228</v>
      </c>
      <c r="D59" s="95">
        <f>'UK Analysis'!C64</f>
        <v>2486208</v>
      </c>
      <c r="E59" s="95">
        <f>'UK Analysis'!D64</f>
        <v>2513345</v>
      </c>
      <c r="F59" s="95">
        <f>'UK Analysis'!E64</f>
        <v>2550059</v>
      </c>
      <c r="G59" s="95">
        <f>'UK Analysis'!F64</f>
        <v>2520730</v>
      </c>
      <c r="H59" s="95">
        <f>'UK Analysis'!G64</f>
        <v>2676866</v>
      </c>
      <c r="I59" s="95">
        <f>'UK Analysis'!H64</f>
        <v>2926958</v>
      </c>
      <c r="J59" s="95">
        <f>'UK Analysis'!I64</f>
        <v>2487135</v>
      </c>
      <c r="K59" s="95">
        <f>'UK Analysis'!J64</f>
        <v>3411140</v>
      </c>
      <c r="L59" s="95">
        <f>'UK Analysis'!K64</f>
        <v>3290236</v>
      </c>
      <c r="M59" s="95">
        <f>'UK Analysis'!L64</f>
        <v>2983793</v>
      </c>
      <c r="N59" s="95">
        <f>'UK Analysis'!M64</f>
        <v>2763491</v>
      </c>
      <c r="O59" s="95">
        <f>'UK Analysis'!N64</f>
        <v>3082575</v>
      </c>
    </row>
    <row r="60" spans="1:16">
      <c r="B60" s="90" t="s">
        <v>264</v>
      </c>
      <c r="D60" s="95">
        <f>'UK Analysis'!C80</f>
        <v>79444</v>
      </c>
      <c r="E60" s="95">
        <f>'UK Analysis'!D80</f>
        <v>82961</v>
      </c>
      <c r="F60" s="95">
        <f>'UK Analysis'!E80</f>
        <v>78392</v>
      </c>
      <c r="G60" s="95">
        <f>'UK Analysis'!F80</f>
        <v>77454</v>
      </c>
      <c r="H60" s="95">
        <f>'UK Analysis'!G80</f>
        <v>82248</v>
      </c>
      <c r="I60" s="95">
        <f>'UK Analysis'!H80</f>
        <v>92092</v>
      </c>
      <c r="J60" s="95">
        <f>'UK Analysis'!I80</f>
        <v>75123</v>
      </c>
      <c r="K60" s="95">
        <f>'UK Analysis'!J80</f>
        <v>102835</v>
      </c>
      <c r="L60" s="95">
        <f>'UK Analysis'!K80</f>
        <v>100169</v>
      </c>
      <c r="M60" s="95">
        <f>'UK Analysis'!L80</f>
        <v>94386</v>
      </c>
      <c r="N60" s="95">
        <f>'UK Analysis'!M80</f>
        <v>87950</v>
      </c>
      <c r="O60" s="95">
        <f>'UK Analysis'!N80</f>
        <v>95255</v>
      </c>
    </row>
    <row r="61" spans="1:16">
      <c r="B61" s="111" t="s">
        <v>210</v>
      </c>
      <c r="C61" s="111"/>
      <c r="D61" s="140">
        <v>217</v>
      </c>
      <c r="E61" s="140">
        <v>203</v>
      </c>
      <c r="F61" s="140">
        <v>220</v>
      </c>
      <c r="G61" s="140">
        <v>232</v>
      </c>
      <c r="H61" s="140">
        <v>233</v>
      </c>
      <c r="I61" s="140">
        <v>232</v>
      </c>
      <c r="J61" s="140">
        <v>241</v>
      </c>
      <c r="K61" s="140">
        <v>257</v>
      </c>
      <c r="L61" s="140">
        <v>245</v>
      </c>
      <c r="M61" s="140">
        <v>242</v>
      </c>
      <c r="N61" s="140">
        <v>240</v>
      </c>
      <c r="O61" s="140">
        <v>238</v>
      </c>
    </row>
    <row r="62" spans="1:16">
      <c r="B62" s="154"/>
      <c r="C62" s="154"/>
      <c r="D62" s="141"/>
      <c r="E62" s="141"/>
      <c r="F62" s="141"/>
      <c r="G62" s="141"/>
      <c r="H62" s="141"/>
      <c r="I62" s="141"/>
      <c r="J62" s="141"/>
      <c r="K62" s="141"/>
      <c r="L62" s="141"/>
      <c r="M62" s="141"/>
      <c r="N62" s="141"/>
      <c r="O62" s="141"/>
    </row>
    <row r="63" spans="1:16">
      <c r="B63" s="153" t="s">
        <v>302</v>
      </c>
      <c r="C63" s="94"/>
      <c r="D63" s="94"/>
      <c r="E63" s="94"/>
      <c r="F63" s="94"/>
      <c r="G63" s="94"/>
      <c r="H63" s="94"/>
      <c r="I63" s="94"/>
      <c r="J63" s="94"/>
      <c r="K63" s="94"/>
      <c r="L63" s="94"/>
      <c r="M63" s="94"/>
      <c r="N63" s="94"/>
      <c r="O63" s="94"/>
    </row>
    <row r="65" spans="2:15">
      <c r="B65" s="90" t="s">
        <v>1127</v>
      </c>
      <c r="D65" s="192">
        <f t="shared" ref="D65:O65" si="10">(D49/D59)*1000</f>
        <v>6.4600387417303784</v>
      </c>
      <c r="E65" s="192">
        <f t="shared" si="10"/>
        <v>7.1808685238198491</v>
      </c>
      <c r="F65" s="192">
        <f t="shared" si="10"/>
        <v>7.0810126353939262</v>
      </c>
      <c r="G65" s="192">
        <f t="shared" si="10"/>
        <v>8.0068075517806339</v>
      </c>
      <c r="H65" s="192">
        <f t="shared" si="10"/>
        <v>7.7093885162723872</v>
      </c>
      <c r="I65" s="192">
        <f t="shared" si="10"/>
        <v>7.8614042292373174</v>
      </c>
      <c r="J65" s="192">
        <f t="shared" si="10"/>
        <v>7.2472945778978621</v>
      </c>
      <c r="K65" s="192">
        <f t="shared" si="10"/>
        <v>7.6018574435525954</v>
      </c>
      <c r="L65" s="192">
        <f t="shared" si="10"/>
        <v>7.9435031408081374</v>
      </c>
      <c r="M65" s="192">
        <f t="shared" si="10"/>
        <v>13.726823543054092</v>
      </c>
      <c r="N65" s="192">
        <f t="shared" si="10"/>
        <v>13.435904079296803</v>
      </c>
      <c r="O65" s="192">
        <f t="shared" si="10"/>
        <v>12.525567098935143</v>
      </c>
    </row>
    <row r="66" spans="2:15">
      <c r="B66" s="90" t="s">
        <v>299</v>
      </c>
      <c r="D66" s="192">
        <f t="shared" ref="D66:O66" si="11">(D47/D59)*1000</f>
        <v>6.4600387417303784</v>
      </c>
      <c r="E66" s="192">
        <f t="shared" si="11"/>
        <v>7.1808685238198491</v>
      </c>
      <c r="F66" s="192">
        <f t="shared" si="11"/>
        <v>7.0810126353939262</v>
      </c>
      <c r="G66" s="192">
        <f t="shared" si="11"/>
        <v>8.0068075517806339</v>
      </c>
      <c r="H66" s="192">
        <f t="shared" si="11"/>
        <v>7.6003057306566708</v>
      </c>
      <c r="I66" s="192">
        <f t="shared" si="11"/>
        <v>7.8614042292373174</v>
      </c>
      <c r="J66" s="192">
        <f t="shared" si="11"/>
        <v>7.2090980184026998</v>
      </c>
      <c r="K66" s="192">
        <f t="shared" si="11"/>
        <v>7.2357041927332206</v>
      </c>
      <c r="L66" s="192">
        <f t="shared" si="11"/>
        <v>7.7465567819451246</v>
      </c>
      <c r="M66" s="192">
        <f t="shared" si="11"/>
        <v>11.012828302767652</v>
      </c>
      <c r="N66" s="192">
        <f t="shared" si="11"/>
        <v>14.631493281505168</v>
      </c>
      <c r="O66" s="192">
        <f t="shared" si="11"/>
        <v>11.990300317105017</v>
      </c>
    </row>
    <row r="67" spans="2:15">
      <c r="B67" s="90" t="s">
        <v>300</v>
      </c>
      <c r="D67" s="192">
        <f t="shared" ref="D67:O67" si="12">(D51/D59)*1000</f>
        <v>5.7887352948747646</v>
      </c>
      <c r="E67" s="192">
        <f t="shared" si="12"/>
        <v>6.4877682928527518</v>
      </c>
      <c r="F67" s="192">
        <f t="shared" si="12"/>
        <v>6.3849503089928508</v>
      </c>
      <c r="G67" s="192">
        <f t="shared" si="12"/>
        <v>7.131267529644191</v>
      </c>
      <c r="H67" s="192">
        <f t="shared" si="12"/>
        <v>6.8453183685698118</v>
      </c>
      <c r="I67" s="192">
        <f t="shared" si="12"/>
        <v>7.0684307735198111</v>
      </c>
      <c r="J67" s="192">
        <f t="shared" si="12"/>
        <v>6.5388489165244348</v>
      </c>
      <c r="K67" s="192">
        <f t="shared" si="12"/>
        <v>6.4476978370867215</v>
      </c>
      <c r="L67" s="192">
        <f t="shared" si="12"/>
        <v>6.8207873234625112</v>
      </c>
      <c r="M67" s="192">
        <f t="shared" si="12"/>
        <v>7.2846876442166062</v>
      </c>
      <c r="N67" s="192">
        <f t="shared" si="12"/>
        <v>8.535218678114024</v>
      </c>
      <c r="O67" s="192">
        <f t="shared" si="12"/>
        <v>7.9991565493134802</v>
      </c>
    </row>
    <row r="68" spans="2:15">
      <c r="B68" s="111" t="s">
        <v>265</v>
      </c>
      <c r="C68" s="111"/>
      <c r="D68" s="169">
        <f t="shared" ref="D68:O68" si="13">D24*1000/D59</f>
        <v>2.6232720673411074</v>
      </c>
      <c r="E68" s="169">
        <f t="shared" si="13"/>
        <v>2.8710742058889647</v>
      </c>
      <c r="F68" s="169">
        <f t="shared" si="13"/>
        <v>3.0662035662704277</v>
      </c>
      <c r="G68" s="169">
        <f t="shared" si="13"/>
        <v>3.5854692886584441</v>
      </c>
      <c r="H68" s="169">
        <f t="shared" si="13"/>
        <v>3.4428320282001414</v>
      </c>
      <c r="I68" s="169">
        <f t="shared" si="13"/>
        <v>3.4913381059789721</v>
      </c>
      <c r="J68" s="169">
        <f t="shared" si="13"/>
        <v>3.2965641189561485</v>
      </c>
      <c r="K68" s="169">
        <f t="shared" si="13"/>
        <v>3.2411451889983995</v>
      </c>
      <c r="L68" s="169">
        <f t="shared" si="13"/>
        <v>3.3961089721223643</v>
      </c>
      <c r="M68" s="169">
        <f t="shared" si="13"/>
        <v>3.4506415156815504</v>
      </c>
      <c r="N68" s="169">
        <f t="shared" si="13"/>
        <v>4.0528447532486984</v>
      </c>
      <c r="O68" s="169">
        <f t="shared" si="13"/>
        <v>3.8665725894747087</v>
      </c>
    </row>
    <row r="69" spans="2:15">
      <c r="B69" s="111" t="s">
        <v>1136</v>
      </c>
      <c r="C69" s="111"/>
      <c r="D69" s="140">
        <f t="shared" ref="D69:O69" si="14">D24/D61*1000</f>
        <v>30055.299539170504</v>
      </c>
      <c r="E69" s="140">
        <f t="shared" si="14"/>
        <v>35546.798029556645</v>
      </c>
      <c r="F69" s="140">
        <f t="shared" si="14"/>
        <v>35540.909090909088</v>
      </c>
      <c r="G69" s="140">
        <f t="shared" si="14"/>
        <v>38956.896551724138</v>
      </c>
      <c r="H69" s="140">
        <f t="shared" si="14"/>
        <v>39553.648068669529</v>
      </c>
      <c r="I69" s="140">
        <f t="shared" si="14"/>
        <v>44047.413793103442</v>
      </c>
      <c r="J69" s="140">
        <f t="shared" si="14"/>
        <v>34020.746887966809</v>
      </c>
      <c r="K69" s="140">
        <f t="shared" si="14"/>
        <v>43019.455252918291</v>
      </c>
      <c r="L69" s="140">
        <f t="shared" si="14"/>
        <v>45608.163265306124</v>
      </c>
      <c r="M69" s="140">
        <f t="shared" si="14"/>
        <v>42545.454545454544</v>
      </c>
      <c r="N69" s="140">
        <f t="shared" si="14"/>
        <v>46666.666666666664</v>
      </c>
      <c r="O69" s="140">
        <f t="shared" si="14"/>
        <v>50079.831932773108</v>
      </c>
    </row>
    <row r="70" spans="2:15">
      <c r="B70" s="111" t="s">
        <v>1135</v>
      </c>
      <c r="C70" s="111"/>
      <c r="D70" s="140">
        <f t="shared" ref="D70:O70" si="15">D59/D61</f>
        <v>11457.179723502304</v>
      </c>
      <c r="E70" s="140">
        <f t="shared" si="15"/>
        <v>12381.009852216748</v>
      </c>
      <c r="F70" s="140">
        <f t="shared" si="15"/>
        <v>11591.177272727273</v>
      </c>
      <c r="G70" s="140">
        <f t="shared" si="15"/>
        <v>10865.215517241379</v>
      </c>
      <c r="H70" s="140">
        <f t="shared" si="15"/>
        <v>11488.695278969957</v>
      </c>
      <c r="I70" s="140">
        <f t="shared" si="15"/>
        <v>12616.198275862069</v>
      </c>
      <c r="J70" s="140">
        <f t="shared" si="15"/>
        <v>10320.062240663901</v>
      </c>
      <c r="K70" s="140">
        <f t="shared" si="15"/>
        <v>13272.918287937744</v>
      </c>
      <c r="L70" s="140">
        <f t="shared" si="15"/>
        <v>13429.534693877551</v>
      </c>
      <c r="M70" s="140">
        <f t="shared" si="15"/>
        <v>12329.723140495867</v>
      </c>
      <c r="N70" s="140">
        <f t="shared" si="15"/>
        <v>11514.545833333334</v>
      </c>
      <c r="O70" s="140">
        <f t="shared" si="15"/>
        <v>12951.995798319327</v>
      </c>
    </row>
    <row r="71" spans="2:15">
      <c r="B71" s="111"/>
      <c r="C71" s="111"/>
      <c r="D71" s="141"/>
      <c r="E71" s="141"/>
      <c r="F71" s="141"/>
      <c r="G71" s="141"/>
      <c r="H71" s="141"/>
      <c r="I71" s="141"/>
      <c r="J71" s="141"/>
      <c r="K71" s="141"/>
      <c r="L71" s="141"/>
      <c r="M71" s="141"/>
      <c r="N71" s="141"/>
    </row>
    <row r="72" spans="2:15">
      <c r="B72" s="153" t="s">
        <v>305</v>
      </c>
      <c r="C72" s="94"/>
      <c r="D72" s="94"/>
      <c r="E72" s="94"/>
      <c r="F72" s="94"/>
      <c r="G72" s="94"/>
      <c r="H72" s="94"/>
      <c r="I72" s="94"/>
      <c r="J72" s="94"/>
      <c r="K72" s="94"/>
      <c r="L72" s="94"/>
      <c r="M72" s="94"/>
      <c r="N72" s="94"/>
      <c r="O72" s="94"/>
    </row>
    <row r="73" spans="2:15">
      <c r="B73" s="111"/>
      <c r="C73" s="111"/>
      <c r="D73" s="141"/>
      <c r="E73" s="141"/>
      <c r="F73" s="141"/>
      <c r="G73" s="141"/>
      <c r="H73" s="141"/>
      <c r="I73" s="141"/>
      <c r="J73" s="141"/>
      <c r="K73" s="141"/>
      <c r="L73" s="141"/>
      <c r="M73" s="141"/>
      <c r="N73" s="141"/>
    </row>
    <row r="74" spans="2:15">
      <c r="B74" s="138" t="s">
        <v>21</v>
      </c>
      <c r="D74" s="213">
        <f>VLOOKUP(D15,RPI!$B$54:$C$107,2,FALSE)</f>
        <v>171.31666666666663</v>
      </c>
      <c r="E74" s="213">
        <f>VLOOKUP(E15,RPI!$B$54:$C$107,2,FALSE)</f>
        <v>173.875</v>
      </c>
      <c r="F74" s="213">
        <f>VLOOKUP(F15,RPI!$B$54:$C$107,2,FALSE)</f>
        <v>177.51666666666665</v>
      </c>
      <c r="G74" s="213">
        <f>VLOOKUP(G15,RPI!$B$54:$C$107,2,FALSE)</f>
        <v>182.47499999999999</v>
      </c>
      <c r="H74" s="213">
        <f>VLOOKUP(H15,RPI!$B$54:$C$107,2,FALSE)</f>
        <v>188.15</v>
      </c>
      <c r="I74" s="213">
        <f>VLOOKUP(I15,RPI!$B$54:$C$107,2,FALSE)</f>
        <v>193.10833333333332</v>
      </c>
      <c r="J74" s="213">
        <f>VLOOKUP(J15,RPI!$B$54:$C$107,2,FALSE)</f>
        <v>199.41111111111113</v>
      </c>
      <c r="K74" s="213">
        <f>VLOOKUP(K15,RPI!$B$54:$C$107,2,FALSE)</f>
        <v>206.57499999999996</v>
      </c>
      <c r="L74" s="213">
        <f>VLOOKUP(L15,RPI!$B$54:$C$107,2,FALSE)</f>
        <v>214.82500000000002</v>
      </c>
      <c r="M74" s="213">
        <f>VLOOKUP(M15,RPI!$B$54:$C$107,2,FALSE)</f>
        <v>213.68333333333337</v>
      </c>
      <c r="N74" s="213">
        <f>VLOOKUP(N15,RPI!$B$54:$C$107,2,FALSE)</f>
        <v>223.55833333333331</v>
      </c>
      <c r="O74" s="213">
        <f>VLOOKUP(O15,RPI!$B$54:$C$107,2,FALSE)</f>
        <v>235.18333333333331</v>
      </c>
    </row>
    <row r="75" spans="2:15">
      <c r="B75" s="138" t="s">
        <v>1048</v>
      </c>
      <c r="D75" s="214">
        <f>RPI!$R$44</f>
        <v>237.3416666666667</v>
      </c>
      <c r="E75" s="214">
        <f>RPI!$R$44</f>
        <v>237.3416666666667</v>
      </c>
      <c r="F75" s="214">
        <f>RPI!$R$44</f>
        <v>237.3416666666667</v>
      </c>
      <c r="G75" s="214">
        <f>RPI!$R$44</f>
        <v>237.3416666666667</v>
      </c>
      <c r="H75" s="214">
        <f>RPI!$R$44</f>
        <v>237.3416666666667</v>
      </c>
      <c r="I75" s="214">
        <f>RPI!$R$44</f>
        <v>237.3416666666667</v>
      </c>
      <c r="J75" s="214">
        <f>RPI!$R$44</f>
        <v>237.3416666666667</v>
      </c>
      <c r="K75" s="214">
        <f>RPI!$R$44</f>
        <v>237.3416666666667</v>
      </c>
      <c r="L75" s="214">
        <f>RPI!$R$44</f>
        <v>237.3416666666667</v>
      </c>
      <c r="M75" s="214">
        <f>RPI!$R$44</f>
        <v>237.3416666666667</v>
      </c>
      <c r="N75" s="214">
        <f>RPI!$R$44</f>
        <v>237.3416666666667</v>
      </c>
      <c r="O75" s="214">
        <f>RPI!$R$44</f>
        <v>237.3416666666667</v>
      </c>
    </row>
    <row r="76" spans="2:15">
      <c r="B76" s="138" t="s">
        <v>304</v>
      </c>
      <c r="D76" s="214">
        <f>D75/D74</f>
        <v>1.3853974121996309</v>
      </c>
      <c r="E76" s="214">
        <f t="shared" ref="E76:O76" si="16">E75/E74</f>
        <v>1.3650131799664511</v>
      </c>
      <c r="F76" s="214">
        <f t="shared" si="16"/>
        <v>1.3370106093324574</v>
      </c>
      <c r="G76" s="214">
        <f t="shared" si="16"/>
        <v>1.3006804585102985</v>
      </c>
      <c r="H76" s="214">
        <f t="shared" si="16"/>
        <v>1.2614491983346623</v>
      </c>
      <c r="I76" s="214">
        <f t="shared" si="16"/>
        <v>1.229059681525914</v>
      </c>
      <c r="J76" s="214">
        <f t="shared" si="16"/>
        <v>1.1902128489441133</v>
      </c>
      <c r="K76" s="214">
        <f t="shared" si="16"/>
        <v>1.1489370285207152</v>
      </c>
      <c r="L76" s="214">
        <f t="shared" si="16"/>
        <v>1.104813995888126</v>
      </c>
      <c r="M76" s="214">
        <f t="shared" si="16"/>
        <v>1.1107167927618751</v>
      </c>
      <c r="N76" s="214">
        <f t="shared" si="16"/>
        <v>1.0616543035002053</v>
      </c>
      <c r="O76" s="214">
        <f t="shared" si="16"/>
        <v>1.0091772376160444</v>
      </c>
    </row>
    <row r="77" spans="2:15">
      <c r="B77" s="111"/>
      <c r="C77" s="111"/>
      <c r="D77" s="141"/>
      <c r="E77" s="141"/>
      <c r="F77" s="141"/>
      <c r="G77" s="141"/>
      <c r="H77" s="141"/>
      <c r="I77" s="141"/>
      <c r="J77" s="141"/>
      <c r="K77" s="141"/>
      <c r="L77" s="141"/>
      <c r="M77" s="141"/>
      <c r="N77" s="141"/>
    </row>
    <row r="78" spans="2:15">
      <c r="B78" s="111" t="str">
        <f>B24</f>
        <v>Staff Costs Total</v>
      </c>
      <c r="C78" s="111"/>
      <c r="D78" s="159">
        <f>D24*D$76</f>
        <v>9035.5619223659924</v>
      </c>
      <c r="E78" s="159">
        <f t="shared" ref="E78:O78" si="17">E24*E$76</f>
        <v>9849.9351066379113</v>
      </c>
      <c r="F78" s="159">
        <f t="shared" si="17"/>
        <v>10454.085954370485</v>
      </c>
      <c r="G78" s="159">
        <f t="shared" si="17"/>
        <v>11755.549984016077</v>
      </c>
      <c r="H78" s="159">
        <f t="shared" si="17"/>
        <v>11625.515811852249</v>
      </c>
      <c r="I78" s="159">
        <f t="shared" si="17"/>
        <v>12559.760885513315</v>
      </c>
      <c r="J78" s="159">
        <f t="shared" si="17"/>
        <v>9758.5551484927855</v>
      </c>
      <c r="K78" s="159">
        <f t="shared" si="17"/>
        <v>12702.647787325028</v>
      </c>
      <c r="L78" s="159">
        <f t="shared" si="17"/>
        <v>12345.191590053921</v>
      </c>
      <c r="M78" s="159">
        <f t="shared" si="17"/>
        <v>11435.940098276265</v>
      </c>
      <c r="N78" s="159">
        <f t="shared" si="17"/>
        <v>11890.528199202299</v>
      </c>
      <c r="O78" s="159">
        <f t="shared" si="17"/>
        <v>12028.383495145634</v>
      </c>
    </row>
    <row r="79" spans="2:15">
      <c r="B79" s="111" t="str">
        <f>B27</f>
        <v>Depreciation Total</v>
      </c>
      <c r="C79" s="111"/>
      <c r="D79" s="159">
        <f>D27*D$76</f>
        <v>2119.6580406654352</v>
      </c>
      <c r="E79" s="159">
        <f t="shared" ref="E79:O79" si="18">E27*E$76</f>
        <v>2248.1767074047448</v>
      </c>
      <c r="F79" s="159">
        <f t="shared" si="18"/>
        <v>2369.1827997371147</v>
      </c>
      <c r="G79" s="159">
        <f t="shared" si="18"/>
        <v>2873.2031328492494</v>
      </c>
      <c r="H79" s="159">
        <f t="shared" si="18"/>
        <v>2391.7076800425198</v>
      </c>
      <c r="I79" s="159">
        <f t="shared" si="18"/>
        <v>2640.0201959176634</v>
      </c>
      <c r="J79" s="159">
        <f t="shared" si="18"/>
        <v>1961.4707750598986</v>
      </c>
      <c r="K79" s="159">
        <f t="shared" si="18"/>
        <v>3020.5554479809603</v>
      </c>
      <c r="L79" s="159">
        <f t="shared" si="18"/>
        <v>3337.6430815780286</v>
      </c>
      <c r="M79" s="159">
        <f t="shared" si="18"/>
        <v>4322.9097574292182</v>
      </c>
      <c r="N79" s="159">
        <f t="shared" si="18"/>
        <v>7344.5244716144198</v>
      </c>
      <c r="O79" s="159">
        <f t="shared" si="18"/>
        <v>2546.15417050528</v>
      </c>
    </row>
    <row r="80" spans="2:15">
      <c r="B80" s="111" t="str">
        <f>B38</f>
        <v>Other Costs Total</v>
      </c>
      <c r="C80" s="111"/>
      <c r="D80" s="159">
        <f>D38*D$76</f>
        <v>11095.647874306844</v>
      </c>
      <c r="E80" s="159">
        <f t="shared" ref="E80:O80" si="19">E38*E$76</f>
        <v>12537.646057991853</v>
      </c>
      <c r="F80" s="159">
        <f t="shared" si="19"/>
        <v>11319.131818608585</v>
      </c>
      <c r="G80" s="159">
        <f t="shared" si="19"/>
        <v>11622.880577248026</v>
      </c>
      <c r="H80" s="159">
        <f t="shared" si="19"/>
        <v>11646.960448223937</v>
      </c>
      <c r="I80" s="159">
        <f t="shared" si="19"/>
        <v>13080.882190480303</v>
      </c>
      <c r="J80" s="159">
        <f t="shared" si="19"/>
        <v>9620.490458015267</v>
      </c>
      <c r="K80" s="159">
        <f t="shared" si="19"/>
        <v>12634.860502642305</v>
      </c>
      <c r="L80" s="159">
        <f t="shared" si="19"/>
        <v>12476.664455564607</v>
      </c>
      <c r="M80" s="159">
        <f t="shared" si="19"/>
        <v>20739.30395444973</v>
      </c>
      <c r="N80" s="159">
        <f t="shared" si="19"/>
        <v>23691.877436910581</v>
      </c>
      <c r="O80" s="159">
        <f t="shared" si="19"/>
        <v>22725.662213875705</v>
      </c>
    </row>
    <row r="81" spans="1:15">
      <c r="B81" s="111" t="str">
        <f>B41</f>
        <v>Exceptional Items Total</v>
      </c>
      <c r="C81" s="111"/>
      <c r="D81" s="159">
        <f t="shared" ref="D81:O81" si="20">D41*D$76</f>
        <v>0</v>
      </c>
      <c r="E81" s="159">
        <f t="shared" si="20"/>
        <v>0</v>
      </c>
      <c r="F81" s="159">
        <f t="shared" si="20"/>
        <v>0</v>
      </c>
      <c r="G81" s="159">
        <f t="shared" si="20"/>
        <v>0</v>
      </c>
      <c r="H81" s="159">
        <f t="shared" si="20"/>
        <v>368.34316591372141</v>
      </c>
      <c r="I81" s="159">
        <f t="shared" si="20"/>
        <v>0</v>
      </c>
      <c r="J81" s="159">
        <f t="shared" si="20"/>
        <v>113.07022064969077</v>
      </c>
      <c r="K81" s="159">
        <f t="shared" si="20"/>
        <v>1435.0223486223733</v>
      </c>
      <c r="L81" s="159">
        <f t="shared" si="20"/>
        <v>715.91946933550571</v>
      </c>
      <c r="M81" s="159">
        <f t="shared" si="20"/>
        <v>8994.5845877856646</v>
      </c>
      <c r="N81" s="159">
        <f t="shared" si="20"/>
        <v>-3507.705818764678</v>
      </c>
      <c r="O81" s="159">
        <f t="shared" si="20"/>
        <v>1665.1424420664732</v>
      </c>
    </row>
    <row r="82" spans="1:15">
      <c r="B82" s="111" t="str">
        <f>B43</f>
        <v>Grand Total</v>
      </c>
      <c r="C82" s="111"/>
      <c r="D82" s="159">
        <f>D43*D$76</f>
        <v>22250.867837338272</v>
      </c>
      <c r="E82" s="159">
        <f t="shared" ref="E82:O82" si="21">E43*E$76</f>
        <v>24635.757872034508</v>
      </c>
      <c r="F82" s="159">
        <f t="shared" si="21"/>
        <v>24142.400572716182</v>
      </c>
      <c r="G82" s="159">
        <f t="shared" si="21"/>
        <v>26251.633694113352</v>
      </c>
      <c r="H82" s="159">
        <f t="shared" si="21"/>
        <v>26032.527106032427</v>
      </c>
      <c r="I82" s="159">
        <f t="shared" si="21"/>
        <v>28280.663271911282</v>
      </c>
      <c r="J82" s="159">
        <f t="shared" si="21"/>
        <v>21453.586602217641</v>
      </c>
      <c r="K82" s="159">
        <f t="shared" si="21"/>
        <v>29793.086086570667</v>
      </c>
      <c r="L82" s="159">
        <f t="shared" si="21"/>
        <v>28875.418596532061</v>
      </c>
      <c r="M82" s="159">
        <f t="shared" si="21"/>
        <v>45492.738397940877</v>
      </c>
      <c r="N82" s="159">
        <f t="shared" si="21"/>
        <v>39419.224288962621</v>
      </c>
      <c r="O82" s="159">
        <f t="shared" si="21"/>
        <v>38965.342321593089</v>
      </c>
    </row>
    <row r="83" spans="1:15">
      <c r="B83" s="111" t="str">
        <f>B45</f>
        <v>Cost Residual (Ordinary Opex - Elements)</v>
      </c>
      <c r="C83" s="111"/>
      <c r="D83" s="159">
        <f t="shared" ref="D83:O83" si="22">D45*D$76</f>
        <v>0</v>
      </c>
      <c r="E83" s="159">
        <f t="shared" si="22"/>
        <v>0</v>
      </c>
      <c r="F83" s="159">
        <f t="shared" si="22"/>
        <v>0</v>
      </c>
      <c r="G83" s="159">
        <f t="shared" si="22"/>
        <v>0</v>
      </c>
      <c r="H83" s="159">
        <f t="shared" si="22"/>
        <v>0</v>
      </c>
      <c r="I83" s="159">
        <f t="shared" si="22"/>
        <v>0</v>
      </c>
      <c r="J83" s="159">
        <f t="shared" si="22"/>
        <v>0</v>
      </c>
      <c r="K83" s="159">
        <f t="shared" si="22"/>
        <v>0</v>
      </c>
      <c r="L83" s="159">
        <f t="shared" si="22"/>
        <v>0</v>
      </c>
      <c r="M83" s="159">
        <f t="shared" si="22"/>
        <v>0</v>
      </c>
      <c r="N83" s="159">
        <f t="shared" si="22"/>
        <v>0</v>
      </c>
      <c r="O83" s="159">
        <f t="shared" si="22"/>
        <v>0</v>
      </c>
    </row>
    <row r="84" spans="1:15">
      <c r="B84" s="111"/>
      <c r="C84" s="111"/>
      <c r="D84" s="141"/>
      <c r="E84" s="141"/>
      <c r="F84" s="141"/>
      <c r="G84" s="141"/>
      <c r="H84" s="141"/>
      <c r="I84" s="141"/>
      <c r="J84" s="141"/>
      <c r="K84" s="141"/>
      <c r="L84" s="141"/>
      <c r="M84" s="141"/>
      <c r="N84" s="141"/>
      <c r="O84" s="141"/>
    </row>
    <row r="85" spans="1:15">
      <c r="B85" s="111" t="str">
        <f>B47</f>
        <v>Ordinary Opex (per accounts - including staff, depreciation and other, excluding exceptional)</v>
      </c>
      <c r="C85" s="111"/>
      <c r="D85" s="159">
        <f t="shared" ref="D85:O85" si="23">D47*D$76</f>
        <v>22250.867837338272</v>
      </c>
      <c r="E85" s="159">
        <f t="shared" si="23"/>
        <v>24635.757872034508</v>
      </c>
      <c r="F85" s="159">
        <f t="shared" si="23"/>
        <v>24142.400572716182</v>
      </c>
      <c r="G85" s="159">
        <f t="shared" si="23"/>
        <v>26251.633694113352</v>
      </c>
      <c r="H85" s="159">
        <f t="shared" si="23"/>
        <v>25664.183940118703</v>
      </c>
      <c r="I85" s="159">
        <f t="shared" si="23"/>
        <v>28280.663271911282</v>
      </c>
      <c r="J85" s="159">
        <f t="shared" si="23"/>
        <v>21340.516381567952</v>
      </c>
      <c r="K85" s="159">
        <f t="shared" si="23"/>
        <v>28358.063737948294</v>
      </c>
      <c r="L85" s="159">
        <f t="shared" si="23"/>
        <v>28159.499127196555</v>
      </c>
      <c r="M85" s="159">
        <f t="shared" si="23"/>
        <v>36498.153810155214</v>
      </c>
      <c r="N85" s="159">
        <f t="shared" si="23"/>
        <v>42926.930107727298</v>
      </c>
      <c r="O85" s="159">
        <f t="shared" si="23"/>
        <v>37300.199879526619</v>
      </c>
    </row>
    <row r="86" spans="1:15">
      <c r="B86" s="111"/>
      <c r="C86" s="111"/>
      <c r="D86" s="141"/>
      <c r="E86" s="141"/>
      <c r="F86" s="141"/>
      <c r="G86" s="141"/>
      <c r="H86" s="141"/>
      <c r="I86" s="141"/>
      <c r="J86" s="141"/>
      <c r="K86" s="141"/>
      <c r="L86" s="141"/>
      <c r="M86" s="141"/>
      <c r="N86" s="141"/>
      <c r="O86" s="141"/>
    </row>
    <row r="87" spans="1:15">
      <c r="B87" s="111" t="str">
        <f>B49</f>
        <v>Total Opex (ordinary + exceptional)</v>
      </c>
      <c r="C87" s="111"/>
      <c r="D87" s="159">
        <f t="shared" ref="D87:O87" si="24">D49*D$76</f>
        <v>22250.867837338272</v>
      </c>
      <c r="E87" s="159">
        <f t="shared" si="24"/>
        <v>24635.757872034508</v>
      </c>
      <c r="F87" s="159">
        <f t="shared" si="24"/>
        <v>24142.400572716182</v>
      </c>
      <c r="G87" s="159">
        <f t="shared" si="24"/>
        <v>26251.633694113352</v>
      </c>
      <c r="H87" s="159">
        <f t="shared" si="24"/>
        <v>26032.527106032427</v>
      </c>
      <c r="I87" s="159">
        <f t="shared" si="24"/>
        <v>28280.663271911282</v>
      </c>
      <c r="J87" s="159">
        <f t="shared" si="24"/>
        <v>21453.586602217641</v>
      </c>
      <c r="K87" s="159">
        <f t="shared" si="24"/>
        <v>29793.086086570667</v>
      </c>
      <c r="L87" s="159">
        <f t="shared" si="24"/>
        <v>28875.418596532061</v>
      </c>
      <c r="M87" s="159">
        <f t="shared" si="24"/>
        <v>45492.738397940877</v>
      </c>
      <c r="N87" s="159">
        <f t="shared" si="24"/>
        <v>39419.224288962621</v>
      </c>
      <c r="O87" s="159">
        <f t="shared" si="24"/>
        <v>38965.342321593089</v>
      </c>
    </row>
    <row r="88" spans="1:15">
      <c r="B88" s="111"/>
      <c r="C88" s="111"/>
      <c r="D88" s="141"/>
      <c r="E88" s="141"/>
      <c r="F88" s="141"/>
      <c r="G88" s="141"/>
      <c r="H88" s="141"/>
      <c r="I88" s="141"/>
      <c r="J88" s="141"/>
      <c r="K88" s="141"/>
      <c r="L88" s="141"/>
      <c r="M88" s="141"/>
      <c r="N88" s="141"/>
      <c r="O88" s="141"/>
    </row>
    <row r="89" spans="1:15">
      <c r="A89" s="134"/>
      <c r="B89" s="111" t="str">
        <f>B51</f>
        <v>Adjusted Ordinary Opex (ordinary opex - depreciation - ANS - retail)</v>
      </c>
      <c r="C89" s="111"/>
      <c r="D89" s="159">
        <f t="shared" ref="D89:O89" si="25">D51*D$76</f>
        <v>19938.639556377086</v>
      </c>
      <c r="E89" s="159">
        <f t="shared" si="25"/>
        <v>22257.904912532951</v>
      </c>
      <c r="F89" s="159">
        <f t="shared" si="25"/>
        <v>21769.206741151072</v>
      </c>
      <c r="G89" s="159">
        <f t="shared" si="25"/>
        <v>23381.031922181126</v>
      </c>
      <c r="H89" s="159">
        <f t="shared" si="25"/>
        <v>23114.795110284351</v>
      </c>
      <c r="I89" s="159">
        <f t="shared" si="25"/>
        <v>25428.015751089635</v>
      </c>
      <c r="J89" s="159">
        <f t="shared" si="25"/>
        <v>19356.431562378115</v>
      </c>
      <c r="K89" s="159">
        <f t="shared" si="25"/>
        <v>25269.721005284609</v>
      </c>
      <c r="L89" s="159">
        <f t="shared" si="25"/>
        <v>24794.235695721323</v>
      </c>
      <c r="M89" s="159">
        <f t="shared" si="25"/>
        <v>24142.540207472117</v>
      </c>
      <c r="N89" s="159">
        <f t="shared" si="25"/>
        <v>25041.240056659342</v>
      </c>
      <c r="O89" s="159">
        <f t="shared" si="25"/>
        <v>24884.292325136423</v>
      </c>
    </row>
    <row r="90" spans="1:15">
      <c r="A90" s="133"/>
      <c r="B90" s="111"/>
      <c r="C90" s="111"/>
      <c r="D90" s="141"/>
      <c r="E90" s="141"/>
      <c r="F90" s="141"/>
      <c r="G90" s="141"/>
      <c r="H90" s="141"/>
      <c r="I90" s="141"/>
      <c r="J90" s="141"/>
      <c r="K90" s="141"/>
      <c r="L90" s="141"/>
      <c r="M90" s="141"/>
      <c r="N90" s="141"/>
      <c r="O90" s="141"/>
    </row>
    <row r="91" spans="1:15">
      <c r="B91" s="111" t="str">
        <f>B53</f>
        <v>Turnover (per accounts)</v>
      </c>
      <c r="C91" s="111"/>
      <c r="D91" s="159">
        <f t="shared" ref="D91:O91" si="26">D53*D$76</f>
        <v>37369.70979667284</v>
      </c>
      <c r="E91" s="159">
        <f t="shared" si="26"/>
        <v>38251.764342199858</v>
      </c>
      <c r="F91" s="159">
        <f t="shared" si="26"/>
        <v>37722.417331705954</v>
      </c>
      <c r="G91" s="159">
        <f t="shared" si="26"/>
        <v>37574.0570854455</v>
      </c>
      <c r="H91" s="159">
        <f t="shared" si="26"/>
        <v>38586.469527858986</v>
      </c>
      <c r="I91" s="159">
        <f t="shared" si="26"/>
        <v>41731.492426530887</v>
      </c>
      <c r="J91" s="159">
        <f t="shared" si="26"/>
        <v>34115.070889285118</v>
      </c>
      <c r="K91" s="159">
        <f t="shared" si="26"/>
        <v>47022.545766267314</v>
      </c>
      <c r="L91" s="159">
        <f t="shared" si="26"/>
        <v>46239.780169905738</v>
      </c>
      <c r="M91" s="159">
        <f t="shared" si="26"/>
        <v>53249.984478589817</v>
      </c>
      <c r="N91" s="159">
        <f t="shared" si="26"/>
        <v>52171.815782607089</v>
      </c>
      <c r="O91" s="159">
        <f t="shared" si="26"/>
        <v>53469.237580610883</v>
      </c>
    </row>
    <row r="92" spans="1:15">
      <c r="B92" s="111"/>
      <c r="C92" s="111"/>
      <c r="D92" s="141"/>
      <c r="E92" s="141"/>
      <c r="F92" s="141"/>
      <c r="G92" s="141"/>
      <c r="H92" s="141"/>
      <c r="I92" s="141"/>
      <c r="J92" s="141"/>
      <c r="K92" s="141"/>
      <c r="L92" s="141"/>
      <c r="M92" s="141"/>
      <c r="N92" s="141"/>
      <c r="O92" s="141"/>
    </row>
    <row r="93" spans="1:15">
      <c r="B93" s="138" t="s">
        <v>1321</v>
      </c>
      <c r="C93" s="111"/>
      <c r="D93" s="159">
        <f t="shared" ref="D93:O93" si="27">D55*D$76</f>
        <v>15118.841959334572</v>
      </c>
      <c r="E93" s="159">
        <f t="shared" si="27"/>
        <v>13616.00647016535</v>
      </c>
      <c r="F93" s="159">
        <f t="shared" si="27"/>
        <v>13580.01675898977</v>
      </c>
      <c r="G93" s="159">
        <f t="shared" si="27"/>
        <v>11322.423391332148</v>
      </c>
      <c r="H93" s="159">
        <f t="shared" si="27"/>
        <v>12922.28558774028</v>
      </c>
      <c r="I93" s="159">
        <f t="shared" si="27"/>
        <v>13450.829154619603</v>
      </c>
      <c r="J93" s="159">
        <f t="shared" si="27"/>
        <v>12774.554507717168</v>
      </c>
      <c r="K93" s="159">
        <f t="shared" si="27"/>
        <v>18664.48202831902</v>
      </c>
      <c r="L93" s="159">
        <f t="shared" si="27"/>
        <v>18080.281042709183</v>
      </c>
      <c r="M93" s="159">
        <f t="shared" si="27"/>
        <v>16751.830668434599</v>
      </c>
      <c r="N93" s="159">
        <f t="shared" si="27"/>
        <v>9244.885674879788</v>
      </c>
      <c r="O93" s="159">
        <f t="shared" si="27"/>
        <v>16169.037701084264</v>
      </c>
    </row>
    <row r="94" spans="1:15">
      <c r="B94" s="176"/>
      <c r="C94" s="111"/>
      <c r="D94" s="193"/>
      <c r="E94" s="193"/>
      <c r="F94" s="193"/>
      <c r="G94" s="193"/>
      <c r="H94" s="193"/>
      <c r="I94" s="193"/>
      <c r="J94" s="193"/>
      <c r="K94" s="193"/>
      <c r="L94" s="193"/>
      <c r="M94" s="193"/>
      <c r="N94" s="193"/>
      <c r="O94" s="193"/>
    </row>
    <row r="95" spans="1:15">
      <c r="B95" s="138" t="s">
        <v>1206</v>
      </c>
      <c r="C95" s="111"/>
      <c r="D95" s="162">
        <f>D93/D91</f>
        <v>0.40457477570994294</v>
      </c>
      <c r="E95" s="162">
        <f t="shared" ref="E95:O95" si="28">E93/E91</f>
        <v>0.35595760625200729</v>
      </c>
      <c r="F95" s="162">
        <f t="shared" si="28"/>
        <v>0.35999858226412418</v>
      </c>
      <c r="G95" s="162">
        <f t="shared" si="28"/>
        <v>0.30133619495984493</v>
      </c>
      <c r="H95" s="162">
        <f t="shared" si="28"/>
        <v>0.33489162770930725</v>
      </c>
      <c r="I95" s="162">
        <f t="shared" si="28"/>
        <v>0.32231843081816575</v>
      </c>
      <c r="J95" s="162">
        <f t="shared" si="28"/>
        <v>0.37445487213480794</v>
      </c>
      <c r="K95" s="162">
        <f t="shared" si="28"/>
        <v>0.39692623451511228</v>
      </c>
      <c r="L95" s="162">
        <f t="shared" si="28"/>
        <v>0.39101139703247079</v>
      </c>
      <c r="M95" s="162">
        <f t="shared" si="28"/>
        <v>0.31458846105711064</v>
      </c>
      <c r="N95" s="162">
        <f t="shared" si="28"/>
        <v>0.17720076512962435</v>
      </c>
      <c r="O95" s="162">
        <f t="shared" si="28"/>
        <v>0.30239888266047599</v>
      </c>
    </row>
    <row r="96" spans="1:15">
      <c r="B96" s="111"/>
      <c r="C96" s="111"/>
      <c r="D96" s="141"/>
      <c r="E96" s="141"/>
      <c r="F96" s="141"/>
      <c r="G96" s="141"/>
      <c r="H96" s="141"/>
      <c r="I96" s="141"/>
      <c r="J96" s="141"/>
      <c r="K96" s="141"/>
      <c r="L96" s="141"/>
      <c r="M96" s="141"/>
      <c r="N96" s="141"/>
    </row>
    <row r="97" spans="2:15">
      <c r="B97" s="153" t="s">
        <v>303</v>
      </c>
      <c r="C97" s="94"/>
      <c r="D97" s="94"/>
      <c r="E97" s="94"/>
      <c r="F97" s="94"/>
      <c r="G97" s="94"/>
      <c r="H97" s="94"/>
      <c r="I97" s="94"/>
      <c r="J97" s="94"/>
      <c r="K97" s="94"/>
      <c r="L97" s="94"/>
      <c r="M97" s="94"/>
      <c r="N97" s="94"/>
      <c r="O97" s="94"/>
    </row>
    <row r="98" spans="2:15">
      <c r="C98" s="111"/>
      <c r="D98" s="141"/>
      <c r="E98" s="141"/>
      <c r="F98" s="141"/>
      <c r="G98" s="141"/>
      <c r="H98" s="141"/>
      <c r="I98" s="141"/>
      <c r="J98" s="141"/>
      <c r="K98" s="141"/>
      <c r="L98" s="141"/>
      <c r="M98" s="141"/>
      <c r="N98" s="141"/>
    </row>
    <row r="99" spans="2:15">
      <c r="B99" s="90" t="s">
        <v>1127</v>
      </c>
      <c r="C99" s="111"/>
      <c r="D99" s="169">
        <f t="shared" ref="D99:O99" si="29">D87*1000/D59</f>
        <v>8.9497209555026256</v>
      </c>
      <c r="E99" s="169">
        <f t="shared" si="29"/>
        <v>9.8019801786203278</v>
      </c>
      <c r="F99" s="169">
        <f t="shared" si="29"/>
        <v>9.4673890183388618</v>
      </c>
      <c r="G99" s="169">
        <f t="shared" si="29"/>
        <v>10.414298117653756</v>
      </c>
      <c r="H99" s="169">
        <f t="shared" si="29"/>
        <v>9.7250019635022547</v>
      </c>
      <c r="I99" s="169">
        <f t="shared" si="29"/>
        <v>9.6621349783328903</v>
      </c>
      <c r="J99" s="169">
        <f t="shared" si="29"/>
        <v>8.6258231266970391</v>
      </c>
      <c r="K99" s="169">
        <f t="shared" si="29"/>
        <v>8.7340555024333995</v>
      </c>
      <c r="L99" s="169">
        <f t="shared" si="29"/>
        <v>8.7760934463461169</v>
      </c>
      <c r="M99" s="169">
        <f t="shared" si="29"/>
        <v>15.246613420549238</v>
      </c>
      <c r="N99" s="169">
        <f t="shared" si="29"/>
        <v>14.264285387201415</v>
      </c>
      <c r="O99" s="169">
        <f t="shared" si="29"/>
        <v>12.64051720447778</v>
      </c>
    </row>
    <row r="100" spans="2:15">
      <c r="B100" s="90" t="s">
        <v>299</v>
      </c>
      <c r="C100" s="111"/>
      <c r="D100" s="169">
        <f t="shared" ref="D100:O100" si="30">D85*1000/D59</f>
        <v>8.9497209555026256</v>
      </c>
      <c r="E100" s="169">
        <f t="shared" si="30"/>
        <v>9.8019801786203278</v>
      </c>
      <c r="F100" s="169">
        <f t="shared" si="30"/>
        <v>9.4673890183388618</v>
      </c>
      <c r="G100" s="169">
        <f t="shared" si="30"/>
        <v>10.414298117653756</v>
      </c>
      <c r="H100" s="169">
        <f t="shared" si="30"/>
        <v>9.5873995710351974</v>
      </c>
      <c r="I100" s="169">
        <f t="shared" si="30"/>
        <v>9.6621349783328903</v>
      </c>
      <c r="J100" s="169">
        <f t="shared" si="30"/>
        <v>8.5803610908004391</v>
      </c>
      <c r="K100" s="169">
        <f t="shared" si="30"/>
        <v>8.3133684744537888</v>
      </c>
      <c r="L100" s="169">
        <f t="shared" si="30"/>
        <v>8.5585043526350546</v>
      </c>
      <c r="M100" s="169">
        <f t="shared" si="30"/>
        <v>12.23213333168729</v>
      </c>
      <c r="N100" s="169">
        <f t="shared" si="30"/>
        <v>15.533587808944301</v>
      </c>
      <c r="O100" s="169">
        <f t="shared" si="30"/>
        <v>12.100338152202825</v>
      </c>
    </row>
    <row r="101" spans="2:15">
      <c r="B101" s="90" t="s">
        <v>300</v>
      </c>
      <c r="C101" s="111"/>
      <c r="D101" s="169">
        <f t="shared" ref="D101:O101" si="31">D89*1000/D59</f>
        <v>8.0196988974281656</v>
      </c>
      <c r="E101" s="169">
        <f t="shared" si="31"/>
        <v>8.8558892283124493</v>
      </c>
      <c r="F101" s="169">
        <f t="shared" si="31"/>
        <v>8.5367463031839943</v>
      </c>
      <c r="G101" s="169">
        <f t="shared" si="31"/>
        <v>9.2755003202172084</v>
      </c>
      <c r="H101" s="169">
        <f t="shared" si="31"/>
        <v>8.6350213683779273</v>
      </c>
      <c r="I101" s="169">
        <f t="shared" si="31"/>
        <v>8.6875232753902303</v>
      </c>
      <c r="J101" s="169">
        <f t="shared" si="31"/>
        <v>7.7826219977516766</v>
      </c>
      <c r="K101" s="169">
        <f t="shared" si="31"/>
        <v>7.4079987937418608</v>
      </c>
      <c r="L101" s="169">
        <f t="shared" si="31"/>
        <v>7.5357012979376936</v>
      </c>
      <c r="M101" s="169">
        <f t="shared" si="31"/>
        <v>8.0912248964563283</v>
      </c>
      <c r="N101" s="169">
        <f t="shared" si="31"/>
        <v>9.0614516409350863</v>
      </c>
      <c r="O101" s="169">
        <f t="shared" si="31"/>
        <v>8.0725667096944669</v>
      </c>
    </row>
    <row r="102" spans="2:15">
      <c r="B102" s="111" t="s">
        <v>265</v>
      </c>
      <c r="C102" s="111"/>
      <c r="D102" s="169">
        <f t="shared" ref="D102:O102" si="32">D78*1000/D59</f>
        <v>3.6342743335899463</v>
      </c>
      <c r="E102" s="169">
        <f t="shared" si="32"/>
        <v>3.9190541317001495</v>
      </c>
      <c r="F102" s="169">
        <f t="shared" si="32"/>
        <v>4.099546698476578</v>
      </c>
      <c r="G102" s="169">
        <f t="shared" si="32"/>
        <v>4.6635498383468592</v>
      </c>
      <c r="H102" s="169">
        <f t="shared" si="32"/>
        <v>4.342957701973968</v>
      </c>
      <c r="I102" s="169">
        <f t="shared" si="32"/>
        <v>4.2910629006338032</v>
      </c>
      <c r="J102" s="169">
        <f t="shared" si="32"/>
        <v>3.9236129717497383</v>
      </c>
      <c r="K102" s="169">
        <f t="shared" si="32"/>
        <v>3.7238717224520332</v>
      </c>
      <c r="L102" s="169">
        <f t="shared" si="32"/>
        <v>3.7520687239620263</v>
      </c>
      <c r="M102" s="169">
        <f t="shared" si="32"/>
        <v>3.8326854772687868</v>
      </c>
      <c r="N102" s="169">
        <f t="shared" si="32"/>
        <v>4.3027200737047089</v>
      </c>
      <c r="O102" s="169">
        <f t="shared" si="32"/>
        <v>3.9020570448880023</v>
      </c>
    </row>
    <row r="103" spans="2:15">
      <c r="B103" s="111" t="s">
        <v>1136</v>
      </c>
      <c r="C103" s="111"/>
      <c r="D103" s="140">
        <f t="shared" ref="D103:O103" si="33">D78*1000/D61</f>
        <v>41638.534204451578</v>
      </c>
      <c r="E103" s="140">
        <f t="shared" si="33"/>
        <v>48521.847815950307</v>
      </c>
      <c r="F103" s="140">
        <f t="shared" si="33"/>
        <v>47518.572519865833</v>
      </c>
      <c r="G103" s="140">
        <f t="shared" si="33"/>
        <v>50670.474069034819</v>
      </c>
      <c r="H103" s="140">
        <f t="shared" si="33"/>
        <v>49894.917647434544</v>
      </c>
      <c r="I103" s="140">
        <f t="shared" si="33"/>
        <v>54136.900368591872</v>
      </c>
      <c r="J103" s="140">
        <f t="shared" si="33"/>
        <v>40491.930076733552</v>
      </c>
      <c r="K103" s="140">
        <f t="shared" si="33"/>
        <v>49426.645086867815</v>
      </c>
      <c r="L103" s="140">
        <f t="shared" si="33"/>
        <v>50388.537102260903</v>
      </c>
      <c r="M103" s="140">
        <f t="shared" si="33"/>
        <v>47255.950819323407</v>
      </c>
      <c r="N103" s="140">
        <f t="shared" si="33"/>
        <v>49543.867496676248</v>
      </c>
      <c r="O103" s="140">
        <f t="shared" si="33"/>
        <v>50539.426450191742</v>
      </c>
    </row>
    <row r="104" spans="2:15">
      <c r="B104" s="111"/>
      <c r="C104" s="111"/>
      <c r="D104" s="141"/>
      <c r="E104" s="141"/>
      <c r="F104" s="141"/>
      <c r="G104" s="141"/>
      <c r="H104" s="141"/>
      <c r="I104" s="141"/>
      <c r="J104" s="141"/>
      <c r="K104" s="141"/>
      <c r="L104" s="141"/>
      <c r="M104" s="141"/>
      <c r="N104" s="141"/>
    </row>
    <row r="105" spans="2:15">
      <c r="B105" s="153" t="s">
        <v>163</v>
      </c>
      <c r="C105" s="94"/>
      <c r="D105" s="94"/>
      <c r="E105" s="94"/>
      <c r="F105" s="94"/>
      <c r="G105" s="94"/>
      <c r="H105" s="94"/>
      <c r="I105" s="94"/>
      <c r="J105" s="94"/>
      <c r="K105" s="94"/>
      <c r="L105" s="94"/>
      <c r="M105" s="94"/>
      <c r="N105" s="94"/>
      <c r="O105"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15.xml><?xml version="1.0" encoding="utf-8"?>
<worksheet xmlns="http://schemas.openxmlformats.org/spreadsheetml/2006/main" xmlns:r="http://schemas.openxmlformats.org/officeDocument/2006/relationships">
  <sheetPr>
    <pageSetUpPr autoPageBreaks="0" fitToPage="1"/>
  </sheetPr>
  <dimension ref="A1:P101"/>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73" sqref="A173:XFD173"/>
    </sheetView>
  </sheetViews>
  <sheetFormatPr defaultRowHeight="12.75" outlineLevelRow="2"/>
  <cols>
    <col min="1" max="1" width="3.140625" style="90" customWidth="1"/>
    <col min="2" max="2" width="62" style="90" customWidth="1"/>
    <col min="3" max="3" width="28.85546875" style="90" customWidth="1"/>
    <col min="4" max="14" width="15.7109375" style="90" customWidth="1"/>
    <col min="15" max="15" width="11.7109375" style="90" customWidth="1"/>
    <col min="16" max="16384" width="9.140625" style="90"/>
  </cols>
  <sheetData>
    <row r="1" spans="1:15" ht="12.75" customHeight="1">
      <c r="A1" s="145"/>
    </row>
    <row r="2" spans="1:15">
      <c r="B2" s="146" t="s">
        <v>134</v>
      </c>
      <c r="C2" s="91"/>
      <c r="D2" s="91"/>
      <c r="E2" s="147" t="str">
        <f>Info!$D$10</f>
        <v>Duncan Kernohan</v>
      </c>
      <c r="F2" s="91"/>
      <c r="G2" s="91"/>
      <c r="H2" s="91"/>
      <c r="I2" s="91"/>
      <c r="J2" s="91"/>
      <c r="K2" s="91"/>
      <c r="L2" s="91"/>
      <c r="M2" s="91"/>
      <c r="N2" s="91"/>
      <c r="O2" s="91"/>
    </row>
    <row r="3" spans="1:15">
      <c r="B3" s="148" t="s">
        <v>137</v>
      </c>
      <c r="C3" s="92"/>
      <c r="D3" s="92"/>
      <c r="E3" s="149" t="str">
        <f>Info!$D$11 &amp; " - " &amp; Info!$D$12</f>
        <v>Airport Opex Benchmarking 2013 - duncan.kernohan@caa.co.uk</v>
      </c>
      <c r="F3" s="92"/>
      <c r="G3" s="92"/>
      <c r="H3" s="92"/>
      <c r="I3" s="92"/>
      <c r="J3" s="92"/>
      <c r="K3" s="92"/>
      <c r="L3" s="92"/>
      <c r="M3" s="92"/>
      <c r="N3" s="92"/>
      <c r="O3" s="92"/>
    </row>
    <row r="4" spans="1:15">
      <c r="B4" s="148" t="s">
        <v>130</v>
      </c>
      <c r="C4" s="92"/>
      <c r="D4" s="92"/>
      <c r="E4" s="150">
        <f>Info!$D$16</f>
        <v>2.8</v>
      </c>
      <c r="F4" s="92"/>
      <c r="G4" s="92"/>
      <c r="H4" s="92"/>
      <c r="I4" s="92"/>
      <c r="J4" s="92"/>
      <c r="K4" s="92"/>
      <c r="L4" s="92"/>
      <c r="M4" s="92"/>
      <c r="N4" s="92"/>
      <c r="O4" s="92"/>
    </row>
    <row r="5" spans="1:15">
      <c r="B5" s="151" t="s">
        <v>138</v>
      </c>
      <c r="C5" s="93"/>
      <c r="D5" s="93"/>
      <c r="E5" s="152" t="str">
        <f ca="1">IF(CELL("filename",D1)="","",MID(CELL("filename",A1),FIND("]",CELL("filename",A1))+1,99))</f>
        <v>BIR</v>
      </c>
      <c r="F5" s="93"/>
      <c r="G5" s="93"/>
      <c r="H5" s="93"/>
      <c r="I5" s="93"/>
      <c r="J5" s="93"/>
      <c r="K5" s="93"/>
      <c r="L5" s="93"/>
      <c r="M5" s="93"/>
      <c r="N5" s="93"/>
      <c r="O5" s="93"/>
    </row>
    <row r="8" spans="1:15">
      <c r="B8" s="153" t="s">
        <v>1034</v>
      </c>
      <c r="C8" s="94"/>
      <c r="D8" s="94"/>
      <c r="E8" s="94"/>
      <c r="F8" s="94"/>
      <c r="G8" s="94"/>
      <c r="H8" s="94"/>
      <c r="I8" s="94"/>
      <c r="J8" s="94"/>
      <c r="K8" s="94"/>
      <c r="L8" s="94"/>
      <c r="M8" s="94"/>
      <c r="N8" s="94"/>
      <c r="O8" s="94"/>
    </row>
    <row r="10" spans="1:15">
      <c r="B10" s="138" t="s">
        <v>143</v>
      </c>
      <c r="C10" s="138"/>
      <c r="D10" s="90" t="s">
        <v>270</v>
      </c>
    </row>
    <row r="11" spans="1:15">
      <c r="B11" s="138"/>
      <c r="C11" s="138"/>
      <c r="D11" s="138"/>
    </row>
    <row r="12" spans="1:15">
      <c r="B12" s="153" t="s">
        <v>193</v>
      </c>
      <c r="C12" s="94"/>
      <c r="D12" s="94"/>
      <c r="E12" s="94"/>
      <c r="F12" s="94"/>
      <c r="G12" s="94"/>
      <c r="H12" s="94"/>
      <c r="I12" s="94"/>
      <c r="J12" s="94"/>
      <c r="K12" s="94"/>
      <c r="L12" s="94"/>
      <c r="M12" s="94"/>
      <c r="N12" s="94"/>
      <c r="O12" s="94"/>
    </row>
    <row r="13" spans="1:15">
      <c r="B13" s="138"/>
      <c r="C13" s="138"/>
      <c r="D13" s="138"/>
    </row>
    <row r="14" spans="1:15">
      <c r="B14" s="101" t="s">
        <v>167</v>
      </c>
      <c r="C14" s="101"/>
    </row>
    <row r="15" spans="1:15" s="133" customFormat="1">
      <c r="B15" s="138" t="s">
        <v>271</v>
      </c>
      <c r="C15" s="138"/>
      <c r="D15" s="154" t="s">
        <v>109</v>
      </c>
      <c r="E15" s="154" t="s">
        <v>110</v>
      </c>
      <c r="F15" s="154" t="s">
        <v>111</v>
      </c>
      <c r="G15" s="154" t="s">
        <v>22</v>
      </c>
      <c r="H15" s="154" t="s">
        <v>23</v>
      </c>
      <c r="I15" s="154" t="s">
        <v>24</v>
      </c>
      <c r="J15" s="154" t="s">
        <v>25</v>
      </c>
      <c r="K15" s="154" t="s">
        <v>26</v>
      </c>
      <c r="L15" s="154" t="s">
        <v>27</v>
      </c>
      <c r="M15" s="154" t="s">
        <v>28</v>
      </c>
      <c r="N15" s="154" t="s">
        <v>29</v>
      </c>
      <c r="O15" s="154" t="s">
        <v>247</v>
      </c>
    </row>
    <row r="16" spans="1:15"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row>
    <row r="17" spans="2:15" s="133" customFormat="1">
      <c r="B17" s="138" t="s">
        <v>164</v>
      </c>
      <c r="C17" s="138"/>
      <c r="D17" s="154" t="s">
        <v>160</v>
      </c>
      <c r="E17" s="154" t="s">
        <v>160</v>
      </c>
      <c r="F17" s="154" t="s">
        <v>160</v>
      </c>
      <c r="G17" s="154" t="s">
        <v>160</v>
      </c>
      <c r="H17" s="154" t="s">
        <v>160</v>
      </c>
      <c r="I17" s="154" t="s">
        <v>160</v>
      </c>
      <c r="J17" s="154" t="s">
        <v>160</v>
      </c>
      <c r="K17" s="154" t="s">
        <v>160</v>
      </c>
      <c r="L17" s="154" t="s">
        <v>160</v>
      </c>
      <c r="M17" s="154" t="s">
        <v>160</v>
      </c>
      <c r="N17" s="154" t="s">
        <v>160</v>
      </c>
      <c r="O17" s="154" t="s">
        <v>1049</v>
      </c>
    </row>
    <row r="18" spans="2:15" s="133" customFormat="1">
      <c r="B18" s="138"/>
      <c r="C18" s="138"/>
      <c r="D18" s="154"/>
      <c r="E18" s="154"/>
      <c r="F18" s="154"/>
      <c r="G18" s="154"/>
      <c r="H18" s="154"/>
      <c r="I18" s="154"/>
      <c r="J18" s="154"/>
      <c r="K18" s="154"/>
      <c r="L18" s="154"/>
      <c r="M18" s="154"/>
      <c r="N18" s="154"/>
      <c r="O18" s="154"/>
    </row>
    <row r="19" spans="2:15">
      <c r="B19" s="106" t="s">
        <v>1314</v>
      </c>
      <c r="C19" s="106" t="s">
        <v>1315</v>
      </c>
      <c r="E19" s="133"/>
      <c r="F19" s="133"/>
      <c r="G19" s="133"/>
      <c r="H19" s="133"/>
      <c r="I19" s="133"/>
      <c r="J19" s="133"/>
      <c r="K19" s="133"/>
      <c r="L19" s="133"/>
      <c r="M19" s="133"/>
      <c r="N19" s="133"/>
      <c r="O19" s="133"/>
    </row>
    <row r="20" spans="2:15" hidden="1" outlineLevel="2">
      <c r="B20" s="90" t="s">
        <v>240</v>
      </c>
      <c r="C20" s="138" t="s">
        <v>165</v>
      </c>
      <c r="D20" s="141">
        <v>17626</v>
      </c>
      <c r="E20" s="141">
        <v>18587</v>
      </c>
      <c r="F20" s="141">
        <v>18433</v>
      </c>
      <c r="G20" s="141">
        <v>19116</v>
      </c>
      <c r="H20" s="141">
        <v>21553</v>
      </c>
      <c r="I20" s="141">
        <v>17960</v>
      </c>
      <c r="J20" s="141">
        <v>20818</v>
      </c>
      <c r="K20" s="141">
        <v>18688</v>
      </c>
      <c r="L20" s="141">
        <v>19745</v>
      </c>
      <c r="M20" s="141">
        <v>19502</v>
      </c>
      <c r="N20" s="141">
        <v>17889</v>
      </c>
      <c r="O20" s="141">
        <v>16725</v>
      </c>
    </row>
    <row r="21" spans="2:15" hidden="1" outlineLevel="2">
      <c r="B21" s="90" t="s">
        <v>240</v>
      </c>
      <c r="C21" s="138" t="s">
        <v>166</v>
      </c>
      <c r="D21" s="141">
        <v>1203</v>
      </c>
      <c r="E21" s="141">
        <v>1209</v>
      </c>
      <c r="F21" s="141">
        <v>1117</v>
      </c>
      <c r="G21" s="141">
        <v>1315</v>
      </c>
      <c r="H21" s="141">
        <v>1442</v>
      </c>
      <c r="I21" s="141">
        <v>1457</v>
      </c>
      <c r="J21" s="141">
        <v>1536</v>
      </c>
      <c r="K21" s="141">
        <v>1650</v>
      </c>
      <c r="L21" s="141">
        <v>1599</v>
      </c>
      <c r="M21" s="141">
        <v>1732</v>
      </c>
      <c r="N21" s="141">
        <v>1562</v>
      </c>
      <c r="O21" s="141">
        <v>1685</v>
      </c>
    </row>
    <row r="22" spans="2:15" hidden="1" outlineLevel="2">
      <c r="B22" s="90" t="s">
        <v>240</v>
      </c>
      <c r="C22" s="138" t="s">
        <v>189</v>
      </c>
      <c r="D22" s="141">
        <v>2131</v>
      </c>
      <c r="E22" s="141">
        <v>2354</v>
      </c>
      <c r="F22" s="141">
        <v>2907</v>
      </c>
      <c r="G22" s="141">
        <v>2699</v>
      </c>
      <c r="H22" s="141">
        <v>3835</v>
      </c>
      <c r="I22" s="141">
        <v>2982</v>
      </c>
      <c r="J22" s="141">
        <v>5050</v>
      </c>
      <c r="K22" s="141">
        <v>2494</v>
      </c>
      <c r="L22" s="141">
        <v>2432</v>
      </c>
      <c r="M22" s="141">
        <v>2130</v>
      </c>
      <c r="N22" s="141">
        <v>1364</v>
      </c>
      <c r="O22" s="141">
        <v>1472</v>
      </c>
    </row>
    <row r="23" spans="2:15" outlineLevel="1" collapsed="1">
      <c r="B23" s="173" t="s">
        <v>287</v>
      </c>
      <c r="C23" s="138"/>
      <c r="D23" s="159">
        <f t="shared" ref="D23:N23" si="0">SUBTOTAL(9,D20:D22)</f>
        <v>20960</v>
      </c>
      <c r="E23" s="159">
        <f t="shared" si="0"/>
        <v>22150</v>
      </c>
      <c r="F23" s="159">
        <f t="shared" si="0"/>
        <v>22457</v>
      </c>
      <c r="G23" s="159">
        <f t="shared" si="0"/>
        <v>23130</v>
      </c>
      <c r="H23" s="159">
        <f t="shared" si="0"/>
        <v>26830</v>
      </c>
      <c r="I23" s="159">
        <f t="shared" si="0"/>
        <v>22399</v>
      </c>
      <c r="J23" s="159">
        <f t="shared" si="0"/>
        <v>27404</v>
      </c>
      <c r="K23" s="159">
        <f t="shared" si="0"/>
        <v>22832</v>
      </c>
      <c r="L23" s="159">
        <f t="shared" si="0"/>
        <v>23776</v>
      </c>
      <c r="M23" s="159">
        <f t="shared" si="0"/>
        <v>23364</v>
      </c>
      <c r="N23" s="159">
        <f t="shared" si="0"/>
        <v>20815</v>
      </c>
      <c r="O23" s="159">
        <f>SUBTOTAL(9,O20:O22)</f>
        <v>19882</v>
      </c>
    </row>
    <row r="24" spans="2:15" s="134" customFormat="1" outlineLevel="1">
      <c r="B24" s="177"/>
      <c r="C24" s="177"/>
      <c r="D24" s="161"/>
      <c r="E24" s="161"/>
      <c r="F24" s="161"/>
      <c r="G24" s="161"/>
      <c r="H24" s="161"/>
      <c r="I24" s="161"/>
      <c r="J24" s="161"/>
      <c r="K24" s="161"/>
      <c r="L24" s="161"/>
      <c r="M24" s="161"/>
      <c r="N24" s="161"/>
      <c r="O24" s="161"/>
    </row>
    <row r="25" spans="2:15" s="133" customFormat="1" hidden="1" outlineLevel="2">
      <c r="B25" s="138" t="s">
        <v>30</v>
      </c>
      <c r="C25" s="138" t="s">
        <v>170</v>
      </c>
      <c r="D25" s="141">
        <v>12591</v>
      </c>
      <c r="E25" s="141">
        <v>14640</v>
      </c>
      <c r="F25" s="141">
        <v>14943</v>
      </c>
      <c r="G25" s="141">
        <v>15838</v>
      </c>
      <c r="H25" s="141">
        <v>16552</v>
      </c>
      <c r="I25" s="141">
        <v>16260</v>
      </c>
      <c r="J25" s="141">
        <v>19527</v>
      </c>
      <c r="K25" s="141">
        <v>20231</v>
      </c>
      <c r="L25" s="141">
        <v>20576</v>
      </c>
      <c r="M25" s="141">
        <v>21877</v>
      </c>
      <c r="N25" s="141">
        <v>22240</v>
      </c>
      <c r="O25" s="141">
        <v>22818</v>
      </c>
    </row>
    <row r="26" spans="2:15" s="133" customFormat="1" hidden="1" outlineLevel="2">
      <c r="B26" s="138" t="s">
        <v>30</v>
      </c>
      <c r="C26" s="138" t="s">
        <v>171</v>
      </c>
      <c r="D26" s="141">
        <v>448</v>
      </c>
      <c r="E26" s="141">
        <v>431</v>
      </c>
      <c r="F26" s="141">
        <v>463</v>
      </c>
      <c r="G26" s="141">
        <v>252</v>
      </c>
      <c r="H26" s="141">
        <v>241</v>
      </c>
      <c r="I26" s="141">
        <v>252</v>
      </c>
      <c r="J26" s="141">
        <v>337</v>
      </c>
      <c r="K26" s="141">
        <v>337</v>
      </c>
      <c r="L26" s="141">
        <v>337</v>
      </c>
      <c r="M26" s="141">
        <v>336</v>
      </c>
      <c r="N26" s="141">
        <v>336</v>
      </c>
      <c r="O26" s="141">
        <v>0</v>
      </c>
    </row>
    <row r="27" spans="2:15" s="133" customFormat="1" hidden="1" outlineLevel="2">
      <c r="B27" s="138" t="s">
        <v>30</v>
      </c>
      <c r="C27" s="138" t="s">
        <v>192</v>
      </c>
      <c r="D27" s="141">
        <v>0</v>
      </c>
      <c r="E27" s="141">
        <v>0</v>
      </c>
      <c r="F27" s="141">
        <v>0</v>
      </c>
      <c r="G27" s="141">
        <v>0</v>
      </c>
      <c r="H27" s="141">
        <v>0</v>
      </c>
      <c r="I27" s="141">
        <v>0</v>
      </c>
      <c r="J27" s="141">
        <v>0</v>
      </c>
      <c r="K27" s="141">
        <v>0</v>
      </c>
      <c r="L27" s="141">
        <v>0</v>
      </c>
      <c r="M27" s="141">
        <v>-169</v>
      </c>
      <c r="N27" s="141">
        <v>0</v>
      </c>
      <c r="O27" s="141">
        <v>0</v>
      </c>
    </row>
    <row r="28" spans="2:15" s="133" customFormat="1" outlineLevel="1" collapsed="1">
      <c r="B28" s="70" t="s">
        <v>288</v>
      </c>
      <c r="C28" s="138"/>
      <c r="D28" s="159">
        <f t="shared" ref="D28:N28" si="1">SUBTOTAL(9,D25:D27)</f>
        <v>13039</v>
      </c>
      <c r="E28" s="159">
        <f t="shared" si="1"/>
        <v>15071</v>
      </c>
      <c r="F28" s="159">
        <f t="shared" si="1"/>
        <v>15406</v>
      </c>
      <c r="G28" s="159">
        <f t="shared" si="1"/>
        <v>16090</v>
      </c>
      <c r="H28" s="159">
        <f t="shared" si="1"/>
        <v>16793</v>
      </c>
      <c r="I28" s="159">
        <f t="shared" si="1"/>
        <v>16512</v>
      </c>
      <c r="J28" s="159">
        <f t="shared" si="1"/>
        <v>19864</v>
      </c>
      <c r="K28" s="159">
        <f t="shared" si="1"/>
        <v>20568</v>
      </c>
      <c r="L28" s="159">
        <f t="shared" si="1"/>
        <v>20913</v>
      </c>
      <c r="M28" s="159">
        <f t="shared" si="1"/>
        <v>22044</v>
      </c>
      <c r="N28" s="159">
        <f t="shared" si="1"/>
        <v>22576</v>
      </c>
      <c r="O28" s="159">
        <f>SUBTOTAL(9,O25:O27)</f>
        <v>22818</v>
      </c>
    </row>
    <row r="29" spans="2:15" s="134" customFormat="1" outlineLevel="1">
      <c r="B29" s="168"/>
      <c r="C29" s="168"/>
      <c r="D29" s="161"/>
      <c r="E29" s="161"/>
      <c r="F29" s="161"/>
      <c r="G29" s="161"/>
      <c r="H29" s="161"/>
      <c r="I29" s="161"/>
      <c r="J29" s="161"/>
      <c r="K29" s="161"/>
      <c r="L29" s="161"/>
      <c r="M29" s="161"/>
      <c r="N29" s="161"/>
      <c r="O29" s="161"/>
    </row>
    <row r="30" spans="2:15" s="133" customFormat="1" hidden="1" outlineLevel="2">
      <c r="B30" s="133" t="s">
        <v>256</v>
      </c>
      <c r="C30" s="138" t="s">
        <v>199</v>
      </c>
      <c r="D30" s="141">
        <v>0</v>
      </c>
      <c r="E30" s="141">
        <v>0</v>
      </c>
      <c r="F30" s="141">
        <v>0</v>
      </c>
      <c r="G30" s="141">
        <v>0</v>
      </c>
      <c r="H30" s="141">
        <v>2242</v>
      </c>
      <c r="I30" s="141">
        <v>0</v>
      </c>
      <c r="J30" s="141">
        <v>3505</v>
      </c>
      <c r="K30" s="141">
        <v>0</v>
      </c>
      <c r="L30" s="141">
        <v>0</v>
      </c>
      <c r="M30" s="141">
        <v>0</v>
      </c>
      <c r="N30" s="141">
        <v>0</v>
      </c>
      <c r="O30" s="141">
        <v>0</v>
      </c>
    </row>
    <row r="31" spans="2:15" hidden="1" outlineLevel="2">
      <c r="B31" s="133" t="s">
        <v>256</v>
      </c>
      <c r="C31" s="138" t="s">
        <v>178</v>
      </c>
      <c r="D31" s="141">
        <v>70</v>
      </c>
      <c r="E31" s="141">
        <v>75</v>
      </c>
      <c r="F31" s="141">
        <v>93</v>
      </c>
      <c r="G31" s="141">
        <v>55</v>
      </c>
      <c r="H31" s="141">
        <v>136</v>
      </c>
      <c r="I31" s="141">
        <v>251</v>
      </c>
      <c r="J31" s="141">
        <v>111</v>
      </c>
      <c r="K31" s="141">
        <v>45</v>
      </c>
      <c r="L31" s="141">
        <v>80</v>
      </c>
      <c r="M31" s="141">
        <v>89</v>
      </c>
      <c r="N31" s="141">
        <v>-83</v>
      </c>
      <c r="O31" s="141">
        <v>-14</v>
      </c>
    </row>
    <row r="32" spans="2:15" outlineLevel="1" collapsed="1">
      <c r="B32" s="106" t="s">
        <v>289</v>
      </c>
      <c r="C32" s="138"/>
      <c r="D32" s="159">
        <f t="shared" ref="D32:N32" si="2">SUBTOTAL(9,D30:D31)</f>
        <v>70</v>
      </c>
      <c r="E32" s="159">
        <f t="shared" si="2"/>
        <v>75</v>
      </c>
      <c r="F32" s="159">
        <f t="shared" si="2"/>
        <v>93</v>
      </c>
      <c r="G32" s="159">
        <f t="shared" si="2"/>
        <v>55</v>
      </c>
      <c r="H32" s="159">
        <f t="shared" si="2"/>
        <v>2378</v>
      </c>
      <c r="I32" s="159">
        <f t="shared" si="2"/>
        <v>251</v>
      </c>
      <c r="J32" s="159">
        <f t="shared" si="2"/>
        <v>3616</v>
      </c>
      <c r="K32" s="159">
        <f t="shared" si="2"/>
        <v>45</v>
      </c>
      <c r="L32" s="159">
        <f t="shared" si="2"/>
        <v>80</v>
      </c>
      <c r="M32" s="159">
        <f t="shared" si="2"/>
        <v>89</v>
      </c>
      <c r="N32" s="159">
        <f t="shared" si="2"/>
        <v>-83</v>
      </c>
      <c r="O32" s="159">
        <f>SUBTOTAL(9,O30:O31)</f>
        <v>-14</v>
      </c>
    </row>
    <row r="33" spans="1:16" s="134" customFormat="1" outlineLevel="1">
      <c r="B33" s="168"/>
      <c r="C33" s="168"/>
      <c r="D33" s="161"/>
      <c r="E33" s="161"/>
      <c r="F33" s="161"/>
      <c r="G33" s="161"/>
      <c r="H33" s="161"/>
      <c r="I33" s="161"/>
      <c r="J33" s="161"/>
      <c r="K33" s="161"/>
      <c r="L33" s="161"/>
      <c r="M33" s="161"/>
      <c r="N33" s="161"/>
      <c r="O33" s="161"/>
    </row>
    <row r="34" spans="1:16" s="30" customFormat="1" hidden="1" outlineLevel="2">
      <c r="B34" s="138" t="s">
        <v>172</v>
      </c>
      <c r="C34" s="138" t="s">
        <v>172</v>
      </c>
      <c r="D34" s="141">
        <v>0</v>
      </c>
      <c r="E34" s="141">
        <v>0</v>
      </c>
      <c r="F34" s="141">
        <v>0</v>
      </c>
      <c r="G34" s="141">
        <v>0</v>
      </c>
      <c r="H34" s="141">
        <v>0</v>
      </c>
      <c r="I34" s="141">
        <v>0</v>
      </c>
      <c r="J34" s="141">
        <v>0</v>
      </c>
      <c r="K34" s="141">
        <v>0</v>
      </c>
      <c r="L34" s="141">
        <v>0</v>
      </c>
      <c r="M34" s="141">
        <v>-2871</v>
      </c>
      <c r="N34" s="141">
        <v>-559</v>
      </c>
      <c r="O34" s="141">
        <v>683</v>
      </c>
    </row>
    <row r="35" spans="1:16" s="30" customFormat="1" outlineLevel="1" collapsed="1">
      <c r="B35" s="70" t="s">
        <v>290</v>
      </c>
      <c r="C35" s="138"/>
      <c r="D35" s="159">
        <f t="shared" ref="D35:N35" si="3">SUBTOTAL(9,D34:D34)</f>
        <v>0</v>
      </c>
      <c r="E35" s="159">
        <f t="shared" si="3"/>
        <v>0</v>
      </c>
      <c r="F35" s="159">
        <f t="shared" si="3"/>
        <v>0</v>
      </c>
      <c r="G35" s="159">
        <f t="shared" si="3"/>
        <v>0</v>
      </c>
      <c r="H35" s="159">
        <f t="shared" si="3"/>
        <v>0</v>
      </c>
      <c r="I35" s="159">
        <f t="shared" si="3"/>
        <v>0</v>
      </c>
      <c r="J35" s="159">
        <f t="shared" si="3"/>
        <v>0</v>
      </c>
      <c r="K35" s="159">
        <f t="shared" si="3"/>
        <v>0</v>
      </c>
      <c r="L35" s="159">
        <f t="shared" si="3"/>
        <v>0</v>
      </c>
      <c r="M35" s="159">
        <f t="shared" si="3"/>
        <v>-2871</v>
      </c>
      <c r="N35" s="159">
        <f t="shared" si="3"/>
        <v>-559</v>
      </c>
      <c r="O35" s="159">
        <f>SUBTOTAL(9,O34:O34)</f>
        <v>683</v>
      </c>
    </row>
    <row r="36" spans="1:16" s="122" customFormat="1" outlineLevel="1">
      <c r="B36" s="178"/>
      <c r="C36" s="168"/>
      <c r="D36" s="161"/>
      <c r="E36" s="161"/>
      <c r="F36" s="161"/>
      <c r="G36" s="161"/>
      <c r="H36" s="161"/>
      <c r="I36" s="161"/>
      <c r="J36" s="161"/>
      <c r="K36" s="161"/>
      <c r="L36" s="161"/>
      <c r="M36" s="161"/>
      <c r="N36" s="161"/>
      <c r="O36" s="161"/>
    </row>
    <row r="37" spans="1:16" s="30" customFormat="1">
      <c r="B37" s="70" t="s">
        <v>286</v>
      </c>
      <c r="C37" s="138"/>
      <c r="D37" s="159">
        <f>SUBTOTAL(9,D20:D35)</f>
        <v>34069</v>
      </c>
      <c r="E37" s="159">
        <f t="shared" ref="E37:O37" si="4">SUBTOTAL(9,E20:E35)</f>
        <v>37296</v>
      </c>
      <c r="F37" s="159">
        <f t="shared" si="4"/>
        <v>37956</v>
      </c>
      <c r="G37" s="159">
        <f t="shared" si="4"/>
        <v>39275</v>
      </c>
      <c r="H37" s="159">
        <f t="shared" si="4"/>
        <v>46001</v>
      </c>
      <c r="I37" s="159">
        <f t="shared" si="4"/>
        <v>39162</v>
      </c>
      <c r="J37" s="159">
        <f t="shared" si="4"/>
        <v>50884</v>
      </c>
      <c r="K37" s="159">
        <f t="shared" si="4"/>
        <v>43445</v>
      </c>
      <c r="L37" s="159">
        <f t="shared" si="4"/>
        <v>44769</v>
      </c>
      <c r="M37" s="159">
        <f t="shared" si="4"/>
        <v>42626</v>
      </c>
      <c r="N37" s="159">
        <f>SUBTOTAL(9,N20:N35)</f>
        <v>42749</v>
      </c>
      <c r="O37" s="159">
        <f t="shared" si="4"/>
        <v>43369</v>
      </c>
      <c r="P37" s="79"/>
    </row>
    <row r="38" spans="1:16" s="106" customFormat="1">
      <c r="B38" s="138"/>
      <c r="C38" s="138"/>
      <c r="D38" s="141"/>
      <c r="E38" s="141"/>
      <c r="F38" s="141"/>
      <c r="G38" s="141"/>
      <c r="H38" s="141"/>
      <c r="I38" s="141"/>
      <c r="J38" s="141"/>
      <c r="K38" s="141"/>
      <c r="L38" s="141"/>
      <c r="M38" s="141"/>
      <c r="N38" s="141"/>
      <c r="O38" s="141"/>
    </row>
    <row r="39" spans="1:16" s="30" customFormat="1">
      <c r="B39" s="138" t="s">
        <v>1123</v>
      </c>
      <c r="C39" s="138"/>
      <c r="D39" s="159">
        <f>D41-D23-D28-D32</f>
        <v>29932</v>
      </c>
      <c r="E39" s="159">
        <f t="shared" ref="E39:M39" si="5">E41-E23-E28-E32</f>
        <v>31329</v>
      </c>
      <c r="F39" s="159">
        <f t="shared" si="5"/>
        <v>32398</v>
      </c>
      <c r="G39" s="159">
        <f t="shared" si="5"/>
        <v>32955</v>
      </c>
      <c r="H39" s="159">
        <f t="shared" si="5"/>
        <v>29988</v>
      </c>
      <c r="I39" s="159">
        <f t="shared" si="5"/>
        <v>36470</v>
      </c>
      <c r="J39" s="159">
        <f t="shared" si="5"/>
        <v>35338</v>
      </c>
      <c r="K39" s="159">
        <f t="shared" si="5"/>
        <v>42444</v>
      </c>
      <c r="L39" s="159">
        <f t="shared" si="5"/>
        <v>41706</v>
      </c>
      <c r="M39" s="159">
        <f t="shared" si="5"/>
        <v>42460</v>
      </c>
      <c r="N39" s="159">
        <f>N41-N23-N28-N32</f>
        <v>42117</v>
      </c>
      <c r="O39" s="159">
        <f>O41-O23-O28-O32</f>
        <v>38178</v>
      </c>
    </row>
    <row r="40" spans="1:16" s="122" customFormat="1">
      <c r="B40" s="168"/>
      <c r="C40" s="168"/>
      <c r="D40" s="161"/>
      <c r="E40" s="161"/>
      <c r="F40" s="161"/>
      <c r="G40" s="161"/>
      <c r="H40" s="161"/>
      <c r="I40" s="161"/>
      <c r="J40" s="161"/>
      <c r="K40" s="161"/>
      <c r="L40" s="161"/>
      <c r="M40" s="161"/>
      <c r="N40" s="161"/>
      <c r="O40" s="161"/>
    </row>
    <row r="41" spans="1:16" s="30" customFormat="1">
      <c r="B41" s="138" t="s">
        <v>1316</v>
      </c>
      <c r="C41" s="138"/>
      <c r="D41" s="141">
        <v>64001</v>
      </c>
      <c r="E41" s="141">
        <v>68625</v>
      </c>
      <c r="F41" s="141">
        <v>70354</v>
      </c>
      <c r="G41" s="141">
        <v>72230</v>
      </c>
      <c r="H41" s="141">
        <v>75989</v>
      </c>
      <c r="I41" s="141">
        <v>75632</v>
      </c>
      <c r="J41" s="141">
        <v>86222</v>
      </c>
      <c r="K41" s="141">
        <v>85889</v>
      </c>
      <c r="L41" s="141">
        <v>86475</v>
      </c>
      <c r="M41" s="141">
        <v>87957</v>
      </c>
      <c r="N41" s="141">
        <v>85425</v>
      </c>
      <c r="O41" s="141">
        <v>80864</v>
      </c>
    </row>
    <row r="42" spans="1:16" s="122" customFormat="1">
      <c r="B42" s="168"/>
      <c r="C42" s="168"/>
      <c r="D42" s="161"/>
      <c r="E42" s="161"/>
      <c r="F42" s="161"/>
      <c r="G42" s="161"/>
      <c r="H42" s="161"/>
      <c r="I42" s="161"/>
      <c r="J42" s="161"/>
      <c r="K42" s="161"/>
      <c r="L42" s="161"/>
      <c r="M42" s="161"/>
      <c r="N42" s="161"/>
      <c r="O42" s="161"/>
    </row>
    <row r="43" spans="1:16" s="30" customFormat="1">
      <c r="B43" s="138" t="s">
        <v>1317</v>
      </c>
      <c r="C43" s="138"/>
      <c r="D43" s="159">
        <f t="shared" ref="D43:N43" si="6">D41+D35</f>
        <v>64001</v>
      </c>
      <c r="E43" s="159">
        <f t="shared" si="6"/>
        <v>68625</v>
      </c>
      <c r="F43" s="159">
        <f t="shared" si="6"/>
        <v>70354</v>
      </c>
      <c r="G43" s="159">
        <f t="shared" si="6"/>
        <v>72230</v>
      </c>
      <c r="H43" s="159">
        <f t="shared" si="6"/>
        <v>75989</v>
      </c>
      <c r="I43" s="159">
        <f t="shared" si="6"/>
        <v>75632</v>
      </c>
      <c r="J43" s="159">
        <f t="shared" si="6"/>
        <v>86222</v>
      </c>
      <c r="K43" s="159">
        <f t="shared" si="6"/>
        <v>85889</v>
      </c>
      <c r="L43" s="159">
        <f t="shared" si="6"/>
        <v>86475</v>
      </c>
      <c r="M43" s="159">
        <f t="shared" si="6"/>
        <v>85086</v>
      </c>
      <c r="N43" s="159">
        <f t="shared" si="6"/>
        <v>84866</v>
      </c>
      <c r="O43" s="159">
        <f>O41+O35</f>
        <v>81547</v>
      </c>
    </row>
    <row r="44" spans="1:16" s="106" customFormat="1">
      <c r="B44" s="138"/>
      <c r="C44" s="138"/>
      <c r="D44" s="141"/>
      <c r="E44" s="141"/>
      <c r="F44" s="141"/>
      <c r="G44" s="141"/>
      <c r="H44" s="141"/>
      <c r="I44" s="141"/>
      <c r="J44" s="141"/>
      <c r="K44" s="141"/>
      <c r="L44" s="141"/>
      <c r="M44" s="141"/>
      <c r="N44" s="141"/>
      <c r="O44" s="141"/>
    </row>
    <row r="45" spans="1:16" s="106" customFormat="1">
      <c r="B45" s="138" t="s">
        <v>1146</v>
      </c>
      <c r="C45" s="138"/>
      <c r="D45" s="140">
        <f>D37*Parameters!C21</f>
        <v>266.59570332640931</v>
      </c>
      <c r="E45" s="140">
        <f>E37*Parameters!D21</f>
        <v>306.42655116781287</v>
      </c>
      <c r="F45" s="140">
        <f>F37*Parameters!E21</f>
        <v>215.60728775895444</v>
      </c>
      <c r="G45" s="140">
        <f>G37*Parameters!F21</f>
        <v>104.81933898365095</v>
      </c>
      <c r="H45" s="140">
        <f>H37*Parameters!G21</f>
        <v>125.6724353310249</v>
      </c>
      <c r="I45" s="140">
        <f>I37*Parameters!H21</f>
        <v>181.71421127540273</v>
      </c>
      <c r="J45" s="140">
        <f>J37*Parameters!I21</f>
        <v>572.18009661129929</v>
      </c>
      <c r="K45" s="140">
        <f>K37*Parameters!J21</f>
        <v>751.65689680121181</v>
      </c>
      <c r="L45" s="140">
        <f>L37*Parameters!K21</f>
        <v>887.42132402171069</v>
      </c>
      <c r="M45" s="140">
        <f>M37*Parameters!L21</f>
        <v>1319.2264796104857</v>
      </c>
      <c r="N45" s="140">
        <f>N37*Parameters!M21</f>
        <v>1568.2615207087761</v>
      </c>
      <c r="O45" s="140">
        <f>O37*Parameters!N21</f>
        <v>1347.236507675326</v>
      </c>
    </row>
    <row r="46" spans="1:16" s="106" customFormat="1">
      <c r="B46" s="138"/>
      <c r="C46" s="138"/>
      <c r="D46" s="141"/>
      <c r="E46" s="141"/>
      <c r="F46" s="141"/>
      <c r="G46" s="141"/>
      <c r="H46" s="141"/>
      <c r="I46" s="141"/>
      <c r="J46" s="141"/>
      <c r="K46" s="141"/>
      <c r="L46" s="141"/>
      <c r="M46" s="141"/>
      <c r="N46" s="141"/>
      <c r="O46" s="141"/>
    </row>
    <row r="47" spans="1:16" s="30" customFormat="1">
      <c r="A47" s="122"/>
      <c r="B47" s="138" t="s">
        <v>1131</v>
      </c>
      <c r="C47" s="138"/>
      <c r="D47" s="159">
        <f>D41-D28-D45</f>
        <v>50695.404296673594</v>
      </c>
      <c r="E47" s="159">
        <f t="shared" ref="E47:O47" si="7">E41-E28-E45</f>
        <v>53247.57344883219</v>
      </c>
      <c r="F47" s="159">
        <f t="shared" si="7"/>
        <v>54732.392712241046</v>
      </c>
      <c r="G47" s="159">
        <f t="shared" si="7"/>
        <v>56035.180661016348</v>
      </c>
      <c r="H47" s="159">
        <f t="shared" si="7"/>
        <v>59070.327564668973</v>
      </c>
      <c r="I47" s="159">
        <f t="shared" si="7"/>
        <v>58938.285788724599</v>
      </c>
      <c r="J47" s="159">
        <f t="shared" si="7"/>
        <v>65785.819903388707</v>
      </c>
      <c r="K47" s="159">
        <f t="shared" si="7"/>
        <v>64569.343103198786</v>
      </c>
      <c r="L47" s="159">
        <f t="shared" si="7"/>
        <v>64674.578675978286</v>
      </c>
      <c r="M47" s="159">
        <f t="shared" si="7"/>
        <v>64593.773520389514</v>
      </c>
      <c r="N47" s="159">
        <f t="shared" si="7"/>
        <v>61280.738479291227</v>
      </c>
      <c r="O47" s="159">
        <f t="shared" si="7"/>
        <v>56698.763492324673</v>
      </c>
    </row>
    <row r="48" spans="1:16" s="106" customFormat="1">
      <c r="B48" s="138"/>
      <c r="C48" s="138"/>
      <c r="D48" s="141"/>
      <c r="E48" s="141"/>
      <c r="F48" s="141"/>
      <c r="G48" s="141"/>
      <c r="H48" s="141"/>
      <c r="I48" s="141"/>
      <c r="J48" s="141"/>
      <c r="K48" s="141"/>
      <c r="L48" s="141"/>
      <c r="M48" s="141"/>
      <c r="N48" s="141"/>
      <c r="O48" s="141"/>
    </row>
    <row r="49" spans="2:15" s="133" customFormat="1">
      <c r="B49" s="138" t="s">
        <v>292</v>
      </c>
      <c r="C49" s="138"/>
      <c r="D49" s="141">
        <v>94475</v>
      </c>
      <c r="E49" s="141">
        <v>97625</v>
      </c>
      <c r="F49" s="141">
        <v>101245</v>
      </c>
      <c r="G49" s="141">
        <v>109570</v>
      </c>
      <c r="H49" s="141">
        <v>110195</v>
      </c>
      <c r="I49" s="141">
        <v>111109</v>
      </c>
      <c r="J49" s="141">
        <v>109129</v>
      </c>
      <c r="K49" s="141">
        <v>109951</v>
      </c>
      <c r="L49" s="141">
        <v>107661</v>
      </c>
      <c r="M49" s="141">
        <v>104127</v>
      </c>
      <c r="N49" s="141">
        <v>103275</v>
      </c>
      <c r="O49" s="141">
        <v>104037</v>
      </c>
    </row>
    <row r="50" spans="2:15" s="133" customFormat="1">
      <c r="B50" s="138"/>
      <c r="C50" s="138"/>
      <c r="D50" s="141"/>
      <c r="E50" s="141"/>
      <c r="F50" s="141"/>
      <c r="G50" s="141"/>
      <c r="H50" s="141"/>
      <c r="I50" s="141"/>
      <c r="J50" s="141"/>
      <c r="K50" s="141"/>
      <c r="L50" s="141"/>
      <c r="M50" s="141"/>
      <c r="N50" s="141"/>
      <c r="O50" s="141"/>
    </row>
    <row r="51" spans="2:15">
      <c r="B51" s="138" t="s">
        <v>1321</v>
      </c>
      <c r="C51" s="138"/>
      <c r="D51" s="159">
        <f t="shared" ref="D51:O51" si="8">D49-D41</f>
        <v>30474</v>
      </c>
      <c r="E51" s="159">
        <f t="shared" si="8"/>
        <v>29000</v>
      </c>
      <c r="F51" s="159">
        <f t="shared" si="8"/>
        <v>30891</v>
      </c>
      <c r="G51" s="159">
        <f t="shared" si="8"/>
        <v>37340</v>
      </c>
      <c r="H51" s="159">
        <f t="shared" si="8"/>
        <v>34206</v>
      </c>
      <c r="I51" s="159">
        <f t="shared" si="8"/>
        <v>35477</v>
      </c>
      <c r="J51" s="159">
        <f t="shared" si="8"/>
        <v>22907</v>
      </c>
      <c r="K51" s="159">
        <f t="shared" si="8"/>
        <v>24062</v>
      </c>
      <c r="L51" s="159">
        <f t="shared" si="8"/>
        <v>21186</v>
      </c>
      <c r="M51" s="159">
        <f t="shared" si="8"/>
        <v>16170</v>
      </c>
      <c r="N51" s="159">
        <f t="shared" si="8"/>
        <v>17850</v>
      </c>
      <c r="O51" s="159">
        <f t="shared" si="8"/>
        <v>23173</v>
      </c>
    </row>
    <row r="52" spans="2:15" s="179" customFormat="1">
      <c r="B52" s="176"/>
      <c r="C52" s="176"/>
      <c r="D52" s="160"/>
      <c r="E52" s="160"/>
      <c r="F52" s="160"/>
      <c r="G52" s="160"/>
      <c r="H52" s="160"/>
      <c r="I52" s="160"/>
      <c r="J52" s="160"/>
      <c r="K52" s="160"/>
      <c r="L52" s="160"/>
      <c r="M52" s="160"/>
      <c r="N52" s="160"/>
      <c r="O52" s="160"/>
    </row>
    <row r="53" spans="2:15">
      <c r="B53" s="138" t="s">
        <v>1206</v>
      </c>
      <c r="C53" s="138"/>
      <c r="D53" s="162">
        <f>D51/D49</f>
        <v>0.32256152421275469</v>
      </c>
      <c r="E53" s="162">
        <f t="shared" ref="E53:N53" si="9">E51/E49</f>
        <v>0.29705505761843792</v>
      </c>
      <c r="F53" s="162">
        <f t="shared" si="9"/>
        <v>0.30511136352412466</v>
      </c>
      <c r="G53" s="162">
        <f t="shared" si="9"/>
        <v>0.34078671169115632</v>
      </c>
      <c r="H53" s="162">
        <f t="shared" si="9"/>
        <v>0.31041335813784654</v>
      </c>
      <c r="I53" s="162">
        <f t="shared" si="9"/>
        <v>0.31929906668226699</v>
      </c>
      <c r="J53" s="162">
        <f t="shared" si="9"/>
        <v>0.20990754061706787</v>
      </c>
      <c r="K53" s="162">
        <f t="shared" si="9"/>
        <v>0.2188429391274295</v>
      </c>
      <c r="L53" s="162">
        <f t="shared" si="9"/>
        <v>0.19678435087914845</v>
      </c>
      <c r="M53" s="162">
        <f t="shared" si="9"/>
        <v>0.15529113486415627</v>
      </c>
      <c r="N53" s="162">
        <f t="shared" si="9"/>
        <v>0.1728395061728395</v>
      </c>
      <c r="O53" s="162">
        <f>O51/O49</f>
        <v>0.22273806434249355</v>
      </c>
    </row>
    <row r="54" spans="2:15">
      <c r="B54" s="154"/>
      <c r="C54" s="154"/>
      <c r="D54" s="141"/>
      <c r="E54" s="141"/>
      <c r="F54" s="141"/>
      <c r="G54" s="141"/>
      <c r="H54" s="141"/>
      <c r="I54" s="141"/>
      <c r="J54" s="141"/>
      <c r="K54" s="141"/>
      <c r="L54" s="141"/>
      <c r="M54" s="141"/>
      <c r="N54" s="141"/>
      <c r="O54" s="141"/>
    </row>
    <row r="55" spans="2:15">
      <c r="B55" s="90" t="s">
        <v>228</v>
      </c>
      <c r="D55" s="95">
        <f>'UK Analysis'!C65</f>
        <v>7609661</v>
      </c>
      <c r="E55" s="95">
        <f>'UK Analysis'!D65</f>
        <v>7657480</v>
      </c>
      <c r="F55" s="95">
        <f>'UK Analysis'!E65</f>
        <v>8136060</v>
      </c>
      <c r="G55" s="95">
        <f>'UK Analysis'!F65</f>
        <v>9058177</v>
      </c>
      <c r="H55" s="95">
        <f>'UK Analysis'!G65</f>
        <v>8766972</v>
      </c>
      <c r="I55" s="95">
        <f>'UK Analysis'!H65</f>
        <v>9379136</v>
      </c>
      <c r="J55" s="95">
        <f>'UK Analysis'!I65</f>
        <v>9038805</v>
      </c>
      <c r="K55" s="95">
        <f>'UK Analysis'!J65</f>
        <v>9251340</v>
      </c>
      <c r="L55" s="95">
        <f>'UK Analysis'!K65</f>
        <v>9477197</v>
      </c>
      <c r="M55" s="95">
        <f>'UK Analysis'!L65</f>
        <v>9002237</v>
      </c>
      <c r="N55" s="95">
        <f>'UK Analysis'!M65</f>
        <v>8513165</v>
      </c>
      <c r="O55" s="95">
        <v>8599112</v>
      </c>
    </row>
    <row r="56" spans="2:15">
      <c r="B56" s="90" t="s">
        <v>264</v>
      </c>
      <c r="D56" s="95">
        <f>'UK Analysis'!C81</f>
        <v>109968</v>
      </c>
      <c r="E56" s="95">
        <f>'UK Analysis'!D81</f>
        <v>109322</v>
      </c>
      <c r="F56" s="95">
        <f>'UK Analysis'!E81</f>
        <v>115186</v>
      </c>
      <c r="G56" s="95">
        <f>'UK Analysis'!F81</f>
        <v>116138</v>
      </c>
      <c r="H56" s="95">
        <f>'UK Analysis'!G81</f>
        <v>107259</v>
      </c>
      <c r="I56" s="95">
        <f>'UK Analysis'!H81</f>
        <v>112960</v>
      </c>
      <c r="J56" s="95">
        <f>'UK Analysis'!I81</f>
        <v>107900</v>
      </c>
      <c r="K56" s="95">
        <f>'UK Analysis'!J81</f>
        <v>103670</v>
      </c>
      <c r="L56" s="95">
        <f>'UK Analysis'!K81</f>
        <v>101496</v>
      </c>
      <c r="M56" s="95">
        <f>'UK Analysis'!L81</f>
        <v>91337</v>
      </c>
      <c r="N56" s="95">
        <f>'UK Analysis'!M81</f>
        <v>84160</v>
      </c>
      <c r="O56" s="95"/>
    </row>
    <row r="57" spans="2:15">
      <c r="B57" s="111" t="s">
        <v>210</v>
      </c>
      <c r="C57" s="111"/>
      <c r="D57" s="140">
        <v>697</v>
      </c>
      <c r="E57" s="140">
        <v>703</v>
      </c>
      <c r="F57" s="140">
        <v>685</v>
      </c>
      <c r="G57" s="140">
        <v>689</v>
      </c>
      <c r="H57" s="140">
        <v>691</v>
      </c>
      <c r="I57" s="140">
        <v>645</v>
      </c>
      <c r="J57" s="140">
        <v>626</v>
      </c>
      <c r="K57" s="140">
        <v>675</v>
      </c>
      <c r="L57" s="140">
        <v>695</v>
      </c>
      <c r="M57" s="140">
        <v>641</v>
      </c>
      <c r="N57" s="140">
        <v>566</v>
      </c>
      <c r="O57" s="140">
        <v>537</v>
      </c>
    </row>
    <row r="58" spans="2:15">
      <c r="B58" s="154"/>
      <c r="C58" s="154"/>
      <c r="D58" s="141"/>
      <c r="E58" s="141"/>
      <c r="F58" s="141"/>
      <c r="G58" s="141"/>
      <c r="H58" s="141"/>
      <c r="I58" s="141"/>
      <c r="J58" s="141"/>
      <c r="K58" s="141"/>
      <c r="L58" s="141"/>
      <c r="M58" s="141"/>
      <c r="N58" s="141"/>
    </row>
    <row r="59" spans="2:15">
      <c r="B59" s="153" t="s">
        <v>302</v>
      </c>
      <c r="C59" s="94"/>
      <c r="D59" s="94"/>
      <c r="E59" s="94"/>
      <c r="F59" s="94"/>
      <c r="G59" s="94"/>
      <c r="H59" s="94"/>
      <c r="I59" s="94"/>
      <c r="J59" s="94"/>
      <c r="K59" s="94"/>
      <c r="L59" s="94"/>
      <c r="M59" s="94"/>
      <c r="N59" s="94"/>
      <c r="O59" s="94"/>
    </row>
    <row r="61" spans="2:15">
      <c r="B61" s="90" t="s">
        <v>1127</v>
      </c>
      <c r="D61" s="192">
        <f t="shared" ref="D61:O61" si="10">(D43/D55)*1000</f>
        <v>8.410492924717671</v>
      </c>
      <c r="E61" s="192">
        <f t="shared" si="10"/>
        <v>8.9618255614118496</v>
      </c>
      <c r="F61" s="192">
        <f t="shared" si="10"/>
        <v>8.6471830345400598</v>
      </c>
      <c r="G61" s="192">
        <f t="shared" si="10"/>
        <v>7.9740106646182776</v>
      </c>
      <c r="H61" s="192">
        <f t="shared" si="10"/>
        <v>8.6676448835470232</v>
      </c>
      <c r="I61" s="192">
        <f t="shared" si="10"/>
        <v>8.0638557752014695</v>
      </c>
      <c r="J61" s="192">
        <f t="shared" si="10"/>
        <v>9.5390928336212575</v>
      </c>
      <c r="K61" s="192">
        <f t="shared" si="10"/>
        <v>9.2839523787905325</v>
      </c>
      <c r="L61" s="192">
        <f t="shared" si="10"/>
        <v>9.1245333403958995</v>
      </c>
      <c r="M61" s="192">
        <f t="shared" si="10"/>
        <v>9.4516507396994776</v>
      </c>
      <c r="N61" s="192">
        <f t="shared" si="10"/>
        <v>9.9687953892588705</v>
      </c>
      <c r="O61" s="192">
        <f t="shared" si="10"/>
        <v>9.48318849667268</v>
      </c>
    </row>
    <row r="62" spans="2:15">
      <c r="B62" s="90" t="s">
        <v>299</v>
      </c>
      <c r="D62" s="192">
        <f t="shared" ref="D62:O62" si="11">(D41/D55)*1000</f>
        <v>8.410492924717671</v>
      </c>
      <c r="E62" s="192">
        <f t="shared" si="11"/>
        <v>8.9618255614118496</v>
      </c>
      <c r="F62" s="192">
        <f t="shared" si="11"/>
        <v>8.6471830345400598</v>
      </c>
      <c r="G62" s="192">
        <f t="shared" si="11"/>
        <v>7.9740106646182776</v>
      </c>
      <c r="H62" s="192">
        <f t="shared" si="11"/>
        <v>8.6676448835470232</v>
      </c>
      <c r="I62" s="192">
        <f t="shared" si="11"/>
        <v>8.0638557752014695</v>
      </c>
      <c r="J62" s="192">
        <f t="shared" si="11"/>
        <v>9.5390928336212575</v>
      </c>
      <c r="K62" s="192">
        <f t="shared" si="11"/>
        <v>9.2839523787905325</v>
      </c>
      <c r="L62" s="192">
        <f t="shared" si="11"/>
        <v>9.1245333403958995</v>
      </c>
      <c r="M62" s="192">
        <f t="shared" si="11"/>
        <v>9.7705714701801352</v>
      </c>
      <c r="N62" s="192">
        <f t="shared" si="11"/>
        <v>10.034458394733335</v>
      </c>
      <c r="O62" s="192">
        <f t="shared" si="11"/>
        <v>9.4037616907420212</v>
      </c>
    </row>
    <row r="63" spans="2:15">
      <c r="B63" s="90" t="s">
        <v>300</v>
      </c>
      <c r="D63" s="192">
        <f t="shared" ref="D63:O63" si="12">(D47/D55)*1000</f>
        <v>6.6619793308366289</v>
      </c>
      <c r="E63" s="192">
        <f t="shared" si="12"/>
        <v>6.9536679754739401</v>
      </c>
      <c r="F63" s="192">
        <f t="shared" si="12"/>
        <v>6.7271373013769615</v>
      </c>
      <c r="G63" s="192">
        <f t="shared" si="12"/>
        <v>6.1861432671293954</v>
      </c>
      <c r="H63" s="192">
        <f t="shared" si="12"/>
        <v>6.7378255074464679</v>
      </c>
      <c r="I63" s="192">
        <f t="shared" si="12"/>
        <v>6.2839781605389451</v>
      </c>
      <c r="J63" s="192">
        <f t="shared" si="12"/>
        <v>7.2781545683736626</v>
      </c>
      <c r="K63" s="192">
        <f t="shared" si="12"/>
        <v>6.9794584463654763</v>
      </c>
      <c r="L63" s="192">
        <f t="shared" si="12"/>
        <v>6.8242306956348262</v>
      </c>
      <c r="M63" s="192">
        <f t="shared" si="12"/>
        <v>7.175302485414405</v>
      </c>
      <c r="N63" s="192">
        <f t="shared" si="12"/>
        <v>7.1983496712786881</v>
      </c>
      <c r="O63" s="192">
        <f t="shared" si="12"/>
        <v>6.5935602992872608</v>
      </c>
    </row>
    <row r="64" spans="2:15">
      <c r="B64" s="90" t="s">
        <v>265</v>
      </c>
      <c r="D64" s="192">
        <f t="shared" ref="D64:O64" si="13">D23*1000/D55</f>
        <v>2.7543933954482336</v>
      </c>
      <c r="E64" s="192">
        <f t="shared" si="13"/>
        <v>2.8925965200039698</v>
      </c>
      <c r="F64" s="192">
        <f t="shared" si="13"/>
        <v>2.7601812179359544</v>
      </c>
      <c r="G64" s="192">
        <f t="shared" si="13"/>
        <v>2.5534939315052023</v>
      </c>
      <c r="H64" s="192">
        <f t="shared" si="13"/>
        <v>3.0603496851592547</v>
      </c>
      <c r="I64" s="192">
        <f t="shared" si="13"/>
        <v>2.3881730683935065</v>
      </c>
      <c r="J64" s="192">
        <f t="shared" si="13"/>
        <v>3.0318167058587946</v>
      </c>
      <c r="K64" s="192">
        <f t="shared" si="13"/>
        <v>2.4679668026469681</v>
      </c>
      <c r="L64" s="192">
        <f t="shared" si="13"/>
        <v>2.5087586551171195</v>
      </c>
      <c r="M64" s="192">
        <f t="shared" si="13"/>
        <v>2.5953549101184517</v>
      </c>
      <c r="N64" s="192">
        <f t="shared" si="13"/>
        <v>2.4450365991966558</v>
      </c>
      <c r="O64" s="192">
        <f t="shared" si="13"/>
        <v>2.3120992028014054</v>
      </c>
    </row>
    <row r="65" spans="2:15">
      <c r="B65" s="111" t="s">
        <v>1136</v>
      </c>
      <c r="C65" s="111"/>
      <c r="D65" s="140">
        <f t="shared" ref="D65:O65" si="14">D23/D57*1000</f>
        <v>30071.736011477762</v>
      </c>
      <c r="E65" s="140">
        <f t="shared" si="14"/>
        <v>31507.82361308677</v>
      </c>
      <c r="F65" s="140">
        <f t="shared" si="14"/>
        <v>32783.94160583942</v>
      </c>
      <c r="G65" s="140">
        <f t="shared" si="14"/>
        <v>33570.391872278662</v>
      </c>
      <c r="H65" s="140">
        <f t="shared" si="14"/>
        <v>38827.785817655575</v>
      </c>
      <c r="I65" s="140">
        <f t="shared" si="14"/>
        <v>34727.131782945733</v>
      </c>
      <c r="J65" s="140">
        <f t="shared" si="14"/>
        <v>43776.357827476044</v>
      </c>
      <c r="K65" s="140">
        <f t="shared" si="14"/>
        <v>33825.185185185182</v>
      </c>
      <c r="L65" s="140">
        <f t="shared" si="14"/>
        <v>34210.07194244604</v>
      </c>
      <c r="M65" s="140">
        <f t="shared" si="14"/>
        <v>36449.297971918873</v>
      </c>
      <c r="N65" s="140">
        <f t="shared" si="14"/>
        <v>36775.618374558304</v>
      </c>
      <c r="O65" s="140">
        <f t="shared" si="14"/>
        <v>37024.208566108005</v>
      </c>
    </row>
    <row r="66" spans="2:15">
      <c r="B66" s="111" t="s">
        <v>1135</v>
      </c>
      <c r="C66" s="111"/>
      <c r="D66" s="140">
        <f t="shared" ref="D66:N66" si="15">D55/D57</f>
        <v>10917.734576757532</v>
      </c>
      <c r="E66" s="140">
        <f t="shared" si="15"/>
        <v>10892.574679943102</v>
      </c>
      <c r="F66" s="140">
        <f t="shared" si="15"/>
        <v>11877.459854014598</v>
      </c>
      <c r="G66" s="140">
        <f t="shared" si="15"/>
        <v>13146.846153846154</v>
      </c>
      <c r="H66" s="140">
        <f t="shared" si="15"/>
        <v>12687.369030390739</v>
      </c>
      <c r="I66" s="140">
        <f t="shared" si="15"/>
        <v>14541.296124031007</v>
      </c>
      <c r="J66" s="140">
        <f t="shared" si="15"/>
        <v>14438.985623003195</v>
      </c>
      <c r="K66" s="140">
        <f t="shared" si="15"/>
        <v>13705.68888888889</v>
      </c>
      <c r="L66" s="140">
        <f t="shared" si="15"/>
        <v>13636.254676258994</v>
      </c>
      <c r="M66" s="140">
        <f t="shared" si="15"/>
        <v>14044.051482059282</v>
      </c>
      <c r="N66" s="140">
        <f t="shared" si="15"/>
        <v>15040.927561837456</v>
      </c>
      <c r="O66" s="140">
        <f>O55/O57</f>
        <v>16013.243947858473</v>
      </c>
    </row>
    <row r="67" spans="2:15">
      <c r="B67" s="111"/>
      <c r="C67" s="111"/>
      <c r="D67" s="141"/>
      <c r="E67" s="141"/>
      <c r="F67" s="141"/>
      <c r="G67" s="141"/>
      <c r="H67" s="141"/>
      <c r="I67" s="141"/>
      <c r="J67" s="141"/>
      <c r="K67" s="141"/>
      <c r="L67" s="141"/>
      <c r="M67" s="141"/>
      <c r="N67" s="141"/>
    </row>
    <row r="68" spans="2:15">
      <c r="B68" s="153" t="s">
        <v>307</v>
      </c>
      <c r="C68" s="94"/>
      <c r="D68" s="94"/>
      <c r="E68" s="94"/>
      <c r="F68" s="94"/>
      <c r="G68" s="94"/>
      <c r="H68" s="94"/>
      <c r="I68" s="94"/>
      <c r="J68" s="94"/>
      <c r="K68" s="94"/>
      <c r="L68" s="94"/>
      <c r="M68" s="94"/>
      <c r="N68" s="94"/>
      <c r="O68" s="94"/>
    </row>
    <row r="69" spans="2:15">
      <c r="B69" s="111"/>
      <c r="C69" s="111"/>
      <c r="D69" s="141"/>
      <c r="E69" s="141"/>
      <c r="F69" s="141"/>
      <c r="G69" s="141"/>
      <c r="H69" s="141"/>
      <c r="I69" s="141"/>
      <c r="J69" s="141"/>
      <c r="K69" s="141"/>
      <c r="L69" s="141"/>
      <c r="M69" s="141"/>
      <c r="N69" s="141"/>
    </row>
    <row r="70" spans="2:15">
      <c r="B70" s="138" t="s">
        <v>21</v>
      </c>
      <c r="D70" s="213">
        <f>VLOOKUP(D15,RPI!$B$54:$C$107,2,FALSE)</f>
        <v>171.31666666666663</v>
      </c>
      <c r="E70" s="213">
        <f>VLOOKUP(E15,RPI!$B$54:$C$107,2,FALSE)</f>
        <v>173.875</v>
      </c>
      <c r="F70" s="213">
        <f>VLOOKUP(F15,RPI!$B$54:$C$107,2,FALSE)</f>
        <v>177.51666666666665</v>
      </c>
      <c r="G70" s="213">
        <f>VLOOKUP(G15,RPI!$B$54:$C$107,2,FALSE)</f>
        <v>182.47499999999999</v>
      </c>
      <c r="H70" s="213">
        <f>VLOOKUP(H15,RPI!$B$54:$C$107,2,FALSE)</f>
        <v>188.15</v>
      </c>
      <c r="I70" s="213">
        <f>VLOOKUP(I15,RPI!$B$54:$C$107,2,FALSE)</f>
        <v>193.10833333333332</v>
      </c>
      <c r="J70" s="213">
        <f>VLOOKUP(J15,RPI!$B$54:$C$107,2,FALSE)</f>
        <v>200.31666666666669</v>
      </c>
      <c r="K70" s="213">
        <f>VLOOKUP(K15,RPI!$B$54:$C$107,2,FALSE)</f>
        <v>208.5916666666667</v>
      </c>
      <c r="L70" s="213">
        <f>VLOOKUP(L15,RPI!$B$54:$C$107,2,FALSE)</f>
        <v>214.78333333333339</v>
      </c>
      <c r="M70" s="213">
        <f>VLOOKUP(M15,RPI!$B$54:$C$107,2,FALSE)</f>
        <v>215.76666666666665</v>
      </c>
      <c r="N70" s="213">
        <f>VLOOKUP(N15,RPI!$B$54:$C$107,2,FALSE)</f>
        <v>226.47499999999999</v>
      </c>
      <c r="O70" s="213">
        <f>VLOOKUP(O15,RPI!$B$54:$C$107,2,FALSE)</f>
        <v>237.3416666666667</v>
      </c>
    </row>
    <row r="71" spans="2:15">
      <c r="B71" s="138" t="s">
        <v>1048</v>
      </c>
      <c r="D71" s="214">
        <f>RPI!$R$44</f>
        <v>237.3416666666667</v>
      </c>
      <c r="E71" s="214">
        <f>RPI!$R$44</f>
        <v>237.3416666666667</v>
      </c>
      <c r="F71" s="214">
        <f>RPI!$R$44</f>
        <v>237.3416666666667</v>
      </c>
      <c r="G71" s="214">
        <f>RPI!$R$44</f>
        <v>237.3416666666667</v>
      </c>
      <c r="H71" s="214">
        <f>RPI!$R$44</f>
        <v>237.3416666666667</v>
      </c>
      <c r="I71" s="214">
        <f>RPI!$R$44</f>
        <v>237.3416666666667</v>
      </c>
      <c r="J71" s="214">
        <f>RPI!$R$44</f>
        <v>237.3416666666667</v>
      </c>
      <c r="K71" s="214">
        <f>RPI!$R$44</f>
        <v>237.3416666666667</v>
      </c>
      <c r="L71" s="214">
        <f>RPI!$R$44</f>
        <v>237.3416666666667</v>
      </c>
      <c r="M71" s="214">
        <f>RPI!$R$44</f>
        <v>237.3416666666667</v>
      </c>
      <c r="N71" s="214">
        <f>RPI!$R$44</f>
        <v>237.3416666666667</v>
      </c>
      <c r="O71" s="214">
        <f>RPI!$R$44</f>
        <v>237.3416666666667</v>
      </c>
    </row>
    <row r="72" spans="2:15">
      <c r="B72" s="138" t="s">
        <v>304</v>
      </c>
      <c r="D72" s="214">
        <f>D71/D70</f>
        <v>1.3853974121996309</v>
      </c>
      <c r="E72" s="214">
        <f t="shared" ref="E72:O72" si="16">E71/E70</f>
        <v>1.3650131799664511</v>
      </c>
      <c r="F72" s="214">
        <f t="shared" si="16"/>
        <v>1.3370106093324574</v>
      </c>
      <c r="G72" s="214">
        <f t="shared" si="16"/>
        <v>1.3006804585102985</v>
      </c>
      <c r="H72" s="214">
        <f t="shared" si="16"/>
        <v>1.2614491983346623</v>
      </c>
      <c r="I72" s="214">
        <f t="shared" si="16"/>
        <v>1.229059681525914</v>
      </c>
      <c r="J72" s="214">
        <f t="shared" si="16"/>
        <v>1.1848323487810966</v>
      </c>
      <c r="K72" s="214">
        <f t="shared" si="16"/>
        <v>1.1378290919260117</v>
      </c>
      <c r="L72" s="214">
        <f t="shared" si="16"/>
        <v>1.1050283231163187</v>
      </c>
      <c r="M72" s="214">
        <f t="shared" si="16"/>
        <v>1.0999922756063651</v>
      </c>
      <c r="N72" s="214">
        <f t="shared" si="16"/>
        <v>1.0479817492732828</v>
      </c>
      <c r="O72" s="214">
        <f t="shared" si="16"/>
        <v>1</v>
      </c>
    </row>
    <row r="73" spans="2:15">
      <c r="B73" s="111"/>
      <c r="C73" s="111"/>
      <c r="D73" s="141"/>
      <c r="E73" s="141"/>
      <c r="F73" s="141"/>
      <c r="G73" s="141"/>
      <c r="H73" s="141"/>
      <c r="I73" s="141"/>
      <c r="J73" s="141"/>
      <c r="K73" s="141"/>
      <c r="L73" s="141"/>
      <c r="M73" s="141"/>
      <c r="N73" s="141"/>
      <c r="O73" s="141"/>
    </row>
    <row r="74" spans="2:15">
      <c r="B74" s="111" t="str">
        <f>B23</f>
        <v>Staff Costs Total</v>
      </c>
      <c r="C74" s="111"/>
      <c r="D74" s="159">
        <f t="shared" ref="D74:O74" si="17">D23*D$72</f>
        <v>29037.929759704264</v>
      </c>
      <c r="E74" s="159">
        <f t="shared" si="17"/>
        <v>30235.041936256894</v>
      </c>
      <c r="F74" s="159">
        <f t="shared" si="17"/>
        <v>30025.247253778994</v>
      </c>
      <c r="G74" s="159">
        <f t="shared" si="17"/>
        <v>30084.739005343203</v>
      </c>
      <c r="H74" s="159">
        <f t="shared" si="17"/>
        <v>33844.68199131899</v>
      </c>
      <c r="I74" s="159">
        <f t="shared" si="17"/>
        <v>27529.707806498947</v>
      </c>
      <c r="J74" s="159">
        <f t="shared" si="17"/>
        <v>32469.145685997169</v>
      </c>
      <c r="K74" s="159">
        <f t="shared" si="17"/>
        <v>25978.913826854699</v>
      </c>
      <c r="L74" s="159">
        <f t="shared" si="17"/>
        <v>26273.153410413594</v>
      </c>
      <c r="M74" s="159">
        <f t="shared" si="17"/>
        <v>25700.219527267116</v>
      </c>
      <c r="N74" s="159">
        <f t="shared" si="17"/>
        <v>21813.740111123381</v>
      </c>
      <c r="O74" s="159">
        <f t="shared" si="17"/>
        <v>19882</v>
      </c>
    </row>
    <row r="75" spans="2:15">
      <c r="B75" s="111" t="str">
        <f>B28</f>
        <v>Depreciation Total</v>
      </c>
      <c r="C75" s="111"/>
      <c r="D75" s="159">
        <f t="shared" ref="D75:O75" si="18">D28*D$72</f>
        <v>18064.196857670988</v>
      </c>
      <c r="E75" s="159">
        <f t="shared" si="18"/>
        <v>20572.113635274385</v>
      </c>
      <c r="F75" s="159">
        <f t="shared" si="18"/>
        <v>20597.985447375839</v>
      </c>
      <c r="G75" s="159">
        <f t="shared" si="18"/>
        <v>20927.948577430703</v>
      </c>
      <c r="H75" s="159">
        <f t="shared" si="18"/>
        <v>21183.516387633983</v>
      </c>
      <c r="I75" s="159">
        <f t="shared" si="18"/>
        <v>20294.233461355892</v>
      </c>
      <c r="J75" s="159">
        <f t="shared" si="18"/>
        <v>23535.5097761877</v>
      </c>
      <c r="K75" s="159">
        <f t="shared" si="18"/>
        <v>23402.868762734208</v>
      </c>
      <c r="L75" s="159">
        <f t="shared" si="18"/>
        <v>23109.457321331574</v>
      </c>
      <c r="M75" s="159">
        <f t="shared" si="18"/>
        <v>24248.229723466713</v>
      </c>
      <c r="N75" s="159">
        <f t="shared" si="18"/>
        <v>23659.235971593633</v>
      </c>
      <c r="O75" s="159">
        <f t="shared" si="18"/>
        <v>22818</v>
      </c>
    </row>
    <row r="76" spans="2:15">
      <c r="B76" s="111" t="str">
        <f>B32</f>
        <v>Other Costs Total</v>
      </c>
      <c r="C76" s="111"/>
      <c r="D76" s="159">
        <f t="shared" ref="D76:O76" si="19">D32*D$72</f>
        <v>96.977818853974156</v>
      </c>
      <c r="E76" s="159">
        <f t="shared" si="19"/>
        <v>102.37598849748383</v>
      </c>
      <c r="F76" s="159">
        <f t="shared" si="19"/>
        <v>124.34198666791853</v>
      </c>
      <c r="G76" s="159">
        <f t="shared" si="19"/>
        <v>71.537425218066417</v>
      </c>
      <c r="H76" s="159">
        <f t="shared" si="19"/>
        <v>2999.7261936398268</v>
      </c>
      <c r="I76" s="159">
        <f t="shared" si="19"/>
        <v>308.49398006300441</v>
      </c>
      <c r="J76" s="159">
        <f t="shared" si="19"/>
        <v>4284.3537731924453</v>
      </c>
      <c r="K76" s="159">
        <f t="shared" si="19"/>
        <v>51.202309136670522</v>
      </c>
      <c r="L76" s="159">
        <f t="shared" si="19"/>
        <v>88.402265849305493</v>
      </c>
      <c r="M76" s="159">
        <f t="shared" si="19"/>
        <v>97.899312528966504</v>
      </c>
      <c r="N76" s="159">
        <f t="shared" si="19"/>
        <v>-86.982485189682478</v>
      </c>
      <c r="O76" s="159">
        <f t="shared" si="19"/>
        <v>-14</v>
      </c>
    </row>
    <row r="77" spans="2:15">
      <c r="B77" s="111" t="str">
        <f>B35</f>
        <v>Exceptional Items Total</v>
      </c>
      <c r="C77" s="111"/>
      <c r="D77" s="159">
        <f t="shared" ref="D77:O77" si="20">D35*D$72</f>
        <v>0</v>
      </c>
      <c r="E77" s="159">
        <f t="shared" si="20"/>
        <v>0</v>
      </c>
      <c r="F77" s="159">
        <f t="shared" si="20"/>
        <v>0</v>
      </c>
      <c r="G77" s="159">
        <f t="shared" si="20"/>
        <v>0</v>
      </c>
      <c r="H77" s="159">
        <f t="shared" si="20"/>
        <v>0</v>
      </c>
      <c r="I77" s="159">
        <f t="shared" si="20"/>
        <v>0</v>
      </c>
      <c r="J77" s="159">
        <f t="shared" si="20"/>
        <v>0</v>
      </c>
      <c r="K77" s="159">
        <f t="shared" si="20"/>
        <v>0</v>
      </c>
      <c r="L77" s="159">
        <f t="shared" si="20"/>
        <v>0</v>
      </c>
      <c r="M77" s="159">
        <f t="shared" si="20"/>
        <v>-3158.0778232658745</v>
      </c>
      <c r="N77" s="159">
        <f t="shared" si="20"/>
        <v>-585.82179784376513</v>
      </c>
      <c r="O77" s="159">
        <f t="shared" si="20"/>
        <v>683</v>
      </c>
    </row>
    <row r="78" spans="2:15">
      <c r="B78" s="111" t="str">
        <f>B37</f>
        <v>Grand Total</v>
      </c>
      <c r="C78" s="111"/>
      <c r="D78" s="159">
        <f t="shared" ref="D78:O78" si="21">D37*D$72</f>
        <v>47199.104436229223</v>
      </c>
      <c r="E78" s="159">
        <f t="shared" si="21"/>
        <v>50909.531560028758</v>
      </c>
      <c r="F78" s="159">
        <f t="shared" si="21"/>
        <v>50747.574687822751</v>
      </c>
      <c r="G78" s="159">
        <f t="shared" si="21"/>
        <v>51084.225007991969</v>
      </c>
      <c r="H78" s="159">
        <f t="shared" si="21"/>
        <v>58027.924572592798</v>
      </c>
      <c r="I78" s="159">
        <f t="shared" si="21"/>
        <v>48132.435247917849</v>
      </c>
      <c r="J78" s="159">
        <f t="shared" si="21"/>
        <v>60289.009235377314</v>
      </c>
      <c r="K78" s="159">
        <f t="shared" si="21"/>
        <v>49432.984898725575</v>
      </c>
      <c r="L78" s="159">
        <f t="shared" si="21"/>
        <v>49471.012997594473</v>
      </c>
      <c r="M78" s="159">
        <f t="shared" si="21"/>
        <v>46888.270739996922</v>
      </c>
      <c r="N78" s="159">
        <f t="shared" si="21"/>
        <v>44800.171799683565</v>
      </c>
      <c r="O78" s="159">
        <f t="shared" si="21"/>
        <v>43369</v>
      </c>
    </row>
    <row r="79" spans="2:15">
      <c r="B79" s="111" t="str">
        <f>B39</f>
        <v>Cost Residual (Ordinary Opex - Elements)</v>
      </c>
      <c r="C79" s="111"/>
      <c r="D79" s="159">
        <f t="shared" ref="D79:O79" si="22">D39*D$72</f>
        <v>41467.715341959352</v>
      </c>
      <c r="E79" s="159">
        <f t="shared" si="22"/>
        <v>42764.497915168948</v>
      </c>
      <c r="F79" s="159">
        <f t="shared" si="22"/>
        <v>43316.469721152956</v>
      </c>
      <c r="G79" s="159">
        <f t="shared" si="22"/>
        <v>42863.924510206889</v>
      </c>
      <c r="H79" s="159">
        <f t="shared" si="22"/>
        <v>37828.338559659853</v>
      </c>
      <c r="I79" s="159">
        <f t="shared" si="22"/>
        <v>44823.806585250088</v>
      </c>
      <c r="J79" s="159">
        <f t="shared" si="22"/>
        <v>41869.605541226389</v>
      </c>
      <c r="K79" s="159">
        <f t="shared" si="22"/>
        <v>48294.017977707641</v>
      </c>
      <c r="L79" s="159">
        <f t="shared" si="22"/>
        <v>46086.311243889191</v>
      </c>
      <c r="M79" s="159">
        <f t="shared" si="22"/>
        <v>46705.672022246261</v>
      </c>
      <c r="N79" s="159">
        <f t="shared" si="22"/>
        <v>44137.847334142854</v>
      </c>
      <c r="O79" s="159">
        <f t="shared" si="22"/>
        <v>38178</v>
      </c>
    </row>
    <row r="80" spans="2:15">
      <c r="B80" s="111"/>
      <c r="C80" s="111"/>
      <c r="D80" s="141"/>
      <c r="E80" s="141"/>
      <c r="F80" s="141"/>
      <c r="G80" s="141"/>
      <c r="H80" s="141"/>
      <c r="I80" s="141"/>
      <c r="J80" s="141"/>
      <c r="K80" s="141"/>
      <c r="L80" s="141"/>
      <c r="M80" s="141"/>
      <c r="N80" s="141"/>
      <c r="O80" s="141"/>
    </row>
    <row r="81" spans="1:15">
      <c r="B81" s="111" t="str">
        <f>B41</f>
        <v>Ordinary Opex (per accounts - including staff, depreciation and other, excluding exceptional)</v>
      </c>
      <c r="C81" s="111"/>
      <c r="D81" s="159">
        <f t="shared" ref="D81:O81" si="23">D41*D$72</f>
        <v>88666.819778188568</v>
      </c>
      <c r="E81" s="159">
        <f t="shared" si="23"/>
        <v>93674.029475197705</v>
      </c>
      <c r="F81" s="159">
        <f t="shared" si="23"/>
        <v>94064.044408975707</v>
      </c>
      <c r="G81" s="159">
        <f t="shared" si="23"/>
        <v>93948.149518198858</v>
      </c>
      <c r="H81" s="159">
        <f t="shared" si="23"/>
        <v>95856.263132252658</v>
      </c>
      <c r="I81" s="159">
        <f t="shared" si="23"/>
        <v>92956.241833167936</v>
      </c>
      <c r="J81" s="159">
        <f t="shared" si="23"/>
        <v>102158.6147766037</v>
      </c>
      <c r="K81" s="159">
        <f t="shared" si="23"/>
        <v>97727.002876433209</v>
      </c>
      <c r="L81" s="159">
        <f t="shared" si="23"/>
        <v>95557.324241483657</v>
      </c>
      <c r="M81" s="159">
        <f t="shared" si="23"/>
        <v>96752.020585509061</v>
      </c>
      <c r="N81" s="159">
        <f t="shared" si="23"/>
        <v>89523.840931670187</v>
      </c>
      <c r="O81" s="159">
        <f t="shared" si="23"/>
        <v>80864</v>
      </c>
    </row>
    <row r="82" spans="1:15">
      <c r="B82" s="111"/>
      <c r="C82" s="111"/>
      <c r="D82" s="141"/>
      <c r="E82" s="141"/>
      <c r="F82" s="141"/>
      <c r="G82" s="141"/>
      <c r="H82" s="141"/>
      <c r="I82" s="141"/>
      <c r="J82" s="141"/>
      <c r="K82" s="141"/>
      <c r="L82" s="141"/>
      <c r="M82" s="141"/>
      <c r="N82" s="141"/>
      <c r="O82" s="141"/>
    </row>
    <row r="83" spans="1:15">
      <c r="B83" s="111" t="str">
        <f>B43</f>
        <v>Total Opex (ordinary + exceptional)</v>
      </c>
      <c r="C83" s="111"/>
      <c r="D83" s="159">
        <f t="shared" ref="D83:O83" si="24">D43*D$72</f>
        <v>88666.819778188568</v>
      </c>
      <c r="E83" s="159">
        <f t="shared" si="24"/>
        <v>93674.029475197705</v>
      </c>
      <c r="F83" s="159">
        <f t="shared" si="24"/>
        <v>94064.044408975707</v>
      </c>
      <c r="G83" s="159">
        <f t="shared" si="24"/>
        <v>93948.149518198858</v>
      </c>
      <c r="H83" s="159">
        <f t="shared" si="24"/>
        <v>95856.263132252658</v>
      </c>
      <c r="I83" s="159">
        <f t="shared" si="24"/>
        <v>92956.241833167936</v>
      </c>
      <c r="J83" s="159">
        <f t="shared" si="24"/>
        <v>102158.6147766037</v>
      </c>
      <c r="K83" s="159">
        <f t="shared" si="24"/>
        <v>97727.002876433209</v>
      </c>
      <c r="L83" s="159">
        <f t="shared" si="24"/>
        <v>95557.324241483657</v>
      </c>
      <c r="M83" s="159">
        <f t="shared" si="24"/>
        <v>93593.942762243183</v>
      </c>
      <c r="N83" s="159">
        <f t="shared" si="24"/>
        <v>88938.019133826412</v>
      </c>
      <c r="O83" s="159">
        <f t="shared" si="24"/>
        <v>81547</v>
      </c>
    </row>
    <row r="84" spans="1:15">
      <c r="B84" s="111"/>
      <c r="C84" s="111"/>
      <c r="D84" s="141"/>
      <c r="E84" s="141"/>
      <c r="F84" s="141"/>
      <c r="G84" s="141"/>
      <c r="H84" s="141"/>
      <c r="I84" s="141"/>
      <c r="J84" s="141"/>
      <c r="K84" s="141"/>
      <c r="L84" s="141"/>
      <c r="M84" s="141"/>
      <c r="N84" s="141"/>
      <c r="O84" s="141"/>
    </row>
    <row r="85" spans="1:15">
      <c r="A85" s="134"/>
      <c r="B85" s="111" t="str">
        <f>B47</f>
        <v>Adjusted Ordinary Opex (ordinary opex - depreciation - ANS - retail)</v>
      </c>
      <c r="C85" s="111"/>
      <c r="D85" s="159">
        <f t="shared" ref="D85:O85" si="25">D47*D$72</f>
        <v>70233.281923025643</v>
      </c>
      <c r="E85" s="159">
        <f t="shared" si="25"/>
        <v>72683.639558887604</v>
      </c>
      <c r="F85" s="159">
        <f t="shared" si="25"/>
        <v>73177.789730416756</v>
      </c>
      <c r="G85" s="159">
        <f t="shared" si="25"/>
        <v>72883.864474878152</v>
      </c>
      <c r="H85" s="159">
        <f t="shared" si="25"/>
        <v>74514.217351817584</v>
      </c>
      <c r="I85" s="159">
        <f t="shared" si="25"/>
        <v>72438.670761173154</v>
      </c>
      <c r="J85" s="159">
        <f t="shared" si="25"/>
        <v>77945.167512622254</v>
      </c>
      <c r="K85" s="159">
        <f t="shared" si="25"/>
        <v>73468.877029371753</v>
      </c>
      <c r="L85" s="159">
        <f t="shared" si="25"/>
        <v>71467.241222570708</v>
      </c>
      <c r="M85" s="159">
        <f t="shared" si="25"/>
        <v>71052.651924695427</v>
      </c>
      <c r="N85" s="159">
        <f t="shared" si="25"/>
        <v>64221.095508286191</v>
      </c>
      <c r="O85" s="159">
        <f t="shared" si="25"/>
        <v>56698.763492324673</v>
      </c>
    </row>
    <row r="86" spans="1:15">
      <c r="B86" s="111"/>
      <c r="C86" s="111"/>
      <c r="D86" s="141"/>
      <c r="E86" s="141"/>
      <c r="F86" s="141"/>
      <c r="G86" s="141"/>
      <c r="H86" s="141"/>
      <c r="I86" s="141"/>
      <c r="J86" s="141"/>
      <c r="K86" s="141"/>
      <c r="L86" s="141"/>
      <c r="M86" s="141"/>
      <c r="N86" s="141"/>
      <c r="O86" s="141"/>
    </row>
    <row r="87" spans="1:15">
      <c r="B87" s="111" t="str">
        <f>B49</f>
        <v>Turnover (per accounts)</v>
      </c>
      <c r="C87" s="111"/>
      <c r="D87" s="159">
        <f t="shared" ref="D87:N87" si="26">D49*D$72</f>
        <v>130885.42051756012</v>
      </c>
      <c r="E87" s="159">
        <f t="shared" si="26"/>
        <v>133259.41169422478</v>
      </c>
      <c r="F87" s="159">
        <f t="shared" si="26"/>
        <v>135365.63914186464</v>
      </c>
      <c r="G87" s="159">
        <f t="shared" si="26"/>
        <v>142515.55783897341</v>
      </c>
      <c r="H87" s="159">
        <f t="shared" si="26"/>
        <v>139005.39441048811</v>
      </c>
      <c r="I87" s="159">
        <f t="shared" si="26"/>
        <v>136559.59215466279</v>
      </c>
      <c r="J87" s="159">
        <f t="shared" si="26"/>
        <v>129299.56939013228</v>
      </c>
      <c r="K87" s="159">
        <f t="shared" si="26"/>
        <v>125105.44648635692</v>
      </c>
      <c r="L87" s="159">
        <f t="shared" si="26"/>
        <v>118968.45429502599</v>
      </c>
      <c r="M87" s="159">
        <f t="shared" si="26"/>
        <v>114538.89568206399</v>
      </c>
      <c r="N87" s="159">
        <f t="shared" si="26"/>
        <v>108230.31515619828</v>
      </c>
      <c r="O87" s="159">
        <f>O49*O$72</f>
        <v>104037</v>
      </c>
    </row>
    <row r="88" spans="1:15">
      <c r="B88" s="111"/>
      <c r="C88" s="111"/>
      <c r="D88" s="141"/>
      <c r="E88" s="141"/>
      <c r="F88" s="141"/>
      <c r="G88" s="141"/>
      <c r="H88" s="141"/>
      <c r="I88" s="141"/>
      <c r="J88" s="141"/>
      <c r="K88" s="141"/>
      <c r="L88" s="141"/>
      <c r="M88" s="141"/>
      <c r="N88" s="141"/>
      <c r="O88" s="141"/>
    </row>
    <row r="89" spans="1:15">
      <c r="B89" s="111" t="str">
        <f>B51</f>
        <v>Ordinary Profit (pre-exceptional)</v>
      </c>
      <c r="C89" s="111"/>
      <c r="D89" s="159">
        <f t="shared" ref="D89:N89" si="27">D51*D$72</f>
        <v>42218.600739371548</v>
      </c>
      <c r="E89" s="159">
        <f t="shared" si="27"/>
        <v>39585.38221902708</v>
      </c>
      <c r="F89" s="159">
        <f t="shared" si="27"/>
        <v>41301.594732888945</v>
      </c>
      <c r="G89" s="159">
        <f t="shared" si="27"/>
        <v>48567.408320774543</v>
      </c>
      <c r="H89" s="159">
        <f t="shared" si="27"/>
        <v>43149.131278235458</v>
      </c>
      <c r="I89" s="159">
        <f t="shared" si="27"/>
        <v>43603.350321494851</v>
      </c>
      <c r="J89" s="159">
        <f t="shared" si="27"/>
        <v>27140.954613528578</v>
      </c>
      <c r="K89" s="159">
        <f t="shared" si="27"/>
        <v>27378.443609923692</v>
      </c>
      <c r="L89" s="159">
        <f t="shared" si="27"/>
        <v>23411.130053542329</v>
      </c>
      <c r="M89" s="159">
        <f t="shared" si="27"/>
        <v>17786.875096554926</v>
      </c>
      <c r="N89" s="159">
        <f t="shared" si="27"/>
        <v>18706.474224528098</v>
      </c>
      <c r="O89" s="159">
        <f>O51*O$72</f>
        <v>23173</v>
      </c>
    </row>
    <row r="90" spans="1:15">
      <c r="B90" s="111"/>
      <c r="C90" s="111"/>
      <c r="D90" s="193"/>
      <c r="E90" s="193"/>
      <c r="F90" s="193"/>
      <c r="G90" s="193"/>
      <c r="H90" s="193"/>
      <c r="I90" s="193"/>
      <c r="J90" s="193"/>
      <c r="K90" s="193"/>
      <c r="L90" s="193"/>
      <c r="M90" s="193"/>
      <c r="N90" s="193"/>
      <c r="O90" s="193"/>
    </row>
    <row r="91" spans="1:15">
      <c r="B91" s="111" t="str">
        <f>B53</f>
        <v>Ordinary Profit Margin</v>
      </c>
      <c r="C91" s="111"/>
      <c r="D91" s="162">
        <f>D89/D87</f>
        <v>0.32256152421275469</v>
      </c>
      <c r="E91" s="162">
        <f t="shared" ref="E91:N91" si="28">E89/E87</f>
        <v>0.29705505761843792</v>
      </c>
      <c r="F91" s="162">
        <f t="shared" si="28"/>
        <v>0.30511136352412471</v>
      </c>
      <c r="G91" s="162">
        <f t="shared" si="28"/>
        <v>0.34078671169115632</v>
      </c>
      <c r="H91" s="162">
        <f t="shared" si="28"/>
        <v>0.31041335813784654</v>
      </c>
      <c r="I91" s="162">
        <f t="shared" si="28"/>
        <v>0.31929906668226693</v>
      </c>
      <c r="J91" s="162">
        <f t="shared" si="28"/>
        <v>0.20990754061706787</v>
      </c>
      <c r="K91" s="162">
        <f t="shared" si="28"/>
        <v>0.21884293912742947</v>
      </c>
      <c r="L91" s="162">
        <f t="shared" si="28"/>
        <v>0.19678435087914845</v>
      </c>
      <c r="M91" s="162">
        <f t="shared" si="28"/>
        <v>0.15529113486415627</v>
      </c>
      <c r="N91" s="162">
        <f t="shared" si="28"/>
        <v>0.1728395061728395</v>
      </c>
      <c r="O91" s="162">
        <f>O89/O87</f>
        <v>0.22273806434249355</v>
      </c>
    </row>
    <row r="92" spans="1:15" s="133" customFormat="1">
      <c r="B92" s="138"/>
      <c r="C92" s="138"/>
      <c r="D92" s="198"/>
      <c r="E92" s="198"/>
      <c r="F92" s="198"/>
      <c r="G92" s="198"/>
      <c r="H92" s="198"/>
      <c r="I92" s="198"/>
      <c r="J92" s="198"/>
      <c r="K92" s="198"/>
      <c r="L92" s="198"/>
      <c r="M92" s="198"/>
      <c r="N92" s="198"/>
      <c r="O92" s="198"/>
    </row>
    <row r="93" spans="1:15" s="133" customFormat="1">
      <c r="B93" s="153" t="s">
        <v>303</v>
      </c>
      <c r="C93" s="94"/>
      <c r="D93" s="94"/>
      <c r="E93" s="94"/>
      <c r="F93" s="94"/>
      <c r="G93" s="94"/>
      <c r="H93" s="94"/>
      <c r="I93" s="94"/>
      <c r="J93" s="94"/>
      <c r="K93" s="94"/>
      <c r="L93" s="94"/>
      <c r="M93" s="94"/>
      <c r="N93" s="94"/>
      <c r="O93" s="94"/>
    </row>
    <row r="94" spans="1:15" s="133" customFormat="1">
      <c r="B94" s="90"/>
      <c r="C94" s="90"/>
      <c r="D94" s="90"/>
      <c r="E94" s="90"/>
      <c r="F94" s="90"/>
      <c r="G94" s="90"/>
      <c r="H94" s="90"/>
      <c r="I94" s="90"/>
      <c r="J94" s="90"/>
      <c r="K94" s="90"/>
      <c r="L94" s="90"/>
      <c r="M94" s="90"/>
      <c r="N94" s="90"/>
      <c r="O94" s="90"/>
    </row>
    <row r="95" spans="1:15" s="133" customFormat="1">
      <c r="B95" s="90" t="s">
        <v>1127</v>
      </c>
      <c r="C95" s="90"/>
      <c r="D95" s="192">
        <f>(D83/D55)*1000</f>
        <v>11.651875133227167</v>
      </c>
      <c r="E95" s="192">
        <f t="shared" ref="E95:O95" si="29">(E83/E55)*1000</f>
        <v>12.233010007887412</v>
      </c>
      <c r="F95" s="192">
        <f t="shared" si="29"/>
        <v>11.561375458019693</v>
      </c>
      <c r="G95" s="192">
        <f t="shared" si="29"/>
        <v>10.371639847421712</v>
      </c>
      <c r="H95" s="192">
        <f t="shared" si="29"/>
        <v>10.933793689799927</v>
      </c>
      <c r="I95" s="192">
        <f t="shared" si="29"/>
        <v>9.9109600109400198</v>
      </c>
      <c r="J95" s="192">
        <f t="shared" si="29"/>
        <v>11.302225767300401</v>
      </c>
      <c r="K95" s="192">
        <f t="shared" si="29"/>
        <v>10.563551104643565</v>
      </c>
      <c r="L95" s="192">
        <f t="shared" si="29"/>
        <v>10.082867776356624</v>
      </c>
      <c r="M95" s="192">
        <f t="shared" si="29"/>
        <v>10.396742805398612</v>
      </c>
      <c r="N95" s="192">
        <f t="shared" si="29"/>
        <v>10.447115630182948</v>
      </c>
      <c r="O95" s="192">
        <f t="shared" si="29"/>
        <v>9.48318849667268</v>
      </c>
    </row>
    <row r="96" spans="1:15" s="133" customFormat="1">
      <c r="B96" s="90" t="s">
        <v>299</v>
      </c>
      <c r="C96" s="90"/>
      <c r="D96" s="192">
        <f t="shared" ref="D96:N96" si="30">(D81/D55)*1000</f>
        <v>11.651875133227167</v>
      </c>
      <c r="E96" s="192">
        <f t="shared" si="30"/>
        <v>12.233010007887412</v>
      </c>
      <c r="F96" s="192">
        <f t="shared" si="30"/>
        <v>11.561375458019693</v>
      </c>
      <c r="G96" s="192">
        <f t="shared" si="30"/>
        <v>10.371639847421712</v>
      </c>
      <c r="H96" s="192">
        <f t="shared" si="30"/>
        <v>10.933793689799927</v>
      </c>
      <c r="I96" s="192">
        <f t="shared" si="30"/>
        <v>9.9109600109400198</v>
      </c>
      <c r="J96" s="192">
        <f t="shared" si="30"/>
        <v>11.302225767300401</v>
      </c>
      <c r="K96" s="192">
        <f t="shared" si="30"/>
        <v>10.563551104643565</v>
      </c>
      <c r="L96" s="192">
        <f t="shared" si="30"/>
        <v>10.082867776356624</v>
      </c>
      <c r="M96" s="192">
        <f t="shared" si="30"/>
        <v>10.747553145458074</v>
      </c>
      <c r="N96" s="192">
        <f t="shared" si="30"/>
        <v>10.515929261522617</v>
      </c>
      <c r="O96" s="192">
        <f>(O81/O55)*1000</f>
        <v>9.4037616907420212</v>
      </c>
    </row>
    <row r="97" spans="2:15" s="133" customFormat="1">
      <c r="B97" s="90" t="s">
        <v>300</v>
      </c>
      <c r="C97" s="90"/>
      <c r="D97" s="192">
        <f t="shared" ref="D97:N97" si="31">(D85/D55)*1000</f>
        <v>9.2294889250684946</v>
      </c>
      <c r="E97" s="192">
        <f t="shared" si="31"/>
        <v>9.4918484356325585</v>
      </c>
      <c r="F97" s="192">
        <f t="shared" si="31"/>
        <v>8.9942539423771155</v>
      </c>
      <c r="G97" s="192">
        <f t="shared" si="31"/>
        <v>8.0461956611002581</v>
      </c>
      <c r="H97" s="192">
        <f t="shared" si="31"/>
        <v>8.4994245848871852</v>
      </c>
      <c r="I97" s="192">
        <f t="shared" si="31"/>
        <v>7.7233841967077943</v>
      </c>
      <c r="J97" s="192">
        <f t="shared" si="31"/>
        <v>8.6233929720380349</v>
      </c>
      <c r="K97" s="192">
        <f t="shared" si="31"/>
        <v>7.941430866163361</v>
      </c>
      <c r="L97" s="192">
        <f t="shared" si="31"/>
        <v>7.540968202156261</v>
      </c>
      <c r="M97" s="192">
        <f t="shared" si="31"/>
        <v>7.8927773090949982</v>
      </c>
      <c r="N97" s="192">
        <f t="shared" si="31"/>
        <v>7.5437390803873985</v>
      </c>
      <c r="O97" s="192">
        <f>(O85/O55)*1000</f>
        <v>6.5935602992872608</v>
      </c>
    </row>
    <row r="98" spans="2:15" s="133" customFormat="1">
      <c r="B98" s="90" t="s">
        <v>265</v>
      </c>
      <c r="C98" s="90"/>
      <c r="D98" s="192">
        <f t="shared" ref="D98:N98" si="32">D74*1000/D55</f>
        <v>3.8159294822337375</v>
      </c>
      <c r="E98" s="192">
        <f t="shared" si="32"/>
        <v>3.9484323741305092</v>
      </c>
      <c r="F98" s="192">
        <f t="shared" si="32"/>
        <v>3.6903915720605545</v>
      </c>
      <c r="G98" s="192">
        <f t="shared" si="32"/>
        <v>3.3212796576334513</v>
      </c>
      <c r="H98" s="192">
        <f t="shared" si="32"/>
        <v>3.8604756569678784</v>
      </c>
      <c r="I98" s="192">
        <f t="shared" si="32"/>
        <v>2.935207230868488</v>
      </c>
      <c r="J98" s="192">
        <f t="shared" si="32"/>
        <v>3.5921945086764424</v>
      </c>
      <c r="K98" s="192">
        <f t="shared" si="32"/>
        <v>2.8081244259593419</v>
      </c>
      <c r="L98" s="192">
        <f t="shared" si="32"/>
        <v>2.7722493697676214</v>
      </c>
      <c r="M98" s="192">
        <f t="shared" si="32"/>
        <v>2.8548703535873492</v>
      </c>
      <c r="N98" s="192">
        <f t="shared" si="32"/>
        <v>2.5623537322633103</v>
      </c>
      <c r="O98" s="192">
        <f>O74*1000/O55</f>
        <v>2.3120992028014054</v>
      </c>
    </row>
    <row r="99" spans="2:15" s="133" customFormat="1">
      <c r="B99" s="111" t="s">
        <v>1136</v>
      </c>
      <c r="C99" s="111"/>
      <c r="D99" s="140">
        <f t="shared" ref="D99:N99" si="33">D74/D57*1000</f>
        <v>41661.305250651742</v>
      </c>
      <c r="E99" s="140">
        <f t="shared" si="33"/>
        <v>43008.594503921617</v>
      </c>
      <c r="F99" s="140">
        <f t="shared" si="33"/>
        <v>43832.47774274306</v>
      </c>
      <c r="G99" s="140">
        <f t="shared" si="33"/>
        <v>43664.352692805805</v>
      </c>
      <c r="H99" s="140">
        <f t="shared" si="33"/>
        <v>48979.279292791594</v>
      </c>
      <c r="I99" s="140">
        <f t="shared" si="33"/>
        <v>42681.717529455731</v>
      </c>
      <c r="J99" s="140">
        <f t="shared" si="33"/>
        <v>51867.64486581018</v>
      </c>
      <c r="K99" s="140">
        <f t="shared" si="33"/>
        <v>38487.279743488441</v>
      </c>
      <c r="L99" s="140">
        <f t="shared" si="33"/>
        <v>37803.098432249775</v>
      </c>
      <c r="M99" s="140">
        <f t="shared" si="33"/>
        <v>40093.946220385522</v>
      </c>
      <c r="N99" s="140">
        <f t="shared" si="33"/>
        <v>38540.176874776291</v>
      </c>
      <c r="O99" s="140">
        <f>O74/O57*1000</f>
        <v>37024.208566108005</v>
      </c>
    </row>
    <row r="100" spans="2:15" s="133" customFormat="1">
      <c r="B100" s="111"/>
      <c r="C100" s="111"/>
      <c r="D100" s="141"/>
      <c r="E100" s="198"/>
      <c r="F100" s="198"/>
      <c r="G100" s="198"/>
      <c r="H100" s="198"/>
      <c r="I100" s="198"/>
      <c r="J100" s="198"/>
      <c r="K100" s="198"/>
      <c r="L100" s="198"/>
      <c r="M100" s="198"/>
      <c r="N100" s="198"/>
    </row>
    <row r="101" spans="2:15">
      <c r="B101" s="153" t="s">
        <v>163</v>
      </c>
      <c r="C101" s="94"/>
      <c r="D101" s="94"/>
      <c r="E101" s="94"/>
      <c r="F101" s="94"/>
      <c r="G101" s="94"/>
      <c r="H101" s="94"/>
      <c r="I101" s="94"/>
      <c r="J101" s="94"/>
      <c r="K101" s="94"/>
      <c r="L101" s="94"/>
      <c r="M101" s="94"/>
      <c r="N101" s="94"/>
      <c r="O101"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16.xml><?xml version="1.0" encoding="utf-8"?>
<worksheet xmlns="http://schemas.openxmlformats.org/spreadsheetml/2006/main" xmlns:r="http://schemas.openxmlformats.org/officeDocument/2006/relationships">
  <sheetPr>
    <pageSetUpPr autoPageBreaks="0" fitToPage="1"/>
  </sheetPr>
  <dimension ref="A1:P106"/>
  <sheetViews>
    <sheetView showGridLines="0" zoomScale="70" zoomScaleNormal="70" workbookViewId="0">
      <pane xSplit="3" ySplit="16" topLeftCell="F17" activePane="bottomRight" state="frozen"/>
      <selection pane="topRight" activeCell="D1" sqref="D1"/>
      <selection pane="bottomLeft" activeCell="A15" sqref="A15"/>
      <selection pane="bottomRight" activeCell="A178" sqref="A178:XFD178"/>
    </sheetView>
  </sheetViews>
  <sheetFormatPr defaultRowHeight="12.75" outlineLevelRow="2"/>
  <cols>
    <col min="1" max="1" width="3.140625" style="90" customWidth="1"/>
    <col min="2" max="2" width="55.140625" style="90" customWidth="1"/>
    <col min="3" max="3" width="29.42578125" style="90" customWidth="1"/>
    <col min="4" max="14" width="15.7109375" style="90" customWidth="1"/>
    <col min="15" max="15" width="11.7109375" style="90" customWidth="1"/>
    <col min="16" max="16" width="10.28515625" style="90" bestFit="1" customWidth="1"/>
    <col min="17" max="16384" width="9.140625" style="90"/>
  </cols>
  <sheetData>
    <row r="1" spans="1:16" ht="12.75" customHeight="1">
      <c r="A1" s="145"/>
    </row>
    <row r="2" spans="1:16">
      <c r="B2" s="146" t="s">
        <v>134</v>
      </c>
      <c r="C2" s="91"/>
      <c r="D2" s="91"/>
      <c r="E2" s="147" t="str">
        <f>Info!$D$10</f>
        <v>Duncan Kernohan</v>
      </c>
      <c r="F2" s="91"/>
      <c r="G2" s="91"/>
      <c r="H2" s="91"/>
      <c r="I2" s="91"/>
      <c r="J2" s="91"/>
      <c r="K2" s="91"/>
      <c r="L2" s="91"/>
      <c r="M2" s="91"/>
      <c r="N2" s="91"/>
      <c r="O2" s="91"/>
      <c r="P2" s="91"/>
    </row>
    <row r="3" spans="1:16">
      <c r="B3" s="148" t="s">
        <v>137</v>
      </c>
      <c r="C3" s="92"/>
      <c r="D3" s="92"/>
      <c r="E3" s="149" t="str">
        <f>Info!$D$11 &amp; " - " &amp; Info!$D$12</f>
        <v>Airport Opex Benchmarking 2013 - duncan.kernohan@caa.co.uk</v>
      </c>
      <c r="F3" s="92"/>
      <c r="G3" s="92"/>
      <c r="H3" s="92"/>
      <c r="I3" s="92"/>
      <c r="J3" s="92"/>
      <c r="K3" s="92"/>
      <c r="L3" s="92"/>
      <c r="M3" s="92"/>
      <c r="N3" s="92"/>
      <c r="O3" s="92"/>
      <c r="P3" s="92"/>
    </row>
    <row r="4" spans="1:16">
      <c r="B4" s="148" t="s">
        <v>130</v>
      </c>
      <c r="C4" s="92"/>
      <c r="D4" s="92"/>
      <c r="E4" s="150">
        <f>Info!$D$16</f>
        <v>2.8</v>
      </c>
      <c r="F4" s="92"/>
      <c r="G4" s="92"/>
      <c r="H4" s="92"/>
      <c r="I4" s="92"/>
      <c r="J4" s="92"/>
      <c r="K4" s="92"/>
      <c r="L4" s="92"/>
      <c r="M4" s="92"/>
      <c r="N4" s="92"/>
      <c r="O4" s="92"/>
      <c r="P4" s="92"/>
    </row>
    <row r="5" spans="1:16">
      <c r="B5" s="151" t="s">
        <v>138</v>
      </c>
      <c r="C5" s="93"/>
      <c r="D5" s="93"/>
      <c r="E5" s="152" t="str">
        <f ca="1">IF(CELL("filename",D1)="","",MID(CELL("filename",A1),FIND("]",CELL("filename",A1))+1,99))</f>
        <v>EDIN</v>
      </c>
      <c r="F5" s="93"/>
      <c r="G5" s="93"/>
      <c r="H5" s="93"/>
      <c r="I5" s="93"/>
      <c r="J5" s="93"/>
      <c r="K5" s="93"/>
      <c r="L5" s="93"/>
      <c r="M5" s="93"/>
      <c r="N5" s="93"/>
      <c r="O5" s="93"/>
      <c r="P5" s="93"/>
    </row>
    <row r="8" spans="1:16">
      <c r="B8" s="153" t="s">
        <v>1035</v>
      </c>
      <c r="C8" s="94"/>
      <c r="D8" s="94"/>
      <c r="E8" s="94"/>
      <c r="F8" s="94"/>
      <c r="G8" s="94"/>
      <c r="H8" s="94"/>
      <c r="I8" s="94"/>
      <c r="J8" s="94"/>
      <c r="K8" s="94"/>
      <c r="L8" s="94"/>
      <c r="M8" s="94"/>
      <c r="N8" s="94"/>
      <c r="O8" s="94"/>
      <c r="P8" s="94"/>
    </row>
    <row r="10" spans="1:16">
      <c r="B10" s="138" t="s">
        <v>143</v>
      </c>
      <c r="C10" s="138"/>
      <c r="D10" s="90" t="s">
        <v>270</v>
      </c>
    </row>
    <row r="11" spans="1:16">
      <c r="B11" s="138"/>
      <c r="C11" s="138"/>
      <c r="D11" s="138"/>
    </row>
    <row r="12" spans="1:16">
      <c r="B12" s="153" t="s">
        <v>197</v>
      </c>
      <c r="C12" s="94"/>
      <c r="D12" s="94"/>
      <c r="E12" s="94"/>
      <c r="F12" s="94"/>
      <c r="G12" s="94"/>
      <c r="H12" s="94"/>
      <c r="I12" s="94"/>
      <c r="J12" s="94"/>
      <c r="K12" s="94"/>
      <c r="L12" s="94"/>
      <c r="M12" s="94"/>
      <c r="N12" s="94"/>
      <c r="O12" s="94"/>
      <c r="P12" s="94"/>
    </row>
    <row r="13" spans="1:16">
      <c r="B13" s="138"/>
      <c r="C13" s="138"/>
      <c r="D13" s="138"/>
    </row>
    <row r="14" spans="1:16">
      <c r="B14" s="101" t="s">
        <v>167</v>
      </c>
      <c r="C14" s="101"/>
    </row>
    <row r="15" spans="1:16">
      <c r="B15" s="101"/>
      <c r="C15" s="101"/>
    </row>
    <row r="16" spans="1:16">
      <c r="B16" s="111" t="s">
        <v>271</v>
      </c>
      <c r="C16" s="111"/>
      <c r="D16" s="119" t="s">
        <v>109</v>
      </c>
      <c r="E16" s="119" t="s">
        <v>110</v>
      </c>
      <c r="F16" s="119" t="s">
        <v>111</v>
      </c>
      <c r="G16" s="119" t="s">
        <v>22</v>
      </c>
      <c r="H16" s="119" t="s">
        <v>23</v>
      </c>
      <c r="I16" s="119" t="s">
        <v>24</v>
      </c>
      <c r="J16" s="119" t="s">
        <v>295</v>
      </c>
      <c r="K16" s="119">
        <v>2007</v>
      </c>
      <c r="L16" s="119">
        <v>2008</v>
      </c>
      <c r="M16" s="119">
        <v>2009</v>
      </c>
      <c r="N16" s="119">
        <v>2010</v>
      </c>
      <c r="O16" s="119">
        <v>2011</v>
      </c>
      <c r="P16" s="90">
        <v>2012</v>
      </c>
    </row>
    <row r="17" spans="2:16" s="133" customFormat="1">
      <c r="B17" s="138" t="s">
        <v>157</v>
      </c>
      <c r="C17" s="138"/>
      <c r="D17" s="154">
        <v>2000</v>
      </c>
      <c r="E17" s="154">
        <v>2001</v>
      </c>
      <c r="F17" s="154">
        <v>2002</v>
      </c>
      <c r="G17" s="154">
        <v>2003</v>
      </c>
      <c r="H17" s="154">
        <v>2004</v>
      </c>
      <c r="I17" s="154">
        <v>2005</v>
      </c>
      <c r="J17" s="154">
        <v>2006</v>
      </c>
      <c r="K17" s="154">
        <v>2007</v>
      </c>
      <c r="L17" s="154">
        <v>2008</v>
      </c>
      <c r="M17" s="154">
        <v>2009</v>
      </c>
      <c r="N17" s="154">
        <v>2010</v>
      </c>
      <c r="O17" s="154">
        <v>2011</v>
      </c>
      <c r="P17" s="133">
        <v>2012</v>
      </c>
    </row>
    <row r="18" spans="2:16" s="133" customFormat="1">
      <c r="B18" s="138" t="s">
        <v>164</v>
      </c>
      <c r="C18" s="138"/>
      <c r="D18" s="154" t="s">
        <v>160</v>
      </c>
      <c r="E18" s="154" t="s">
        <v>160</v>
      </c>
      <c r="F18" s="154" t="s">
        <v>160</v>
      </c>
      <c r="G18" s="154" t="s">
        <v>160</v>
      </c>
      <c r="H18" s="154" t="s">
        <v>160</v>
      </c>
      <c r="I18" s="154" t="s">
        <v>160</v>
      </c>
      <c r="J18" s="154" t="s">
        <v>176</v>
      </c>
      <c r="K18" s="154" t="s">
        <v>174</v>
      </c>
      <c r="L18" s="154" t="s">
        <v>174</v>
      </c>
      <c r="M18" s="154" t="s">
        <v>174</v>
      </c>
      <c r="N18" s="154" t="s">
        <v>174</v>
      </c>
      <c r="O18" s="154" t="s">
        <v>174</v>
      </c>
      <c r="P18" s="133" t="s">
        <v>174</v>
      </c>
    </row>
    <row r="19" spans="2:16" s="133" customFormat="1">
      <c r="B19" s="138"/>
      <c r="C19" s="138"/>
      <c r="D19" s="154"/>
      <c r="E19" s="154"/>
      <c r="F19" s="154"/>
      <c r="G19" s="154"/>
      <c r="H19" s="154"/>
      <c r="I19" s="154"/>
      <c r="J19" s="154"/>
      <c r="K19" s="154"/>
      <c r="L19" s="154"/>
      <c r="M19" s="154"/>
      <c r="N19" s="154"/>
      <c r="O19" s="154"/>
    </row>
    <row r="20" spans="2:16">
      <c r="B20" s="106" t="s">
        <v>1314</v>
      </c>
      <c r="C20" s="106" t="s">
        <v>1315</v>
      </c>
      <c r="E20" s="133"/>
      <c r="F20" s="133"/>
      <c r="G20" s="133"/>
      <c r="H20" s="133"/>
      <c r="I20" s="133"/>
      <c r="J20" s="133"/>
      <c r="K20" s="133"/>
      <c r="L20" s="133"/>
      <c r="M20" s="133"/>
      <c r="N20" s="133"/>
      <c r="O20" s="133"/>
    </row>
    <row r="21" spans="2:16" hidden="1" outlineLevel="2">
      <c r="B21" s="90" t="s">
        <v>240</v>
      </c>
      <c r="C21" s="138" t="s">
        <v>165</v>
      </c>
      <c r="D21" s="141">
        <v>10230</v>
      </c>
      <c r="E21" s="141">
        <v>10109</v>
      </c>
      <c r="F21" s="141">
        <v>10677</v>
      </c>
      <c r="G21" s="141">
        <v>11767</v>
      </c>
      <c r="H21" s="141">
        <v>10990</v>
      </c>
      <c r="I21" s="141">
        <v>10911</v>
      </c>
      <c r="J21" s="141">
        <v>9353</v>
      </c>
      <c r="K21" s="141">
        <v>13630</v>
      </c>
      <c r="L21" s="141">
        <v>14533</v>
      </c>
      <c r="M21" s="141">
        <v>14171</v>
      </c>
      <c r="N21" s="141">
        <v>15475</v>
      </c>
      <c r="O21" s="141">
        <v>17693</v>
      </c>
      <c r="P21" s="359">
        <v>18838</v>
      </c>
    </row>
    <row r="22" spans="2:16" hidden="1" outlineLevel="2">
      <c r="B22" s="90" t="s">
        <v>240</v>
      </c>
      <c r="C22" s="138" t="s">
        <v>166</v>
      </c>
      <c r="D22" s="141">
        <v>832</v>
      </c>
      <c r="E22" s="141">
        <v>783</v>
      </c>
      <c r="F22" s="141">
        <v>860</v>
      </c>
      <c r="G22" s="141">
        <v>942</v>
      </c>
      <c r="H22" s="141">
        <v>963</v>
      </c>
      <c r="I22" s="141">
        <v>890</v>
      </c>
      <c r="J22" s="141">
        <v>770</v>
      </c>
      <c r="K22" s="141">
        <v>1112</v>
      </c>
      <c r="L22" s="141">
        <v>1203</v>
      </c>
      <c r="M22" s="141">
        <v>1146</v>
      </c>
      <c r="N22" s="141">
        <v>1265</v>
      </c>
      <c r="O22" s="141">
        <v>1562</v>
      </c>
      <c r="P22" s="359">
        <v>1671</v>
      </c>
    </row>
    <row r="23" spans="2:16" hidden="1" outlineLevel="2">
      <c r="B23" s="90" t="s">
        <v>240</v>
      </c>
      <c r="C23" s="138" t="s">
        <v>189</v>
      </c>
      <c r="D23" s="141">
        <v>363</v>
      </c>
      <c r="E23" s="141">
        <v>2152</v>
      </c>
      <c r="F23" s="141">
        <v>2125</v>
      </c>
      <c r="G23" s="141">
        <v>2436</v>
      </c>
      <c r="H23" s="141">
        <v>3143</v>
      </c>
      <c r="I23" s="141">
        <v>3073</v>
      </c>
      <c r="J23" s="141">
        <v>2442</v>
      </c>
      <c r="K23" s="141">
        <v>2781</v>
      </c>
      <c r="L23" s="141">
        <v>1668</v>
      </c>
      <c r="M23" s="141">
        <v>1453</v>
      </c>
      <c r="N23" s="141">
        <v>2025</v>
      </c>
      <c r="O23" s="141">
        <v>2043</v>
      </c>
      <c r="P23" s="359">
        <v>3167</v>
      </c>
    </row>
    <row r="24" spans="2:16" hidden="1" outlineLevel="2">
      <c r="B24" s="90" t="s">
        <v>240</v>
      </c>
      <c r="C24" s="138" t="s">
        <v>188</v>
      </c>
      <c r="D24" s="141">
        <v>0</v>
      </c>
      <c r="E24" s="141">
        <v>-454</v>
      </c>
      <c r="F24" s="141">
        <v>508</v>
      </c>
      <c r="G24" s="141">
        <v>620</v>
      </c>
      <c r="H24" s="141">
        <v>631</v>
      </c>
      <c r="I24" s="141">
        <f>685+237</f>
        <v>922</v>
      </c>
      <c r="J24" s="141">
        <f>490+60</f>
        <v>550</v>
      </c>
      <c r="K24" s="141">
        <f>783+111</f>
        <v>894</v>
      </c>
      <c r="L24" s="141">
        <f>828+212</f>
        <v>1040</v>
      </c>
      <c r="M24" s="141">
        <f>763+175</f>
        <v>938</v>
      </c>
      <c r="N24" s="141">
        <f>525+131</f>
        <v>656</v>
      </c>
      <c r="O24" s="141">
        <v>700</v>
      </c>
      <c r="P24" s="359">
        <v>679</v>
      </c>
    </row>
    <row r="25" spans="2:16" outlineLevel="1" collapsed="1">
      <c r="B25" s="173" t="s">
        <v>287</v>
      </c>
      <c r="C25" s="138"/>
      <c r="D25" s="159">
        <f t="shared" ref="D25:P25" si="0">SUBTOTAL(9,D21:D24)</f>
        <v>11425</v>
      </c>
      <c r="E25" s="159">
        <f t="shared" si="0"/>
        <v>12590</v>
      </c>
      <c r="F25" s="159">
        <f t="shared" si="0"/>
        <v>14170</v>
      </c>
      <c r="G25" s="159">
        <f t="shared" si="0"/>
        <v>15765</v>
      </c>
      <c r="H25" s="159">
        <f t="shared" si="0"/>
        <v>15727</v>
      </c>
      <c r="I25" s="159">
        <f t="shared" si="0"/>
        <v>15796</v>
      </c>
      <c r="J25" s="159">
        <f t="shared" si="0"/>
        <v>13115</v>
      </c>
      <c r="K25" s="159">
        <f t="shared" si="0"/>
        <v>18417</v>
      </c>
      <c r="L25" s="159">
        <f t="shared" si="0"/>
        <v>18444</v>
      </c>
      <c r="M25" s="159">
        <f t="shared" si="0"/>
        <v>17708</v>
      </c>
      <c r="N25" s="159">
        <f t="shared" si="0"/>
        <v>19421</v>
      </c>
      <c r="O25" s="159">
        <f t="shared" si="0"/>
        <v>21998</v>
      </c>
      <c r="P25" s="159">
        <f t="shared" si="0"/>
        <v>24355</v>
      </c>
    </row>
    <row r="26" spans="2:16" s="133" customFormat="1" outlineLevel="1">
      <c r="B26" s="137"/>
      <c r="C26" s="137"/>
      <c r="D26" s="141"/>
      <c r="E26" s="141"/>
      <c r="F26" s="141"/>
      <c r="G26" s="141"/>
      <c r="H26" s="141"/>
      <c r="I26" s="141"/>
      <c r="J26" s="141"/>
      <c r="K26" s="141"/>
      <c r="L26" s="141"/>
      <c r="M26" s="141"/>
      <c r="N26" s="141"/>
      <c r="O26" s="141"/>
    </row>
    <row r="27" spans="2:16" s="133" customFormat="1" hidden="1" outlineLevel="2">
      <c r="B27" s="138" t="s">
        <v>30</v>
      </c>
      <c r="C27" s="138" t="s">
        <v>170</v>
      </c>
      <c r="D27" s="141">
        <v>5892</v>
      </c>
      <c r="E27" s="141">
        <v>6175</v>
      </c>
      <c r="F27" s="141">
        <v>6813</v>
      </c>
      <c r="G27" s="141">
        <v>7079</v>
      </c>
      <c r="H27" s="141">
        <v>6434</v>
      </c>
      <c r="I27" s="141">
        <v>7355</v>
      </c>
      <c r="J27" s="141">
        <v>6112</v>
      </c>
      <c r="K27" s="141">
        <v>8522</v>
      </c>
      <c r="L27" s="141">
        <v>9886</v>
      </c>
      <c r="M27" s="141">
        <v>12613</v>
      </c>
      <c r="N27" s="141">
        <v>15266</v>
      </c>
      <c r="O27" s="141">
        <v>20691</v>
      </c>
      <c r="P27" s="133">
        <v>16697</v>
      </c>
    </row>
    <row r="28" spans="2:16" s="133" customFormat="1" outlineLevel="1" collapsed="1">
      <c r="B28" s="70" t="s">
        <v>288</v>
      </c>
      <c r="C28" s="138"/>
      <c r="D28" s="159">
        <f t="shared" ref="D28:P28" si="1">SUBTOTAL(9,D27:D27)</f>
        <v>5892</v>
      </c>
      <c r="E28" s="159">
        <f t="shared" si="1"/>
        <v>6175</v>
      </c>
      <c r="F28" s="159">
        <f t="shared" si="1"/>
        <v>6813</v>
      </c>
      <c r="G28" s="159">
        <f t="shared" si="1"/>
        <v>7079</v>
      </c>
      <c r="H28" s="159">
        <f t="shared" si="1"/>
        <v>6434</v>
      </c>
      <c r="I28" s="159">
        <f t="shared" si="1"/>
        <v>7355</v>
      </c>
      <c r="J28" s="159">
        <f t="shared" si="1"/>
        <v>6112</v>
      </c>
      <c r="K28" s="159">
        <f t="shared" si="1"/>
        <v>8522</v>
      </c>
      <c r="L28" s="159">
        <f t="shared" si="1"/>
        <v>9886</v>
      </c>
      <c r="M28" s="159">
        <f t="shared" si="1"/>
        <v>12613</v>
      </c>
      <c r="N28" s="159">
        <f t="shared" si="1"/>
        <v>15266</v>
      </c>
      <c r="O28" s="159">
        <f t="shared" si="1"/>
        <v>20691</v>
      </c>
      <c r="P28" s="159">
        <f t="shared" si="1"/>
        <v>16697</v>
      </c>
    </row>
    <row r="29" spans="2:16" s="133" customFormat="1" outlineLevel="1">
      <c r="B29" s="138"/>
      <c r="C29" s="138"/>
      <c r="D29" s="141"/>
      <c r="E29" s="141"/>
      <c r="F29" s="141"/>
      <c r="G29" s="141"/>
      <c r="H29" s="141"/>
      <c r="I29" s="141"/>
      <c r="J29" s="141"/>
      <c r="K29" s="141"/>
      <c r="L29" s="141"/>
      <c r="M29" s="141"/>
      <c r="N29" s="141"/>
      <c r="O29" s="141"/>
    </row>
    <row r="30" spans="2:16" s="133" customFormat="1" hidden="1" outlineLevel="2">
      <c r="B30" s="133" t="s">
        <v>256</v>
      </c>
      <c r="C30" s="138" t="s">
        <v>183</v>
      </c>
      <c r="D30" s="155">
        <v>0</v>
      </c>
      <c r="E30" s="155">
        <v>243</v>
      </c>
      <c r="F30" s="155">
        <v>319</v>
      </c>
      <c r="G30" s="155">
        <v>41</v>
      </c>
      <c r="H30" s="155">
        <v>30</v>
      </c>
      <c r="I30" s="155">
        <v>45</v>
      </c>
      <c r="J30" s="155">
        <v>908</v>
      </c>
      <c r="K30" s="155">
        <v>1080</v>
      </c>
      <c r="L30" s="155">
        <v>1168</v>
      </c>
      <c r="M30" s="155">
        <v>1264</v>
      </c>
      <c r="N30" s="155">
        <v>1574</v>
      </c>
      <c r="O30" s="155">
        <v>1808</v>
      </c>
      <c r="P30" s="155">
        <v>1721</v>
      </c>
    </row>
    <row r="31" spans="2:16" s="133" customFormat="1" hidden="1" outlineLevel="2">
      <c r="B31" s="133" t="s">
        <v>256</v>
      </c>
      <c r="C31" s="138" t="s">
        <v>201</v>
      </c>
      <c r="D31" s="141">
        <v>3755</v>
      </c>
      <c r="E31" s="141">
        <v>3791</v>
      </c>
      <c r="F31" s="141">
        <v>3802</v>
      </c>
      <c r="G31" s="141">
        <v>3843</v>
      </c>
      <c r="H31" s="141">
        <v>3935</v>
      </c>
      <c r="I31" s="141">
        <v>3818</v>
      </c>
      <c r="J31" s="141">
        <v>3008</v>
      </c>
      <c r="K31" s="141">
        <v>5119</v>
      </c>
      <c r="L31" s="141">
        <v>4206</v>
      </c>
      <c r="M31" s="141">
        <v>4977</v>
      </c>
      <c r="N31" s="141">
        <v>5451</v>
      </c>
      <c r="O31" s="141">
        <v>5731</v>
      </c>
      <c r="P31" s="135">
        <v>6197</v>
      </c>
    </row>
    <row r="32" spans="2:16" s="133" customFormat="1" hidden="1" outlineLevel="2">
      <c r="B32" s="133" t="s">
        <v>256</v>
      </c>
      <c r="C32" s="138" t="s">
        <v>184</v>
      </c>
      <c r="D32" s="141">
        <v>1329</v>
      </c>
      <c r="E32" s="141">
        <v>2154</v>
      </c>
      <c r="F32" s="141">
        <v>2235</v>
      </c>
      <c r="G32" s="141">
        <v>1793</v>
      </c>
      <c r="H32" s="141">
        <v>2205</v>
      </c>
      <c r="I32" s="141">
        <v>2727</v>
      </c>
      <c r="J32" s="141">
        <v>2312</v>
      </c>
      <c r="K32" s="141">
        <v>2891</v>
      </c>
      <c r="L32" s="141">
        <v>3177</v>
      </c>
      <c r="M32" s="141">
        <v>3422</v>
      </c>
      <c r="N32" s="141">
        <v>4247</v>
      </c>
      <c r="O32" s="141">
        <v>4852</v>
      </c>
      <c r="P32" s="135">
        <v>4788</v>
      </c>
    </row>
    <row r="33" spans="2:16" s="133" customFormat="1" hidden="1" outlineLevel="2">
      <c r="B33" s="133" t="s">
        <v>256</v>
      </c>
      <c r="C33" s="138" t="s">
        <v>202</v>
      </c>
      <c r="D33" s="141">
        <v>1257</v>
      </c>
      <c r="E33" s="141">
        <v>1405</v>
      </c>
      <c r="F33" s="141">
        <v>1325</v>
      </c>
      <c r="G33" s="141">
        <v>1629</v>
      </c>
      <c r="H33" s="141">
        <v>1706</v>
      </c>
      <c r="I33" s="141">
        <v>1981</v>
      </c>
      <c r="J33" s="141">
        <v>1803</v>
      </c>
      <c r="K33" s="141">
        <v>2505</v>
      </c>
      <c r="L33" s="141">
        <v>2817</v>
      </c>
      <c r="M33" s="141">
        <v>4298</v>
      </c>
      <c r="N33" s="141">
        <v>3599</v>
      </c>
      <c r="O33" s="141">
        <v>3847</v>
      </c>
      <c r="P33" s="135">
        <v>3695</v>
      </c>
    </row>
    <row r="34" spans="2:16" s="133" customFormat="1" hidden="1" outlineLevel="2">
      <c r="B34" s="133" t="s">
        <v>256</v>
      </c>
      <c r="C34" s="138" t="s">
        <v>185</v>
      </c>
      <c r="D34" s="141">
        <v>941</v>
      </c>
      <c r="E34" s="141">
        <v>1079</v>
      </c>
      <c r="F34" s="141">
        <v>1123</v>
      </c>
      <c r="G34" s="141">
        <v>1109</v>
      </c>
      <c r="H34" s="141">
        <v>1238</v>
      </c>
      <c r="I34" s="141">
        <v>1753</v>
      </c>
      <c r="J34" s="141">
        <v>1140</v>
      </c>
      <c r="K34" s="141">
        <v>2685</v>
      </c>
      <c r="L34" s="141">
        <v>1399</v>
      </c>
      <c r="M34" s="141">
        <v>2215</v>
      </c>
      <c r="N34" s="141">
        <v>2472</v>
      </c>
      <c r="O34" s="141">
        <v>2470</v>
      </c>
      <c r="P34" s="135">
        <v>2504</v>
      </c>
    </row>
    <row r="35" spans="2:16" s="133" customFormat="1" hidden="1" outlineLevel="2">
      <c r="B35" s="133" t="s">
        <v>256</v>
      </c>
      <c r="C35" s="138" t="s">
        <v>186</v>
      </c>
      <c r="D35" s="141">
        <v>2963</v>
      </c>
      <c r="E35" s="141">
        <v>3234</v>
      </c>
      <c r="F35" s="141">
        <v>3255</v>
      </c>
      <c r="G35" s="141">
        <v>2816</v>
      </c>
      <c r="H35" s="141">
        <v>2958</v>
      </c>
      <c r="I35" s="141">
        <v>3153</v>
      </c>
      <c r="J35" s="141">
        <v>1524</v>
      </c>
      <c r="K35" s="141">
        <v>1243</v>
      </c>
      <c r="L35" s="141">
        <v>3991</v>
      </c>
      <c r="M35" s="141">
        <v>3990</v>
      </c>
      <c r="N35" s="141">
        <v>3358</v>
      </c>
      <c r="O35" s="141">
        <v>4010</v>
      </c>
      <c r="P35" s="135">
        <v>5752</v>
      </c>
    </row>
    <row r="36" spans="2:16" s="133" customFormat="1" hidden="1" outlineLevel="2">
      <c r="B36" s="133" t="s">
        <v>256</v>
      </c>
      <c r="C36" s="138" t="s">
        <v>296</v>
      </c>
      <c r="D36" s="141">
        <v>4965</v>
      </c>
      <c r="E36" s="141">
        <v>6631</v>
      </c>
      <c r="F36" s="141">
        <v>7351</v>
      </c>
      <c r="G36" s="141">
        <v>7894</v>
      </c>
      <c r="H36" s="141">
        <v>7918</v>
      </c>
      <c r="I36" s="141">
        <v>8696</v>
      </c>
      <c r="J36" s="141">
        <v>6325</v>
      </c>
      <c r="K36" s="141">
        <v>7090</v>
      </c>
      <c r="L36" s="141">
        <v>6759</v>
      </c>
      <c r="M36" s="141">
        <v>6372</v>
      </c>
      <c r="N36" s="141">
        <v>4691</v>
      </c>
      <c r="O36" s="141">
        <v>5364</v>
      </c>
      <c r="P36" s="135">
        <v>1646</v>
      </c>
    </row>
    <row r="37" spans="2:16" s="133" customFormat="1" hidden="1" outlineLevel="2">
      <c r="B37" s="133" t="s">
        <v>256</v>
      </c>
      <c r="C37" s="138" t="s">
        <v>260</v>
      </c>
      <c r="D37" s="155">
        <v>0</v>
      </c>
      <c r="E37" s="155">
        <v>0</v>
      </c>
      <c r="F37" s="155">
        <v>0</v>
      </c>
      <c r="G37" s="155">
        <v>0</v>
      </c>
      <c r="H37" s="155">
        <v>0</v>
      </c>
      <c r="I37" s="155">
        <v>0</v>
      </c>
      <c r="J37" s="155">
        <v>0</v>
      </c>
      <c r="K37" s="155">
        <v>0</v>
      </c>
      <c r="L37" s="155">
        <v>0</v>
      </c>
      <c r="M37" s="155">
        <v>7200</v>
      </c>
      <c r="N37" s="155">
        <v>10517</v>
      </c>
      <c r="O37" s="155">
        <v>10133</v>
      </c>
      <c r="P37" s="155">
        <v>11030</v>
      </c>
    </row>
    <row r="38" spans="2:16" s="133" customFormat="1" hidden="1" outlineLevel="2">
      <c r="B38" s="133" t="s">
        <v>256</v>
      </c>
      <c r="C38" s="138" t="s">
        <v>178</v>
      </c>
      <c r="D38" s="155">
        <v>520</v>
      </c>
      <c r="E38" s="155">
        <v>175</v>
      </c>
      <c r="F38" s="155">
        <v>0</v>
      </c>
      <c r="G38" s="155">
        <v>239</v>
      </c>
      <c r="H38" s="155">
        <v>-3</v>
      </c>
      <c r="I38" s="155">
        <v>311</v>
      </c>
      <c r="J38" s="155">
        <v>-13</v>
      </c>
      <c r="K38" s="155">
        <v>0</v>
      </c>
      <c r="L38" s="155">
        <v>-69</v>
      </c>
      <c r="M38" s="155">
        <v>0</v>
      </c>
      <c r="N38" s="155">
        <v>0</v>
      </c>
      <c r="O38" s="155">
        <v>0</v>
      </c>
      <c r="P38" s="155">
        <v>276</v>
      </c>
    </row>
    <row r="39" spans="2:16" s="133" customFormat="1" outlineLevel="1" collapsed="1">
      <c r="B39" s="106" t="s">
        <v>289</v>
      </c>
      <c r="C39" s="138"/>
      <c r="D39" s="159">
        <f t="shared" ref="D39:O39" si="2">SUBTOTAL(9,D30:D38)</f>
        <v>15730</v>
      </c>
      <c r="E39" s="159">
        <f t="shared" si="2"/>
        <v>18712</v>
      </c>
      <c r="F39" s="159">
        <f t="shared" si="2"/>
        <v>19410</v>
      </c>
      <c r="G39" s="159">
        <f t="shared" si="2"/>
        <v>19364</v>
      </c>
      <c r="H39" s="159">
        <f t="shared" si="2"/>
        <v>19987</v>
      </c>
      <c r="I39" s="159">
        <f t="shared" si="2"/>
        <v>22484</v>
      </c>
      <c r="J39" s="159">
        <f t="shared" si="2"/>
        <v>17007</v>
      </c>
      <c r="K39" s="159">
        <f t="shared" si="2"/>
        <v>22613</v>
      </c>
      <c r="L39" s="159">
        <f t="shared" si="2"/>
        <v>23448</v>
      </c>
      <c r="M39" s="159">
        <f t="shared" si="2"/>
        <v>33738</v>
      </c>
      <c r="N39" s="159">
        <f t="shared" si="2"/>
        <v>35909</v>
      </c>
      <c r="O39" s="159">
        <f t="shared" si="2"/>
        <v>38215</v>
      </c>
      <c r="P39" s="159">
        <f t="shared" ref="P39" si="3">SUBTOTAL(9,P30:P38)</f>
        <v>37609</v>
      </c>
    </row>
    <row r="40" spans="2:16" s="133" customFormat="1" outlineLevel="1">
      <c r="C40" s="138"/>
      <c r="D40" s="141"/>
      <c r="E40" s="141"/>
      <c r="F40" s="141"/>
      <c r="G40" s="141"/>
      <c r="H40" s="141"/>
      <c r="I40" s="141"/>
      <c r="J40" s="141"/>
      <c r="K40" s="141"/>
      <c r="L40" s="141"/>
      <c r="M40" s="141"/>
      <c r="N40" s="141"/>
      <c r="O40" s="141"/>
    </row>
    <row r="41" spans="2:16" s="30" customFormat="1" hidden="1" outlineLevel="2">
      <c r="B41" s="138" t="s">
        <v>172</v>
      </c>
      <c r="C41" s="138" t="s">
        <v>172</v>
      </c>
      <c r="D41" s="140">
        <v>0</v>
      </c>
      <c r="E41" s="140">
        <v>0</v>
      </c>
      <c r="F41" s="140">
        <v>0</v>
      </c>
      <c r="G41" s="140">
        <v>0</v>
      </c>
      <c r="H41" s="140">
        <v>1330</v>
      </c>
      <c r="I41" s="140">
        <v>365</v>
      </c>
      <c r="J41" s="140">
        <v>357</v>
      </c>
      <c r="K41" s="140">
        <v>2323</v>
      </c>
      <c r="L41" s="140">
        <v>1015</v>
      </c>
      <c r="M41" s="140">
        <v>13640</v>
      </c>
      <c r="N41" s="140">
        <v>-5676</v>
      </c>
      <c r="O41" s="140">
        <v>2803</v>
      </c>
      <c r="P41" s="140">
        <v>25825</v>
      </c>
    </row>
    <row r="42" spans="2:16" s="30" customFormat="1" outlineLevel="1" collapsed="1">
      <c r="B42" s="70" t="s">
        <v>290</v>
      </c>
      <c r="C42" s="138"/>
      <c r="D42" s="159">
        <f t="shared" ref="D42:O42" si="4">SUBTOTAL(9,D41:D41)</f>
        <v>0</v>
      </c>
      <c r="E42" s="159">
        <f t="shared" si="4"/>
        <v>0</v>
      </c>
      <c r="F42" s="159">
        <f t="shared" si="4"/>
        <v>0</v>
      </c>
      <c r="G42" s="159">
        <f t="shared" si="4"/>
        <v>0</v>
      </c>
      <c r="H42" s="159">
        <f t="shared" si="4"/>
        <v>1330</v>
      </c>
      <c r="I42" s="159">
        <f t="shared" si="4"/>
        <v>365</v>
      </c>
      <c r="J42" s="159">
        <f t="shared" si="4"/>
        <v>357</v>
      </c>
      <c r="K42" s="159">
        <f t="shared" si="4"/>
        <v>2323</v>
      </c>
      <c r="L42" s="159">
        <f t="shared" si="4"/>
        <v>1015</v>
      </c>
      <c r="M42" s="159">
        <f t="shared" si="4"/>
        <v>13640</v>
      </c>
      <c r="N42" s="159">
        <f t="shared" si="4"/>
        <v>-5676</v>
      </c>
      <c r="O42" s="159">
        <f t="shared" si="4"/>
        <v>2803</v>
      </c>
      <c r="P42" s="159">
        <f t="shared" ref="P42" si="5">SUBTOTAL(9,P41:P41)</f>
        <v>25825</v>
      </c>
    </row>
    <row r="43" spans="2:16" s="30" customFormat="1" outlineLevel="1">
      <c r="B43" s="70"/>
      <c r="C43" s="138"/>
      <c r="D43" s="161"/>
      <c r="E43" s="161"/>
      <c r="F43" s="161"/>
      <c r="G43" s="161"/>
      <c r="H43" s="161"/>
      <c r="I43" s="161"/>
      <c r="J43" s="161"/>
      <c r="K43" s="161"/>
      <c r="L43" s="161"/>
      <c r="M43" s="161"/>
      <c r="N43" s="161"/>
      <c r="O43" s="161"/>
      <c r="P43" s="161"/>
    </row>
    <row r="44" spans="2:16" s="30" customFormat="1">
      <c r="B44" s="70" t="s">
        <v>286</v>
      </c>
      <c r="C44" s="138"/>
      <c r="D44" s="159">
        <f>SUBTOTAL(9,D21:D42)</f>
        <v>33047</v>
      </c>
      <c r="E44" s="159">
        <f t="shared" ref="E44:O44" si="6">SUBTOTAL(9,E21:E42)</f>
        <v>37477</v>
      </c>
      <c r="F44" s="159">
        <f t="shared" si="6"/>
        <v>40393</v>
      </c>
      <c r="G44" s="159">
        <f t="shared" si="6"/>
        <v>42208</v>
      </c>
      <c r="H44" s="159">
        <f t="shared" si="6"/>
        <v>43478</v>
      </c>
      <c r="I44" s="159">
        <f t="shared" si="6"/>
        <v>46000</v>
      </c>
      <c r="J44" s="159">
        <f t="shared" si="6"/>
        <v>36591</v>
      </c>
      <c r="K44" s="159">
        <f t="shared" si="6"/>
        <v>51875</v>
      </c>
      <c r="L44" s="159">
        <f t="shared" si="6"/>
        <v>52793</v>
      </c>
      <c r="M44" s="159">
        <f t="shared" si="6"/>
        <v>77699</v>
      </c>
      <c r="N44" s="159">
        <f t="shared" si="6"/>
        <v>64920</v>
      </c>
      <c r="O44" s="159">
        <f t="shared" si="6"/>
        <v>83707</v>
      </c>
      <c r="P44" s="159">
        <f t="shared" ref="P44" si="7">SUBTOTAL(9,P21:P42)</f>
        <v>104486</v>
      </c>
    </row>
    <row r="45" spans="2:16" s="106" customFormat="1">
      <c r="B45" s="138"/>
      <c r="C45" s="138"/>
      <c r="D45" s="141"/>
      <c r="E45" s="141"/>
      <c r="F45" s="141"/>
      <c r="G45" s="141"/>
      <c r="H45" s="141"/>
      <c r="I45" s="141"/>
      <c r="J45" s="141"/>
      <c r="K45" s="141"/>
      <c r="L45" s="141"/>
      <c r="M45" s="141"/>
      <c r="N45" s="141"/>
      <c r="O45" s="141"/>
    </row>
    <row r="46" spans="2:16" s="106" customFormat="1">
      <c r="B46" s="138" t="s">
        <v>1123</v>
      </c>
      <c r="C46" s="138"/>
      <c r="D46" s="159">
        <f t="shared" ref="D46:N46" si="8">D48-D25-D28-D39</f>
        <v>0</v>
      </c>
      <c r="E46" s="159">
        <f t="shared" si="8"/>
        <v>0</v>
      </c>
      <c r="F46" s="159">
        <f t="shared" si="8"/>
        <v>0</v>
      </c>
      <c r="G46" s="159">
        <f>G48-G25-G28-G39</f>
        <v>0</v>
      </c>
      <c r="H46" s="159">
        <f t="shared" si="8"/>
        <v>0</v>
      </c>
      <c r="I46" s="159">
        <f t="shared" si="8"/>
        <v>0</v>
      </c>
      <c r="J46" s="159">
        <f t="shared" si="8"/>
        <v>0</v>
      </c>
      <c r="K46" s="159">
        <f t="shared" si="8"/>
        <v>0</v>
      </c>
      <c r="L46" s="159">
        <f t="shared" si="8"/>
        <v>0</v>
      </c>
      <c r="M46" s="159">
        <f t="shared" si="8"/>
        <v>0</v>
      </c>
      <c r="N46" s="159">
        <f t="shared" si="8"/>
        <v>0</v>
      </c>
      <c r="O46" s="159">
        <f>O48-O25-O28-O39</f>
        <v>0</v>
      </c>
      <c r="P46" s="159">
        <f>P48-P25-P28-P39</f>
        <v>0</v>
      </c>
    </row>
    <row r="47" spans="2:16" s="106" customFormat="1">
      <c r="B47" s="138"/>
      <c r="C47" s="138"/>
      <c r="D47" s="141"/>
      <c r="E47" s="141"/>
      <c r="F47" s="141"/>
      <c r="G47" s="141"/>
      <c r="H47" s="141"/>
      <c r="I47" s="141"/>
      <c r="J47" s="141"/>
      <c r="K47" s="141"/>
      <c r="L47" s="141"/>
      <c r="M47" s="141"/>
      <c r="N47" s="141"/>
      <c r="O47" s="141"/>
    </row>
    <row r="48" spans="2:16" s="30" customFormat="1">
      <c r="B48" s="138" t="s">
        <v>1316</v>
      </c>
      <c r="C48" s="138"/>
      <c r="D48" s="141">
        <v>33047</v>
      </c>
      <c r="E48" s="141">
        <v>37477</v>
      </c>
      <c r="F48" s="141">
        <v>40393</v>
      </c>
      <c r="G48" s="141">
        <v>42208</v>
      </c>
      <c r="H48" s="141">
        <v>42148</v>
      </c>
      <c r="I48" s="141">
        <v>45635</v>
      </c>
      <c r="J48" s="141">
        <v>36234</v>
      </c>
      <c r="K48" s="141">
        <v>49552</v>
      </c>
      <c r="L48" s="141">
        <v>51778</v>
      </c>
      <c r="M48" s="141">
        <v>64059</v>
      </c>
      <c r="N48" s="141">
        <v>70596</v>
      </c>
      <c r="O48" s="141">
        <v>80904</v>
      </c>
      <c r="P48" s="102">
        <v>78661</v>
      </c>
    </row>
    <row r="49" spans="1:16" s="122" customFormat="1">
      <c r="B49" s="168"/>
      <c r="C49" s="168"/>
      <c r="D49" s="161"/>
      <c r="E49" s="161"/>
      <c r="F49" s="161"/>
      <c r="G49" s="161"/>
      <c r="H49" s="161"/>
      <c r="I49" s="161"/>
      <c r="J49" s="161"/>
      <c r="K49" s="161"/>
      <c r="L49" s="161"/>
      <c r="M49" s="161"/>
      <c r="N49" s="161"/>
      <c r="O49" s="161"/>
      <c r="P49" s="234"/>
    </row>
    <row r="50" spans="1:16" s="106" customFormat="1">
      <c r="B50" s="138" t="s">
        <v>1317</v>
      </c>
      <c r="C50" s="138"/>
      <c r="D50" s="159">
        <f t="shared" ref="D50:M50" si="9">D48+D42</f>
        <v>33047</v>
      </c>
      <c r="E50" s="159">
        <f t="shared" si="9"/>
        <v>37477</v>
      </c>
      <c r="F50" s="159">
        <f t="shared" si="9"/>
        <v>40393</v>
      </c>
      <c r="G50" s="159">
        <f t="shared" si="9"/>
        <v>42208</v>
      </c>
      <c r="H50" s="159">
        <f t="shared" si="9"/>
        <v>43478</v>
      </c>
      <c r="I50" s="159">
        <f t="shared" si="9"/>
        <v>46000</v>
      </c>
      <c r="J50" s="159">
        <f t="shared" si="9"/>
        <v>36591</v>
      </c>
      <c r="K50" s="159">
        <f t="shared" si="9"/>
        <v>51875</v>
      </c>
      <c r="L50" s="159">
        <f t="shared" si="9"/>
        <v>52793</v>
      </c>
      <c r="M50" s="159">
        <f t="shared" si="9"/>
        <v>77699</v>
      </c>
      <c r="N50" s="159">
        <f>N48+N42</f>
        <v>64920</v>
      </c>
      <c r="O50" s="159">
        <f>O48+O42</f>
        <v>83707</v>
      </c>
      <c r="P50" s="159">
        <f>P48+P42</f>
        <v>104486</v>
      </c>
    </row>
    <row r="51" spans="1:16" s="106" customFormat="1">
      <c r="B51" s="138"/>
      <c r="C51" s="138"/>
      <c r="D51" s="141"/>
      <c r="E51" s="141"/>
      <c r="F51" s="141"/>
      <c r="G51" s="141"/>
      <c r="H51" s="141"/>
      <c r="I51" s="141"/>
      <c r="J51" s="141"/>
      <c r="K51" s="141"/>
      <c r="L51" s="141"/>
      <c r="M51" s="141"/>
      <c r="N51" s="141"/>
      <c r="O51" s="141"/>
      <c r="P51" s="141"/>
    </row>
    <row r="52" spans="1:16" s="30" customFormat="1">
      <c r="A52" s="122"/>
      <c r="B52" s="138" t="s">
        <v>1131</v>
      </c>
      <c r="C52" s="138"/>
      <c r="D52" s="159">
        <f>D48-D28-D37-D38-D30</f>
        <v>26635</v>
      </c>
      <c r="E52" s="159">
        <f t="shared" ref="E52:O52" si="10">E48-E28-E37-E38-E30</f>
        <v>30884</v>
      </c>
      <c r="F52" s="159">
        <f t="shared" si="10"/>
        <v>33261</v>
      </c>
      <c r="G52" s="159">
        <f t="shared" si="10"/>
        <v>34849</v>
      </c>
      <c r="H52" s="159">
        <f t="shared" si="10"/>
        <v>35687</v>
      </c>
      <c r="I52" s="159">
        <f t="shared" si="10"/>
        <v>37924</v>
      </c>
      <c r="J52" s="159">
        <f t="shared" si="10"/>
        <v>29227</v>
      </c>
      <c r="K52" s="159">
        <f t="shared" si="10"/>
        <v>39950</v>
      </c>
      <c r="L52" s="159">
        <f t="shared" si="10"/>
        <v>40793</v>
      </c>
      <c r="M52" s="159">
        <f t="shared" si="10"/>
        <v>42982</v>
      </c>
      <c r="N52" s="159">
        <f t="shared" si="10"/>
        <v>43239</v>
      </c>
      <c r="O52" s="159">
        <f t="shared" si="10"/>
        <v>48272</v>
      </c>
      <c r="P52" s="159">
        <f t="shared" ref="P52" si="11">P48-P28-P37-P38-P30</f>
        <v>48937</v>
      </c>
    </row>
    <row r="53" spans="1:16" s="106" customFormat="1">
      <c r="B53" s="138"/>
      <c r="C53" s="138"/>
      <c r="D53" s="141"/>
      <c r="E53" s="141"/>
      <c r="F53" s="141"/>
      <c r="G53" s="141"/>
      <c r="H53" s="141"/>
      <c r="I53" s="141"/>
      <c r="J53" s="141"/>
      <c r="K53" s="141"/>
      <c r="L53" s="141"/>
      <c r="M53" s="141"/>
      <c r="N53" s="141"/>
      <c r="O53" s="141"/>
      <c r="P53" s="141"/>
    </row>
    <row r="54" spans="1:16" s="133" customFormat="1">
      <c r="B54" s="138" t="s">
        <v>292</v>
      </c>
      <c r="C54" s="138"/>
      <c r="D54" s="141">
        <v>50915</v>
      </c>
      <c r="E54" s="141">
        <v>57574</v>
      </c>
      <c r="F54" s="141">
        <v>62034</v>
      </c>
      <c r="G54" s="141">
        <v>65074</v>
      </c>
      <c r="H54" s="141">
        <v>70971</v>
      </c>
      <c r="I54" s="141">
        <v>77381</v>
      </c>
      <c r="J54" s="141">
        <v>63491</v>
      </c>
      <c r="K54" s="141">
        <v>87223</v>
      </c>
      <c r="L54" s="141">
        <v>90290</v>
      </c>
      <c r="M54" s="141">
        <v>97208</v>
      </c>
      <c r="N54" s="141">
        <v>98857</v>
      </c>
      <c r="O54" s="141">
        <v>110010</v>
      </c>
      <c r="P54" s="141">
        <v>110006</v>
      </c>
    </row>
    <row r="55" spans="1:16" s="133" customFormat="1">
      <c r="B55" s="138"/>
      <c r="C55" s="138"/>
      <c r="D55" s="141"/>
      <c r="E55" s="141"/>
      <c r="F55" s="141"/>
      <c r="G55" s="141"/>
      <c r="H55" s="141"/>
      <c r="I55" s="141"/>
      <c r="J55" s="141"/>
      <c r="K55" s="141"/>
      <c r="L55" s="141"/>
      <c r="M55" s="141"/>
      <c r="N55" s="141"/>
      <c r="O55" s="141"/>
      <c r="P55" s="141"/>
    </row>
    <row r="56" spans="1:16">
      <c r="B56" s="138" t="s">
        <v>1321</v>
      </c>
      <c r="C56" s="138"/>
      <c r="D56" s="159">
        <f t="shared" ref="D56:O56" si="12">D54-D48</f>
        <v>17868</v>
      </c>
      <c r="E56" s="159">
        <f t="shared" si="12"/>
        <v>20097</v>
      </c>
      <c r="F56" s="159">
        <f t="shared" si="12"/>
        <v>21641</v>
      </c>
      <c r="G56" s="159">
        <f t="shared" si="12"/>
        <v>22866</v>
      </c>
      <c r="H56" s="159">
        <f t="shared" si="12"/>
        <v>28823</v>
      </c>
      <c r="I56" s="159">
        <f t="shared" si="12"/>
        <v>31746</v>
      </c>
      <c r="J56" s="159">
        <f t="shared" si="12"/>
        <v>27257</v>
      </c>
      <c r="K56" s="159">
        <f t="shared" si="12"/>
        <v>37671</v>
      </c>
      <c r="L56" s="159">
        <f t="shared" si="12"/>
        <v>38512</v>
      </c>
      <c r="M56" s="159">
        <f t="shared" si="12"/>
        <v>33149</v>
      </c>
      <c r="N56" s="159">
        <f t="shared" si="12"/>
        <v>28261</v>
      </c>
      <c r="O56" s="159">
        <f t="shared" si="12"/>
        <v>29106</v>
      </c>
      <c r="P56" s="159">
        <f t="shared" ref="P56" si="13">P54-P48</f>
        <v>31345</v>
      </c>
    </row>
    <row r="57" spans="1:16" s="182" customFormat="1">
      <c r="B57" s="176"/>
      <c r="C57" s="181"/>
      <c r="D57" s="175"/>
      <c r="E57" s="175"/>
      <c r="F57" s="175"/>
      <c r="G57" s="175"/>
      <c r="H57" s="175"/>
      <c r="I57" s="175"/>
      <c r="J57" s="175"/>
      <c r="K57" s="175"/>
      <c r="L57" s="175"/>
      <c r="M57" s="175"/>
      <c r="N57" s="175"/>
      <c r="O57" s="175"/>
      <c r="P57" s="175"/>
    </row>
    <row r="58" spans="1:16">
      <c r="B58" s="138" t="s">
        <v>1206</v>
      </c>
      <c r="C58" s="138"/>
      <c r="D58" s="162">
        <f>D56/D54</f>
        <v>0.35093783757242464</v>
      </c>
      <c r="E58" s="162">
        <f t="shared" ref="E58:O58" si="14">E56/E54</f>
        <v>0.34906381352693927</v>
      </c>
      <c r="F58" s="162">
        <f t="shared" si="14"/>
        <v>0.34885707837637425</v>
      </c>
      <c r="G58" s="162">
        <f t="shared" si="14"/>
        <v>0.35138457755785724</v>
      </c>
      <c r="H58" s="162">
        <f t="shared" si="14"/>
        <v>0.40612362796071633</v>
      </c>
      <c r="I58" s="162">
        <f t="shared" si="14"/>
        <v>0.41025574753492461</v>
      </c>
      <c r="J58" s="162">
        <f t="shared" si="14"/>
        <v>0.42930494085775939</v>
      </c>
      <c r="K58" s="162">
        <f t="shared" si="14"/>
        <v>0.4318929640117859</v>
      </c>
      <c r="L58" s="162">
        <f t="shared" si="14"/>
        <v>0.42653671502934987</v>
      </c>
      <c r="M58" s="162">
        <f t="shared" si="14"/>
        <v>0.34101102789893833</v>
      </c>
      <c r="N58" s="162">
        <f t="shared" si="14"/>
        <v>0.28587758074794906</v>
      </c>
      <c r="O58" s="162">
        <f t="shared" si="14"/>
        <v>0.26457594764112352</v>
      </c>
      <c r="P58" s="162">
        <f t="shared" ref="P58" si="15">P56/P54</f>
        <v>0.28493900332709127</v>
      </c>
    </row>
    <row r="59" spans="1:16">
      <c r="B59" s="154"/>
      <c r="C59" s="154"/>
      <c r="D59" s="141"/>
      <c r="E59" s="141"/>
      <c r="F59" s="141"/>
      <c r="G59" s="141"/>
      <c r="H59" s="141"/>
      <c r="I59" s="141"/>
      <c r="J59" s="141"/>
      <c r="K59" s="141"/>
      <c r="L59" s="141"/>
      <c r="M59" s="141"/>
      <c r="N59" s="141"/>
      <c r="O59" s="141"/>
    </row>
    <row r="60" spans="1:16">
      <c r="B60" s="90" t="s">
        <v>228</v>
      </c>
      <c r="D60" s="95">
        <f>'UK Analysis'!C66</f>
        <v>5604877</v>
      </c>
      <c r="E60" s="95">
        <f>'UK Analysis'!D66</f>
        <v>6254198</v>
      </c>
      <c r="F60" s="95">
        <f>'UK Analysis'!E66</f>
        <v>7071563</v>
      </c>
      <c r="G60" s="95">
        <f>'UK Analysis'!F66</f>
        <v>7576192</v>
      </c>
      <c r="H60" s="95">
        <f>'UK Analysis'!G66</f>
        <v>8040975</v>
      </c>
      <c r="I60" s="95">
        <f>'UK Analysis'!H66</f>
        <v>8492266</v>
      </c>
      <c r="J60" s="95">
        <f>'UK Analysis'!I66</f>
        <v>6792799</v>
      </c>
      <c r="K60" s="95">
        <f>'UK Analysis'!J66</f>
        <v>9037200</v>
      </c>
      <c r="L60" s="95">
        <f>'UK Analysis'!K66</f>
        <v>8992178</v>
      </c>
      <c r="M60" s="95">
        <f>'UK Analysis'!L66</f>
        <v>9043452</v>
      </c>
      <c r="N60" s="95">
        <f>'UK Analysis'!M66</f>
        <v>8594449</v>
      </c>
      <c r="O60" s="95">
        <f>'UK Analysis'!N66</f>
        <v>9383695</v>
      </c>
      <c r="P60" s="95">
        <f>'UK Analysis'!O66</f>
        <v>9194239</v>
      </c>
    </row>
    <row r="61" spans="1:16">
      <c r="B61" s="90" t="s">
        <v>264</v>
      </c>
      <c r="D61" s="95">
        <f>'UK Analysis'!C82</f>
        <v>87893</v>
      </c>
      <c r="E61" s="95">
        <f>'UK Analysis'!D82</f>
        <v>100771</v>
      </c>
      <c r="F61" s="95">
        <f>'UK Analysis'!E82</f>
        <v>105230</v>
      </c>
      <c r="G61" s="95">
        <f>'UK Analysis'!F82</f>
        <v>106779</v>
      </c>
      <c r="H61" s="95">
        <f>'UK Analysis'!G82</f>
        <v>111722</v>
      </c>
      <c r="I61" s="95">
        <f>'UK Analysis'!H82</f>
        <v>116442</v>
      </c>
      <c r="J61" s="95">
        <f>'UK Analysis'!I82</f>
        <v>88551</v>
      </c>
      <c r="K61" s="95">
        <f>'UK Analysis'!J82</f>
        <v>115190</v>
      </c>
      <c r="L61" s="95">
        <f>'UK Analysis'!K82</f>
        <v>113535</v>
      </c>
      <c r="M61" s="95">
        <f>'UK Analysis'!L82</f>
        <v>106477</v>
      </c>
      <c r="N61" s="95">
        <f>'UK Analysis'!M82</f>
        <v>100584</v>
      </c>
      <c r="O61" s="95">
        <f>'UK Analysis'!N82</f>
        <v>105371</v>
      </c>
      <c r="P61" s="95">
        <f>'UK Analysis'!O82</f>
        <v>104747</v>
      </c>
    </row>
    <row r="62" spans="1:16">
      <c r="B62" s="111" t="s">
        <v>210</v>
      </c>
      <c r="C62" s="111"/>
      <c r="D62" s="140">
        <v>390</v>
      </c>
      <c r="E62" s="140">
        <v>383</v>
      </c>
      <c r="F62" s="140">
        <v>405</v>
      </c>
      <c r="G62" s="140">
        <v>429</v>
      </c>
      <c r="H62" s="140">
        <v>406</v>
      </c>
      <c r="I62" s="140">
        <v>387</v>
      </c>
      <c r="J62" s="140">
        <v>423</v>
      </c>
      <c r="K62" s="140">
        <v>446</v>
      </c>
      <c r="L62" s="140">
        <v>413</v>
      </c>
      <c r="M62" s="140">
        <v>413</v>
      </c>
      <c r="N62" s="140">
        <v>431</v>
      </c>
      <c r="O62" s="140">
        <v>454</v>
      </c>
      <c r="P62" s="140">
        <v>455</v>
      </c>
    </row>
    <row r="63" spans="1:16">
      <c r="B63" s="154"/>
      <c r="C63" s="154"/>
      <c r="D63" s="141"/>
      <c r="E63" s="141"/>
      <c r="F63" s="141"/>
      <c r="G63" s="141"/>
      <c r="H63" s="141"/>
      <c r="I63" s="141"/>
      <c r="J63" s="141"/>
      <c r="K63" s="141"/>
      <c r="L63" s="141"/>
      <c r="M63" s="141"/>
      <c r="N63" s="141"/>
      <c r="O63" s="141"/>
    </row>
    <row r="64" spans="1:16">
      <c r="B64" s="153" t="s">
        <v>302</v>
      </c>
      <c r="C64" s="94"/>
      <c r="D64" s="94"/>
      <c r="E64" s="94"/>
      <c r="F64" s="94"/>
      <c r="G64" s="94"/>
      <c r="H64" s="94"/>
      <c r="I64" s="94"/>
      <c r="J64" s="94"/>
      <c r="K64" s="94"/>
      <c r="L64" s="94"/>
      <c r="M64" s="94"/>
      <c r="N64" s="94"/>
      <c r="O64" s="94"/>
      <c r="P64" s="94"/>
    </row>
    <row r="66" spans="2:16">
      <c r="B66" s="90" t="s">
        <v>1127</v>
      </c>
      <c r="D66" s="192">
        <f t="shared" ref="D66:O66" si="16">(D50/D60)*1000</f>
        <v>5.8961151154610523</v>
      </c>
      <c r="E66" s="192">
        <f t="shared" si="16"/>
        <v>5.9922950952304355</v>
      </c>
      <c r="F66" s="192">
        <f t="shared" si="16"/>
        <v>5.7120328278203836</v>
      </c>
      <c r="G66" s="192">
        <f t="shared" si="16"/>
        <v>5.5711365287468952</v>
      </c>
      <c r="H66" s="192">
        <f t="shared" si="16"/>
        <v>5.4070557364001255</v>
      </c>
      <c r="I66" s="192">
        <f t="shared" si="16"/>
        <v>5.4166932594904589</v>
      </c>
      <c r="J66" s="192">
        <f t="shared" si="16"/>
        <v>5.38673380443025</v>
      </c>
      <c r="K66" s="192">
        <f t="shared" si="16"/>
        <v>5.7401628823086792</v>
      </c>
      <c r="L66" s="192">
        <f t="shared" si="16"/>
        <v>5.8709914327763526</v>
      </c>
      <c r="M66" s="192">
        <f t="shared" si="16"/>
        <v>8.5917412952487613</v>
      </c>
      <c r="N66" s="192">
        <f t="shared" si="16"/>
        <v>7.5537128674566576</v>
      </c>
      <c r="O66" s="192">
        <f t="shared" si="16"/>
        <v>8.920473225099494</v>
      </c>
      <c r="P66" s="192">
        <f t="shared" ref="P66" si="17">(P50/P60)*1000</f>
        <v>11.364290182145581</v>
      </c>
    </row>
    <row r="67" spans="2:16">
      <c r="B67" s="90" t="s">
        <v>299</v>
      </c>
      <c r="D67" s="192">
        <f t="shared" ref="D67:O67" si="18">(D48/D60)*1000</f>
        <v>5.8961151154610523</v>
      </c>
      <c r="E67" s="192">
        <f t="shared" si="18"/>
        <v>5.9922950952304355</v>
      </c>
      <c r="F67" s="192">
        <f t="shared" si="18"/>
        <v>5.7120328278203836</v>
      </c>
      <c r="G67" s="192">
        <f t="shared" si="18"/>
        <v>5.5711365287468952</v>
      </c>
      <c r="H67" s="192">
        <f t="shared" si="18"/>
        <v>5.2416529090066808</v>
      </c>
      <c r="I67" s="192">
        <f t="shared" si="18"/>
        <v>5.3737129760184148</v>
      </c>
      <c r="J67" s="192">
        <f t="shared" si="18"/>
        <v>5.3341781495374736</v>
      </c>
      <c r="K67" s="192">
        <f t="shared" si="18"/>
        <v>5.4831142389235605</v>
      </c>
      <c r="L67" s="192">
        <f t="shared" si="18"/>
        <v>5.7581155533175616</v>
      </c>
      <c r="M67" s="192">
        <f t="shared" si="18"/>
        <v>7.083467684685008</v>
      </c>
      <c r="N67" s="192">
        <f t="shared" si="18"/>
        <v>8.2141391495836444</v>
      </c>
      <c r="O67" s="192">
        <f t="shared" si="18"/>
        <v>8.6217636016515886</v>
      </c>
      <c r="P67" s="192">
        <f t="shared" ref="P67" si="19">(P48/P60)*1000</f>
        <v>8.5554660913208807</v>
      </c>
    </row>
    <row r="68" spans="2:16">
      <c r="B68" s="90" t="s">
        <v>300</v>
      </c>
      <c r="D68" s="192">
        <f t="shared" ref="D68:O68" si="20">(D52/D60)*1000</f>
        <v>4.7521114201078811</v>
      </c>
      <c r="E68" s="192">
        <f t="shared" si="20"/>
        <v>4.9381231614349268</v>
      </c>
      <c r="F68" s="192">
        <f t="shared" si="20"/>
        <v>4.7034863438252614</v>
      </c>
      <c r="G68" s="192">
        <f t="shared" si="20"/>
        <v>4.5998042288263026</v>
      </c>
      <c r="H68" s="192">
        <f t="shared" si="20"/>
        <v>4.4381433843532658</v>
      </c>
      <c r="I68" s="192">
        <f t="shared" si="20"/>
        <v>4.4657103298460035</v>
      </c>
      <c r="J68" s="192">
        <f t="shared" si="20"/>
        <v>4.3026446093870883</v>
      </c>
      <c r="K68" s="192">
        <f t="shared" si="20"/>
        <v>4.4206170052671183</v>
      </c>
      <c r="L68" s="192">
        <f t="shared" si="20"/>
        <v>4.5364982766132966</v>
      </c>
      <c r="M68" s="192">
        <f t="shared" si="20"/>
        <v>4.7528311091826438</v>
      </c>
      <c r="N68" s="192">
        <f t="shared" si="20"/>
        <v>5.031038057239039</v>
      </c>
      <c r="O68" s="192">
        <f t="shared" si="20"/>
        <v>5.1442422201488851</v>
      </c>
      <c r="P68" s="192">
        <f t="shared" ref="P68" si="21">(P52/P60)*1000</f>
        <v>5.3225721019434022</v>
      </c>
    </row>
    <row r="69" spans="2:16">
      <c r="B69" s="90" t="s">
        <v>265</v>
      </c>
      <c r="D69" s="192">
        <f t="shared" ref="D69:O69" si="22">D25*1000/D60</f>
        <v>2.0384033405193369</v>
      </c>
      <c r="E69" s="192">
        <f t="shared" si="22"/>
        <v>2.0130478760026467</v>
      </c>
      <c r="F69" s="192">
        <f t="shared" si="22"/>
        <v>2.0038002913924404</v>
      </c>
      <c r="G69" s="192">
        <f t="shared" si="22"/>
        <v>2.0808606751254457</v>
      </c>
      <c r="H69" s="192">
        <f t="shared" si="22"/>
        <v>1.9558573431704489</v>
      </c>
      <c r="I69" s="192">
        <f t="shared" si="22"/>
        <v>1.8600453636285061</v>
      </c>
      <c r="J69" s="192">
        <f t="shared" si="22"/>
        <v>1.9307210473915097</v>
      </c>
      <c r="K69" s="192">
        <f t="shared" si="22"/>
        <v>2.0379099721152572</v>
      </c>
      <c r="L69" s="192">
        <f t="shared" si="22"/>
        <v>2.0511159810226176</v>
      </c>
      <c r="M69" s="192">
        <f t="shared" si="22"/>
        <v>1.9581018398726504</v>
      </c>
      <c r="N69" s="192">
        <f t="shared" si="22"/>
        <v>2.2597143807590223</v>
      </c>
      <c r="O69" s="192">
        <f t="shared" si="22"/>
        <v>2.3442790926175672</v>
      </c>
      <c r="P69" s="192">
        <f t="shared" ref="P69" si="23">P25*1000/P60</f>
        <v>2.6489413642608159</v>
      </c>
    </row>
    <row r="70" spans="2:16">
      <c r="B70" s="111" t="s">
        <v>1136</v>
      </c>
      <c r="C70" s="111"/>
      <c r="D70" s="165">
        <f t="shared" ref="D70:O70" si="24">D25/D62*1000</f>
        <v>29294.871794871797</v>
      </c>
      <c r="E70" s="165">
        <f t="shared" si="24"/>
        <v>32872.062663185381</v>
      </c>
      <c r="F70" s="165">
        <f t="shared" si="24"/>
        <v>34987.654320987655</v>
      </c>
      <c r="G70" s="165">
        <f t="shared" si="24"/>
        <v>36748.251748251743</v>
      </c>
      <c r="H70" s="165">
        <f t="shared" si="24"/>
        <v>38736.453201970442</v>
      </c>
      <c r="I70" s="165">
        <f t="shared" si="24"/>
        <v>40816.537467700255</v>
      </c>
      <c r="J70" s="165">
        <f t="shared" si="24"/>
        <v>31004.728132387707</v>
      </c>
      <c r="K70" s="165">
        <f t="shared" si="24"/>
        <v>41293.721973094172</v>
      </c>
      <c r="L70" s="165">
        <f t="shared" si="24"/>
        <v>44658.595641646491</v>
      </c>
      <c r="M70" s="165">
        <f t="shared" si="24"/>
        <v>42876.513317191282</v>
      </c>
      <c r="N70" s="165">
        <f t="shared" si="24"/>
        <v>45060.324825986077</v>
      </c>
      <c r="O70" s="165">
        <f t="shared" si="24"/>
        <v>48453.744493392071</v>
      </c>
      <c r="P70" s="165">
        <f t="shared" ref="P70" si="25">P25/P62*1000</f>
        <v>53527.472527472528</v>
      </c>
    </row>
    <row r="71" spans="2:16">
      <c r="B71" s="111" t="s">
        <v>1135</v>
      </c>
      <c r="C71" s="111"/>
      <c r="D71" s="140">
        <f t="shared" ref="D71:O71" si="26">D60/D62</f>
        <v>14371.479487179487</v>
      </c>
      <c r="E71" s="140">
        <f t="shared" si="26"/>
        <v>16329.498694516971</v>
      </c>
      <c r="F71" s="140">
        <f t="shared" si="26"/>
        <v>17460.649382716048</v>
      </c>
      <c r="G71" s="140">
        <f t="shared" si="26"/>
        <v>17660.121212121212</v>
      </c>
      <c r="H71" s="140">
        <f t="shared" si="26"/>
        <v>19805.357142857141</v>
      </c>
      <c r="I71" s="140">
        <f t="shared" si="26"/>
        <v>21943.839793281655</v>
      </c>
      <c r="J71" s="140">
        <f t="shared" si="26"/>
        <v>16058.626477541371</v>
      </c>
      <c r="K71" s="140">
        <f t="shared" si="26"/>
        <v>20262.780269058298</v>
      </c>
      <c r="L71" s="140">
        <f t="shared" si="26"/>
        <v>21772.828087167069</v>
      </c>
      <c r="M71" s="140">
        <f t="shared" si="26"/>
        <v>21896.978208232445</v>
      </c>
      <c r="N71" s="140">
        <f t="shared" si="26"/>
        <v>19940.716937354988</v>
      </c>
      <c r="O71" s="140">
        <f t="shared" si="26"/>
        <v>20668.931718061674</v>
      </c>
      <c r="P71" s="140">
        <f t="shared" ref="P71" si="27">P60/P62</f>
        <v>20207.11868131868</v>
      </c>
    </row>
    <row r="72" spans="2:16" s="133" customFormat="1">
      <c r="B72" s="138"/>
      <c r="C72" s="138"/>
      <c r="D72" s="141"/>
      <c r="E72" s="141"/>
      <c r="F72" s="141"/>
      <c r="G72" s="141"/>
      <c r="H72" s="141"/>
      <c r="I72" s="141"/>
      <c r="J72" s="141"/>
      <c r="K72" s="141"/>
      <c r="L72" s="141"/>
      <c r="M72" s="141"/>
      <c r="N72" s="141"/>
      <c r="O72" s="141"/>
    </row>
    <row r="73" spans="2:16" s="133" customFormat="1">
      <c r="B73" s="153" t="s">
        <v>307</v>
      </c>
      <c r="C73" s="94"/>
      <c r="D73" s="94"/>
      <c r="E73" s="94"/>
      <c r="F73" s="94"/>
      <c r="G73" s="94"/>
      <c r="H73" s="94"/>
      <c r="I73" s="94"/>
      <c r="J73" s="94"/>
      <c r="K73" s="94"/>
      <c r="L73" s="94"/>
      <c r="M73" s="94"/>
      <c r="N73" s="94"/>
      <c r="O73" s="94"/>
      <c r="P73" s="94"/>
    </row>
    <row r="74" spans="2:16" s="133" customFormat="1">
      <c r="B74" s="111"/>
      <c r="C74" s="111"/>
      <c r="D74" s="141"/>
      <c r="E74" s="141"/>
      <c r="F74" s="141"/>
      <c r="G74" s="141"/>
      <c r="H74" s="141"/>
      <c r="I74" s="141"/>
      <c r="J74" s="141"/>
      <c r="K74" s="141"/>
      <c r="L74" s="141"/>
      <c r="M74" s="141"/>
      <c r="N74" s="141"/>
      <c r="O74" s="141"/>
    </row>
    <row r="75" spans="2:16" s="133" customFormat="1">
      <c r="B75" s="138" t="s">
        <v>21</v>
      </c>
      <c r="C75" s="90"/>
      <c r="D75" s="213">
        <f>VLOOKUP(D16,RPI!$B$54:$C$107,2,FALSE)</f>
        <v>171.31666666666663</v>
      </c>
      <c r="E75" s="213">
        <f>VLOOKUP(E16,RPI!$B$54:$C$107,2,FALSE)</f>
        <v>173.875</v>
      </c>
      <c r="F75" s="213">
        <f>VLOOKUP(F16,RPI!$B$54:$C$107,2,FALSE)</f>
        <v>177.51666666666665</v>
      </c>
      <c r="G75" s="213">
        <f>VLOOKUP(G16,RPI!$B$54:$C$107,2,FALSE)</f>
        <v>182.47499999999999</v>
      </c>
      <c r="H75" s="213">
        <f>VLOOKUP(H16,RPI!$B$54:$C$107,2,FALSE)</f>
        <v>188.15</v>
      </c>
      <c r="I75" s="213">
        <f>VLOOKUP(I16,RPI!$B$54:$C$107,2,FALSE)</f>
        <v>193.10833333333332</v>
      </c>
      <c r="J75" s="213">
        <f>VLOOKUP(J16,RPI!$B$54:$C$107,2,FALSE)</f>
        <v>199.41111111111113</v>
      </c>
      <c r="K75" s="213">
        <f>VLOOKUP(K16,RPI!$B$54:$C$107,2,FALSE)</f>
        <v>206.57499999999996</v>
      </c>
      <c r="L75" s="213">
        <f>VLOOKUP(L16,RPI!$B$54:$C$107,2,FALSE)</f>
        <v>214.82500000000002</v>
      </c>
      <c r="M75" s="213">
        <f>VLOOKUP(M16,RPI!$B$54:$C$107,2,FALSE)</f>
        <v>213.68333333333337</v>
      </c>
      <c r="N75" s="213">
        <f>VLOOKUP(N16,RPI!$B$54:$C$107,2,FALSE)</f>
        <v>223.55833333333331</v>
      </c>
      <c r="O75" s="213">
        <f>VLOOKUP(O16,RPI!$B$54:$C$107,2,FALSE)</f>
        <v>235.18333333333331</v>
      </c>
      <c r="P75" s="213">
        <f>VLOOKUP(P16,RPI!$B$54:$C$107,2,FALSE)</f>
        <v>242.72499999999999</v>
      </c>
    </row>
    <row r="76" spans="2:16" s="133" customFormat="1">
      <c r="B76" s="138" t="s">
        <v>1048</v>
      </c>
      <c r="C76" s="90"/>
      <c r="D76" s="214">
        <f>RPI!$R$44</f>
        <v>237.3416666666667</v>
      </c>
      <c r="E76" s="214">
        <f>RPI!$R$44</f>
        <v>237.3416666666667</v>
      </c>
      <c r="F76" s="214">
        <f>RPI!$R$44</f>
        <v>237.3416666666667</v>
      </c>
      <c r="G76" s="214">
        <f>RPI!$R$44</f>
        <v>237.3416666666667</v>
      </c>
      <c r="H76" s="214">
        <f>RPI!$R$44</f>
        <v>237.3416666666667</v>
      </c>
      <c r="I76" s="214">
        <f>RPI!$R$44</f>
        <v>237.3416666666667</v>
      </c>
      <c r="J76" s="214">
        <f>RPI!$R$44</f>
        <v>237.3416666666667</v>
      </c>
      <c r="K76" s="214">
        <f>RPI!$R$44</f>
        <v>237.3416666666667</v>
      </c>
      <c r="L76" s="214">
        <f>RPI!$R$44</f>
        <v>237.3416666666667</v>
      </c>
      <c r="M76" s="214">
        <f>RPI!$R$44</f>
        <v>237.3416666666667</v>
      </c>
      <c r="N76" s="214">
        <f>RPI!$R$44</f>
        <v>237.3416666666667</v>
      </c>
      <c r="O76" s="214">
        <f>RPI!$R$44</f>
        <v>237.3416666666667</v>
      </c>
      <c r="P76" s="214">
        <f>RPI!$R$44</f>
        <v>237.3416666666667</v>
      </c>
    </row>
    <row r="77" spans="2:16" s="133" customFormat="1">
      <c r="B77" s="138" t="s">
        <v>304</v>
      </c>
      <c r="C77" s="90"/>
      <c r="D77" s="214">
        <f>D76/D75</f>
        <v>1.3853974121996309</v>
      </c>
      <c r="E77" s="214">
        <f t="shared" ref="E77:O77" si="28">E76/E75</f>
        <v>1.3650131799664511</v>
      </c>
      <c r="F77" s="214">
        <f t="shared" si="28"/>
        <v>1.3370106093324574</v>
      </c>
      <c r="G77" s="214">
        <f t="shared" si="28"/>
        <v>1.3006804585102985</v>
      </c>
      <c r="H77" s="214">
        <f t="shared" si="28"/>
        <v>1.2614491983346623</v>
      </c>
      <c r="I77" s="214">
        <f t="shared" si="28"/>
        <v>1.229059681525914</v>
      </c>
      <c r="J77" s="214">
        <f t="shared" si="28"/>
        <v>1.1902128489441133</v>
      </c>
      <c r="K77" s="214">
        <f t="shared" si="28"/>
        <v>1.1489370285207152</v>
      </c>
      <c r="L77" s="214">
        <f t="shared" si="28"/>
        <v>1.104813995888126</v>
      </c>
      <c r="M77" s="214">
        <f t="shared" si="28"/>
        <v>1.1107167927618751</v>
      </c>
      <c r="N77" s="214">
        <f t="shared" si="28"/>
        <v>1.0616543035002053</v>
      </c>
      <c r="O77" s="214">
        <f t="shared" si="28"/>
        <v>1.0091772376160444</v>
      </c>
      <c r="P77" s="214">
        <f t="shared" ref="P77" si="29">P76/P75</f>
        <v>0.97782126549249848</v>
      </c>
    </row>
    <row r="78" spans="2:16" s="133" customFormat="1">
      <c r="B78" s="111"/>
      <c r="C78" s="111"/>
      <c r="D78" s="141"/>
      <c r="E78" s="141"/>
      <c r="F78" s="141"/>
      <c r="G78" s="141"/>
      <c r="H78" s="141"/>
      <c r="I78" s="141"/>
      <c r="J78" s="141"/>
      <c r="K78" s="141"/>
      <c r="L78" s="141"/>
      <c r="M78" s="141"/>
      <c r="N78" s="141"/>
      <c r="O78" s="141"/>
      <c r="P78" s="141"/>
    </row>
    <row r="79" spans="2:16" s="133" customFormat="1">
      <c r="B79" s="111" t="str">
        <f>B25</f>
        <v>Staff Costs Total</v>
      </c>
      <c r="C79" s="111"/>
      <c r="D79" s="140">
        <f>D25*D$77</f>
        <v>15828.165434380782</v>
      </c>
      <c r="E79" s="140">
        <f t="shared" ref="E79:O79" si="30">E25*E$77</f>
        <v>17185.515935777621</v>
      </c>
      <c r="F79" s="140">
        <f t="shared" si="30"/>
        <v>18945.44033424092</v>
      </c>
      <c r="G79" s="140">
        <f t="shared" si="30"/>
        <v>20505.227428414855</v>
      </c>
      <c r="H79" s="140">
        <f t="shared" si="30"/>
        <v>19838.811542209234</v>
      </c>
      <c r="I79" s="140">
        <f t="shared" si="30"/>
        <v>19414.226729383339</v>
      </c>
      <c r="J79" s="140">
        <f t="shared" si="30"/>
        <v>15609.641513902046</v>
      </c>
      <c r="K79" s="140">
        <f t="shared" si="30"/>
        <v>21159.973254266013</v>
      </c>
      <c r="L79" s="140">
        <f t="shared" si="30"/>
        <v>20377.189340160596</v>
      </c>
      <c r="M79" s="140">
        <f t="shared" si="30"/>
        <v>19668.572966227282</v>
      </c>
      <c r="N79" s="140">
        <f t="shared" si="30"/>
        <v>20618.388228277487</v>
      </c>
      <c r="O79" s="140">
        <f t="shared" si="30"/>
        <v>22199.880873077745</v>
      </c>
      <c r="P79" s="140">
        <f t="shared" ref="P79" si="31">P25*P$77</f>
        <v>23814.8369210698</v>
      </c>
    </row>
    <row r="80" spans="2:16" s="133" customFormat="1">
      <c r="B80" s="111" t="str">
        <f>B28</f>
        <v>Depreciation Total</v>
      </c>
      <c r="C80" s="111"/>
      <c r="D80" s="140">
        <f t="shared" ref="D80:O80" si="32">D28*D$77</f>
        <v>8162.7615526802247</v>
      </c>
      <c r="E80" s="140">
        <f t="shared" si="32"/>
        <v>8428.9563862928353</v>
      </c>
      <c r="F80" s="140">
        <f t="shared" si="32"/>
        <v>9109.0532813820319</v>
      </c>
      <c r="G80" s="140">
        <f t="shared" si="32"/>
        <v>9207.5169657944025</v>
      </c>
      <c r="H80" s="140">
        <f t="shared" si="32"/>
        <v>8116.1641420852175</v>
      </c>
      <c r="I80" s="140">
        <f t="shared" si="32"/>
        <v>9039.733957623097</v>
      </c>
      <c r="J80" s="140">
        <f t="shared" si="32"/>
        <v>7274.5809327464203</v>
      </c>
      <c r="K80" s="140">
        <f t="shared" si="32"/>
        <v>9791.2413570535355</v>
      </c>
      <c r="L80" s="140">
        <f t="shared" si="32"/>
        <v>10922.191163350013</v>
      </c>
      <c r="M80" s="140">
        <f t="shared" si="32"/>
        <v>14009.470907105529</v>
      </c>
      <c r="N80" s="140">
        <f t="shared" si="32"/>
        <v>16207.214597234133</v>
      </c>
      <c r="O80" s="140">
        <f t="shared" si="32"/>
        <v>20880.886223513575</v>
      </c>
      <c r="P80" s="140">
        <f t="shared" ref="P80" si="33">P28*P$77</f>
        <v>16326.681669928246</v>
      </c>
    </row>
    <row r="81" spans="1:16" s="133" customFormat="1">
      <c r="B81" s="111" t="str">
        <f>B39</f>
        <v>Other Costs Total</v>
      </c>
      <c r="C81" s="111"/>
      <c r="D81" s="140">
        <f t="shared" ref="D81:O81" si="34">D39*D$77</f>
        <v>21792.301293900193</v>
      </c>
      <c r="E81" s="140">
        <f t="shared" si="34"/>
        <v>25542.126623532233</v>
      </c>
      <c r="F81" s="140">
        <f t="shared" si="34"/>
        <v>25951.375927142999</v>
      </c>
      <c r="G81" s="140">
        <f t="shared" si="34"/>
        <v>25186.37639859342</v>
      </c>
      <c r="H81" s="140">
        <f t="shared" si="34"/>
        <v>25212.585127114897</v>
      </c>
      <c r="I81" s="140">
        <f t="shared" si="34"/>
        <v>27634.177879428651</v>
      </c>
      <c r="J81" s="140">
        <f t="shared" si="34"/>
        <v>20241.949921992535</v>
      </c>
      <c r="K81" s="140">
        <f t="shared" si="34"/>
        <v>25980.913025938935</v>
      </c>
      <c r="L81" s="140">
        <f t="shared" si="34"/>
        <v>25905.678575584778</v>
      </c>
      <c r="M81" s="140">
        <f t="shared" si="34"/>
        <v>37473.363154200139</v>
      </c>
      <c r="N81" s="140">
        <f t="shared" si="34"/>
        <v>38122.944384388873</v>
      </c>
      <c r="O81" s="140">
        <f t="shared" si="34"/>
        <v>38565.708135497138</v>
      </c>
      <c r="P81" s="140">
        <f t="shared" ref="P81" si="35">P39*P$77</f>
        <v>36774.879973907373</v>
      </c>
    </row>
    <row r="82" spans="1:16" s="133" customFormat="1">
      <c r="B82" s="111" t="str">
        <f>B42</f>
        <v>Exceptional Items Total</v>
      </c>
      <c r="C82" s="111"/>
      <c r="D82" s="140">
        <f t="shared" ref="D82:O82" si="36">D42*D$77</f>
        <v>0</v>
      </c>
      <c r="E82" s="140">
        <f t="shared" si="36"/>
        <v>0</v>
      </c>
      <c r="F82" s="140">
        <f t="shared" si="36"/>
        <v>0</v>
      </c>
      <c r="G82" s="140">
        <f t="shared" si="36"/>
        <v>0</v>
      </c>
      <c r="H82" s="140">
        <f t="shared" si="36"/>
        <v>1677.7274337851009</v>
      </c>
      <c r="I82" s="140">
        <f t="shared" si="36"/>
        <v>448.60678375695863</v>
      </c>
      <c r="J82" s="140">
        <f t="shared" si="36"/>
        <v>424.90598707304844</v>
      </c>
      <c r="K82" s="140">
        <f t="shared" si="36"/>
        <v>2668.9807172536216</v>
      </c>
      <c r="L82" s="140">
        <f t="shared" si="36"/>
        <v>1121.3862058264478</v>
      </c>
      <c r="M82" s="140">
        <f t="shared" si="36"/>
        <v>15150.177053271977</v>
      </c>
      <c r="N82" s="140">
        <f t="shared" si="36"/>
        <v>-6025.9498266671653</v>
      </c>
      <c r="O82" s="140">
        <f t="shared" si="36"/>
        <v>2828.7237970377723</v>
      </c>
      <c r="P82" s="140">
        <f t="shared" ref="P82" si="37">P42*P$77</f>
        <v>25252.234181343774</v>
      </c>
    </row>
    <row r="83" spans="1:16" s="133" customFormat="1">
      <c r="B83" s="111" t="str">
        <f>B44</f>
        <v>Grand Total</v>
      </c>
      <c r="C83" s="111"/>
      <c r="D83" s="140">
        <f t="shared" ref="D83:O83" si="38">D44*D$77</f>
        <v>45783.228280961201</v>
      </c>
      <c r="E83" s="140">
        <f t="shared" si="38"/>
        <v>51156.598945602687</v>
      </c>
      <c r="F83" s="140">
        <f t="shared" si="38"/>
        <v>54005.869542765955</v>
      </c>
      <c r="G83" s="140">
        <f t="shared" si="38"/>
        <v>54899.120792802678</v>
      </c>
      <c r="H83" s="140">
        <f t="shared" si="38"/>
        <v>54845.288245194446</v>
      </c>
      <c r="I83" s="140">
        <f t="shared" si="38"/>
        <v>56536.745350192046</v>
      </c>
      <c r="J83" s="140">
        <f t="shared" si="38"/>
        <v>43551.078355714046</v>
      </c>
      <c r="K83" s="140">
        <f t="shared" si="38"/>
        <v>59601.1083545121</v>
      </c>
      <c r="L83" s="140">
        <f t="shared" si="38"/>
        <v>58326.445284921836</v>
      </c>
      <c r="M83" s="140">
        <f t="shared" si="38"/>
        <v>86301.584080804925</v>
      </c>
      <c r="N83" s="140">
        <f t="shared" si="38"/>
        <v>68922.597383233326</v>
      </c>
      <c r="O83" s="140">
        <f t="shared" si="38"/>
        <v>84475.199029126234</v>
      </c>
      <c r="P83" s="140">
        <f t="shared" ref="P83" si="39">P44*P$77</f>
        <v>102168.63274624919</v>
      </c>
    </row>
    <row r="84" spans="1:16" s="133" customFormat="1">
      <c r="B84" s="111" t="str">
        <f>B46</f>
        <v>Cost Residual (Ordinary Opex - Elements)</v>
      </c>
      <c r="C84" s="111"/>
      <c r="D84" s="140">
        <f t="shared" ref="D84:O84" si="40">D46*D$77</f>
        <v>0</v>
      </c>
      <c r="E84" s="140">
        <f t="shared" si="40"/>
        <v>0</v>
      </c>
      <c r="F84" s="140">
        <f t="shared" si="40"/>
        <v>0</v>
      </c>
      <c r="G84" s="140">
        <f t="shared" si="40"/>
        <v>0</v>
      </c>
      <c r="H84" s="140">
        <f t="shared" si="40"/>
        <v>0</v>
      </c>
      <c r="I84" s="140">
        <f t="shared" si="40"/>
        <v>0</v>
      </c>
      <c r="J84" s="140">
        <f t="shared" si="40"/>
        <v>0</v>
      </c>
      <c r="K84" s="140">
        <f t="shared" si="40"/>
        <v>0</v>
      </c>
      <c r="L84" s="140">
        <f t="shared" si="40"/>
        <v>0</v>
      </c>
      <c r="M84" s="140">
        <f t="shared" si="40"/>
        <v>0</v>
      </c>
      <c r="N84" s="140">
        <f t="shared" si="40"/>
        <v>0</v>
      </c>
      <c r="O84" s="140">
        <f t="shared" si="40"/>
        <v>0</v>
      </c>
      <c r="P84" s="140">
        <f t="shared" ref="P84" si="41">P46*P$77</f>
        <v>0</v>
      </c>
    </row>
    <row r="85" spans="1:16" s="133" customFormat="1">
      <c r="B85" s="111"/>
      <c r="C85" s="111"/>
      <c r="D85" s="141"/>
      <c r="E85" s="141"/>
      <c r="F85" s="141"/>
      <c r="G85" s="141"/>
      <c r="H85" s="141"/>
      <c r="I85" s="141"/>
      <c r="J85" s="141"/>
      <c r="K85" s="141"/>
      <c r="L85" s="141"/>
      <c r="M85" s="141"/>
      <c r="N85" s="141"/>
      <c r="O85" s="141"/>
      <c r="P85" s="141"/>
    </row>
    <row r="86" spans="1:16" s="133" customFormat="1">
      <c r="B86" s="111" t="str">
        <f>B48</f>
        <v>Ordinary Opex (per accounts - including staff, depreciation and other, excluding exceptional)</v>
      </c>
      <c r="C86" s="111"/>
      <c r="D86" s="159">
        <f t="shared" ref="D86:O86" si="42">D48*D$77</f>
        <v>45783.228280961201</v>
      </c>
      <c r="E86" s="159">
        <f t="shared" si="42"/>
        <v>51156.598945602687</v>
      </c>
      <c r="F86" s="159">
        <f t="shared" si="42"/>
        <v>54005.869542765955</v>
      </c>
      <c r="G86" s="159">
        <f t="shared" si="42"/>
        <v>54899.120792802678</v>
      </c>
      <c r="H86" s="159">
        <f t="shared" si="42"/>
        <v>53167.560811409348</v>
      </c>
      <c r="I86" s="159">
        <f t="shared" si="42"/>
        <v>56088.138566435089</v>
      </c>
      <c r="J86" s="159">
        <f t="shared" si="42"/>
        <v>43126.172368640997</v>
      </c>
      <c r="K86" s="159">
        <f t="shared" si="42"/>
        <v>56932.127637258483</v>
      </c>
      <c r="L86" s="159">
        <f t="shared" si="42"/>
        <v>57205.059079095387</v>
      </c>
      <c r="M86" s="159">
        <f t="shared" si="42"/>
        <v>71151.407027532958</v>
      </c>
      <c r="N86" s="159">
        <f t="shared" si="42"/>
        <v>74948.547209900498</v>
      </c>
      <c r="O86" s="159">
        <f t="shared" si="42"/>
        <v>81646.475232088458</v>
      </c>
      <c r="P86" s="159">
        <f t="shared" ref="P86" si="43">P48*P$77</f>
        <v>76916.398564905423</v>
      </c>
    </row>
    <row r="87" spans="1:16" s="133" customFormat="1">
      <c r="B87" s="111"/>
      <c r="C87" s="111"/>
      <c r="D87" s="141"/>
      <c r="E87" s="141"/>
      <c r="F87" s="141"/>
      <c r="G87" s="141"/>
      <c r="H87" s="141"/>
      <c r="I87" s="141"/>
      <c r="J87" s="141"/>
      <c r="K87" s="141"/>
      <c r="L87" s="141"/>
      <c r="M87" s="141"/>
      <c r="N87" s="141"/>
      <c r="O87" s="141"/>
      <c r="P87" s="141"/>
    </row>
    <row r="88" spans="1:16" s="133" customFormat="1">
      <c r="B88" s="111" t="str">
        <f>B50</f>
        <v>Total Opex (ordinary + exceptional)</v>
      </c>
      <c r="C88" s="111"/>
      <c r="D88" s="159">
        <f t="shared" ref="D88:O88" si="44">D50*D$77</f>
        <v>45783.228280961201</v>
      </c>
      <c r="E88" s="159">
        <f t="shared" si="44"/>
        <v>51156.598945602687</v>
      </c>
      <c r="F88" s="159">
        <f t="shared" si="44"/>
        <v>54005.869542765955</v>
      </c>
      <c r="G88" s="159">
        <f t="shared" si="44"/>
        <v>54899.120792802678</v>
      </c>
      <c r="H88" s="159">
        <f t="shared" si="44"/>
        <v>54845.288245194446</v>
      </c>
      <c r="I88" s="159">
        <f t="shared" si="44"/>
        <v>56536.745350192046</v>
      </c>
      <c r="J88" s="159">
        <f t="shared" si="44"/>
        <v>43551.078355714046</v>
      </c>
      <c r="K88" s="159">
        <f t="shared" si="44"/>
        <v>59601.1083545121</v>
      </c>
      <c r="L88" s="159">
        <f t="shared" si="44"/>
        <v>58326.445284921836</v>
      </c>
      <c r="M88" s="159">
        <f t="shared" si="44"/>
        <v>86301.584080804925</v>
      </c>
      <c r="N88" s="159">
        <f t="shared" si="44"/>
        <v>68922.597383233326</v>
      </c>
      <c r="O88" s="159">
        <f t="shared" si="44"/>
        <v>84475.199029126234</v>
      </c>
      <c r="P88" s="159">
        <f t="shared" ref="P88" si="45">P50*P$77</f>
        <v>102168.63274624919</v>
      </c>
    </row>
    <row r="89" spans="1:16" s="133" customFormat="1">
      <c r="B89" s="111"/>
      <c r="C89" s="111"/>
      <c r="D89" s="141"/>
      <c r="E89" s="141"/>
      <c r="F89" s="141"/>
      <c r="G89" s="141"/>
      <c r="H89" s="141"/>
      <c r="I89" s="141"/>
      <c r="J89" s="141"/>
      <c r="K89" s="141"/>
      <c r="L89" s="141"/>
      <c r="M89" s="141"/>
      <c r="N89" s="141"/>
      <c r="O89" s="141"/>
      <c r="P89" s="141"/>
    </row>
    <row r="90" spans="1:16" s="133" customFormat="1">
      <c r="A90" s="134"/>
      <c r="B90" s="111" t="str">
        <f>B52</f>
        <v>Adjusted Ordinary Opex (ordinary opex - depreciation - ANS - retail)</v>
      </c>
      <c r="C90" s="111"/>
      <c r="D90" s="159">
        <f t="shared" ref="D90:O90" si="46">D52*D$77</f>
        <v>36900.060073937166</v>
      </c>
      <c r="E90" s="159">
        <f t="shared" si="46"/>
        <v>42157.067050083875</v>
      </c>
      <c r="F90" s="159">
        <f t="shared" si="46"/>
        <v>44470.309877006868</v>
      </c>
      <c r="G90" s="159">
        <f t="shared" si="46"/>
        <v>45327.41329862539</v>
      </c>
      <c r="H90" s="159">
        <f t="shared" si="46"/>
        <v>45017.337540969093</v>
      </c>
      <c r="I90" s="159">
        <f t="shared" si="46"/>
        <v>46610.859362188763</v>
      </c>
      <c r="J90" s="159">
        <f t="shared" si="46"/>
        <v>34786.350936089599</v>
      </c>
      <c r="K90" s="159">
        <f t="shared" si="46"/>
        <v>45900.034289402574</v>
      </c>
      <c r="L90" s="159">
        <f t="shared" si="46"/>
        <v>45068.677334264321</v>
      </c>
      <c r="M90" s="159">
        <f t="shared" si="46"/>
        <v>47740.829186490912</v>
      </c>
      <c r="N90" s="159">
        <f t="shared" si="46"/>
        <v>45904.870429045375</v>
      </c>
      <c r="O90" s="159">
        <f t="shared" si="46"/>
        <v>48715.003614201698</v>
      </c>
      <c r="P90" s="159">
        <f t="shared" ref="P90" si="47">P52*P$77</f>
        <v>47851.639269406398</v>
      </c>
    </row>
    <row r="91" spans="1:16" s="133" customFormat="1">
      <c r="B91" s="111"/>
      <c r="C91" s="111"/>
      <c r="D91" s="141"/>
      <c r="E91" s="141"/>
      <c r="F91" s="141"/>
      <c r="G91" s="141"/>
      <c r="H91" s="141"/>
      <c r="I91" s="141"/>
      <c r="J91" s="141"/>
      <c r="K91" s="141"/>
      <c r="L91" s="141"/>
      <c r="M91" s="141"/>
      <c r="N91" s="141"/>
      <c r="O91" s="141"/>
      <c r="P91" s="141"/>
    </row>
    <row r="92" spans="1:16" s="133" customFormat="1">
      <c r="B92" s="111" t="str">
        <f>B54</f>
        <v>Turnover (per accounts)</v>
      </c>
      <c r="C92" s="111"/>
      <c r="D92" s="159">
        <f t="shared" ref="D92:O92" si="48">D54*D$77</f>
        <v>70537.50924214421</v>
      </c>
      <c r="E92" s="159">
        <f t="shared" si="48"/>
        <v>78589.268823388455</v>
      </c>
      <c r="F92" s="159">
        <f t="shared" si="48"/>
        <v>82940.116139329664</v>
      </c>
      <c r="G92" s="159">
        <f t="shared" si="48"/>
        <v>84640.480157099155</v>
      </c>
      <c r="H92" s="159">
        <f t="shared" si="48"/>
        <v>89526.311055009312</v>
      </c>
      <c r="I92" s="159">
        <f t="shared" si="48"/>
        <v>95105.867216156752</v>
      </c>
      <c r="J92" s="159">
        <f t="shared" si="48"/>
        <v>75567.803992310699</v>
      </c>
      <c r="K92" s="159">
        <f t="shared" si="48"/>
        <v>100213.73443866234</v>
      </c>
      <c r="L92" s="159">
        <f t="shared" si="48"/>
        <v>99753.655688738902</v>
      </c>
      <c r="M92" s="159">
        <f t="shared" si="48"/>
        <v>107970.55799079635</v>
      </c>
      <c r="N92" s="159">
        <f t="shared" si="48"/>
        <v>104951.95948111979</v>
      </c>
      <c r="O92" s="159">
        <f t="shared" si="48"/>
        <v>111019.58791014104</v>
      </c>
      <c r="P92" s="159">
        <f t="shared" ref="P92" si="49">P54*P$77</f>
        <v>107566.20613176779</v>
      </c>
    </row>
    <row r="93" spans="1:16" s="133" customFormat="1">
      <c r="B93" s="111"/>
      <c r="C93" s="111"/>
      <c r="D93" s="141"/>
      <c r="E93" s="141"/>
      <c r="F93" s="141"/>
      <c r="G93" s="141"/>
      <c r="H93" s="141"/>
      <c r="I93" s="141"/>
      <c r="J93" s="141"/>
      <c r="K93" s="141"/>
      <c r="L93" s="141"/>
      <c r="M93" s="141"/>
      <c r="N93" s="141"/>
      <c r="O93" s="141"/>
      <c r="P93" s="141"/>
    </row>
    <row r="94" spans="1:16" s="133" customFormat="1">
      <c r="B94" s="111" t="str">
        <f>B56</f>
        <v>Ordinary Profit (pre-exceptional)</v>
      </c>
      <c r="C94" s="111"/>
      <c r="D94" s="159">
        <f t="shared" ref="D94:O94" si="50">D56*D$77</f>
        <v>24754.280961183005</v>
      </c>
      <c r="E94" s="159">
        <f t="shared" si="50"/>
        <v>27432.669877785767</v>
      </c>
      <c r="F94" s="159">
        <f t="shared" si="50"/>
        <v>28934.246596563709</v>
      </c>
      <c r="G94" s="159">
        <f t="shared" si="50"/>
        <v>29741.359364296484</v>
      </c>
      <c r="H94" s="159">
        <f t="shared" si="50"/>
        <v>36358.75024359997</v>
      </c>
      <c r="I94" s="159">
        <f t="shared" si="50"/>
        <v>39017.72864972167</v>
      </c>
      <c r="J94" s="159">
        <f t="shared" si="50"/>
        <v>32441.631623669695</v>
      </c>
      <c r="K94" s="159">
        <f t="shared" si="50"/>
        <v>43281.606801403861</v>
      </c>
      <c r="L94" s="159">
        <f t="shared" si="50"/>
        <v>42548.596609643508</v>
      </c>
      <c r="M94" s="159">
        <f t="shared" si="50"/>
        <v>36819.150963263397</v>
      </c>
      <c r="N94" s="159">
        <f t="shared" si="50"/>
        <v>30003.412271219302</v>
      </c>
      <c r="O94" s="159">
        <f t="shared" si="50"/>
        <v>29373.112678052588</v>
      </c>
      <c r="P94" s="159">
        <f t="shared" ref="P94" si="51">P56*P$77</f>
        <v>30649.807566862364</v>
      </c>
    </row>
    <row r="95" spans="1:16" s="133" customFormat="1">
      <c r="B95" s="111"/>
      <c r="C95" s="111"/>
      <c r="D95" s="193"/>
      <c r="E95" s="193"/>
      <c r="F95" s="193"/>
      <c r="G95" s="193"/>
      <c r="H95" s="193"/>
      <c r="I95" s="193"/>
      <c r="J95" s="193"/>
      <c r="K95" s="193"/>
      <c r="L95" s="193"/>
      <c r="M95" s="193"/>
      <c r="N95" s="193"/>
      <c r="O95" s="193"/>
      <c r="P95" s="193"/>
    </row>
    <row r="96" spans="1:16" s="133" customFormat="1">
      <c r="B96" s="111" t="str">
        <f>B58</f>
        <v>Ordinary Profit Margin</v>
      </c>
      <c r="C96" s="111"/>
      <c r="D96" s="162">
        <f>D94/D92</f>
        <v>0.35093783757242464</v>
      </c>
      <c r="E96" s="162">
        <f t="shared" ref="E96:O96" si="52">E94/E92</f>
        <v>0.34906381352693922</v>
      </c>
      <c r="F96" s="162">
        <f t="shared" si="52"/>
        <v>0.3488570783763742</v>
      </c>
      <c r="G96" s="162">
        <f t="shared" si="52"/>
        <v>0.35138457755785724</v>
      </c>
      <c r="H96" s="162">
        <f t="shared" si="52"/>
        <v>0.40612362796071638</v>
      </c>
      <c r="I96" s="162">
        <f t="shared" si="52"/>
        <v>0.41025574753492461</v>
      </c>
      <c r="J96" s="162">
        <f t="shared" si="52"/>
        <v>0.42930494085775933</v>
      </c>
      <c r="K96" s="162">
        <f t="shared" si="52"/>
        <v>0.43189296401178584</v>
      </c>
      <c r="L96" s="162">
        <f t="shared" si="52"/>
        <v>0.42653671502934987</v>
      </c>
      <c r="M96" s="162">
        <f t="shared" si="52"/>
        <v>0.34101102789893833</v>
      </c>
      <c r="N96" s="162">
        <f t="shared" si="52"/>
        <v>0.28587758074794906</v>
      </c>
      <c r="O96" s="162">
        <f t="shared" si="52"/>
        <v>0.26457594764112352</v>
      </c>
      <c r="P96" s="162">
        <f t="shared" ref="P96" si="53">P94/P92</f>
        <v>0.28493900332709127</v>
      </c>
    </row>
    <row r="97" spans="2:16" s="133" customFormat="1">
      <c r="B97" s="138"/>
      <c r="C97" s="138"/>
      <c r="D97" s="198"/>
      <c r="E97" s="198"/>
      <c r="F97" s="198"/>
      <c r="G97" s="198"/>
      <c r="H97" s="198"/>
      <c r="I97" s="198"/>
      <c r="J97" s="198"/>
      <c r="K97" s="198"/>
      <c r="L97" s="198"/>
      <c r="M97" s="198"/>
      <c r="N97" s="198"/>
      <c r="O97" s="198"/>
    </row>
    <row r="98" spans="2:16" s="133" customFormat="1">
      <c r="B98" s="153" t="s">
        <v>303</v>
      </c>
      <c r="C98" s="94"/>
      <c r="D98" s="94"/>
      <c r="E98" s="94"/>
      <c r="F98" s="94"/>
      <c r="G98" s="94"/>
      <c r="H98" s="94"/>
      <c r="I98" s="94"/>
      <c r="J98" s="94"/>
      <c r="K98" s="94"/>
      <c r="L98" s="94"/>
      <c r="M98" s="94"/>
      <c r="N98" s="94"/>
      <c r="O98" s="94"/>
      <c r="P98" s="94"/>
    </row>
    <row r="99" spans="2:16" s="133" customFormat="1">
      <c r="B99" s="90"/>
      <c r="C99" s="90"/>
      <c r="D99" s="90"/>
      <c r="E99" s="90"/>
      <c r="F99" s="90"/>
      <c r="G99" s="90"/>
      <c r="H99" s="90"/>
      <c r="I99" s="90"/>
      <c r="J99" s="90"/>
      <c r="K99" s="90"/>
      <c r="L99" s="90"/>
      <c r="M99" s="90"/>
      <c r="N99" s="90"/>
      <c r="O99" s="90"/>
    </row>
    <row r="100" spans="2:16" s="133" customFormat="1">
      <c r="B100" s="90" t="s">
        <v>1127</v>
      </c>
      <c r="C100" s="90"/>
      <c r="D100" s="192">
        <f>(D88/D60)*1000</f>
        <v>8.1684626229908694</v>
      </c>
      <c r="E100" s="192">
        <f t="shared" ref="E100:O100" si="54">(E88/E60)*1000</f>
        <v>8.1795617832378653</v>
      </c>
      <c r="F100" s="192">
        <f t="shared" si="54"/>
        <v>7.6370484916511314</v>
      </c>
      <c r="G100" s="192">
        <f t="shared" si="54"/>
        <v>7.2462684146339846</v>
      </c>
      <c r="H100" s="192">
        <f t="shared" si="54"/>
        <v>6.8207261240327757</v>
      </c>
      <c r="I100" s="192">
        <f t="shared" si="54"/>
        <v>6.6574392924329091</v>
      </c>
      <c r="J100" s="192">
        <f t="shared" si="54"/>
        <v>6.4113597878744901</v>
      </c>
      <c r="K100" s="192">
        <f t="shared" si="54"/>
        <v>6.595085685224638</v>
      </c>
      <c r="L100" s="192">
        <f t="shared" si="54"/>
        <v>6.4863535046705962</v>
      </c>
      <c r="M100" s="192">
        <f t="shared" si="54"/>
        <v>9.5429913356984617</v>
      </c>
      <c r="N100" s="192">
        <f t="shared" si="54"/>
        <v>8.0194317731402371</v>
      </c>
      <c r="O100" s="192">
        <f t="shared" si="54"/>
        <v>9.0023385275337944</v>
      </c>
      <c r="P100" s="192">
        <f t="shared" ref="P100" si="55">(P88/P60)*1000</f>
        <v>11.112244607329567</v>
      </c>
    </row>
    <row r="101" spans="2:16" s="133" customFormat="1">
      <c r="B101" s="90" t="s">
        <v>299</v>
      </c>
      <c r="C101" s="90"/>
      <c r="D101" s="192">
        <f t="shared" ref="D101:O101" si="56">(D86/D60)*1000</f>
        <v>8.1684626229908694</v>
      </c>
      <c r="E101" s="192">
        <f t="shared" si="56"/>
        <v>8.1795617832378653</v>
      </c>
      <c r="F101" s="192">
        <f t="shared" si="56"/>
        <v>7.6370484916511314</v>
      </c>
      <c r="G101" s="192">
        <f t="shared" si="56"/>
        <v>7.2462684146339846</v>
      </c>
      <c r="H101" s="192">
        <f t="shared" si="56"/>
        <v>6.6120788600150293</v>
      </c>
      <c r="I101" s="192">
        <f t="shared" si="56"/>
        <v>6.6046139589168646</v>
      </c>
      <c r="J101" s="192">
        <f t="shared" si="56"/>
        <v>6.3488073721364344</v>
      </c>
      <c r="K101" s="192">
        <f t="shared" si="56"/>
        <v>6.2997529807084582</v>
      </c>
      <c r="L101" s="192">
        <f t="shared" si="56"/>
        <v>6.3616466532463418</v>
      </c>
      <c r="M101" s="192">
        <f t="shared" si="56"/>
        <v>7.867726508365716</v>
      </c>
      <c r="N101" s="192">
        <f t="shared" si="56"/>
        <v>8.7205761777049915</v>
      </c>
      <c r="O101" s="192">
        <f t="shared" si="56"/>
        <v>8.7008875748933079</v>
      </c>
      <c r="P101" s="192">
        <f t="shared" ref="P101" si="57">(P86/P60)*1000</f>
        <v>8.3657166802935432</v>
      </c>
    </row>
    <row r="102" spans="2:16" s="133" customFormat="1">
      <c r="B102" s="90" t="s">
        <v>300</v>
      </c>
      <c r="C102" s="90"/>
      <c r="D102" s="192">
        <f t="shared" ref="D102:O102" si="58">(D90/D60)*1000</f>
        <v>6.5835628639017703</v>
      </c>
      <c r="E102" s="192">
        <f t="shared" si="58"/>
        <v>6.7406031996562747</v>
      </c>
      <c r="F102" s="192">
        <f t="shared" si="58"/>
        <v>6.2886111425447053</v>
      </c>
      <c r="G102" s="192">
        <f t="shared" si="58"/>
        <v>5.9828754734074048</v>
      </c>
      <c r="H102" s="192">
        <f t="shared" si="58"/>
        <v>5.5984924142867118</v>
      </c>
      <c r="I102" s="192">
        <f t="shared" si="58"/>
        <v>5.4886245157875138</v>
      </c>
      <c r="J102" s="192">
        <f t="shared" si="58"/>
        <v>5.121062898532637</v>
      </c>
      <c r="K102" s="192">
        <f t="shared" si="58"/>
        <v>5.079010566259746</v>
      </c>
      <c r="L102" s="192">
        <f t="shared" si="58"/>
        <v>5.0119867883247329</v>
      </c>
      <c r="M102" s="192">
        <f t="shared" si="58"/>
        <v>5.2790493261302114</v>
      </c>
      <c r="N102" s="192">
        <f t="shared" si="58"/>
        <v>5.3412232045411372</v>
      </c>
      <c r="O102" s="192">
        <f t="shared" si="58"/>
        <v>5.1914521533576803</v>
      </c>
      <c r="P102" s="192">
        <f t="shared" ref="P102" si="59">(P90/P60)*1000</f>
        <v>5.2045241883973645</v>
      </c>
    </row>
    <row r="103" spans="2:16" s="133" customFormat="1">
      <c r="B103" s="90" t="s">
        <v>265</v>
      </c>
      <c r="C103" s="90"/>
      <c r="D103" s="192">
        <f t="shared" ref="D103:O103" si="60">D79*1000/D60</f>
        <v>2.8239987129745723</v>
      </c>
      <c r="E103" s="192">
        <f t="shared" si="60"/>
        <v>2.7478368826470829</v>
      </c>
      <c r="F103" s="192">
        <f t="shared" si="60"/>
        <v>2.6791022485751625</v>
      </c>
      <c r="G103" s="192">
        <f t="shared" si="60"/>
        <v>2.706534817018214</v>
      </c>
      <c r="H103" s="192">
        <f t="shared" si="60"/>
        <v>2.4672146775993253</v>
      </c>
      <c r="I103" s="192">
        <f t="shared" si="60"/>
        <v>2.2861067622450046</v>
      </c>
      <c r="J103" s="192">
        <f t="shared" si="60"/>
        <v>2.2979689983322111</v>
      </c>
      <c r="K103" s="192">
        <f t="shared" si="60"/>
        <v>2.3414302277548371</v>
      </c>
      <c r="L103" s="192">
        <f t="shared" si="60"/>
        <v>2.2661016430235921</v>
      </c>
      <c r="M103" s="192">
        <f t="shared" si="60"/>
        <v>2.1748965954844768</v>
      </c>
      <c r="N103" s="192">
        <f t="shared" si="60"/>
        <v>2.3990354970141174</v>
      </c>
      <c r="O103" s="192">
        <f t="shared" si="60"/>
        <v>2.3657930988888434</v>
      </c>
      <c r="P103" s="192">
        <f t="shared" ref="P103" si="61">P79*1000/P60</f>
        <v>2.5901911970169365</v>
      </c>
    </row>
    <row r="104" spans="2:16" s="133" customFormat="1">
      <c r="B104" s="111" t="s">
        <v>1136</v>
      </c>
      <c r="C104" s="111"/>
      <c r="D104" s="140">
        <f t="shared" ref="D104:O104" si="62">D79/D62*1000</f>
        <v>40585.039575335337</v>
      </c>
      <c r="E104" s="140">
        <f t="shared" si="62"/>
        <v>44870.798787931126</v>
      </c>
      <c r="F104" s="140">
        <f t="shared" si="62"/>
        <v>46778.865022817088</v>
      </c>
      <c r="G104" s="140">
        <f t="shared" si="62"/>
        <v>47797.732933367959</v>
      </c>
      <c r="H104" s="140">
        <f t="shared" si="62"/>
        <v>48864.067837953779</v>
      </c>
      <c r="I104" s="140">
        <f t="shared" si="62"/>
        <v>50165.960541042215</v>
      </c>
      <c r="J104" s="140">
        <f t="shared" si="62"/>
        <v>36902.225801186876</v>
      </c>
      <c r="K104" s="140">
        <f t="shared" si="62"/>
        <v>47443.886220327389</v>
      </c>
      <c r="L104" s="140">
        <f t="shared" si="62"/>
        <v>49339.441501599504</v>
      </c>
      <c r="M104" s="140">
        <f t="shared" si="62"/>
        <v>47623.663356482524</v>
      </c>
      <c r="N104" s="140">
        <f t="shared" si="62"/>
        <v>47838.487768625258</v>
      </c>
      <c r="O104" s="140">
        <f t="shared" si="62"/>
        <v>48898.416019995035</v>
      </c>
      <c r="P104" s="140">
        <f t="shared" ref="P104" si="63">P79/P62*1000</f>
        <v>52340.300925428135</v>
      </c>
    </row>
    <row r="105" spans="2:16" s="133" customFormat="1">
      <c r="B105" s="138"/>
      <c r="C105" s="138"/>
      <c r="D105" s="198"/>
      <c r="E105" s="198"/>
      <c r="F105" s="198"/>
      <c r="G105" s="198"/>
      <c r="H105" s="198"/>
      <c r="I105" s="198"/>
      <c r="J105" s="198"/>
      <c r="K105" s="198"/>
      <c r="L105" s="198"/>
      <c r="M105" s="198"/>
      <c r="N105" s="198"/>
      <c r="O105" s="198"/>
    </row>
    <row r="106" spans="2:16">
      <c r="B106" s="153" t="s">
        <v>163</v>
      </c>
      <c r="C106" s="94"/>
      <c r="D106" s="94"/>
      <c r="E106" s="94"/>
      <c r="F106" s="94"/>
      <c r="G106" s="94"/>
      <c r="H106" s="94"/>
      <c r="I106" s="94"/>
      <c r="J106" s="94"/>
      <c r="K106" s="94"/>
      <c r="L106" s="94"/>
      <c r="M106" s="94"/>
      <c r="N106" s="94"/>
      <c r="O106" s="94"/>
      <c r="P106"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17.xml><?xml version="1.0" encoding="utf-8"?>
<worksheet xmlns="http://schemas.openxmlformats.org/spreadsheetml/2006/main" xmlns:r="http://schemas.openxmlformats.org/officeDocument/2006/relationships">
  <sheetPr>
    <pageSetUpPr autoPageBreaks="0" fitToPage="1"/>
  </sheetPr>
  <dimension ref="A1:R120"/>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91" sqref="A191:XFD191"/>
    </sheetView>
  </sheetViews>
  <sheetFormatPr defaultRowHeight="12.75" outlineLevelRow="2"/>
  <cols>
    <col min="1" max="1" width="3.140625" style="90" customWidth="1"/>
    <col min="2" max="2" width="60.7109375" style="90" customWidth="1"/>
    <col min="3" max="3" width="29.28515625" style="90" customWidth="1"/>
    <col min="4" max="14" width="15.7109375" style="90" customWidth="1"/>
    <col min="15" max="15" width="12.5703125" style="90" customWidth="1"/>
    <col min="16" max="16" width="11.85546875" style="90" customWidth="1"/>
    <col min="17" max="17" width="10.28515625" style="90" bestFit="1" customWidth="1"/>
    <col min="18" max="18" width="9.85546875" style="90" bestFit="1" customWidth="1"/>
    <col min="19" max="16384" width="9.140625" style="90"/>
  </cols>
  <sheetData>
    <row r="1" spans="1:16" ht="12.75" customHeight="1">
      <c r="A1" s="145"/>
    </row>
    <row r="2" spans="1:16">
      <c r="B2" s="146" t="s">
        <v>134</v>
      </c>
      <c r="C2" s="91"/>
      <c r="D2" s="91"/>
      <c r="E2" s="147" t="str">
        <f>Info!$D$10</f>
        <v>Duncan Kernohan</v>
      </c>
      <c r="F2" s="91"/>
      <c r="G2" s="91"/>
      <c r="H2" s="91"/>
      <c r="I2" s="91"/>
      <c r="J2" s="91"/>
      <c r="K2" s="91"/>
      <c r="L2" s="91"/>
      <c r="M2" s="91"/>
      <c r="N2" s="91"/>
      <c r="O2" s="91"/>
      <c r="P2" s="91"/>
    </row>
    <row r="3" spans="1:16">
      <c r="B3" s="148" t="s">
        <v>137</v>
      </c>
      <c r="C3" s="92"/>
      <c r="D3" s="92"/>
      <c r="E3" s="149" t="str">
        <f>Info!$D$11 &amp; " - " &amp; Info!$D$12</f>
        <v>Airport Opex Benchmarking 2013 - duncan.kernohan@caa.co.uk</v>
      </c>
      <c r="F3" s="92"/>
      <c r="G3" s="92"/>
      <c r="H3" s="92"/>
      <c r="I3" s="92"/>
      <c r="J3" s="92"/>
      <c r="K3" s="92"/>
      <c r="L3" s="92"/>
      <c r="M3" s="92"/>
      <c r="N3" s="92"/>
      <c r="O3" s="92"/>
      <c r="P3" s="92"/>
    </row>
    <row r="4" spans="1:16">
      <c r="B4" s="148" t="s">
        <v>130</v>
      </c>
      <c r="C4" s="92"/>
      <c r="D4" s="92"/>
      <c r="E4" s="150">
        <f>Info!$D$16</f>
        <v>2.8</v>
      </c>
      <c r="F4" s="92"/>
      <c r="G4" s="92"/>
      <c r="H4" s="92"/>
      <c r="I4" s="92"/>
      <c r="J4" s="92"/>
      <c r="K4" s="92"/>
      <c r="L4" s="92"/>
      <c r="M4" s="92"/>
      <c r="N4" s="92"/>
      <c r="O4" s="92"/>
      <c r="P4" s="92"/>
    </row>
    <row r="5" spans="1:16">
      <c r="B5" s="151" t="s">
        <v>138</v>
      </c>
      <c r="C5" s="93"/>
      <c r="D5" s="93"/>
      <c r="E5" s="152" t="str">
        <f ca="1">IF(CELL("filename",D1)="","",MID(CELL("filename",A1),FIND("]",CELL("filename",A1))+1,99))</f>
        <v>GAT</v>
      </c>
      <c r="F5" s="93"/>
      <c r="G5" s="93"/>
      <c r="H5" s="93"/>
      <c r="I5" s="93"/>
      <c r="J5" s="93"/>
      <c r="K5" s="93"/>
      <c r="L5" s="93"/>
      <c r="M5" s="93"/>
      <c r="N5" s="93"/>
      <c r="O5" s="93"/>
      <c r="P5" s="93"/>
    </row>
    <row r="8" spans="1:16">
      <c r="B8" s="153" t="s">
        <v>1036</v>
      </c>
      <c r="C8" s="94"/>
      <c r="D8" s="94"/>
      <c r="E8" s="94"/>
      <c r="F8" s="94"/>
      <c r="G8" s="94"/>
      <c r="H8" s="94"/>
      <c r="I8" s="94"/>
      <c r="J8" s="94"/>
      <c r="K8" s="94"/>
      <c r="L8" s="94"/>
      <c r="M8" s="94"/>
      <c r="N8" s="94"/>
      <c r="O8" s="94"/>
      <c r="P8" s="94"/>
    </row>
    <row r="10" spans="1:16">
      <c r="B10" s="138" t="s">
        <v>143</v>
      </c>
      <c r="C10" s="138"/>
      <c r="D10" s="90" t="s">
        <v>270</v>
      </c>
    </row>
    <row r="11" spans="1:16">
      <c r="B11" s="138"/>
      <c r="C11" s="138"/>
      <c r="D11" s="138"/>
    </row>
    <row r="12" spans="1:16">
      <c r="B12" s="153" t="s">
        <v>182</v>
      </c>
      <c r="C12" s="94"/>
      <c r="D12" s="94"/>
      <c r="E12" s="94"/>
      <c r="F12" s="94"/>
      <c r="G12" s="94"/>
      <c r="H12" s="94"/>
      <c r="I12" s="94"/>
      <c r="J12" s="94"/>
      <c r="K12" s="94"/>
      <c r="L12" s="94"/>
      <c r="M12" s="94"/>
      <c r="N12" s="94"/>
      <c r="O12" s="94"/>
      <c r="P12" s="94"/>
    </row>
    <row r="13" spans="1:16">
      <c r="B13" s="138"/>
      <c r="C13" s="138"/>
      <c r="D13" s="138"/>
    </row>
    <row r="14" spans="1:16">
      <c r="B14" s="101" t="s">
        <v>167</v>
      </c>
      <c r="C14" s="101"/>
    </row>
    <row r="15" spans="1:16">
      <c r="B15" s="111" t="s">
        <v>271</v>
      </c>
      <c r="C15" s="111"/>
      <c r="D15" s="119" t="s">
        <v>109</v>
      </c>
      <c r="E15" s="119" t="s">
        <v>110</v>
      </c>
      <c r="F15" s="119" t="s">
        <v>111</v>
      </c>
      <c r="G15" s="119" t="s">
        <v>22</v>
      </c>
      <c r="H15" s="119" t="s">
        <v>23</v>
      </c>
      <c r="I15" s="119" t="s">
        <v>24</v>
      </c>
      <c r="J15" s="119" t="s">
        <v>295</v>
      </c>
      <c r="K15" s="119">
        <v>2007</v>
      </c>
      <c r="L15" s="119">
        <v>2008</v>
      </c>
      <c r="M15" s="119" t="s">
        <v>28</v>
      </c>
      <c r="N15" s="119" t="s">
        <v>29</v>
      </c>
      <c r="O15" s="119" t="s">
        <v>247</v>
      </c>
      <c r="P15" s="90" t="s">
        <v>1183</v>
      </c>
    </row>
    <row r="16" spans="1:16"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c r="P16" s="133">
        <v>2012</v>
      </c>
    </row>
    <row r="17" spans="2:18" s="133" customFormat="1">
      <c r="B17" s="138" t="s">
        <v>164</v>
      </c>
      <c r="C17" s="138"/>
      <c r="D17" s="154" t="s">
        <v>160</v>
      </c>
      <c r="E17" s="154" t="s">
        <v>160</v>
      </c>
      <c r="F17" s="154" t="s">
        <v>160</v>
      </c>
      <c r="G17" s="154" t="s">
        <v>160</v>
      </c>
      <c r="H17" s="154" t="s">
        <v>160</v>
      </c>
      <c r="I17" s="154" t="s">
        <v>160</v>
      </c>
      <c r="J17" s="154" t="s">
        <v>176</v>
      </c>
      <c r="K17" s="154" t="s">
        <v>174</v>
      </c>
      <c r="L17" s="154" t="s">
        <v>174</v>
      </c>
      <c r="M17" s="154" t="s">
        <v>160</v>
      </c>
      <c r="N17" s="154" t="s">
        <v>160</v>
      </c>
      <c r="O17" s="154" t="s">
        <v>160</v>
      </c>
      <c r="P17" s="133" t="s">
        <v>160</v>
      </c>
    </row>
    <row r="18" spans="2:18">
      <c r="B18" s="133"/>
      <c r="C18" s="133"/>
      <c r="E18" s="133"/>
      <c r="F18" s="133"/>
      <c r="G18" s="133"/>
      <c r="H18" s="133"/>
      <c r="I18" s="133"/>
      <c r="J18" s="133"/>
      <c r="K18" s="133"/>
      <c r="L18" s="133"/>
      <c r="M18" s="133"/>
      <c r="N18" s="133"/>
      <c r="O18" s="133"/>
    </row>
    <row r="19" spans="2:18">
      <c r="B19" s="106" t="s">
        <v>1314</v>
      </c>
      <c r="C19" s="106" t="s">
        <v>1315</v>
      </c>
      <c r="E19" s="133"/>
      <c r="F19" s="133"/>
      <c r="G19" s="133"/>
      <c r="H19" s="133"/>
      <c r="I19" s="133"/>
      <c r="J19" s="133"/>
      <c r="K19" s="133"/>
      <c r="L19" s="133"/>
      <c r="M19" s="133"/>
      <c r="N19" s="133"/>
      <c r="O19" s="133"/>
    </row>
    <row r="20" spans="2:18" hidden="1" outlineLevel="2">
      <c r="B20" s="90" t="s">
        <v>240</v>
      </c>
      <c r="C20" s="138" t="s">
        <v>165</v>
      </c>
      <c r="D20" s="141">
        <v>50200</v>
      </c>
      <c r="E20" s="141">
        <v>48500</v>
      </c>
      <c r="F20" s="141">
        <v>50900</v>
      </c>
      <c r="G20" s="141">
        <v>56300</v>
      </c>
      <c r="H20" s="141">
        <v>56500</v>
      </c>
      <c r="I20" s="141">
        <v>57000</v>
      </c>
      <c r="J20" s="141">
        <v>43700</v>
      </c>
      <c r="K20" s="141">
        <v>71700</v>
      </c>
      <c r="L20" s="141">
        <v>80200</v>
      </c>
      <c r="M20" s="141">
        <v>116100</v>
      </c>
      <c r="N20" s="141">
        <v>102900</v>
      </c>
      <c r="O20" s="141">
        <v>110800</v>
      </c>
      <c r="P20" s="141">
        <v>115800</v>
      </c>
      <c r="R20" s="377">
        <f>M20/L20</f>
        <v>1.4476309226932669</v>
      </c>
    </row>
    <row r="21" spans="2:18" hidden="1" outlineLevel="2">
      <c r="B21" s="90" t="s">
        <v>240</v>
      </c>
      <c r="C21" s="138" t="s">
        <v>166</v>
      </c>
      <c r="D21" s="141">
        <v>4100</v>
      </c>
      <c r="E21" s="141">
        <v>3800</v>
      </c>
      <c r="F21" s="141">
        <v>3900</v>
      </c>
      <c r="G21" s="141">
        <v>4800</v>
      </c>
      <c r="H21" s="141">
        <v>4700</v>
      </c>
      <c r="I21" s="141">
        <v>4900</v>
      </c>
      <c r="J21" s="141">
        <v>3800</v>
      </c>
      <c r="K21" s="141">
        <v>5100</v>
      </c>
      <c r="L21" s="141">
        <v>6100</v>
      </c>
      <c r="M21" s="141">
        <v>8800</v>
      </c>
      <c r="N21" s="141">
        <v>7300</v>
      </c>
      <c r="O21" s="141">
        <v>8400</v>
      </c>
      <c r="P21" s="141">
        <v>9100</v>
      </c>
      <c r="R21" s="377">
        <f t="shared" ref="R21:R46" si="0">M21/L21</f>
        <v>1.4426229508196722</v>
      </c>
    </row>
    <row r="22" spans="2:18" hidden="1" outlineLevel="2">
      <c r="B22" s="90" t="s">
        <v>240</v>
      </c>
      <c r="C22" s="138" t="s">
        <v>189</v>
      </c>
      <c r="D22" s="141">
        <v>1500</v>
      </c>
      <c r="E22" s="141">
        <v>8700</v>
      </c>
      <c r="F22" s="141">
        <v>8500</v>
      </c>
      <c r="G22" s="141">
        <v>11400</v>
      </c>
      <c r="H22" s="141">
        <v>13900</v>
      </c>
      <c r="I22" s="141">
        <v>13700</v>
      </c>
      <c r="J22" s="141">
        <v>11600</v>
      </c>
      <c r="K22" s="141">
        <v>13700</v>
      </c>
      <c r="L22" s="141">
        <v>13000</v>
      </c>
      <c r="M22" s="141">
        <v>9700</v>
      </c>
      <c r="N22" s="141">
        <v>15000</v>
      </c>
      <c r="O22" s="141">
        <v>14000</v>
      </c>
      <c r="P22" s="141">
        <v>16500</v>
      </c>
      <c r="R22" s="377">
        <f t="shared" si="0"/>
        <v>0.74615384615384617</v>
      </c>
    </row>
    <row r="23" spans="2:18" hidden="1" outlineLevel="2">
      <c r="B23" s="90" t="s">
        <v>240</v>
      </c>
      <c r="C23" s="138" t="s">
        <v>188</v>
      </c>
      <c r="D23" s="141">
        <v>0</v>
      </c>
      <c r="E23" s="141">
        <v>-900</v>
      </c>
      <c r="F23" s="141">
        <v>2900</v>
      </c>
      <c r="G23" s="141">
        <v>3600</v>
      </c>
      <c r="H23" s="141">
        <v>3900</v>
      </c>
      <c r="I23" s="141">
        <v>4700</v>
      </c>
      <c r="J23" s="141">
        <v>3000</v>
      </c>
      <c r="K23" s="141">
        <v>4300</v>
      </c>
      <c r="L23" s="141">
        <v>5900</v>
      </c>
      <c r="M23" s="141">
        <v>4400</v>
      </c>
      <c r="N23" s="141">
        <v>3300</v>
      </c>
      <c r="O23" s="141">
        <v>7300</v>
      </c>
      <c r="P23" s="141">
        <f>600+7100</f>
        <v>7700</v>
      </c>
      <c r="R23" s="377">
        <f t="shared" si="0"/>
        <v>0.74576271186440679</v>
      </c>
    </row>
    <row r="24" spans="2:18" outlineLevel="1" collapsed="1">
      <c r="B24" s="173" t="s">
        <v>287</v>
      </c>
      <c r="C24" s="138"/>
      <c r="D24" s="159">
        <f t="shared" ref="D24:O24" si="1">SUBTOTAL(9,D20:D23)</f>
        <v>55800</v>
      </c>
      <c r="E24" s="159">
        <f t="shared" si="1"/>
        <v>60100</v>
      </c>
      <c r="F24" s="159">
        <f t="shared" si="1"/>
        <v>66200</v>
      </c>
      <c r="G24" s="159">
        <f t="shared" si="1"/>
        <v>76100</v>
      </c>
      <c r="H24" s="159">
        <f t="shared" si="1"/>
        <v>79000</v>
      </c>
      <c r="I24" s="159">
        <f t="shared" si="1"/>
        <v>80300</v>
      </c>
      <c r="J24" s="159">
        <f t="shared" si="1"/>
        <v>62100</v>
      </c>
      <c r="K24" s="159">
        <f t="shared" si="1"/>
        <v>94800</v>
      </c>
      <c r="L24" s="159">
        <f t="shared" si="1"/>
        <v>105200</v>
      </c>
      <c r="M24" s="159">
        <f t="shared" si="1"/>
        <v>139000</v>
      </c>
      <c r="N24" s="159">
        <f t="shared" si="1"/>
        <v>128500</v>
      </c>
      <c r="O24" s="159">
        <f t="shared" si="1"/>
        <v>140500</v>
      </c>
      <c r="P24" s="159">
        <f t="shared" ref="P24" si="2">SUBTOTAL(9,P20:P23)</f>
        <v>149100</v>
      </c>
      <c r="R24" s="377">
        <f t="shared" si="0"/>
        <v>1.3212927756653992</v>
      </c>
    </row>
    <row r="25" spans="2:18" s="133" customFormat="1" outlineLevel="1">
      <c r="B25" s="137"/>
      <c r="C25" s="137"/>
      <c r="D25" s="141"/>
      <c r="E25" s="141"/>
      <c r="F25" s="141"/>
      <c r="G25" s="141"/>
      <c r="H25" s="141"/>
      <c r="I25" s="141"/>
      <c r="J25" s="141"/>
      <c r="K25" s="141"/>
      <c r="L25" s="141"/>
      <c r="M25" s="141"/>
      <c r="N25" s="141"/>
      <c r="O25" s="141"/>
      <c r="R25" s="377"/>
    </row>
    <row r="26" spans="2:18" s="133" customFormat="1" hidden="1" outlineLevel="2">
      <c r="B26" s="138" t="s">
        <v>30</v>
      </c>
      <c r="C26" s="138" t="s">
        <v>170</v>
      </c>
      <c r="D26" s="141">
        <v>40100</v>
      </c>
      <c r="E26" s="141">
        <v>45200</v>
      </c>
      <c r="F26" s="141">
        <v>47100</v>
      </c>
      <c r="G26" s="141">
        <v>44900</v>
      </c>
      <c r="H26" s="141">
        <v>46200</v>
      </c>
      <c r="I26" s="141">
        <v>50800</v>
      </c>
      <c r="J26" s="141">
        <v>41400</v>
      </c>
      <c r="K26" s="141">
        <v>56500</v>
      </c>
      <c r="L26" s="141">
        <v>64400</v>
      </c>
      <c r="M26" s="141">
        <v>89400</v>
      </c>
      <c r="N26" s="141">
        <v>76500</v>
      </c>
      <c r="O26" s="141">
        <v>105300</v>
      </c>
      <c r="P26" s="141">
        <v>110700</v>
      </c>
      <c r="R26" s="377">
        <f t="shared" si="0"/>
        <v>1.3881987577639752</v>
      </c>
    </row>
    <row r="27" spans="2:18" s="133" customFormat="1" hidden="1" outlineLevel="2">
      <c r="B27" s="138" t="s">
        <v>30</v>
      </c>
      <c r="C27" s="138" t="s">
        <v>171</v>
      </c>
      <c r="D27" s="141">
        <v>400</v>
      </c>
      <c r="E27" s="141">
        <v>0</v>
      </c>
      <c r="F27" s="141">
        <v>0</v>
      </c>
      <c r="G27" s="141">
        <v>0</v>
      </c>
      <c r="H27" s="141">
        <v>0</v>
      </c>
      <c r="I27" s="141">
        <v>0</v>
      </c>
      <c r="J27" s="141">
        <v>0</v>
      </c>
      <c r="K27" s="141">
        <v>0</v>
      </c>
      <c r="L27" s="141">
        <v>0</v>
      </c>
      <c r="M27" s="141">
        <v>0</v>
      </c>
      <c r="N27" s="141">
        <v>0</v>
      </c>
      <c r="O27" s="141"/>
      <c r="P27" s="141">
        <v>0</v>
      </c>
      <c r="R27" s="377"/>
    </row>
    <row r="28" spans="2:18" s="133" customFormat="1" outlineLevel="1" collapsed="1">
      <c r="B28" s="70" t="s">
        <v>288</v>
      </c>
      <c r="C28" s="138"/>
      <c r="D28" s="159">
        <f t="shared" ref="D28:O28" si="3">SUBTOTAL(9,D26:D27)</f>
        <v>40500</v>
      </c>
      <c r="E28" s="159">
        <f t="shared" si="3"/>
        <v>45200</v>
      </c>
      <c r="F28" s="159">
        <f t="shared" si="3"/>
        <v>47100</v>
      </c>
      <c r="G28" s="159">
        <f t="shared" si="3"/>
        <v>44900</v>
      </c>
      <c r="H28" s="159">
        <f t="shared" si="3"/>
        <v>46200</v>
      </c>
      <c r="I28" s="159">
        <f t="shared" si="3"/>
        <v>50800</v>
      </c>
      <c r="J28" s="159">
        <f t="shared" si="3"/>
        <v>41400</v>
      </c>
      <c r="K28" s="159">
        <f t="shared" si="3"/>
        <v>56500</v>
      </c>
      <c r="L28" s="159">
        <f t="shared" si="3"/>
        <v>64400</v>
      </c>
      <c r="M28" s="159">
        <f t="shared" si="3"/>
        <v>89400</v>
      </c>
      <c r="N28" s="159">
        <f t="shared" si="3"/>
        <v>76500</v>
      </c>
      <c r="O28" s="159">
        <f t="shared" si="3"/>
        <v>105300</v>
      </c>
      <c r="P28" s="159">
        <f t="shared" ref="P28" si="4">SUBTOTAL(9,P26:P27)</f>
        <v>110700</v>
      </c>
      <c r="R28" s="377">
        <f t="shared" si="0"/>
        <v>1.3881987577639752</v>
      </c>
    </row>
    <row r="29" spans="2:18" s="133" customFormat="1" outlineLevel="1">
      <c r="B29" s="138"/>
      <c r="C29" s="138"/>
      <c r="D29" s="141"/>
      <c r="E29" s="141"/>
      <c r="F29" s="141"/>
      <c r="G29" s="141"/>
      <c r="H29" s="141"/>
      <c r="I29" s="141"/>
      <c r="J29" s="141"/>
      <c r="K29" s="141"/>
      <c r="L29" s="141"/>
      <c r="M29" s="141"/>
      <c r="N29" s="141"/>
      <c r="O29" s="141"/>
      <c r="R29" s="377"/>
    </row>
    <row r="30" spans="2:18" s="133" customFormat="1" hidden="1" outlineLevel="2">
      <c r="B30" s="138" t="s">
        <v>256</v>
      </c>
      <c r="C30" s="138" t="s">
        <v>183</v>
      </c>
      <c r="D30" s="155">
        <v>3100</v>
      </c>
      <c r="E30" s="155">
        <v>3300</v>
      </c>
      <c r="F30" s="155">
        <v>3000</v>
      </c>
      <c r="G30" s="155">
        <v>2700</v>
      </c>
      <c r="H30" s="155">
        <v>3000</v>
      </c>
      <c r="I30" s="155">
        <v>2900</v>
      </c>
      <c r="J30" s="155">
        <v>8200</v>
      </c>
      <c r="K30" s="155">
        <v>8700</v>
      </c>
      <c r="L30" s="155">
        <v>14500</v>
      </c>
      <c r="M30" s="155">
        <v>18000</v>
      </c>
      <c r="N30" s="155">
        <v>1100</v>
      </c>
      <c r="O30" s="155">
        <v>1200</v>
      </c>
      <c r="P30" s="155">
        <v>1100</v>
      </c>
      <c r="R30" s="377">
        <f t="shared" si="0"/>
        <v>1.2413793103448276</v>
      </c>
    </row>
    <row r="31" spans="2:18" s="133" customFormat="1" hidden="1" outlineLevel="2">
      <c r="B31" s="138" t="s">
        <v>256</v>
      </c>
      <c r="C31" s="138" t="s">
        <v>261</v>
      </c>
      <c r="D31" s="155">
        <v>0</v>
      </c>
      <c r="E31" s="155">
        <v>0</v>
      </c>
      <c r="F31" s="155">
        <v>0</v>
      </c>
      <c r="G31" s="155">
        <v>0</v>
      </c>
      <c r="H31" s="155">
        <v>0</v>
      </c>
      <c r="I31" s="155">
        <v>0</v>
      </c>
      <c r="J31" s="155">
        <v>0</v>
      </c>
      <c r="K31" s="155">
        <v>0</v>
      </c>
      <c r="L31" s="155">
        <v>0</v>
      </c>
      <c r="M31" s="155">
        <v>0</v>
      </c>
      <c r="N31" s="155">
        <v>16200</v>
      </c>
      <c r="O31" s="155">
        <v>13800</v>
      </c>
      <c r="P31" s="155">
        <v>16500</v>
      </c>
      <c r="R31" s="377"/>
    </row>
    <row r="32" spans="2:18" s="133" customFormat="1" hidden="1" outlineLevel="2">
      <c r="B32" s="138" t="s">
        <v>256</v>
      </c>
      <c r="C32" s="138" t="s">
        <v>201</v>
      </c>
      <c r="D32" s="141">
        <v>21100</v>
      </c>
      <c r="E32" s="141">
        <v>22600</v>
      </c>
      <c r="F32" s="141">
        <v>19200</v>
      </c>
      <c r="G32" s="141">
        <v>22200</v>
      </c>
      <c r="H32" s="141">
        <v>21700</v>
      </c>
      <c r="I32" s="141">
        <v>21700</v>
      </c>
      <c r="J32" s="141">
        <v>15300</v>
      </c>
      <c r="K32" s="141">
        <v>27300</v>
      </c>
      <c r="L32" s="141">
        <v>29200</v>
      </c>
      <c r="M32" s="141">
        <v>33200</v>
      </c>
      <c r="N32" s="141">
        <v>25600</v>
      </c>
      <c r="O32" s="141">
        <v>35200</v>
      </c>
      <c r="P32" s="141">
        <v>37100</v>
      </c>
      <c r="R32" s="377">
        <f t="shared" si="0"/>
        <v>1.1369863013698631</v>
      </c>
    </row>
    <row r="33" spans="2:18" s="133" customFormat="1" hidden="1" outlineLevel="2">
      <c r="B33" s="138" t="s">
        <v>256</v>
      </c>
      <c r="C33" s="138" t="s">
        <v>184</v>
      </c>
      <c r="D33" s="141">
        <v>17200</v>
      </c>
      <c r="E33" s="141">
        <v>16800</v>
      </c>
      <c r="F33" s="141">
        <v>15200</v>
      </c>
      <c r="G33" s="141">
        <v>16000</v>
      </c>
      <c r="H33" s="141">
        <v>16900</v>
      </c>
      <c r="I33" s="141">
        <v>20400</v>
      </c>
      <c r="J33" s="141">
        <v>16500</v>
      </c>
      <c r="K33" s="141">
        <v>23100</v>
      </c>
      <c r="L33" s="141">
        <v>24600</v>
      </c>
      <c r="M33" s="141">
        <v>30900</v>
      </c>
      <c r="N33" s="141">
        <v>22500</v>
      </c>
      <c r="O33" s="141">
        <v>26800</v>
      </c>
      <c r="P33" s="141">
        <v>28200</v>
      </c>
      <c r="R33" s="377">
        <f t="shared" si="0"/>
        <v>1.2560975609756098</v>
      </c>
    </row>
    <row r="34" spans="2:18" s="133" customFormat="1" hidden="1" outlineLevel="2">
      <c r="B34" s="138" t="s">
        <v>256</v>
      </c>
      <c r="C34" s="138" t="s">
        <v>202</v>
      </c>
      <c r="D34" s="141">
        <v>10300</v>
      </c>
      <c r="E34" s="141">
        <v>12100</v>
      </c>
      <c r="F34" s="141">
        <v>11200</v>
      </c>
      <c r="G34" s="141">
        <v>11700</v>
      </c>
      <c r="H34" s="141">
        <v>12500</v>
      </c>
      <c r="I34" s="141">
        <v>15500</v>
      </c>
      <c r="J34" s="141">
        <v>13400</v>
      </c>
      <c r="K34" s="141">
        <v>17600</v>
      </c>
      <c r="L34" s="141">
        <v>18800</v>
      </c>
      <c r="M34" s="141">
        <v>30000</v>
      </c>
      <c r="N34" s="141">
        <v>21600</v>
      </c>
      <c r="O34" s="141">
        <v>22800</v>
      </c>
      <c r="P34" s="141">
        <v>19800</v>
      </c>
      <c r="R34" s="377">
        <f t="shared" si="0"/>
        <v>1.5957446808510638</v>
      </c>
    </row>
    <row r="35" spans="2:18" s="133" customFormat="1" hidden="1" outlineLevel="2">
      <c r="B35" s="138" t="s">
        <v>256</v>
      </c>
      <c r="C35" s="138" t="s">
        <v>185</v>
      </c>
      <c r="D35" s="141">
        <v>10800</v>
      </c>
      <c r="E35" s="141">
        <v>10900</v>
      </c>
      <c r="F35" s="141">
        <v>10700</v>
      </c>
      <c r="G35" s="141">
        <v>11000</v>
      </c>
      <c r="H35" s="141">
        <v>11300</v>
      </c>
      <c r="I35" s="141">
        <v>12600</v>
      </c>
      <c r="J35" s="141">
        <v>9400</v>
      </c>
      <c r="K35" s="141">
        <v>13400</v>
      </c>
      <c r="L35" s="141">
        <v>13800</v>
      </c>
      <c r="M35" s="141">
        <v>16600</v>
      </c>
      <c r="N35" s="141">
        <v>13300</v>
      </c>
      <c r="O35" s="141">
        <v>12700</v>
      </c>
      <c r="P35" s="141">
        <v>12200</v>
      </c>
      <c r="R35" s="377">
        <f t="shared" si="0"/>
        <v>1.2028985507246377</v>
      </c>
    </row>
    <row r="36" spans="2:18" s="133" customFormat="1" hidden="1" outlineLevel="2">
      <c r="B36" s="138" t="s">
        <v>256</v>
      </c>
      <c r="C36" s="138" t="s">
        <v>186</v>
      </c>
      <c r="D36" s="141">
        <v>15600</v>
      </c>
      <c r="E36" s="141">
        <v>17500</v>
      </c>
      <c r="F36" s="141">
        <v>16600</v>
      </c>
      <c r="G36" s="141">
        <v>16900</v>
      </c>
      <c r="H36" s="141">
        <v>17800</v>
      </c>
      <c r="I36" s="141">
        <v>17900</v>
      </c>
      <c r="J36" s="141">
        <v>15600</v>
      </c>
      <c r="K36" s="141">
        <v>22700</v>
      </c>
      <c r="L36" s="141">
        <v>35000</v>
      </c>
      <c r="M36" s="141">
        <v>49500</v>
      </c>
      <c r="N36" s="141">
        <v>34800</v>
      </c>
      <c r="O36" s="141">
        <v>18800</v>
      </c>
      <c r="P36" s="141">
        <v>20300</v>
      </c>
      <c r="R36" s="377">
        <f t="shared" si="0"/>
        <v>1.4142857142857144</v>
      </c>
    </row>
    <row r="37" spans="2:18" s="133" customFormat="1" hidden="1" outlineLevel="2">
      <c r="B37" s="138" t="s">
        <v>256</v>
      </c>
      <c r="C37" s="138" t="s">
        <v>262</v>
      </c>
      <c r="D37" s="141">
        <v>4500</v>
      </c>
      <c r="E37" s="141">
        <v>5100</v>
      </c>
      <c r="F37" s="141">
        <v>5300</v>
      </c>
      <c r="G37" s="141">
        <v>5400</v>
      </c>
      <c r="H37" s="141">
        <v>5500</v>
      </c>
      <c r="I37" s="141">
        <v>5800</v>
      </c>
      <c r="J37" s="141">
        <v>4500</v>
      </c>
      <c r="K37" s="141">
        <v>6300</v>
      </c>
      <c r="L37" s="141">
        <v>7100</v>
      </c>
      <c r="M37" s="141">
        <v>8200</v>
      </c>
      <c r="N37" s="141">
        <v>6600</v>
      </c>
      <c r="O37" s="141">
        <v>7400</v>
      </c>
      <c r="P37" s="141">
        <v>7800</v>
      </c>
      <c r="R37" s="377">
        <f t="shared" si="0"/>
        <v>1.1549295774647887</v>
      </c>
    </row>
    <row r="38" spans="2:18" s="133" customFormat="1" hidden="1" outlineLevel="2">
      <c r="B38" s="138" t="s">
        <v>256</v>
      </c>
      <c r="C38" s="138" t="s">
        <v>191</v>
      </c>
      <c r="D38" s="141">
        <v>26300</v>
      </c>
      <c r="E38" s="141">
        <v>26400</v>
      </c>
      <c r="F38" s="141">
        <v>26800</v>
      </c>
      <c r="G38" s="141">
        <v>29400</v>
      </c>
      <c r="H38" s="141">
        <v>32400</v>
      </c>
      <c r="I38" s="141">
        <v>35000</v>
      </c>
      <c r="J38" s="141">
        <v>29400</v>
      </c>
      <c r="K38" s="141">
        <v>41700</v>
      </c>
      <c r="L38" s="141">
        <v>43700</v>
      </c>
      <c r="M38" s="141">
        <v>32000</v>
      </c>
      <c r="N38" s="141">
        <v>0</v>
      </c>
      <c r="O38" s="141">
        <v>0</v>
      </c>
      <c r="P38" s="141">
        <v>0</v>
      </c>
      <c r="R38" s="377">
        <f t="shared" si="0"/>
        <v>0.73226544622425627</v>
      </c>
    </row>
    <row r="39" spans="2:18" s="133" customFormat="1" hidden="1" outlineLevel="2">
      <c r="B39" s="138" t="s">
        <v>256</v>
      </c>
      <c r="C39" s="138" t="s">
        <v>260</v>
      </c>
      <c r="D39" s="155">
        <v>0</v>
      </c>
      <c r="E39" s="155">
        <v>0</v>
      </c>
      <c r="F39" s="155">
        <v>0</v>
      </c>
      <c r="G39" s="155">
        <v>0</v>
      </c>
      <c r="H39" s="155">
        <v>0</v>
      </c>
      <c r="I39" s="155">
        <v>0</v>
      </c>
      <c r="J39" s="155">
        <v>0</v>
      </c>
      <c r="K39" s="155">
        <v>0</v>
      </c>
      <c r="L39" s="155">
        <v>13600</v>
      </c>
      <c r="M39" s="155">
        <v>21600</v>
      </c>
      <c r="N39" s="155">
        <v>16700</v>
      </c>
      <c r="O39" s="155">
        <v>16700</v>
      </c>
      <c r="P39" s="155">
        <v>19700</v>
      </c>
      <c r="R39" s="377">
        <f t="shared" si="0"/>
        <v>1.588235294117647</v>
      </c>
    </row>
    <row r="40" spans="2:18" s="133" customFormat="1" hidden="1" outlineLevel="2">
      <c r="B40" s="138" t="s">
        <v>256</v>
      </c>
      <c r="C40" s="138" t="s">
        <v>178</v>
      </c>
      <c r="D40" s="155">
        <v>800</v>
      </c>
      <c r="E40" s="155">
        <v>800</v>
      </c>
      <c r="F40" s="155">
        <v>-500</v>
      </c>
      <c r="G40" s="155">
        <v>400</v>
      </c>
      <c r="H40" s="155">
        <v>200</v>
      </c>
      <c r="I40" s="155">
        <v>0</v>
      </c>
      <c r="J40" s="155">
        <v>700</v>
      </c>
      <c r="K40" s="155">
        <v>100</v>
      </c>
      <c r="L40" s="155">
        <v>0</v>
      </c>
      <c r="M40" s="155">
        <v>300</v>
      </c>
      <c r="N40" s="155">
        <v>0</v>
      </c>
      <c r="O40" s="155">
        <v>0</v>
      </c>
      <c r="P40" s="155">
        <v>0</v>
      </c>
      <c r="R40" s="377"/>
    </row>
    <row r="41" spans="2:18" s="133" customFormat="1" outlineLevel="1" collapsed="1">
      <c r="B41" s="70" t="s">
        <v>289</v>
      </c>
      <c r="C41" s="138"/>
      <c r="D41" s="159">
        <f t="shared" ref="D41:N41" si="5">SUBTOTAL(9,D30:D40)</f>
        <v>109700</v>
      </c>
      <c r="E41" s="159">
        <f t="shared" si="5"/>
        <v>115500</v>
      </c>
      <c r="F41" s="159">
        <f t="shared" si="5"/>
        <v>107500</v>
      </c>
      <c r="G41" s="159">
        <f t="shared" si="5"/>
        <v>115700</v>
      </c>
      <c r="H41" s="159">
        <f t="shared" si="5"/>
        <v>121300</v>
      </c>
      <c r="I41" s="159">
        <f t="shared" si="5"/>
        <v>131800</v>
      </c>
      <c r="J41" s="159">
        <f t="shared" si="5"/>
        <v>113000</v>
      </c>
      <c r="K41" s="159">
        <f t="shared" si="5"/>
        <v>160900</v>
      </c>
      <c r="L41" s="159">
        <f t="shared" si="5"/>
        <v>200300</v>
      </c>
      <c r="M41" s="159">
        <f t="shared" si="5"/>
        <v>240300</v>
      </c>
      <c r="N41" s="159">
        <f t="shared" si="5"/>
        <v>158400</v>
      </c>
      <c r="O41" s="159">
        <f>SUBTOTAL(9,O30:O40)</f>
        <v>155400</v>
      </c>
      <c r="P41" s="159">
        <f>SUBTOTAL(9,P30:P40)</f>
        <v>162700</v>
      </c>
      <c r="R41" s="377">
        <f t="shared" si="0"/>
        <v>1.1997004493260111</v>
      </c>
    </row>
    <row r="42" spans="2:18" s="133" customFormat="1" outlineLevel="1">
      <c r="C42" s="138"/>
      <c r="D42" s="141"/>
      <c r="E42" s="141"/>
      <c r="F42" s="141"/>
      <c r="G42" s="141"/>
      <c r="H42" s="141"/>
      <c r="I42" s="141"/>
      <c r="J42" s="141"/>
      <c r="K42" s="141"/>
      <c r="L42" s="141"/>
      <c r="M42" s="141"/>
      <c r="N42" s="141"/>
      <c r="O42" s="141"/>
      <c r="R42" s="377"/>
    </row>
    <row r="43" spans="2:18" s="30" customFormat="1" hidden="1" outlineLevel="2">
      <c r="B43" s="138" t="s">
        <v>172</v>
      </c>
      <c r="C43" s="138" t="s">
        <v>172</v>
      </c>
      <c r="D43" s="141">
        <v>0</v>
      </c>
      <c r="E43" s="141">
        <v>0</v>
      </c>
      <c r="F43" s="141">
        <v>0</v>
      </c>
      <c r="G43" s="141">
        <v>0</v>
      </c>
      <c r="H43" s="141">
        <v>1200</v>
      </c>
      <c r="I43" s="141">
        <v>18000</v>
      </c>
      <c r="J43" s="141">
        <v>7200</v>
      </c>
      <c r="K43" s="141">
        <v>16700</v>
      </c>
      <c r="L43" s="141">
        <v>-8500</v>
      </c>
      <c r="M43" s="141">
        <v>131600</v>
      </c>
      <c r="N43" s="141">
        <v>17000</v>
      </c>
      <c r="O43" s="141">
        <v>0</v>
      </c>
      <c r="P43" s="141">
        <v>0</v>
      </c>
      <c r="R43" s="377">
        <f t="shared" si="0"/>
        <v>-15.482352941176471</v>
      </c>
    </row>
    <row r="44" spans="2:18" s="30" customFormat="1" outlineLevel="1" collapsed="1">
      <c r="B44" s="70" t="s">
        <v>290</v>
      </c>
      <c r="C44" s="138"/>
      <c r="D44" s="159">
        <f t="shared" ref="D44:O44" si="6">SUBTOTAL(9,D43:D43)</f>
        <v>0</v>
      </c>
      <c r="E44" s="159">
        <f t="shared" si="6"/>
        <v>0</v>
      </c>
      <c r="F44" s="159">
        <f t="shared" si="6"/>
        <v>0</v>
      </c>
      <c r="G44" s="159">
        <f t="shared" si="6"/>
        <v>0</v>
      </c>
      <c r="H44" s="159">
        <f t="shared" si="6"/>
        <v>1200</v>
      </c>
      <c r="I44" s="159">
        <f t="shared" si="6"/>
        <v>18000</v>
      </c>
      <c r="J44" s="159">
        <f t="shared" si="6"/>
        <v>7200</v>
      </c>
      <c r="K44" s="159">
        <f t="shared" si="6"/>
        <v>16700</v>
      </c>
      <c r="L44" s="159">
        <f t="shared" si="6"/>
        <v>-8500</v>
      </c>
      <c r="M44" s="159">
        <f t="shared" si="6"/>
        <v>131600</v>
      </c>
      <c r="N44" s="159">
        <f t="shared" si="6"/>
        <v>17000</v>
      </c>
      <c r="O44" s="159">
        <f t="shared" si="6"/>
        <v>0</v>
      </c>
      <c r="P44" s="159">
        <f t="shared" ref="P44" si="7">SUBTOTAL(9,P43:P43)</f>
        <v>0</v>
      </c>
      <c r="R44" s="377">
        <f t="shared" si="0"/>
        <v>-15.482352941176471</v>
      </c>
    </row>
    <row r="45" spans="2:18" s="106" customFormat="1" outlineLevel="1">
      <c r="B45" s="70"/>
      <c r="C45" s="138"/>
      <c r="D45" s="141"/>
      <c r="E45" s="141"/>
      <c r="F45" s="141"/>
      <c r="G45" s="141"/>
      <c r="H45" s="141"/>
      <c r="I45" s="141"/>
      <c r="J45" s="141"/>
      <c r="K45" s="141"/>
      <c r="L45" s="141"/>
      <c r="M45" s="141"/>
      <c r="N45" s="141"/>
      <c r="O45" s="141"/>
      <c r="R45" s="377"/>
    </row>
    <row r="46" spans="2:18" s="30" customFormat="1">
      <c r="B46" s="70" t="s">
        <v>286</v>
      </c>
      <c r="C46" s="138"/>
      <c r="D46" s="159">
        <f>SUBTOTAL(9,D20:D44)</f>
        <v>206000</v>
      </c>
      <c r="E46" s="159">
        <f>SUBTOTAL(9,E20:E44)</f>
        <v>220800</v>
      </c>
      <c r="F46" s="159">
        <f t="shared" ref="F46:P46" si="8">SUBTOTAL(9,F20:F44)</f>
        <v>220800</v>
      </c>
      <c r="G46" s="159">
        <f t="shared" si="8"/>
        <v>236700</v>
      </c>
      <c r="H46" s="159">
        <f t="shared" si="8"/>
        <v>247700</v>
      </c>
      <c r="I46" s="159">
        <f t="shared" si="8"/>
        <v>280900</v>
      </c>
      <c r="J46" s="159">
        <f t="shared" si="8"/>
        <v>223700</v>
      </c>
      <c r="K46" s="159">
        <f t="shared" si="8"/>
        <v>328900</v>
      </c>
      <c r="L46" s="159">
        <f t="shared" si="8"/>
        <v>361400</v>
      </c>
      <c r="M46" s="159">
        <f t="shared" si="8"/>
        <v>600300</v>
      </c>
      <c r="N46" s="159">
        <f t="shared" si="8"/>
        <v>380400</v>
      </c>
      <c r="O46" s="159">
        <f t="shared" si="8"/>
        <v>401200</v>
      </c>
      <c r="P46" s="159">
        <f t="shared" si="8"/>
        <v>422500</v>
      </c>
      <c r="R46" s="377">
        <f t="shared" si="0"/>
        <v>1.6610403984504705</v>
      </c>
    </row>
    <row r="47" spans="2:18" s="106" customFormat="1">
      <c r="B47" s="138"/>
      <c r="C47" s="138"/>
      <c r="D47" s="141"/>
      <c r="E47" s="141"/>
      <c r="F47" s="141"/>
      <c r="G47" s="141"/>
      <c r="H47" s="141"/>
      <c r="I47" s="141"/>
      <c r="J47" s="141"/>
      <c r="K47" s="141"/>
      <c r="L47" s="141"/>
      <c r="M47" s="141"/>
      <c r="N47" s="141"/>
      <c r="O47" s="141"/>
    </row>
    <row r="48" spans="2:18" s="106" customFormat="1">
      <c r="B48" s="138" t="s">
        <v>1123</v>
      </c>
      <c r="C48" s="138"/>
      <c r="D48" s="159">
        <f t="shared" ref="D48:O48" si="9">D50-D24-D28-D41</f>
        <v>0</v>
      </c>
      <c r="E48" s="159">
        <f t="shared" si="9"/>
        <v>0</v>
      </c>
      <c r="F48" s="159">
        <f t="shared" si="9"/>
        <v>0</v>
      </c>
      <c r="G48" s="159">
        <f t="shared" si="9"/>
        <v>0</v>
      </c>
      <c r="H48" s="159">
        <f t="shared" si="9"/>
        <v>0</v>
      </c>
      <c r="I48" s="159">
        <f t="shared" si="9"/>
        <v>0</v>
      </c>
      <c r="J48" s="159">
        <f t="shared" si="9"/>
        <v>0</v>
      </c>
      <c r="K48" s="159">
        <f t="shared" si="9"/>
        <v>0</v>
      </c>
      <c r="L48" s="159">
        <f t="shared" si="9"/>
        <v>0</v>
      </c>
      <c r="M48" s="159">
        <f t="shared" si="9"/>
        <v>0</v>
      </c>
      <c r="N48" s="159">
        <f t="shared" si="9"/>
        <v>0</v>
      </c>
      <c r="O48" s="159">
        <f t="shared" si="9"/>
        <v>0</v>
      </c>
      <c r="P48" s="159">
        <f>P50-P24-P28-P41</f>
        <v>0</v>
      </c>
    </row>
    <row r="49" spans="1:18" s="106" customFormat="1">
      <c r="B49" s="138"/>
      <c r="C49" s="138"/>
      <c r="D49" s="141"/>
      <c r="E49" s="141"/>
      <c r="F49" s="141"/>
      <c r="G49" s="141"/>
      <c r="H49" s="141"/>
      <c r="I49" s="141"/>
      <c r="J49" s="141"/>
      <c r="K49" s="141"/>
      <c r="L49" s="141"/>
      <c r="M49" s="141"/>
      <c r="N49" s="141"/>
      <c r="O49" s="141"/>
    </row>
    <row r="50" spans="1:18" s="30" customFormat="1">
      <c r="B50" s="138" t="s">
        <v>1316</v>
      </c>
      <c r="C50" s="138"/>
      <c r="D50" s="141">
        <v>206000</v>
      </c>
      <c r="E50" s="141">
        <v>220800</v>
      </c>
      <c r="F50" s="141">
        <v>220800</v>
      </c>
      <c r="G50" s="141">
        <v>236700</v>
      </c>
      <c r="H50" s="141">
        <v>246500</v>
      </c>
      <c r="I50" s="141">
        <v>262900</v>
      </c>
      <c r="J50" s="141">
        <v>216500</v>
      </c>
      <c r="K50" s="141">
        <v>312200</v>
      </c>
      <c r="L50" s="141">
        <v>369900</v>
      </c>
      <c r="M50" s="141">
        <v>468700</v>
      </c>
      <c r="N50" s="141">
        <v>363400</v>
      </c>
      <c r="O50" s="141">
        <v>401200</v>
      </c>
      <c r="P50" s="141">
        <v>422500</v>
      </c>
    </row>
    <row r="51" spans="1:18" s="106" customFormat="1">
      <c r="B51" s="138"/>
      <c r="C51" s="138"/>
      <c r="D51" s="141"/>
      <c r="E51" s="141"/>
      <c r="F51" s="141"/>
      <c r="G51" s="141"/>
      <c r="H51" s="141"/>
      <c r="I51" s="141"/>
      <c r="J51" s="141"/>
      <c r="K51" s="141"/>
      <c r="L51" s="141"/>
      <c r="M51" s="141"/>
      <c r="N51" s="141"/>
      <c r="O51" s="141"/>
    </row>
    <row r="52" spans="1:18" s="106" customFormat="1">
      <c r="B52" s="138" t="s">
        <v>1317</v>
      </c>
      <c r="C52" s="138"/>
      <c r="D52" s="159">
        <f>D50+D44</f>
        <v>206000</v>
      </c>
      <c r="E52" s="159">
        <f t="shared" ref="E52:P52" si="10">E50+E44</f>
        <v>220800</v>
      </c>
      <c r="F52" s="159">
        <f t="shared" si="10"/>
        <v>220800</v>
      </c>
      <c r="G52" s="159">
        <f t="shared" si="10"/>
        <v>236700</v>
      </c>
      <c r="H52" s="159">
        <f t="shared" si="10"/>
        <v>247700</v>
      </c>
      <c r="I52" s="159">
        <f t="shared" si="10"/>
        <v>280900</v>
      </c>
      <c r="J52" s="159">
        <f t="shared" si="10"/>
        <v>223700</v>
      </c>
      <c r="K52" s="159">
        <f t="shared" si="10"/>
        <v>328900</v>
      </c>
      <c r="L52" s="159">
        <f t="shared" si="10"/>
        <v>361400</v>
      </c>
      <c r="M52" s="159">
        <f>M50+M44</f>
        <v>600300</v>
      </c>
      <c r="N52" s="159">
        <f t="shared" si="10"/>
        <v>380400</v>
      </c>
      <c r="O52" s="159">
        <f t="shared" si="10"/>
        <v>401200</v>
      </c>
      <c r="P52" s="159">
        <f t="shared" si="10"/>
        <v>422500</v>
      </c>
    </row>
    <row r="53" spans="1:18" s="106" customFormat="1">
      <c r="B53" s="138"/>
      <c r="C53" s="138"/>
      <c r="D53" s="141"/>
      <c r="E53" s="141"/>
      <c r="F53" s="141"/>
      <c r="G53" s="141"/>
      <c r="H53" s="141"/>
      <c r="I53" s="141"/>
      <c r="J53" s="141"/>
      <c r="K53" s="141"/>
      <c r="L53" s="141"/>
      <c r="M53" s="141"/>
      <c r="N53" s="141"/>
      <c r="O53" s="141"/>
    </row>
    <row r="54" spans="1:18" s="30" customFormat="1">
      <c r="A54" s="122"/>
      <c r="B54" s="138" t="s">
        <v>1131</v>
      </c>
      <c r="C54" s="138"/>
      <c r="D54" s="159">
        <f t="shared" ref="D54:N54" si="11">D50-D28-D39-D40-D30-D31</f>
        <v>161600</v>
      </c>
      <c r="E54" s="159">
        <f t="shared" si="11"/>
        <v>171500</v>
      </c>
      <c r="F54" s="159">
        <f t="shared" si="11"/>
        <v>171200</v>
      </c>
      <c r="G54" s="159">
        <f t="shared" si="11"/>
        <v>188700</v>
      </c>
      <c r="H54" s="159">
        <f t="shared" si="11"/>
        <v>197100</v>
      </c>
      <c r="I54" s="159">
        <f t="shared" si="11"/>
        <v>209200</v>
      </c>
      <c r="J54" s="159">
        <f t="shared" si="11"/>
        <v>166200</v>
      </c>
      <c r="K54" s="159">
        <f t="shared" si="11"/>
        <v>246900</v>
      </c>
      <c r="L54" s="159">
        <f t="shared" si="11"/>
        <v>277400</v>
      </c>
      <c r="M54" s="159">
        <f t="shared" si="11"/>
        <v>339400</v>
      </c>
      <c r="N54" s="159">
        <f t="shared" si="11"/>
        <v>252900</v>
      </c>
      <c r="O54" s="159">
        <f>O50-O28-O39-O40-O30-O31</f>
        <v>264200</v>
      </c>
      <c r="P54" s="159">
        <f>P50-P28-P39-P40-P30-P31</f>
        <v>274500</v>
      </c>
      <c r="R54" s="79"/>
    </row>
    <row r="55" spans="1:18" s="106" customFormat="1">
      <c r="B55" s="138"/>
      <c r="C55" s="138"/>
      <c r="D55" s="141"/>
      <c r="E55" s="141"/>
      <c r="F55" s="141"/>
      <c r="G55" s="141"/>
      <c r="H55" s="141"/>
      <c r="I55" s="141"/>
      <c r="J55" s="141"/>
      <c r="K55" s="141"/>
      <c r="L55" s="141"/>
      <c r="M55" s="141"/>
      <c r="N55" s="141"/>
      <c r="O55" s="141"/>
    </row>
    <row r="56" spans="1:18" s="133" customFormat="1">
      <c r="B56" s="138" t="s">
        <v>292</v>
      </c>
      <c r="C56" s="138"/>
      <c r="D56" s="141">
        <v>325500</v>
      </c>
      <c r="E56" s="141">
        <v>321700</v>
      </c>
      <c r="F56" s="141">
        <v>311200</v>
      </c>
      <c r="G56" s="141">
        <v>325500</v>
      </c>
      <c r="H56" s="141">
        <v>349600</v>
      </c>
      <c r="I56" s="141">
        <v>361500</v>
      </c>
      <c r="J56" s="141">
        <v>312900</v>
      </c>
      <c r="K56" s="141">
        <v>409700</v>
      </c>
      <c r="L56" s="141">
        <v>465400</v>
      </c>
      <c r="M56" s="141">
        <v>565200</v>
      </c>
      <c r="N56" s="141">
        <v>476300</v>
      </c>
      <c r="O56" s="141">
        <v>517400</v>
      </c>
      <c r="P56" s="141">
        <v>538900</v>
      </c>
    </row>
    <row r="57" spans="1:18" s="133" customFormat="1">
      <c r="B57" s="138"/>
      <c r="C57" s="138"/>
      <c r="D57" s="141"/>
      <c r="E57" s="141"/>
      <c r="F57" s="141"/>
      <c r="G57" s="141"/>
      <c r="H57" s="141"/>
      <c r="I57" s="141"/>
      <c r="J57" s="141"/>
      <c r="K57" s="141"/>
      <c r="L57" s="141"/>
      <c r="M57" s="141"/>
      <c r="N57" s="141"/>
      <c r="O57" s="141"/>
    </row>
    <row r="58" spans="1:18">
      <c r="B58" s="138" t="s">
        <v>1321</v>
      </c>
      <c r="C58" s="138"/>
      <c r="D58" s="159">
        <f t="shared" ref="D58:P58" si="12">D56-D50</f>
        <v>119500</v>
      </c>
      <c r="E58" s="159">
        <f t="shared" si="12"/>
        <v>100900</v>
      </c>
      <c r="F58" s="159">
        <f t="shared" si="12"/>
        <v>90400</v>
      </c>
      <c r="G58" s="159">
        <f t="shared" si="12"/>
        <v>88800</v>
      </c>
      <c r="H58" s="159">
        <f t="shared" si="12"/>
        <v>103100</v>
      </c>
      <c r="I58" s="159">
        <f t="shared" si="12"/>
        <v>98600</v>
      </c>
      <c r="J58" s="159">
        <f t="shared" si="12"/>
        <v>96400</v>
      </c>
      <c r="K58" s="159">
        <f t="shared" si="12"/>
        <v>97500</v>
      </c>
      <c r="L58" s="159">
        <f t="shared" si="12"/>
        <v>95500</v>
      </c>
      <c r="M58" s="159">
        <f t="shared" si="12"/>
        <v>96500</v>
      </c>
      <c r="N58" s="159">
        <f t="shared" si="12"/>
        <v>112900</v>
      </c>
      <c r="O58" s="159">
        <f t="shared" si="12"/>
        <v>116200</v>
      </c>
      <c r="P58" s="159">
        <f t="shared" si="12"/>
        <v>116400</v>
      </c>
    </row>
    <row r="59" spans="1:18" s="182" customFormat="1">
      <c r="B59" s="176"/>
      <c r="C59" s="181"/>
      <c r="D59" s="175"/>
      <c r="E59" s="175"/>
      <c r="F59" s="175"/>
      <c r="G59" s="175"/>
      <c r="H59" s="175"/>
      <c r="I59" s="175"/>
      <c r="J59" s="175"/>
      <c r="K59" s="175"/>
      <c r="L59" s="175"/>
      <c r="M59" s="175"/>
      <c r="N59" s="175"/>
      <c r="O59" s="175"/>
    </row>
    <row r="60" spans="1:18" ht="15" customHeight="1">
      <c r="B60" s="138" t="s">
        <v>1206</v>
      </c>
      <c r="C60" s="138"/>
      <c r="D60" s="162">
        <f>D58/D56</f>
        <v>0.36712749615975421</v>
      </c>
      <c r="E60" s="162">
        <f t="shared" ref="E60:P60" si="13">E58/E56</f>
        <v>0.31364625427416848</v>
      </c>
      <c r="F60" s="162">
        <f t="shared" si="13"/>
        <v>0.29048843187660667</v>
      </c>
      <c r="G60" s="162">
        <f t="shared" si="13"/>
        <v>0.27281105990783411</v>
      </c>
      <c r="H60" s="162">
        <f t="shared" si="13"/>
        <v>0.29490846681922195</v>
      </c>
      <c r="I60" s="162">
        <f t="shared" si="13"/>
        <v>0.27275242047026277</v>
      </c>
      <c r="J60" s="162">
        <f t="shared" si="13"/>
        <v>0.30808565036752955</v>
      </c>
      <c r="K60" s="162">
        <f t="shared" si="13"/>
        <v>0.23797900903099828</v>
      </c>
      <c r="L60" s="162">
        <f t="shared" si="13"/>
        <v>0.20519982810485604</v>
      </c>
      <c r="M60" s="162">
        <f t="shared" si="13"/>
        <v>0.17073602264685067</v>
      </c>
      <c r="N60" s="162">
        <f t="shared" si="13"/>
        <v>0.237035481839177</v>
      </c>
      <c r="O60" s="162">
        <f t="shared" si="13"/>
        <v>0.22458446076536528</v>
      </c>
      <c r="P60" s="162">
        <f t="shared" si="13"/>
        <v>0.21599554648357766</v>
      </c>
    </row>
    <row r="61" spans="1:18" s="133" customFormat="1">
      <c r="B61" s="138"/>
      <c r="C61" s="138"/>
      <c r="D61" s="198"/>
      <c r="E61" s="198"/>
      <c r="F61" s="198"/>
      <c r="G61" s="198"/>
      <c r="H61" s="198"/>
      <c r="I61" s="198"/>
      <c r="J61" s="198"/>
      <c r="K61" s="198"/>
      <c r="L61" s="198"/>
      <c r="M61" s="198"/>
      <c r="N61" s="198"/>
      <c r="O61" s="198"/>
    </row>
    <row r="62" spans="1:18">
      <c r="B62" s="90" t="s">
        <v>228</v>
      </c>
      <c r="D62" s="95">
        <f>'UK Analysis'!C67</f>
        <v>32130643</v>
      </c>
      <c r="E62" s="95">
        <f>'UK Analysis'!D67</f>
        <v>30487501</v>
      </c>
      <c r="F62" s="95">
        <f>'UK Analysis'!E67</f>
        <v>29639827</v>
      </c>
      <c r="G62" s="95">
        <f>'UK Analysis'!F67</f>
        <v>30051950</v>
      </c>
      <c r="H62" s="95">
        <f>'UK Analysis'!G67</f>
        <v>32013832</v>
      </c>
      <c r="I62" s="95">
        <f>'UK Analysis'!H67</f>
        <v>32831514</v>
      </c>
      <c r="J62" s="95">
        <f>'UK Analysis'!I67</f>
        <v>27409255</v>
      </c>
      <c r="K62" s="95">
        <f>'UK Analysis'!J67</f>
        <v>35165530</v>
      </c>
      <c r="L62" s="95">
        <f>'UK Analysis'!K67</f>
        <v>34162014</v>
      </c>
      <c r="M62" s="95">
        <f>'UK Analysis'!L67</f>
        <v>32389927</v>
      </c>
      <c r="N62" s="95">
        <f>'UK Analysis'!M67</f>
        <v>31640312</v>
      </c>
      <c r="O62" s="95">
        <f>'UK Analysis'!N67</f>
        <v>33806458</v>
      </c>
      <c r="P62" s="95">
        <f>'UK Analysis'!O67</f>
        <v>34256770</v>
      </c>
    </row>
    <row r="63" spans="1:18">
      <c r="B63" s="90" t="s">
        <v>264</v>
      </c>
      <c r="D63" s="95">
        <f>'UK Analysis'!C83</f>
        <v>250621</v>
      </c>
      <c r="E63" s="95">
        <f>'UK Analysis'!D83</f>
        <v>237543</v>
      </c>
      <c r="F63" s="95">
        <f>'UK Analysis'!E83</f>
        <v>236499</v>
      </c>
      <c r="G63" s="95">
        <f>'UK Analysis'!F83</f>
        <v>233614</v>
      </c>
      <c r="H63" s="95">
        <f>'UK Analysis'!G83</f>
        <v>244941</v>
      </c>
      <c r="I63" s="95">
        <f>'UK Analysis'!H83</f>
        <v>253789</v>
      </c>
      <c r="J63" s="95">
        <f>'UK Analysis'!I83</f>
        <v>197514</v>
      </c>
      <c r="K63" s="95">
        <f>'UK Analysis'!J83</f>
        <v>258921</v>
      </c>
      <c r="L63" s="95">
        <f>'UK Analysis'!K83</f>
        <v>256352</v>
      </c>
      <c r="M63" s="95">
        <f>'UK Analysis'!L83</f>
        <v>244571</v>
      </c>
      <c r="N63" s="95">
        <f>'UK Analysis'!M83</f>
        <v>235625</v>
      </c>
      <c r="O63" s="95">
        <f>'UK Analysis'!N83</f>
        <v>242312</v>
      </c>
      <c r="P63" s="95">
        <f>'UK Analysis'!O83</f>
        <v>135210</v>
      </c>
    </row>
    <row r="64" spans="1:18">
      <c r="B64" s="111" t="s">
        <v>210</v>
      </c>
      <c r="C64" s="111"/>
      <c r="D64" s="140">
        <v>1730</v>
      </c>
      <c r="E64" s="140">
        <v>1707</v>
      </c>
      <c r="F64" s="140">
        <v>1804</v>
      </c>
      <c r="G64" s="140">
        <v>1885</v>
      </c>
      <c r="H64" s="140">
        <v>1877</v>
      </c>
      <c r="I64" s="140">
        <v>1880</v>
      </c>
      <c r="J64" s="140">
        <v>1803</v>
      </c>
      <c r="K64" s="140">
        <v>1916</v>
      </c>
      <c r="L64" s="140">
        <v>2186</v>
      </c>
      <c r="M64" s="140">
        <v>2398</v>
      </c>
      <c r="N64" s="140">
        <v>2481</v>
      </c>
      <c r="O64" s="140">
        <v>2409</v>
      </c>
      <c r="P64" s="140">
        <v>2371</v>
      </c>
    </row>
    <row r="65" spans="2:16" s="133" customFormat="1">
      <c r="B65" s="138"/>
      <c r="C65" s="138"/>
      <c r="D65" s="141"/>
      <c r="E65" s="141"/>
      <c r="F65" s="141"/>
      <c r="G65" s="141"/>
      <c r="H65" s="141"/>
      <c r="I65" s="141"/>
      <c r="J65" s="141"/>
      <c r="K65" s="141"/>
      <c r="L65" s="141"/>
      <c r="M65" s="141"/>
      <c r="N65" s="141"/>
      <c r="O65" s="141"/>
    </row>
    <row r="66" spans="2:16" s="133" customFormat="1">
      <c r="B66" s="153" t="s">
        <v>1322</v>
      </c>
      <c r="C66" s="94"/>
      <c r="D66" s="94"/>
      <c r="E66" s="94"/>
      <c r="F66" s="94"/>
      <c r="G66" s="94"/>
      <c r="H66" s="94"/>
      <c r="I66" s="94"/>
      <c r="J66" s="94"/>
      <c r="K66" s="94"/>
      <c r="L66" s="94"/>
      <c r="M66" s="94"/>
      <c r="N66" s="94"/>
      <c r="O66" s="94"/>
      <c r="P66" s="94"/>
    </row>
    <row r="67" spans="2:16" s="133" customFormat="1">
      <c r="B67" s="138"/>
      <c r="C67" s="138"/>
      <c r="D67" s="141"/>
      <c r="E67" s="141"/>
      <c r="F67" s="141"/>
      <c r="G67" s="141"/>
      <c r="H67" s="141"/>
      <c r="I67" s="141"/>
      <c r="J67" s="141"/>
      <c r="K67" s="141"/>
      <c r="L67" s="141"/>
      <c r="M67" s="141"/>
      <c r="N67" s="141"/>
      <c r="O67" s="141"/>
    </row>
    <row r="68" spans="2:16" s="133" customFormat="1">
      <c r="B68" s="216" t="s">
        <v>919</v>
      </c>
      <c r="C68" s="138"/>
      <c r="D68" s="141"/>
      <c r="E68" s="141"/>
      <c r="F68" s="141"/>
      <c r="G68" s="141"/>
      <c r="H68" s="141"/>
      <c r="I68" s="141"/>
      <c r="J68" s="141"/>
      <c r="K68" s="141"/>
      <c r="L68" s="141"/>
      <c r="M68" s="141"/>
      <c r="N68" s="141"/>
      <c r="O68" s="141"/>
    </row>
    <row r="69" spans="2:16" s="133" customFormat="1">
      <c r="B69" s="166" t="s">
        <v>912</v>
      </c>
      <c r="C69" s="138"/>
      <c r="D69" s="141">
        <v>481.1</v>
      </c>
      <c r="E69" s="141">
        <v>470.2</v>
      </c>
      <c r="F69" s="141">
        <v>509</v>
      </c>
      <c r="G69" s="141">
        <v>540.9</v>
      </c>
      <c r="H69" s="141">
        <v>559.70000000000005</v>
      </c>
      <c r="I69" s="141">
        <v>601.5</v>
      </c>
      <c r="J69" s="141">
        <v>626.5</v>
      </c>
      <c r="K69" s="141">
        <v>683.2</v>
      </c>
      <c r="L69" s="141">
        <v>649.9</v>
      </c>
      <c r="M69" s="141">
        <v>636.4</v>
      </c>
      <c r="N69" s="141">
        <v>663.3</v>
      </c>
      <c r="O69" s="141">
        <v>667.1</v>
      </c>
      <c r="P69" s="141">
        <v>688.2</v>
      </c>
    </row>
    <row r="70" spans="2:16" s="133" customFormat="1">
      <c r="B70" s="166" t="s">
        <v>913</v>
      </c>
      <c r="C70" s="138"/>
      <c r="D70" s="141">
        <v>15.9</v>
      </c>
      <c r="E70" s="141">
        <v>13.1</v>
      </c>
      <c r="F70" s="141">
        <v>5.4</v>
      </c>
      <c r="G70" s="141">
        <v>5.4</v>
      </c>
      <c r="H70" s="141">
        <v>4.0999999999999996</v>
      </c>
      <c r="I70" s="141">
        <v>4.9000000000000004</v>
      </c>
      <c r="J70" s="141">
        <v>4.9000000000000004</v>
      </c>
      <c r="K70" s="141">
        <v>4.9000000000000004</v>
      </c>
      <c r="L70" s="141">
        <v>4.2</v>
      </c>
      <c r="M70" s="141">
        <v>4</v>
      </c>
      <c r="N70" s="141">
        <v>4.0999999999999996</v>
      </c>
      <c r="O70" s="141">
        <v>4.0999999999999996</v>
      </c>
      <c r="P70" s="141">
        <v>4.0999999999999996</v>
      </c>
    </row>
    <row r="71" spans="2:16" s="133" customFormat="1">
      <c r="B71" s="166" t="s">
        <v>914</v>
      </c>
      <c r="C71" s="138"/>
      <c r="D71" s="141">
        <v>476.4</v>
      </c>
      <c r="E71" s="141">
        <v>522.1</v>
      </c>
      <c r="F71" s="141">
        <v>508.3</v>
      </c>
      <c r="G71" s="141">
        <v>525</v>
      </c>
      <c r="H71" s="141">
        <v>580.6</v>
      </c>
      <c r="I71" s="141">
        <v>671.5</v>
      </c>
      <c r="J71" s="141">
        <v>665.4</v>
      </c>
      <c r="K71" s="141">
        <v>710.5</v>
      </c>
      <c r="L71" s="141">
        <v>736.7</v>
      </c>
      <c r="M71" s="141">
        <v>709.7</v>
      </c>
      <c r="N71" s="141">
        <v>797.2</v>
      </c>
      <c r="O71" s="141">
        <v>920.3</v>
      </c>
      <c r="P71" s="141">
        <v>945</v>
      </c>
    </row>
    <row r="72" spans="2:16" s="133" customFormat="1">
      <c r="B72" s="166" t="s">
        <v>915</v>
      </c>
      <c r="C72" s="138"/>
      <c r="D72" s="141">
        <v>115.4</v>
      </c>
      <c r="E72" s="141">
        <v>118.8</v>
      </c>
      <c r="F72" s="141">
        <v>108.7</v>
      </c>
      <c r="G72" s="141">
        <v>114.8</v>
      </c>
      <c r="H72" s="141">
        <v>111.7</v>
      </c>
      <c r="I72" s="141">
        <v>117.8</v>
      </c>
      <c r="J72" s="141">
        <v>113.8</v>
      </c>
      <c r="K72" s="141">
        <v>116.1</v>
      </c>
      <c r="L72" s="141">
        <v>117.8</v>
      </c>
      <c r="M72" s="141">
        <v>120.5</v>
      </c>
      <c r="N72" s="141">
        <v>148.80000000000001</v>
      </c>
      <c r="O72" s="141">
        <v>157.6</v>
      </c>
      <c r="P72" s="141">
        <v>205.6</v>
      </c>
    </row>
    <row r="73" spans="2:16" s="133" customFormat="1">
      <c r="B73" s="166" t="s">
        <v>921</v>
      </c>
      <c r="C73" s="138"/>
      <c r="D73" s="141">
        <v>9.3000000000000007</v>
      </c>
      <c r="E73" s="141">
        <v>9.5</v>
      </c>
      <c r="F73" s="141">
        <v>9.3000000000000007</v>
      </c>
      <c r="G73" s="141">
        <v>9.5</v>
      </c>
      <c r="H73" s="141">
        <v>9.1999999999999993</v>
      </c>
      <c r="I73" s="141">
        <v>8.6999999999999993</v>
      </c>
      <c r="J73" s="141">
        <v>8.1999999999999993</v>
      </c>
      <c r="K73" s="141">
        <v>13.2</v>
      </c>
      <c r="L73" s="141">
        <v>14.1</v>
      </c>
      <c r="M73" s="141">
        <v>15.8</v>
      </c>
      <c r="N73" s="141">
        <v>10.6</v>
      </c>
      <c r="O73" s="141">
        <v>15.4</v>
      </c>
      <c r="P73" s="141">
        <v>25.3</v>
      </c>
    </row>
    <row r="74" spans="2:16" s="133" customFormat="1">
      <c r="B74" s="166" t="s">
        <v>1323</v>
      </c>
      <c r="C74" s="138"/>
      <c r="D74" s="141">
        <v>26.8</v>
      </c>
      <c r="E74" s="141">
        <v>22.9</v>
      </c>
      <c r="F74" s="141">
        <v>17.399999999999999</v>
      </c>
      <c r="G74" s="141">
        <v>15.4</v>
      </c>
      <c r="H74" s="141">
        <v>13</v>
      </c>
      <c r="I74" s="141">
        <v>10</v>
      </c>
      <c r="J74" s="141">
        <v>9.4</v>
      </c>
      <c r="K74" s="141">
        <v>18.399999999999999</v>
      </c>
      <c r="L74" s="141">
        <v>39.5</v>
      </c>
      <c r="M74" s="141">
        <v>38.6</v>
      </c>
      <c r="N74" s="141">
        <v>44.2</v>
      </c>
      <c r="O74" s="141">
        <v>84.3</v>
      </c>
      <c r="P74" s="141">
        <v>106.5</v>
      </c>
    </row>
    <row r="75" spans="2:16" s="133" customFormat="1">
      <c r="B75" s="166" t="s">
        <v>918</v>
      </c>
      <c r="C75" s="138"/>
      <c r="D75" s="141">
        <v>68.8</v>
      </c>
      <c r="E75" s="141">
        <v>47.6</v>
      </c>
      <c r="F75" s="141">
        <v>53.1</v>
      </c>
      <c r="G75" s="141">
        <v>105.4</v>
      </c>
      <c r="H75" s="141">
        <v>142.69999999999999</v>
      </c>
      <c r="I75" s="141">
        <v>76.8</v>
      </c>
      <c r="J75" s="141">
        <v>110.7</v>
      </c>
      <c r="K75" s="141">
        <v>68</v>
      </c>
      <c r="L75" s="141">
        <v>71.5</v>
      </c>
      <c r="M75" s="141">
        <v>210.5</v>
      </c>
      <c r="N75" s="141">
        <v>219.4</v>
      </c>
      <c r="O75" s="141">
        <v>168.2</v>
      </c>
      <c r="P75" s="141">
        <v>185.7</v>
      </c>
    </row>
    <row r="76" spans="2:16" s="133" customFormat="1">
      <c r="B76" s="166" t="s">
        <v>106</v>
      </c>
      <c r="C76" s="138"/>
      <c r="D76" s="141">
        <v>1193.7</v>
      </c>
      <c r="E76" s="141">
        <v>1204.2</v>
      </c>
      <c r="F76" s="141">
        <v>1211.2</v>
      </c>
      <c r="G76" s="141">
        <v>1316.4</v>
      </c>
      <c r="H76" s="141">
        <v>1421</v>
      </c>
      <c r="I76" s="141">
        <v>1491.2</v>
      </c>
      <c r="J76" s="141">
        <v>1538.9</v>
      </c>
      <c r="K76" s="141">
        <v>1614.3</v>
      </c>
      <c r="L76" s="141">
        <v>1633.7</v>
      </c>
      <c r="M76" s="141">
        <v>1735.5</v>
      </c>
      <c r="N76" s="141">
        <v>1887.6</v>
      </c>
      <c r="O76" s="141">
        <v>2017</v>
      </c>
      <c r="P76" s="141">
        <v>2160.4</v>
      </c>
    </row>
    <row r="77" spans="2:16" s="133" customFormat="1">
      <c r="C77" s="138"/>
      <c r="D77" s="198"/>
      <c r="E77" s="198"/>
      <c r="F77" s="198"/>
      <c r="G77" s="198"/>
      <c r="H77" s="198"/>
      <c r="I77" s="198"/>
      <c r="J77" s="198"/>
      <c r="K77" s="198"/>
      <c r="L77" s="198"/>
      <c r="M77" s="198"/>
      <c r="N77" s="198"/>
      <c r="O77" s="198"/>
    </row>
    <row r="78" spans="2:16">
      <c r="B78" s="153" t="s">
        <v>302</v>
      </c>
      <c r="C78" s="94"/>
      <c r="D78" s="94"/>
      <c r="E78" s="94"/>
      <c r="F78" s="94"/>
      <c r="G78" s="94"/>
      <c r="H78" s="94"/>
      <c r="I78" s="94"/>
      <c r="J78" s="94"/>
      <c r="K78" s="94"/>
      <c r="L78" s="94"/>
      <c r="M78" s="94"/>
      <c r="N78" s="94"/>
      <c r="O78" s="94"/>
      <c r="P78" s="94"/>
    </row>
    <row r="80" spans="2:16">
      <c r="B80" s="90" t="s">
        <v>1127</v>
      </c>
      <c r="D80" s="192">
        <f t="shared" ref="D80:O80" si="14">(D52/D62)*1000</f>
        <v>6.4113251639564135</v>
      </c>
      <c r="E80" s="192">
        <f t="shared" si="14"/>
        <v>7.2423121855740158</v>
      </c>
      <c r="F80" s="192">
        <f t="shared" si="14"/>
        <v>7.4494361927281156</v>
      </c>
      <c r="G80" s="192">
        <f t="shared" si="14"/>
        <v>7.8763607686023702</v>
      </c>
      <c r="H80" s="192">
        <f t="shared" si="14"/>
        <v>7.7372805604777337</v>
      </c>
      <c r="I80" s="192">
        <f t="shared" si="14"/>
        <v>8.555804036329242</v>
      </c>
      <c r="J80" s="192">
        <f t="shared" si="14"/>
        <v>8.161476844226522</v>
      </c>
      <c r="K80" s="192">
        <f t="shared" si="14"/>
        <v>9.3529089423648664</v>
      </c>
      <c r="L80" s="192">
        <f t="shared" si="14"/>
        <v>10.579001577600197</v>
      </c>
      <c r="M80" s="192">
        <f t="shared" si="14"/>
        <v>18.533539763766679</v>
      </c>
      <c r="N80" s="192">
        <f t="shared" si="14"/>
        <v>12.022637450604154</v>
      </c>
      <c r="O80" s="192">
        <f t="shared" si="14"/>
        <v>11.867555009755828</v>
      </c>
      <c r="P80" s="192">
        <f t="shared" ref="P80" si="15">(P52/P62)*1000</f>
        <v>12.333328565419333</v>
      </c>
    </row>
    <row r="81" spans="2:17">
      <c r="B81" s="90" t="s">
        <v>299</v>
      </c>
      <c r="D81" s="192">
        <f t="shared" ref="D81:O81" si="16">(D50/D62)*1000</f>
        <v>6.4113251639564135</v>
      </c>
      <c r="E81" s="192">
        <f t="shared" si="16"/>
        <v>7.2423121855740158</v>
      </c>
      <c r="F81" s="192">
        <f t="shared" si="16"/>
        <v>7.4494361927281156</v>
      </c>
      <c r="G81" s="192">
        <f t="shared" si="16"/>
        <v>7.8763607686023702</v>
      </c>
      <c r="H81" s="192">
        <f t="shared" si="16"/>
        <v>7.6997967628492585</v>
      </c>
      <c r="I81" s="192">
        <f t="shared" si="16"/>
        <v>8.0075503066961833</v>
      </c>
      <c r="J81" s="192">
        <f t="shared" si="16"/>
        <v>7.8987918496872673</v>
      </c>
      <c r="K81" s="192">
        <f t="shared" si="16"/>
        <v>8.8780120760301351</v>
      </c>
      <c r="L81" s="192">
        <f t="shared" si="16"/>
        <v>10.82781594785366</v>
      </c>
      <c r="M81" s="192">
        <f t="shared" si="16"/>
        <v>14.47054820469339</v>
      </c>
      <c r="N81" s="192">
        <f t="shared" si="16"/>
        <v>11.485348184935724</v>
      </c>
      <c r="O81" s="192">
        <f t="shared" si="16"/>
        <v>11.867555009755828</v>
      </c>
      <c r="P81" s="192">
        <f t="shared" ref="P81" si="17">(P50/P62)*1000</f>
        <v>12.333328565419333</v>
      </c>
    </row>
    <row r="82" spans="2:17">
      <c r="B82" s="90" t="s">
        <v>300</v>
      </c>
      <c r="D82" s="192">
        <f t="shared" ref="D82:N82" si="18">(D54/D62)*1000</f>
        <v>5.0294667305599834</v>
      </c>
      <c r="E82" s="192">
        <f t="shared" si="18"/>
        <v>5.6252560680522814</v>
      </c>
      <c r="F82" s="192">
        <f t="shared" si="18"/>
        <v>5.7760121204486117</v>
      </c>
      <c r="G82" s="192">
        <f t="shared" si="18"/>
        <v>6.2791266456918766</v>
      </c>
      <c r="H82" s="192">
        <f t="shared" si="18"/>
        <v>6.1567137604770341</v>
      </c>
      <c r="I82" s="192">
        <f t="shared" si="18"/>
        <v>6.3719266799575554</v>
      </c>
      <c r="J82" s="192">
        <f t="shared" si="18"/>
        <v>6.0636452906144296</v>
      </c>
      <c r="K82" s="192">
        <f t="shared" si="18"/>
        <v>7.0210800178470221</v>
      </c>
      <c r="L82" s="192">
        <f t="shared" si="18"/>
        <v>8.1201301539189128</v>
      </c>
      <c r="M82" s="192">
        <f t="shared" si="18"/>
        <v>10.478566376515762</v>
      </c>
      <c r="N82" s="192">
        <f t="shared" si="18"/>
        <v>7.9929679580909312</v>
      </c>
      <c r="O82" s="192">
        <f>(O54/O62)*1000</f>
        <v>7.8150748593656276</v>
      </c>
      <c r="P82" s="192">
        <f>(P54/P62)*1000</f>
        <v>8.0130146537458149</v>
      </c>
      <c r="Q82" s="324"/>
    </row>
    <row r="83" spans="2:17">
      <c r="B83" s="90" t="s">
        <v>265</v>
      </c>
      <c r="D83" s="170">
        <f t="shared" ref="D83:O83" si="19">D24*1000/D62</f>
        <v>1.7366599230522712</v>
      </c>
      <c r="E83" s="170">
        <f t="shared" si="19"/>
        <v>1.9712996483378549</v>
      </c>
      <c r="F83" s="170">
        <f t="shared" si="19"/>
        <v>2.2334813222762739</v>
      </c>
      <c r="G83" s="170">
        <f t="shared" si="19"/>
        <v>2.5322815990310112</v>
      </c>
      <c r="H83" s="170">
        <f t="shared" si="19"/>
        <v>2.4676833438746102</v>
      </c>
      <c r="I83" s="170">
        <f t="shared" si="19"/>
        <v>2.4458208049741477</v>
      </c>
      <c r="J83" s="170">
        <f t="shared" si="19"/>
        <v>2.2656580779010596</v>
      </c>
      <c r="K83" s="170">
        <f t="shared" si="19"/>
        <v>2.6958217322474596</v>
      </c>
      <c r="L83" s="170">
        <f t="shared" si="19"/>
        <v>3.0794437353722763</v>
      </c>
      <c r="M83" s="170">
        <f t="shared" si="19"/>
        <v>4.2914576497810568</v>
      </c>
      <c r="N83" s="170">
        <f t="shared" si="19"/>
        <v>4.0612747434348941</v>
      </c>
      <c r="O83" s="170">
        <f t="shared" si="19"/>
        <v>4.1560106651811912</v>
      </c>
      <c r="P83" s="170">
        <f t="shared" ref="P83" si="20">P24*1000/P62</f>
        <v>4.3524243529089288</v>
      </c>
    </row>
    <row r="84" spans="2:17">
      <c r="B84" s="111" t="s">
        <v>1136</v>
      </c>
      <c r="C84" s="111"/>
      <c r="D84" s="140">
        <f t="shared" ref="D84:O84" si="21">D24/D64*1000</f>
        <v>32254.335260115611</v>
      </c>
      <c r="E84" s="140">
        <f t="shared" si="21"/>
        <v>35207.96719390744</v>
      </c>
      <c r="F84" s="140">
        <f t="shared" si="21"/>
        <v>36696.230598669623</v>
      </c>
      <c r="G84" s="140">
        <f t="shared" si="21"/>
        <v>40371.352785145886</v>
      </c>
      <c r="H84" s="140">
        <f t="shared" si="21"/>
        <v>42088.438998401703</v>
      </c>
      <c r="I84" s="140">
        <f t="shared" si="21"/>
        <v>42712.765957446805</v>
      </c>
      <c r="J84" s="140">
        <f t="shared" si="21"/>
        <v>34442.595673876873</v>
      </c>
      <c r="K84" s="140">
        <f t="shared" si="21"/>
        <v>49478.079331941546</v>
      </c>
      <c r="L84" s="140">
        <f t="shared" si="21"/>
        <v>48124.42817932296</v>
      </c>
      <c r="M84" s="140">
        <f t="shared" si="21"/>
        <v>57964.970809007507</v>
      </c>
      <c r="N84" s="140">
        <f t="shared" si="21"/>
        <v>51793.631600161229</v>
      </c>
      <c r="O84" s="140">
        <f t="shared" si="21"/>
        <v>58322.955583229559</v>
      </c>
      <c r="P84" s="140">
        <f t="shared" ref="P84" si="22">P24/P64*1000</f>
        <v>62884.858709405315</v>
      </c>
    </row>
    <row r="85" spans="2:17">
      <c r="B85" s="111" t="s">
        <v>1135</v>
      </c>
      <c r="C85" s="111"/>
      <c r="D85" s="140">
        <f t="shared" ref="D85:O85" si="23">D62/D64</f>
        <v>18572.626011560693</v>
      </c>
      <c r="E85" s="140">
        <f t="shared" si="23"/>
        <v>17860.281780902169</v>
      </c>
      <c r="F85" s="140">
        <f t="shared" si="23"/>
        <v>16430.059312638579</v>
      </c>
      <c r="G85" s="140">
        <f t="shared" si="23"/>
        <v>15942.679045092838</v>
      </c>
      <c r="H85" s="140">
        <f t="shared" si="23"/>
        <v>17055.85082578583</v>
      </c>
      <c r="I85" s="140">
        <f t="shared" si="23"/>
        <v>17463.571276595743</v>
      </c>
      <c r="J85" s="140">
        <f t="shared" si="23"/>
        <v>15202.027176927344</v>
      </c>
      <c r="K85" s="140">
        <f t="shared" si="23"/>
        <v>18353.616910229644</v>
      </c>
      <c r="L85" s="140">
        <f t="shared" si="23"/>
        <v>15627.636779505947</v>
      </c>
      <c r="M85" s="140">
        <f t="shared" si="23"/>
        <v>13507.058798999165</v>
      </c>
      <c r="N85" s="140">
        <f t="shared" si="23"/>
        <v>12753.047964530431</v>
      </c>
      <c r="O85" s="140">
        <f t="shared" si="23"/>
        <v>14033.398920713989</v>
      </c>
      <c r="P85" s="140">
        <f t="shared" ref="P85" si="24">P62/P64</f>
        <v>14448.237030788696</v>
      </c>
    </row>
    <row r="86" spans="2:17" s="133" customFormat="1">
      <c r="B86" s="138"/>
      <c r="C86" s="138"/>
      <c r="D86" s="141"/>
      <c r="E86" s="141"/>
      <c r="F86" s="141"/>
      <c r="G86" s="141"/>
      <c r="H86" s="141"/>
      <c r="I86" s="141"/>
      <c r="J86" s="141"/>
      <c r="K86" s="141"/>
      <c r="L86" s="141"/>
      <c r="M86" s="141"/>
      <c r="N86" s="141"/>
      <c r="O86" s="141"/>
    </row>
    <row r="87" spans="2:17">
      <c r="B87" s="153" t="s">
        <v>308</v>
      </c>
      <c r="C87" s="94"/>
      <c r="D87" s="94"/>
      <c r="E87" s="94"/>
      <c r="F87" s="94"/>
      <c r="G87" s="94"/>
      <c r="H87" s="94"/>
      <c r="I87" s="94"/>
      <c r="J87" s="94"/>
      <c r="K87" s="94"/>
      <c r="L87" s="94"/>
      <c r="M87" s="94"/>
      <c r="N87" s="94"/>
      <c r="O87" s="94"/>
      <c r="P87" s="94"/>
    </row>
    <row r="88" spans="2:17">
      <c r="B88" s="111"/>
      <c r="C88" s="111"/>
      <c r="D88" s="141"/>
      <c r="E88" s="141"/>
      <c r="F88" s="141"/>
      <c r="G88" s="141"/>
      <c r="H88" s="141"/>
      <c r="I88" s="141"/>
      <c r="J88" s="141"/>
      <c r="K88" s="141"/>
      <c r="L88" s="141"/>
      <c r="M88" s="141"/>
      <c r="N88" s="141"/>
      <c r="O88" s="141"/>
    </row>
    <row r="89" spans="2:17">
      <c r="B89" s="138" t="s">
        <v>21</v>
      </c>
      <c r="D89" s="213">
        <f>VLOOKUP(D15,RPI!$B$54:$C$107,2,FALSE)</f>
        <v>171.31666666666663</v>
      </c>
      <c r="E89" s="213">
        <f>VLOOKUP(E15,RPI!$B$54:$C$107,2,FALSE)</f>
        <v>173.875</v>
      </c>
      <c r="F89" s="213">
        <f>VLOOKUP(F15,RPI!$B$54:$C$107,2,FALSE)</f>
        <v>177.51666666666665</v>
      </c>
      <c r="G89" s="213">
        <f>VLOOKUP(G15,RPI!$B$54:$C$107,2,FALSE)</f>
        <v>182.47499999999999</v>
      </c>
      <c r="H89" s="213">
        <f>VLOOKUP(H15,RPI!$B$54:$C$107,2,FALSE)</f>
        <v>188.15</v>
      </c>
      <c r="I89" s="213">
        <f>VLOOKUP(I15,RPI!$B$54:$C$107,2,FALSE)</f>
        <v>193.10833333333332</v>
      </c>
      <c r="J89" s="213">
        <f>VLOOKUP(J15,RPI!$B$54:$C$107,2,FALSE)</f>
        <v>199.41111111111113</v>
      </c>
      <c r="K89" s="213">
        <f>VLOOKUP(K15,RPI!$B$54:$C$107,2,FALSE)</f>
        <v>206.57499999999996</v>
      </c>
      <c r="L89" s="213">
        <f>VLOOKUP(L15,RPI!$B$54:$C$107,2,FALSE)</f>
        <v>214.82500000000002</v>
      </c>
      <c r="M89" s="213">
        <f>VLOOKUP(M15,RPI!$B$54:$C$107,2,FALSE)</f>
        <v>215.76666666666665</v>
      </c>
      <c r="N89" s="213">
        <f>VLOOKUP(N15,RPI!$B$54:$C$107,2,FALSE)</f>
        <v>226.47499999999999</v>
      </c>
      <c r="O89" s="213">
        <f>VLOOKUP(O15,RPI!$B$54:$C$107,2,FALSE)</f>
        <v>237.3416666666667</v>
      </c>
      <c r="P89" s="213">
        <f>VLOOKUP(P15,RPI!$B$54:$C$107,2,FALSE)</f>
        <v>244.67499999999998</v>
      </c>
    </row>
    <row r="90" spans="2:17">
      <c r="B90" s="138" t="s">
        <v>1048</v>
      </c>
      <c r="D90" s="214">
        <f>RPI!$R$44</f>
        <v>237.3416666666667</v>
      </c>
      <c r="E90" s="214">
        <f>RPI!$R$44</f>
        <v>237.3416666666667</v>
      </c>
      <c r="F90" s="214">
        <f>RPI!$R$44</f>
        <v>237.3416666666667</v>
      </c>
      <c r="G90" s="214">
        <f>RPI!$R$44</f>
        <v>237.3416666666667</v>
      </c>
      <c r="H90" s="214">
        <f>RPI!$R$44</f>
        <v>237.3416666666667</v>
      </c>
      <c r="I90" s="214">
        <f>RPI!$R$44</f>
        <v>237.3416666666667</v>
      </c>
      <c r="J90" s="214">
        <f>RPI!$R$44</f>
        <v>237.3416666666667</v>
      </c>
      <c r="K90" s="214">
        <f>RPI!$R$44</f>
        <v>237.3416666666667</v>
      </c>
      <c r="L90" s="214">
        <f>RPI!$R$44</f>
        <v>237.3416666666667</v>
      </c>
      <c r="M90" s="214">
        <f>RPI!$R$44</f>
        <v>237.3416666666667</v>
      </c>
      <c r="N90" s="214">
        <f>RPI!$R$44</f>
        <v>237.3416666666667</v>
      </c>
      <c r="O90" s="214">
        <f>RPI!$R$44</f>
        <v>237.3416666666667</v>
      </c>
      <c r="P90" s="214">
        <f>RPI!$R$44</f>
        <v>237.3416666666667</v>
      </c>
    </row>
    <row r="91" spans="2:17">
      <c r="B91" s="138" t="s">
        <v>304</v>
      </c>
      <c r="D91" s="214">
        <f t="shared" ref="D91:O91" si="25">D90/D89</f>
        <v>1.3853974121996309</v>
      </c>
      <c r="E91" s="214">
        <f t="shared" si="25"/>
        <v>1.3650131799664511</v>
      </c>
      <c r="F91" s="214">
        <f t="shared" si="25"/>
        <v>1.3370106093324574</v>
      </c>
      <c r="G91" s="214">
        <f t="shared" si="25"/>
        <v>1.3006804585102985</v>
      </c>
      <c r="H91" s="214">
        <f t="shared" si="25"/>
        <v>1.2614491983346623</v>
      </c>
      <c r="I91" s="214">
        <f t="shared" si="25"/>
        <v>1.229059681525914</v>
      </c>
      <c r="J91" s="214">
        <f t="shared" si="25"/>
        <v>1.1902128489441133</v>
      </c>
      <c r="K91" s="214">
        <f t="shared" si="25"/>
        <v>1.1489370285207152</v>
      </c>
      <c r="L91" s="214">
        <f t="shared" si="25"/>
        <v>1.104813995888126</v>
      </c>
      <c r="M91" s="214">
        <f t="shared" si="25"/>
        <v>1.0999922756063651</v>
      </c>
      <c r="N91" s="214">
        <f t="shared" si="25"/>
        <v>1.0479817492732828</v>
      </c>
      <c r="O91" s="214">
        <f t="shared" si="25"/>
        <v>1</v>
      </c>
      <c r="P91" s="214">
        <f t="shared" ref="P91" si="26">P90/P89</f>
        <v>0.97002826879193504</v>
      </c>
    </row>
    <row r="92" spans="2:17">
      <c r="B92" s="111"/>
      <c r="C92" s="111"/>
      <c r="D92" s="141"/>
      <c r="E92" s="141"/>
      <c r="F92" s="141"/>
      <c r="G92" s="141"/>
      <c r="H92" s="141"/>
      <c r="I92" s="141"/>
      <c r="J92" s="141"/>
      <c r="K92" s="141"/>
      <c r="L92" s="141"/>
      <c r="M92" s="141"/>
      <c r="N92" s="141"/>
      <c r="O92" s="141"/>
      <c r="P92" s="141"/>
    </row>
    <row r="93" spans="2:17">
      <c r="B93" s="111" t="str">
        <f>B24</f>
        <v>Staff Costs Total</v>
      </c>
      <c r="C93" s="111"/>
      <c r="D93" s="159">
        <f t="shared" ref="D93:O93" si="27">D24*D$91</f>
        <v>77305.1756007394</v>
      </c>
      <c r="E93" s="159">
        <f t="shared" si="27"/>
        <v>82037.292115983713</v>
      </c>
      <c r="F93" s="159">
        <f t="shared" si="27"/>
        <v>88510.102337808683</v>
      </c>
      <c r="G93" s="159">
        <f t="shared" si="27"/>
        <v>98981.78289263371</v>
      </c>
      <c r="H93" s="159">
        <f t="shared" si="27"/>
        <v>99654.486668438316</v>
      </c>
      <c r="I93" s="159">
        <f t="shared" si="27"/>
        <v>98693.492426530895</v>
      </c>
      <c r="J93" s="159">
        <f t="shared" si="27"/>
        <v>73912.217919429429</v>
      </c>
      <c r="K93" s="159">
        <f t="shared" si="27"/>
        <v>108919.2303037638</v>
      </c>
      <c r="L93" s="159">
        <f t="shared" si="27"/>
        <v>116226.43236743085</v>
      </c>
      <c r="M93" s="159">
        <f t="shared" si="27"/>
        <v>152898.92630928475</v>
      </c>
      <c r="N93" s="159">
        <f t="shared" si="27"/>
        <v>134665.65478161685</v>
      </c>
      <c r="O93" s="159">
        <f t="shared" si="27"/>
        <v>140500</v>
      </c>
      <c r="P93" s="159">
        <f t="shared" ref="P93" si="28">P24*P$91</f>
        <v>144631.21487687752</v>
      </c>
    </row>
    <row r="94" spans="2:17">
      <c r="B94" s="111" t="str">
        <f>B28</f>
        <v>Depreciation Total</v>
      </c>
      <c r="C94" s="111"/>
      <c r="D94" s="159">
        <f t="shared" ref="D94:O94" si="29">D41*D$91</f>
        <v>151978.09611829949</v>
      </c>
      <c r="E94" s="159">
        <f t="shared" si="29"/>
        <v>157659.02228612511</v>
      </c>
      <c r="F94" s="159">
        <f t="shared" si="29"/>
        <v>143728.64050323918</v>
      </c>
      <c r="G94" s="159">
        <f t="shared" si="29"/>
        <v>150488.72904964152</v>
      </c>
      <c r="H94" s="159">
        <f t="shared" si="29"/>
        <v>153013.78775799455</v>
      </c>
      <c r="I94" s="159">
        <f t="shared" si="29"/>
        <v>161990.06602511546</v>
      </c>
      <c r="J94" s="159">
        <f t="shared" si="29"/>
        <v>134494.0519306848</v>
      </c>
      <c r="K94" s="159">
        <f t="shared" si="29"/>
        <v>184863.96788898308</v>
      </c>
      <c r="L94" s="159">
        <f t="shared" si="29"/>
        <v>221294.24337639165</v>
      </c>
      <c r="M94" s="159">
        <f t="shared" si="29"/>
        <v>264328.14382820955</v>
      </c>
      <c r="N94" s="159">
        <f t="shared" si="29"/>
        <v>166000.30908488799</v>
      </c>
      <c r="O94" s="159">
        <f t="shared" si="29"/>
        <v>155400</v>
      </c>
      <c r="P94" s="159">
        <f t="shared" ref="P94" si="30">P41*P$91</f>
        <v>157823.59933244783</v>
      </c>
    </row>
    <row r="95" spans="2:17">
      <c r="B95" s="111" t="str">
        <f>B41</f>
        <v>Other Costs Total</v>
      </c>
      <c r="C95" s="111"/>
      <c r="D95" s="159">
        <f t="shared" ref="D95:O95" si="31">D41*D$91</f>
        <v>151978.09611829949</v>
      </c>
      <c r="E95" s="159">
        <f t="shared" si="31"/>
        <v>157659.02228612511</v>
      </c>
      <c r="F95" s="159">
        <f t="shared" si="31"/>
        <v>143728.64050323918</v>
      </c>
      <c r="G95" s="159">
        <f t="shared" si="31"/>
        <v>150488.72904964152</v>
      </c>
      <c r="H95" s="159">
        <f t="shared" si="31"/>
        <v>153013.78775799455</v>
      </c>
      <c r="I95" s="159">
        <f t="shared" si="31"/>
        <v>161990.06602511546</v>
      </c>
      <c r="J95" s="159">
        <f t="shared" si="31"/>
        <v>134494.0519306848</v>
      </c>
      <c r="K95" s="159">
        <f t="shared" si="31"/>
        <v>184863.96788898308</v>
      </c>
      <c r="L95" s="159">
        <f t="shared" si="31"/>
        <v>221294.24337639165</v>
      </c>
      <c r="M95" s="159">
        <f t="shared" si="31"/>
        <v>264328.14382820955</v>
      </c>
      <c r="N95" s="159">
        <f t="shared" si="31"/>
        <v>166000.30908488799</v>
      </c>
      <c r="O95" s="159">
        <f t="shared" si="31"/>
        <v>155400</v>
      </c>
      <c r="P95" s="159">
        <f t="shared" ref="P95" si="32">P41*P$91</f>
        <v>157823.59933244783</v>
      </c>
    </row>
    <row r="96" spans="2:17">
      <c r="B96" s="111" t="str">
        <f>B44</f>
        <v>Exceptional Items Total</v>
      </c>
      <c r="C96" s="111"/>
      <c r="D96" s="159">
        <f t="shared" ref="D96:O96" si="33">D44*D$91</f>
        <v>0</v>
      </c>
      <c r="E96" s="159">
        <f t="shared" si="33"/>
        <v>0</v>
      </c>
      <c r="F96" s="159">
        <f t="shared" si="33"/>
        <v>0</v>
      </c>
      <c r="G96" s="159">
        <f t="shared" si="33"/>
        <v>0</v>
      </c>
      <c r="H96" s="159">
        <f t="shared" si="33"/>
        <v>1513.7390380015947</v>
      </c>
      <c r="I96" s="159">
        <f t="shared" si="33"/>
        <v>22123.074267466454</v>
      </c>
      <c r="J96" s="159">
        <f t="shared" si="33"/>
        <v>8569.5325123976163</v>
      </c>
      <c r="K96" s="159">
        <f t="shared" si="33"/>
        <v>19187.248376295945</v>
      </c>
      <c r="L96" s="159">
        <f t="shared" si="33"/>
        <v>-9390.9189650490716</v>
      </c>
      <c r="M96" s="159">
        <f t="shared" si="33"/>
        <v>144758.98346979765</v>
      </c>
      <c r="N96" s="159">
        <f t="shared" si="33"/>
        <v>17815.689737645807</v>
      </c>
      <c r="O96" s="159">
        <f t="shared" si="33"/>
        <v>0</v>
      </c>
      <c r="P96" s="159">
        <f t="shared" ref="P96" si="34">P44*P$91</f>
        <v>0</v>
      </c>
    </row>
    <row r="97" spans="1:16">
      <c r="B97" s="111" t="str">
        <f>B46</f>
        <v>Grand Total</v>
      </c>
      <c r="C97" s="111"/>
      <c r="D97" s="159">
        <f t="shared" ref="D97:O97" si="35">D48*D$91</f>
        <v>0</v>
      </c>
      <c r="E97" s="159">
        <f t="shared" si="35"/>
        <v>0</v>
      </c>
      <c r="F97" s="159">
        <f t="shared" si="35"/>
        <v>0</v>
      </c>
      <c r="G97" s="159">
        <f t="shared" si="35"/>
        <v>0</v>
      </c>
      <c r="H97" s="159">
        <f t="shared" si="35"/>
        <v>0</v>
      </c>
      <c r="I97" s="159">
        <f t="shared" si="35"/>
        <v>0</v>
      </c>
      <c r="J97" s="159">
        <f t="shared" si="35"/>
        <v>0</v>
      </c>
      <c r="K97" s="159">
        <f t="shared" si="35"/>
        <v>0</v>
      </c>
      <c r="L97" s="159">
        <f t="shared" si="35"/>
        <v>0</v>
      </c>
      <c r="M97" s="159">
        <f t="shared" si="35"/>
        <v>0</v>
      </c>
      <c r="N97" s="159">
        <f t="shared" si="35"/>
        <v>0</v>
      </c>
      <c r="O97" s="159">
        <f t="shared" si="35"/>
        <v>0</v>
      </c>
      <c r="P97" s="159">
        <f t="shared" ref="P97" si="36">P48*P$91</f>
        <v>0</v>
      </c>
    </row>
    <row r="98" spans="1:16">
      <c r="B98" s="111" t="str">
        <f>B48</f>
        <v>Cost Residual (Ordinary Opex - Elements)</v>
      </c>
      <c r="C98" s="111"/>
      <c r="D98" s="159">
        <f t="shared" ref="D98:O98" si="37">D48*D$91</f>
        <v>0</v>
      </c>
      <c r="E98" s="159">
        <f t="shared" si="37"/>
        <v>0</v>
      </c>
      <c r="F98" s="159">
        <f t="shared" si="37"/>
        <v>0</v>
      </c>
      <c r="G98" s="159">
        <f t="shared" si="37"/>
        <v>0</v>
      </c>
      <c r="H98" s="159">
        <f t="shared" si="37"/>
        <v>0</v>
      </c>
      <c r="I98" s="159">
        <f t="shared" si="37"/>
        <v>0</v>
      </c>
      <c r="J98" s="159">
        <f t="shared" si="37"/>
        <v>0</v>
      </c>
      <c r="K98" s="159">
        <f t="shared" si="37"/>
        <v>0</v>
      </c>
      <c r="L98" s="159">
        <f t="shared" si="37"/>
        <v>0</v>
      </c>
      <c r="M98" s="159">
        <f t="shared" si="37"/>
        <v>0</v>
      </c>
      <c r="N98" s="159">
        <f t="shared" si="37"/>
        <v>0</v>
      </c>
      <c r="O98" s="159">
        <f t="shared" si="37"/>
        <v>0</v>
      </c>
      <c r="P98" s="159">
        <f t="shared" ref="P98" si="38">P48*P$91</f>
        <v>0</v>
      </c>
    </row>
    <row r="99" spans="1:16">
      <c r="B99" s="111"/>
      <c r="C99" s="111"/>
      <c r="D99" s="141"/>
      <c r="E99" s="141"/>
      <c r="F99" s="141"/>
      <c r="G99" s="141"/>
      <c r="H99" s="141"/>
      <c r="I99" s="141"/>
      <c r="J99" s="141"/>
      <c r="K99" s="141"/>
      <c r="L99" s="141"/>
      <c r="M99" s="141"/>
      <c r="N99" s="141"/>
      <c r="O99" s="141"/>
      <c r="P99" s="141"/>
    </row>
    <row r="100" spans="1:16">
      <c r="B100" s="111" t="str">
        <f>B50</f>
        <v>Ordinary Opex (per accounts - including staff, depreciation and other, excluding exceptional)</v>
      </c>
      <c r="C100" s="111"/>
      <c r="D100" s="159">
        <f t="shared" ref="D100:O100" si="39">D50*D$91</f>
        <v>285391.86691312393</v>
      </c>
      <c r="E100" s="159">
        <f t="shared" si="39"/>
        <v>301394.9101365924</v>
      </c>
      <c r="F100" s="159">
        <f t="shared" si="39"/>
        <v>295211.9425406066</v>
      </c>
      <c r="G100" s="159">
        <f t="shared" si="39"/>
        <v>307871.06452938763</v>
      </c>
      <c r="H100" s="159">
        <f t="shared" si="39"/>
        <v>310947.22738949425</v>
      </c>
      <c r="I100" s="159">
        <f t="shared" si="39"/>
        <v>323119.79027316283</v>
      </c>
      <c r="J100" s="159">
        <f t="shared" si="39"/>
        <v>257681.08179640051</v>
      </c>
      <c r="K100" s="159">
        <f t="shared" si="39"/>
        <v>358698.14030416729</v>
      </c>
      <c r="L100" s="159">
        <f t="shared" si="39"/>
        <v>408670.69707901782</v>
      </c>
      <c r="M100" s="159">
        <f t="shared" si="39"/>
        <v>515566.37957670336</v>
      </c>
      <c r="N100" s="159">
        <f t="shared" si="39"/>
        <v>380836.56768591097</v>
      </c>
      <c r="O100" s="159">
        <f t="shared" si="39"/>
        <v>401200</v>
      </c>
      <c r="P100" s="159">
        <f t="shared" ref="P100" si="40">P50*P$91</f>
        <v>409836.94356459257</v>
      </c>
    </row>
    <row r="101" spans="1:16">
      <c r="B101" s="111"/>
      <c r="C101" s="111"/>
      <c r="D101" s="141"/>
      <c r="E101" s="141"/>
      <c r="F101" s="141"/>
      <c r="G101" s="141"/>
      <c r="H101" s="141"/>
      <c r="I101" s="141"/>
      <c r="J101" s="141"/>
      <c r="K101" s="141"/>
      <c r="L101" s="141"/>
      <c r="M101" s="141"/>
      <c r="N101" s="141"/>
      <c r="O101" s="141"/>
      <c r="P101" s="141"/>
    </row>
    <row r="102" spans="1:16">
      <c r="B102" s="111" t="str">
        <f>B52</f>
        <v>Total Opex (ordinary + exceptional)</v>
      </c>
      <c r="C102" s="111"/>
      <c r="D102" s="159">
        <f t="shared" ref="D102:O102" si="41">D52*D$91</f>
        <v>285391.86691312393</v>
      </c>
      <c r="E102" s="159">
        <f t="shared" si="41"/>
        <v>301394.9101365924</v>
      </c>
      <c r="F102" s="159">
        <f t="shared" si="41"/>
        <v>295211.9425406066</v>
      </c>
      <c r="G102" s="159">
        <f t="shared" si="41"/>
        <v>307871.06452938763</v>
      </c>
      <c r="H102" s="159">
        <f t="shared" si="41"/>
        <v>312460.96642749588</v>
      </c>
      <c r="I102" s="159">
        <f t="shared" si="41"/>
        <v>345242.86454062926</v>
      </c>
      <c r="J102" s="159">
        <f t="shared" si="41"/>
        <v>266250.61430879816</v>
      </c>
      <c r="K102" s="159">
        <f t="shared" si="41"/>
        <v>377885.38868046325</v>
      </c>
      <c r="L102" s="159">
        <f t="shared" si="41"/>
        <v>399279.77811396873</v>
      </c>
      <c r="M102" s="159">
        <f t="shared" si="41"/>
        <v>660325.36304650095</v>
      </c>
      <c r="N102" s="159">
        <f t="shared" si="41"/>
        <v>398652.25742355676</v>
      </c>
      <c r="O102" s="159">
        <f t="shared" si="41"/>
        <v>401200</v>
      </c>
      <c r="P102" s="159">
        <f t="shared" ref="P102" si="42">P52*P$91</f>
        <v>409836.94356459257</v>
      </c>
    </row>
    <row r="103" spans="1:16">
      <c r="B103" s="111"/>
      <c r="C103" s="111"/>
      <c r="D103" s="141"/>
      <c r="E103" s="141"/>
      <c r="F103" s="141"/>
      <c r="G103" s="141"/>
      <c r="H103" s="141"/>
      <c r="I103" s="141"/>
      <c r="J103" s="141"/>
      <c r="K103" s="141"/>
      <c r="L103" s="141"/>
      <c r="M103" s="141"/>
      <c r="N103" s="141"/>
      <c r="O103" s="141"/>
      <c r="P103" s="141"/>
    </row>
    <row r="104" spans="1:16">
      <c r="A104" s="134"/>
      <c r="B104" s="111" t="str">
        <f>B54</f>
        <v>Adjusted Ordinary Opex (ordinary opex - depreciation - ANS - retail)</v>
      </c>
      <c r="C104" s="111"/>
      <c r="D104" s="159">
        <f t="shared" ref="D104:O104" si="43">D54*D$91</f>
        <v>223880.22181146036</v>
      </c>
      <c r="E104" s="159">
        <f t="shared" si="43"/>
        <v>234099.76036424635</v>
      </c>
      <c r="F104" s="159">
        <f t="shared" si="43"/>
        <v>228896.21631771669</v>
      </c>
      <c r="G104" s="159">
        <f t="shared" si="43"/>
        <v>245438.40252089332</v>
      </c>
      <c r="H104" s="159">
        <f t="shared" si="43"/>
        <v>248631.63699176194</v>
      </c>
      <c r="I104" s="159">
        <f t="shared" si="43"/>
        <v>257119.28537522122</v>
      </c>
      <c r="J104" s="159">
        <f t="shared" si="43"/>
        <v>197813.37549451162</v>
      </c>
      <c r="K104" s="159">
        <f t="shared" si="43"/>
        <v>283672.55234176456</v>
      </c>
      <c r="L104" s="159">
        <f t="shared" si="43"/>
        <v>306475.40245936613</v>
      </c>
      <c r="M104" s="159">
        <f t="shared" si="43"/>
        <v>373337.37834080035</v>
      </c>
      <c r="N104" s="159">
        <f t="shared" si="43"/>
        <v>265034.5843912132</v>
      </c>
      <c r="O104" s="159">
        <f t="shared" si="43"/>
        <v>264200</v>
      </c>
      <c r="P104" s="159">
        <f t="shared" ref="P104" si="44">P54*P$91</f>
        <v>266272.75978338619</v>
      </c>
    </row>
    <row r="105" spans="1:16">
      <c r="B105" s="111"/>
      <c r="C105" s="111"/>
      <c r="D105" s="141"/>
      <c r="E105" s="141"/>
      <c r="F105" s="141"/>
      <c r="G105" s="141"/>
      <c r="H105" s="141"/>
      <c r="I105" s="141"/>
      <c r="J105" s="141"/>
      <c r="K105" s="141"/>
      <c r="L105" s="141"/>
      <c r="M105" s="141"/>
      <c r="N105" s="141"/>
      <c r="O105" s="141"/>
      <c r="P105" s="141"/>
    </row>
    <row r="106" spans="1:16">
      <c r="B106" s="111" t="str">
        <f>B56</f>
        <v>Turnover (per accounts)</v>
      </c>
      <c r="C106" s="111"/>
      <c r="D106" s="159">
        <f t="shared" ref="D106:O106" si="45">D56*D$91</f>
        <v>450946.85767097987</v>
      </c>
      <c r="E106" s="159">
        <f t="shared" si="45"/>
        <v>439124.73999520735</v>
      </c>
      <c r="F106" s="159">
        <f t="shared" si="45"/>
        <v>416077.70162426075</v>
      </c>
      <c r="G106" s="159">
        <f t="shared" si="45"/>
        <v>423371.48924510216</v>
      </c>
      <c r="H106" s="159">
        <f t="shared" si="45"/>
        <v>441002.63973779796</v>
      </c>
      <c r="I106" s="159">
        <f t="shared" si="45"/>
        <v>444305.07487161795</v>
      </c>
      <c r="J106" s="159">
        <f t="shared" si="45"/>
        <v>372417.60043461306</v>
      </c>
      <c r="K106" s="159">
        <f t="shared" si="45"/>
        <v>470719.50058493705</v>
      </c>
      <c r="L106" s="159">
        <f t="shared" si="45"/>
        <v>514180.43368633382</v>
      </c>
      <c r="M106" s="159">
        <f t="shared" si="45"/>
        <v>621715.63417271757</v>
      </c>
      <c r="N106" s="159">
        <f t="shared" si="45"/>
        <v>499153.70717886463</v>
      </c>
      <c r="O106" s="159">
        <f t="shared" si="45"/>
        <v>517400</v>
      </c>
      <c r="P106" s="159">
        <f t="shared" ref="P106" si="46">P56*P$91</f>
        <v>522748.23405197379</v>
      </c>
    </row>
    <row r="107" spans="1:16">
      <c r="B107" s="111"/>
      <c r="C107" s="111"/>
      <c r="D107" s="141"/>
      <c r="E107" s="141"/>
      <c r="F107" s="141"/>
      <c r="G107" s="141"/>
      <c r="H107" s="141"/>
      <c r="I107" s="141"/>
      <c r="J107" s="141"/>
      <c r="K107" s="141"/>
      <c r="L107" s="141"/>
      <c r="M107" s="141"/>
      <c r="N107" s="141"/>
      <c r="O107" s="141"/>
      <c r="P107" s="141"/>
    </row>
    <row r="108" spans="1:16">
      <c r="B108" s="111" t="str">
        <f>B58</f>
        <v>Ordinary Profit (pre-exceptional)</v>
      </c>
      <c r="C108" s="111"/>
      <c r="D108" s="159">
        <f t="shared" ref="D108:O108" si="47">D58*D$91</f>
        <v>165554.99075785588</v>
      </c>
      <c r="E108" s="159">
        <f t="shared" si="47"/>
        <v>137729.82985861492</v>
      </c>
      <c r="F108" s="159">
        <f t="shared" si="47"/>
        <v>120865.75908365415</v>
      </c>
      <c r="G108" s="159">
        <f t="shared" si="47"/>
        <v>115500.4247157145</v>
      </c>
      <c r="H108" s="159">
        <f t="shared" si="47"/>
        <v>130055.41234830368</v>
      </c>
      <c r="I108" s="159">
        <f t="shared" si="47"/>
        <v>121185.28459845512</v>
      </c>
      <c r="J108" s="159">
        <f t="shared" si="47"/>
        <v>114736.51863821252</v>
      </c>
      <c r="K108" s="159">
        <f t="shared" si="47"/>
        <v>112021.36028076973</v>
      </c>
      <c r="L108" s="159">
        <f t="shared" si="47"/>
        <v>105509.73660731604</v>
      </c>
      <c r="M108" s="159">
        <f t="shared" si="47"/>
        <v>106149.25459601423</v>
      </c>
      <c r="N108" s="159">
        <f t="shared" si="47"/>
        <v>118317.13949295363</v>
      </c>
      <c r="O108" s="159">
        <f t="shared" si="47"/>
        <v>116200</v>
      </c>
      <c r="P108" s="159">
        <f t="shared" ref="P108" si="48">P58*P$91</f>
        <v>112911.29048738124</v>
      </c>
    </row>
    <row r="109" spans="1:16">
      <c r="B109" s="111"/>
      <c r="C109" s="111"/>
      <c r="D109" s="193"/>
      <c r="E109" s="193"/>
      <c r="F109" s="193"/>
      <c r="G109" s="193"/>
      <c r="H109" s="193"/>
      <c r="I109" s="193"/>
      <c r="J109" s="193"/>
      <c r="K109" s="193"/>
      <c r="L109" s="193"/>
      <c r="M109" s="193"/>
      <c r="N109" s="193"/>
      <c r="O109" s="193"/>
      <c r="P109" s="193"/>
    </row>
    <row r="110" spans="1:16">
      <c r="B110" s="111" t="str">
        <f>B60</f>
        <v>Ordinary Profit Margin</v>
      </c>
      <c r="C110" s="111"/>
      <c r="D110" s="162">
        <f>D108/D106</f>
        <v>0.36712749615975421</v>
      </c>
      <c r="E110" s="162">
        <f t="shared" ref="E110:O110" si="49">E108/E106</f>
        <v>0.31364625427416848</v>
      </c>
      <c r="F110" s="162">
        <f t="shared" si="49"/>
        <v>0.29048843187660667</v>
      </c>
      <c r="G110" s="162">
        <f t="shared" si="49"/>
        <v>0.27281105990783411</v>
      </c>
      <c r="H110" s="162">
        <f t="shared" si="49"/>
        <v>0.29490846681922195</v>
      </c>
      <c r="I110" s="162">
        <f t="shared" si="49"/>
        <v>0.27275242047026277</v>
      </c>
      <c r="J110" s="162">
        <f t="shared" si="49"/>
        <v>0.30808565036752955</v>
      </c>
      <c r="K110" s="162">
        <f t="shared" si="49"/>
        <v>0.23797900903099828</v>
      </c>
      <c r="L110" s="162">
        <f t="shared" si="49"/>
        <v>0.20519982810485604</v>
      </c>
      <c r="M110" s="162">
        <f t="shared" si="49"/>
        <v>0.17073602264685067</v>
      </c>
      <c r="N110" s="162">
        <f t="shared" si="49"/>
        <v>0.23703548183917697</v>
      </c>
      <c r="O110" s="162">
        <f t="shared" si="49"/>
        <v>0.22458446076536528</v>
      </c>
      <c r="P110" s="162">
        <f t="shared" ref="P110" si="50">P108/P106</f>
        <v>0.21599554648357766</v>
      </c>
    </row>
    <row r="111" spans="1:16" s="133" customFormat="1">
      <c r="B111" s="138"/>
      <c r="C111" s="138"/>
      <c r="D111" s="141"/>
      <c r="E111" s="141"/>
      <c r="F111" s="141"/>
      <c r="G111" s="141"/>
      <c r="H111" s="141"/>
      <c r="I111" s="141"/>
      <c r="J111" s="141"/>
      <c r="K111" s="141"/>
      <c r="L111" s="141"/>
      <c r="M111" s="141"/>
      <c r="N111" s="141"/>
      <c r="O111" s="141"/>
    </row>
    <row r="112" spans="1:16" s="133" customFormat="1">
      <c r="B112" s="153" t="s">
        <v>303</v>
      </c>
      <c r="C112" s="94"/>
      <c r="D112" s="94"/>
      <c r="E112" s="94"/>
      <c r="F112" s="94"/>
      <c r="G112" s="94"/>
      <c r="H112" s="94"/>
      <c r="I112" s="94"/>
      <c r="J112" s="94"/>
      <c r="K112" s="94"/>
      <c r="L112" s="94"/>
      <c r="M112" s="94"/>
      <c r="N112" s="94"/>
      <c r="O112" s="94"/>
      <c r="P112" s="94"/>
    </row>
    <row r="113" spans="2:16" s="133" customFormat="1">
      <c r="B113" s="90"/>
      <c r="C113" s="90"/>
      <c r="D113" s="90"/>
      <c r="E113" s="90"/>
      <c r="F113" s="90"/>
      <c r="G113" s="90"/>
      <c r="H113" s="90"/>
      <c r="I113" s="90"/>
      <c r="J113" s="90"/>
      <c r="K113" s="90"/>
      <c r="L113" s="90"/>
      <c r="M113" s="90"/>
      <c r="N113" s="90"/>
      <c r="O113" s="90"/>
    </row>
    <row r="114" spans="2:16" s="133" customFormat="1">
      <c r="B114" s="90" t="s">
        <v>1127</v>
      </c>
      <c r="C114" s="90"/>
      <c r="D114" s="192">
        <f>(D102/D62)*1000</f>
        <v>8.8822332909155879</v>
      </c>
      <c r="E114" s="192">
        <f t="shared" ref="E114:O114" si="51">(E102/E62)*1000</f>
        <v>9.8858515867401664</v>
      </c>
      <c r="F114" s="192">
        <f t="shared" si="51"/>
        <v>9.9599752232226795</v>
      </c>
      <c r="G114" s="192">
        <f t="shared" si="51"/>
        <v>10.244628535898256</v>
      </c>
      <c r="H114" s="192">
        <f t="shared" si="51"/>
        <v>9.7601863603050045</v>
      </c>
      <c r="I114" s="192">
        <f t="shared" si="51"/>
        <v>10.515593784088949</v>
      </c>
      <c r="J114" s="192">
        <f t="shared" si="51"/>
        <v>9.7138946063582594</v>
      </c>
      <c r="K114" s="192">
        <f t="shared" si="51"/>
        <v>10.745903408265516</v>
      </c>
      <c r="L114" s="192">
        <f t="shared" si="51"/>
        <v>11.687829005455262</v>
      </c>
      <c r="M114" s="192">
        <f t="shared" si="51"/>
        <v>20.386750579786764</v>
      </c>
      <c r="N114" s="192">
        <f t="shared" si="51"/>
        <v>12.59950462636262</v>
      </c>
      <c r="O114" s="192">
        <f t="shared" si="51"/>
        <v>11.867555009755828</v>
      </c>
      <c r="P114" s="192">
        <f t="shared" ref="P114" si="52">(P102/P62)*1000</f>
        <v>11.963677356755834</v>
      </c>
    </row>
    <row r="115" spans="2:16" s="133" customFormat="1">
      <c r="B115" s="90" t="s">
        <v>299</v>
      </c>
      <c r="C115" s="90"/>
      <c r="D115" s="192">
        <f t="shared" ref="D115:O115" si="53">(D100/D62)*1000</f>
        <v>8.8822332909155879</v>
      </c>
      <c r="E115" s="192">
        <f t="shared" si="53"/>
        <v>9.8858515867401664</v>
      </c>
      <c r="F115" s="192">
        <f t="shared" si="53"/>
        <v>9.9599752232226795</v>
      </c>
      <c r="G115" s="192">
        <f t="shared" si="53"/>
        <v>10.244628535898256</v>
      </c>
      <c r="H115" s="192">
        <f t="shared" si="53"/>
        <v>9.7129024538360245</v>
      </c>
      <c r="I115" s="192">
        <f t="shared" si="53"/>
        <v>9.8417572297507459</v>
      </c>
      <c r="J115" s="192">
        <f t="shared" si="53"/>
        <v>9.4012435506328238</v>
      </c>
      <c r="K115" s="192">
        <f t="shared" si="53"/>
        <v>10.200276813805088</v>
      </c>
      <c r="L115" s="192">
        <f t="shared" si="53"/>
        <v>11.962722604089379</v>
      </c>
      <c r="M115" s="192">
        <f t="shared" si="53"/>
        <v>15.917491248952285</v>
      </c>
      <c r="N115" s="192">
        <f t="shared" si="53"/>
        <v>12.036435281861664</v>
      </c>
      <c r="O115" s="192">
        <f t="shared" si="53"/>
        <v>11.867555009755828</v>
      </c>
      <c r="P115" s="192">
        <f t="shared" ref="P115" si="54">(P100/P62)*1000</f>
        <v>11.963677356755834</v>
      </c>
    </row>
    <row r="116" spans="2:16" s="133" customFormat="1">
      <c r="B116" s="90" t="s">
        <v>300</v>
      </c>
      <c r="C116" s="90"/>
      <c r="D116" s="192">
        <f t="shared" ref="D116:O116" si="55">(D104/D62)*1000</f>
        <v>6.967810193261939</v>
      </c>
      <c r="E116" s="192">
        <f t="shared" si="55"/>
        <v>7.6785486735776196</v>
      </c>
      <c r="F116" s="192">
        <f t="shared" si="55"/>
        <v>7.7225894846726559</v>
      </c>
      <c r="G116" s="192">
        <f t="shared" si="55"/>
        <v>8.1671373245627432</v>
      </c>
      <c r="H116" s="192">
        <f t="shared" si="55"/>
        <v>7.7663816375297383</v>
      </c>
      <c r="I116" s="192">
        <f t="shared" si="55"/>
        <v>7.8314781759751089</v>
      </c>
      <c r="J116" s="192">
        <f t="shared" si="55"/>
        <v>7.2170285363287547</v>
      </c>
      <c r="K116" s="192">
        <f t="shared" si="55"/>
        <v>8.0667788127113269</v>
      </c>
      <c r="L116" s="192">
        <f t="shared" si="55"/>
        <v>8.9712334424828146</v>
      </c>
      <c r="M116" s="192">
        <f t="shared" si="55"/>
        <v>11.526342073595917</v>
      </c>
      <c r="N116" s="192">
        <f t="shared" si="55"/>
        <v>8.3764845426054322</v>
      </c>
      <c r="O116" s="192">
        <f t="shared" si="55"/>
        <v>7.8150748593656276</v>
      </c>
      <c r="P116" s="192">
        <f t="shared" ref="P116" si="56">(P104/P62)*1000</f>
        <v>7.7728507323774592</v>
      </c>
    </row>
    <row r="117" spans="2:16" s="133" customFormat="1">
      <c r="B117" s="90" t="s">
        <v>265</v>
      </c>
      <c r="C117" s="90"/>
      <c r="D117" s="170">
        <f t="shared" ref="D117:O117" si="57">D93*1000/D62</f>
        <v>2.4059641632674267</v>
      </c>
      <c r="E117" s="170">
        <f t="shared" si="57"/>
        <v>2.6908500016444021</v>
      </c>
      <c r="F117" s="170">
        <f t="shared" si="57"/>
        <v>2.9861882236292634</v>
      </c>
      <c r="G117" s="170">
        <f t="shared" si="57"/>
        <v>3.2936891913048472</v>
      </c>
      <c r="H117" s="170">
        <f t="shared" si="57"/>
        <v>3.1128571758744257</v>
      </c>
      <c r="I117" s="170">
        <f t="shared" si="57"/>
        <v>3.0060597396309805</v>
      </c>
      <c r="J117" s="170">
        <f t="shared" si="57"/>
        <v>2.6966153556318635</v>
      </c>
      <c r="K117" s="170">
        <f t="shared" si="57"/>
        <v>3.0973294104699631</v>
      </c>
      <c r="L117" s="170">
        <f t="shared" si="57"/>
        <v>3.4022125383893012</v>
      </c>
      <c r="M117" s="170">
        <f t="shared" si="57"/>
        <v>4.7205702658510083</v>
      </c>
      <c r="N117" s="170">
        <f t="shared" si="57"/>
        <v>4.2561418099043031</v>
      </c>
      <c r="O117" s="170">
        <f t="shared" si="57"/>
        <v>4.1560106651811912</v>
      </c>
      <c r="P117" s="170">
        <f t="shared" ref="P117" si="58">P93*1000/P62</f>
        <v>4.2219746601001065</v>
      </c>
    </row>
    <row r="118" spans="2:16" s="133" customFormat="1">
      <c r="B118" s="111" t="s">
        <v>1136</v>
      </c>
      <c r="C118" s="111"/>
      <c r="D118" s="140">
        <f t="shared" ref="D118:O118" si="59">D93/D64*1000</f>
        <v>44685.072601583473</v>
      </c>
      <c r="E118" s="140">
        <f t="shared" si="59"/>
        <v>48059.339259510081</v>
      </c>
      <c r="F118" s="140">
        <f t="shared" si="59"/>
        <v>49063.249632931642</v>
      </c>
      <c r="G118" s="140">
        <f t="shared" si="59"/>
        <v>52510.22965126457</v>
      </c>
      <c r="H118" s="140">
        <f t="shared" si="59"/>
        <v>53092.427633691164</v>
      </c>
      <c r="I118" s="140">
        <f t="shared" si="59"/>
        <v>52496.538524750475</v>
      </c>
      <c r="J118" s="140">
        <f t="shared" si="59"/>
        <v>40994.019922035179</v>
      </c>
      <c r="K118" s="140">
        <f t="shared" si="59"/>
        <v>56847.19744455313</v>
      </c>
      <c r="L118" s="140">
        <f t="shared" si="59"/>
        <v>53168.541796628939</v>
      </c>
      <c r="M118" s="140">
        <f t="shared" si="59"/>
        <v>63761.020145656694</v>
      </c>
      <c r="N118" s="140">
        <f t="shared" si="59"/>
        <v>54278.780645552943</v>
      </c>
      <c r="O118" s="140">
        <f t="shared" si="59"/>
        <v>58322.955583229559</v>
      </c>
      <c r="P118" s="140">
        <f t="shared" ref="P118" si="60">P93/P64*1000</f>
        <v>61000.090627109879</v>
      </c>
    </row>
    <row r="119" spans="2:16" s="133" customFormat="1">
      <c r="B119" s="138"/>
      <c r="C119" s="138"/>
      <c r="D119" s="141"/>
      <c r="E119" s="141"/>
      <c r="F119" s="141"/>
      <c r="G119" s="141"/>
      <c r="H119" s="141"/>
      <c r="I119" s="141"/>
      <c r="J119" s="141"/>
      <c r="K119" s="141"/>
      <c r="L119" s="141"/>
      <c r="M119" s="141"/>
      <c r="N119" s="141"/>
      <c r="O119" s="141"/>
    </row>
    <row r="120" spans="2:16">
      <c r="B120" s="153" t="s">
        <v>163</v>
      </c>
      <c r="C120" s="94"/>
      <c r="D120" s="94"/>
      <c r="E120" s="94"/>
      <c r="F120" s="94"/>
      <c r="G120" s="94"/>
      <c r="H120" s="94"/>
      <c r="I120" s="94"/>
      <c r="J120" s="94"/>
      <c r="K120" s="94"/>
      <c r="L120" s="94"/>
      <c r="M120" s="94"/>
      <c r="N120" s="94"/>
      <c r="O120" s="94"/>
      <c r="P120"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A1:O106"/>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78" sqref="A178:XFD178"/>
    </sheetView>
  </sheetViews>
  <sheetFormatPr defaultRowHeight="12.75" outlineLevelRow="2"/>
  <cols>
    <col min="1" max="1" width="3.140625" style="90" customWidth="1"/>
    <col min="2" max="2" width="59.28515625" style="90" customWidth="1"/>
    <col min="3" max="3" width="28.42578125" style="90" customWidth="1"/>
    <col min="4" max="14" width="15.7109375" style="90" customWidth="1"/>
    <col min="15" max="15" width="11.7109375" style="90" customWidth="1"/>
    <col min="16" max="16384" width="9.140625" style="90"/>
  </cols>
  <sheetData>
    <row r="1" spans="1:15" ht="12.75" customHeight="1">
      <c r="A1" s="145"/>
    </row>
    <row r="2" spans="1:15">
      <c r="B2" s="146" t="s">
        <v>134</v>
      </c>
      <c r="C2" s="91"/>
      <c r="D2" s="91"/>
      <c r="E2" s="147" t="str">
        <f>Info!$D$10</f>
        <v>Duncan Kernohan</v>
      </c>
      <c r="F2" s="91"/>
      <c r="G2" s="91"/>
      <c r="H2" s="91"/>
      <c r="I2" s="91"/>
      <c r="J2" s="91"/>
      <c r="K2" s="91"/>
      <c r="L2" s="91"/>
      <c r="M2" s="91"/>
      <c r="N2" s="91"/>
      <c r="O2" s="91"/>
    </row>
    <row r="3" spans="1:15">
      <c r="B3" s="148" t="s">
        <v>137</v>
      </c>
      <c r="C3" s="92"/>
      <c r="D3" s="92"/>
      <c r="E3" s="149" t="str">
        <f>Info!$D$11 &amp; " - " &amp; Info!$D$12</f>
        <v>Airport Opex Benchmarking 2013 - duncan.kernohan@caa.co.uk</v>
      </c>
      <c r="F3" s="92"/>
      <c r="G3" s="92"/>
      <c r="H3" s="92"/>
      <c r="I3" s="92"/>
      <c r="J3" s="92"/>
      <c r="K3" s="92"/>
      <c r="L3" s="92"/>
      <c r="M3" s="92"/>
      <c r="N3" s="92"/>
      <c r="O3" s="92"/>
    </row>
    <row r="4" spans="1:15">
      <c r="B4" s="148" t="s">
        <v>130</v>
      </c>
      <c r="C4" s="92"/>
      <c r="D4" s="92"/>
      <c r="E4" s="150">
        <f>Info!$D$16</f>
        <v>2.8</v>
      </c>
      <c r="F4" s="92"/>
      <c r="G4" s="92"/>
      <c r="H4" s="92"/>
      <c r="I4" s="92"/>
      <c r="J4" s="92"/>
      <c r="K4" s="92"/>
      <c r="L4" s="92"/>
      <c r="M4" s="92"/>
      <c r="N4" s="92"/>
      <c r="O4" s="92"/>
    </row>
    <row r="5" spans="1:15">
      <c r="B5" s="151" t="s">
        <v>138</v>
      </c>
      <c r="C5" s="93"/>
      <c r="D5" s="93"/>
      <c r="E5" s="152" t="str">
        <f ca="1">IF(CELL("filename",D1)="","",MID(CELL("filename",A1),FIND("]",CELL("filename",A1))+1,99))</f>
        <v>GLAS</v>
      </c>
      <c r="F5" s="93"/>
      <c r="G5" s="93"/>
      <c r="H5" s="93"/>
      <c r="I5" s="93"/>
      <c r="J5" s="93"/>
      <c r="K5" s="93"/>
      <c r="L5" s="93"/>
      <c r="M5" s="93"/>
      <c r="N5" s="93"/>
      <c r="O5" s="93"/>
    </row>
    <row r="8" spans="1:15">
      <c r="B8" s="153" t="s">
        <v>1037</v>
      </c>
      <c r="C8" s="94"/>
      <c r="D8" s="94"/>
      <c r="E8" s="94"/>
      <c r="F8" s="94"/>
      <c r="G8" s="94"/>
      <c r="H8" s="94"/>
      <c r="I8" s="94"/>
      <c r="J8" s="94"/>
      <c r="K8" s="94"/>
      <c r="L8" s="94"/>
      <c r="M8" s="94"/>
      <c r="N8" s="94"/>
      <c r="O8" s="94"/>
    </row>
    <row r="10" spans="1:15">
      <c r="B10" s="138" t="s">
        <v>143</v>
      </c>
      <c r="C10" s="138"/>
      <c r="D10" s="90" t="s">
        <v>270</v>
      </c>
    </row>
    <row r="11" spans="1:15">
      <c r="B11" s="138"/>
      <c r="C11" s="138"/>
      <c r="D11" s="138"/>
    </row>
    <row r="12" spans="1:15">
      <c r="B12" s="153" t="s">
        <v>196</v>
      </c>
      <c r="C12" s="94"/>
      <c r="D12" s="94"/>
      <c r="E12" s="94"/>
      <c r="F12" s="94"/>
      <c r="G12" s="94"/>
      <c r="H12" s="94"/>
      <c r="I12" s="94"/>
      <c r="J12" s="94"/>
      <c r="K12" s="94"/>
      <c r="L12" s="94"/>
      <c r="M12" s="94"/>
      <c r="N12" s="94"/>
      <c r="O12" s="94"/>
    </row>
    <row r="13" spans="1:15">
      <c r="B13" s="138"/>
      <c r="C13" s="138"/>
      <c r="D13" s="138"/>
    </row>
    <row r="14" spans="1:15">
      <c r="B14" s="101" t="s">
        <v>167</v>
      </c>
      <c r="C14" s="101"/>
    </row>
    <row r="15" spans="1:15">
      <c r="B15" s="111" t="s">
        <v>271</v>
      </c>
      <c r="C15" s="111"/>
      <c r="D15" s="119" t="s">
        <v>109</v>
      </c>
      <c r="E15" s="119" t="s">
        <v>110</v>
      </c>
      <c r="F15" s="119" t="s">
        <v>111</v>
      </c>
      <c r="G15" s="119" t="s">
        <v>22</v>
      </c>
      <c r="H15" s="119" t="s">
        <v>23</v>
      </c>
      <c r="I15" s="119" t="s">
        <v>24</v>
      </c>
      <c r="J15" s="119" t="s">
        <v>295</v>
      </c>
      <c r="K15" s="119">
        <v>2007</v>
      </c>
      <c r="L15" s="119">
        <v>2008</v>
      </c>
      <c r="M15" s="119">
        <v>2009</v>
      </c>
      <c r="N15" s="119">
        <v>2010</v>
      </c>
      <c r="O15" s="66">
        <v>2011</v>
      </c>
    </row>
    <row r="16" spans="1:15"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row>
    <row r="17" spans="2:15" s="133" customFormat="1">
      <c r="B17" s="138" t="s">
        <v>164</v>
      </c>
      <c r="C17" s="138"/>
      <c r="D17" s="154" t="s">
        <v>160</v>
      </c>
      <c r="E17" s="154" t="s">
        <v>160</v>
      </c>
      <c r="F17" s="154" t="s">
        <v>160</v>
      </c>
      <c r="G17" s="154" t="s">
        <v>160</v>
      </c>
      <c r="H17" s="154" t="s">
        <v>160</v>
      </c>
      <c r="I17" s="154" t="s">
        <v>160</v>
      </c>
      <c r="J17" s="154" t="s">
        <v>176</v>
      </c>
      <c r="K17" s="154" t="s">
        <v>174</v>
      </c>
      <c r="L17" s="154" t="s">
        <v>174</v>
      </c>
      <c r="M17" s="154" t="s">
        <v>174</v>
      </c>
      <c r="N17" s="154" t="s">
        <v>174</v>
      </c>
      <c r="O17" s="154" t="s">
        <v>174</v>
      </c>
    </row>
    <row r="18" spans="2:15">
      <c r="B18" s="133"/>
      <c r="C18" s="133"/>
      <c r="E18" s="133"/>
      <c r="F18" s="133"/>
      <c r="G18" s="133"/>
      <c r="H18" s="133"/>
      <c r="I18" s="133"/>
      <c r="J18" s="133"/>
      <c r="K18" s="133"/>
      <c r="L18" s="133"/>
      <c r="M18" s="133"/>
      <c r="N18" s="133"/>
    </row>
    <row r="19" spans="2:15">
      <c r="B19" s="106" t="s">
        <v>1314</v>
      </c>
      <c r="C19" s="106" t="s">
        <v>1315</v>
      </c>
      <c r="E19" s="133"/>
      <c r="F19" s="133"/>
      <c r="G19" s="133"/>
      <c r="H19" s="133"/>
      <c r="I19" s="133"/>
      <c r="J19" s="133"/>
      <c r="K19" s="133"/>
      <c r="L19" s="133"/>
      <c r="M19" s="133"/>
      <c r="N19" s="133"/>
    </row>
    <row r="20" spans="2:15" hidden="1" outlineLevel="2">
      <c r="B20" s="90" t="s">
        <v>240</v>
      </c>
      <c r="C20" s="138" t="s">
        <v>165</v>
      </c>
      <c r="D20" s="141">
        <v>12503</v>
      </c>
      <c r="E20" s="141">
        <v>12746</v>
      </c>
      <c r="F20" s="141">
        <v>13208</v>
      </c>
      <c r="G20" s="141">
        <v>14430</v>
      </c>
      <c r="H20" s="141">
        <v>13078</v>
      </c>
      <c r="I20" s="141">
        <v>13063</v>
      </c>
      <c r="J20" s="141">
        <v>10468</v>
      </c>
      <c r="K20" s="141">
        <v>14826</v>
      </c>
      <c r="L20" s="141">
        <v>14556</v>
      </c>
      <c r="M20" s="141">
        <v>13575</v>
      </c>
      <c r="N20" s="141">
        <v>13890</v>
      </c>
      <c r="O20" s="135">
        <v>14776</v>
      </c>
    </row>
    <row r="21" spans="2:15" hidden="1" outlineLevel="2">
      <c r="B21" s="90" t="s">
        <v>240</v>
      </c>
      <c r="C21" s="138" t="s">
        <v>166</v>
      </c>
      <c r="D21" s="141">
        <v>970</v>
      </c>
      <c r="E21" s="141">
        <v>1025</v>
      </c>
      <c r="F21" s="141">
        <v>954</v>
      </c>
      <c r="G21" s="141">
        <v>1161</v>
      </c>
      <c r="H21" s="141">
        <v>1091</v>
      </c>
      <c r="I21" s="141">
        <v>1129</v>
      </c>
      <c r="J21" s="141">
        <v>857</v>
      </c>
      <c r="K21" s="141">
        <v>1263</v>
      </c>
      <c r="L21" s="141">
        <v>1251</v>
      </c>
      <c r="M21" s="141">
        <v>1071</v>
      </c>
      <c r="N21" s="141">
        <v>1145</v>
      </c>
      <c r="O21" s="135">
        <v>1329</v>
      </c>
    </row>
    <row r="22" spans="2:15" hidden="1" outlineLevel="2">
      <c r="B22" s="90" t="s">
        <v>240</v>
      </c>
      <c r="C22" s="138" t="s">
        <v>189</v>
      </c>
      <c r="D22" s="141">
        <v>450</v>
      </c>
      <c r="E22" s="141">
        <v>2571</v>
      </c>
      <c r="F22" s="141">
        <v>2575</v>
      </c>
      <c r="G22" s="141">
        <v>3099</v>
      </c>
      <c r="H22" s="141">
        <v>3800</v>
      </c>
      <c r="I22" s="141">
        <v>3822</v>
      </c>
      <c r="J22" s="141">
        <v>2618</v>
      </c>
      <c r="K22" s="141">
        <v>3030</v>
      </c>
      <c r="L22" s="141">
        <v>1344</v>
      </c>
      <c r="M22" s="141">
        <v>1235</v>
      </c>
      <c r="N22" s="141">
        <v>1830</v>
      </c>
      <c r="O22" s="135">
        <v>1830</v>
      </c>
    </row>
    <row r="23" spans="2:15" hidden="1" outlineLevel="2">
      <c r="B23" s="90" t="s">
        <v>240</v>
      </c>
      <c r="C23" s="138" t="s">
        <v>188</v>
      </c>
      <c r="D23" s="141">
        <v>0</v>
      </c>
      <c r="E23" s="141">
        <v>-281</v>
      </c>
      <c r="F23" s="141">
        <v>740</v>
      </c>
      <c r="G23" s="141">
        <v>783</v>
      </c>
      <c r="H23" s="141">
        <v>685</v>
      </c>
      <c r="I23" s="141">
        <v>1120</v>
      </c>
      <c r="J23" s="141">
        <f>597+70</f>
        <v>667</v>
      </c>
      <c r="K23" s="141">
        <f>752+109</f>
        <v>861</v>
      </c>
      <c r="L23" s="141">
        <f>571+232</f>
        <v>803</v>
      </c>
      <c r="M23" s="141">
        <f>503+190</f>
        <v>693</v>
      </c>
      <c r="N23" s="141">
        <f>465+128</f>
        <v>593</v>
      </c>
      <c r="O23" s="135">
        <f>62+484</f>
        <v>546</v>
      </c>
    </row>
    <row r="24" spans="2:15" outlineLevel="1" collapsed="1">
      <c r="B24" s="173" t="s">
        <v>287</v>
      </c>
      <c r="C24" s="138"/>
      <c r="D24" s="159">
        <f t="shared" ref="D24:O24" si="0">SUBTOTAL(9,D20:D23)</f>
        <v>13923</v>
      </c>
      <c r="E24" s="159">
        <f t="shared" si="0"/>
        <v>16061</v>
      </c>
      <c r="F24" s="159">
        <f t="shared" si="0"/>
        <v>17477</v>
      </c>
      <c r="G24" s="159">
        <f t="shared" si="0"/>
        <v>19473</v>
      </c>
      <c r="H24" s="159">
        <f t="shared" si="0"/>
        <v>18654</v>
      </c>
      <c r="I24" s="159">
        <f t="shared" si="0"/>
        <v>19134</v>
      </c>
      <c r="J24" s="159">
        <f t="shared" si="0"/>
        <v>14610</v>
      </c>
      <c r="K24" s="159">
        <f t="shared" si="0"/>
        <v>19980</v>
      </c>
      <c r="L24" s="159">
        <f t="shared" si="0"/>
        <v>17954</v>
      </c>
      <c r="M24" s="159">
        <f t="shared" si="0"/>
        <v>16574</v>
      </c>
      <c r="N24" s="159">
        <f t="shared" si="0"/>
        <v>17458</v>
      </c>
      <c r="O24" s="97">
        <f t="shared" si="0"/>
        <v>18481</v>
      </c>
    </row>
    <row r="25" spans="2:15" s="133" customFormat="1" outlineLevel="1">
      <c r="C25" s="137"/>
      <c r="D25" s="141"/>
      <c r="E25" s="141"/>
      <c r="F25" s="141"/>
      <c r="G25" s="141"/>
      <c r="H25" s="141"/>
      <c r="I25" s="141"/>
      <c r="J25" s="141"/>
      <c r="K25" s="141"/>
      <c r="L25" s="141"/>
      <c r="M25" s="141"/>
      <c r="N25" s="141"/>
      <c r="O25" s="135"/>
    </row>
    <row r="26" spans="2:15" s="133" customFormat="1" hidden="1" outlineLevel="2">
      <c r="B26" s="138" t="s">
        <v>30</v>
      </c>
      <c r="C26" s="138" t="s">
        <v>30</v>
      </c>
      <c r="D26" s="141">
        <v>8299</v>
      </c>
      <c r="E26" s="141">
        <v>8250</v>
      </c>
      <c r="F26" s="141">
        <v>8294</v>
      </c>
      <c r="G26" s="141">
        <v>8535</v>
      </c>
      <c r="H26" s="141">
        <v>9006</v>
      </c>
      <c r="I26" s="141">
        <v>9520</v>
      </c>
      <c r="J26" s="141">
        <v>7354</v>
      </c>
      <c r="K26" s="141">
        <v>10172</v>
      </c>
      <c r="L26" s="141">
        <v>10684</v>
      </c>
      <c r="M26" s="141">
        <v>12045</v>
      </c>
      <c r="N26" s="141">
        <v>12042</v>
      </c>
      <c r="O26" s="135">
        <v>11560</v>
      </c>
    </row>
    <row r="27" spans="2:15" s="133" customFormat="1" outlineLevel="1" collapsed="1">
      <c r="B27" s="70" t="s">
        <v>288</v>
      </c>
      <c r="C27" s="138"/>
      <c r="D27" s="159">
        <f t="shared" ref="D27:O27" si="1">SUBTOTAL(9,D26:D26)</f>
        <v>8299</v>
      </c>
      <c r="E27" s="159">
        <f t="shared" si="1"/>
        <v>8250</v>
      </c>
      <c r="F27" s="159">
        <f t="shared" si="1"/>
        <v>8294</v>
      </c>
      <c r="G27" s="159">
        <f t="shared" si="1"/>
        <v>8535</v>
      </c>
      <c r="H27" s="159">
        <f t="shared" si="1"/>
        <v>9006</v>
      </c>
      <c r="I27" s="159">
        <f t="shared" si="1"/>
        <v>9520</v>
      </c>
      <c r="J27" s="159">
        <f t="shared" si="1"/>
        <v>7354</v>
      </c>
      <c r="K27" s="159">
        <f t="shared" si="1"/>
        <v>10172</v>
      </c>
      <c r="L27" s="159">
        <f t="shared" si="1"/>
        <v>10684</v>
      </c>
      <c r="M27" s="159">
        <f t="shared" si="1"/>
        <v>12045</v>
      </c>
      <c r="N27" s="159">
        <f t="shared" si="1"/>
        <v>12042</v>
      </c>
      <c r="O27" s="97">
        <f t="shared" si="1"/>
        <v>11560</v>
      </c>
    </row>
    <row r="28" spans="2:15" s="133" customFormat="1" outlineLevel="1">
      <c r="B28" s="138"/>
      <c r="C28" s="138"/>
      <c r="D28" s="141"/>
      <c r="E28" s="141"/>
      <c r="F28" s="141"/>
      <c r="G28" s="141"/>
      <c r="H28" s="141"/>
      <c r="I28" s="141"/>
      <c r="J28" s="141"/>
      <c r="K28" s="141"/>
      <c r="L28" s="141"/>
      <c r="M28" s="141"/>
      <c r="N28" s="141"/>
      <c r="O28" s="135"/>
    </row>
    <row r="29" spans="2:15" s="133" customFormat="1" hidden="1" outlineLevel="2">
      <c r="B29" s="133" t="s">
        <v>256</v>
      </c>
      <c r="C29" s="138" t="s">
        <v>183</v>
      </c>
      <c r="D29" s="155">
        <v>139</v>
      </c>
      <c r="E29" s="155">
        <v>307</v>
      </c>
      <c r="F29" s="155">
        <v>398</v>
      </c>
      <c r="G29" s="155">
        <v>95</v>
      </c>
      <c r="H29" s="155">
        <v>75</v>
      </c>
      <c r="I29" s="155">
        <v>43</v>
      </c>
      <c r="J29" s="155">
        <v>50</v>
      </c>
      <c r="K29" s="155">
        <v>42</v>
      </c>
      <c r="L29" s="155">
        <v>88</v>
      </c>
      <c r="M29" s="155">
        <v>198</v>
      </c>
      <c r="N29" s="155">
        <v>338</v>
      </c>
      <c r="O29" s="189">
        <v>144</v>
      </c>
    </row>
    <row r="30" spans="2:15" s="133" customFormat="1" hidden="1" outlineLevel="2">
      <c r="B30" s="133" t="s">
        <v>256</v>
      </c>
      <c r="C30" s="138" t="s">
        <v>201</v>
      </c>
      <c r="D30" s="141">
        <v>4367</v>
      </c>
      <c r="E30" s="141">
        <v>4134</v>
      </c>
      <c r="F30" s="141">
        <v>3996</v>
      </c>
      <c r="G30" s="141">
        <v>4053</v>
      </c>
      <c r="H30" s="141">
        <v>4386</v>
      </c>
      <c r="I30" s="141">
        <v>4179</v>
      </c>
      <c r="J30" s="141">
        <v>2755</v>
      </c>
      <c r="K30" s="141">
        <v>4872</v>
      </c>
      <c r="L30" s="141">
        <v>3620</v>
      </c>
      <c r="M30" s="141">
        <v>4218</v>
      </c>
      <c r="N30" s="141">
        <v>4101</v>
      </c>
      <c r="O30" s="135">
        <v>4389</v>
      </c>
    </row>
    <row r="31" spans="2:15" s="133" customFormat="1" hidden="1" outlineLevel="2">
      <c r="B31" s="133" t="s">
        <v>256</v>
      </c>
      <c r="C31" s="138" t="s">
        <v>184</v>
      </c>
      <c r="D31" s="141">
        <v>2863</v>
      </c>
      <c r="E31" s="141">
        <v>2969</v>
      </c>
      <c r="F31" s="141">
        <v>3173</v>
      </c>
      <c r="G31" s="141">
        <v>3366</v>
      </c>
      <c r="H31" s="141">
        <v>3210</v>
      </c>
      <c r="I31" s="141">
        <v>3627</v>
      </c>
      <c r="J31" s="141">
        <v>2710</v>
      </c>
      <c r="K31" s="141">
        <v>3440</v>
      </c>
      <c r="L31" s="141">
        <v>3598</v>
      </c>
      <c r="M31" s="141">
        <v>3704</v>
      </c>
      <c r="N31" s="141">
        <v>4394</v>
      </c>
      <c r="O31" s="135">
        <v>4715</v>
      </c>
    </row>
    <row r="32" spans="2:15" s="133" customFormat="1" hidden="1" outlineLevel="2">
      <c r="B32" s="133" t="s">
        <v>256</v>
      </c>
      <c r="C32" s="138" t="s">
        <v>202</v>
      </c>
      <c r="D32" s="141">
        <v>1876</v>
      </c>
      <c r="E32" s="141">
        <v>2100</v>
      </c>
      <c r="F32" s="141">
        <v>1923</v>
      </c>
      <c r="G32" s="141">
        <v>2224</v>
      </c>
      <c r="H32" s="141">
        <v>2500</v>
      </c>
      <c r="I32" s="141">
        <v>2936</v>
      </c>
      <c r="J32" s="141">
        <v>2514</v>
      </c>
      <c r="K32" s="141">
        <v>3510</v>
      </c>
      <c r="L32" s="141">
        <v>3677</v>
      </c>
      <c r="M32" s="141">
        <v>4520</v>
      </c>
      <c r="N32" s="141">
        <v>4480</v>
      </c>
      <c r="O32" s="135">
        <v>4580</v>
      </c>
    </row>
    <row r="33" spans="2:15" s="133" customFormat="1" hidden="1" outlineLevel="2">
      <c r="B33" s="133" t="s">
        <v>256</v>
      </c>
      <c r="C33" s="138" t="s">
        <v>185</v>
      </c>
      <c r="D33" s="141">
        <v>1878</v>
      </c>
      <c r="E33" s="141">
        <v>1937</v>
      </c>
      <c r="F33" s="141">
        <v>2002</v>
      </c>
      <c r="G33" s="141">
        <v>2066</v>
      </c>
      <c r="H33" s="141">
        <v>2173</v>
      </c>
      <c r="I33" s="141">
        <v>2394</v>
      </c>
      <c r="J33" s="141">
        <v>1886</v>
      </c>
      <c r="K33" s="141">
        <v>2649</v>
      </c>
      <c r="L33" s="141">
        <v>2625</v>
      </c>
      <c r="M33" s="141">
        <v>2599</v>
      </c>
      <c r="N33" s="141">
        <v>2543</v>
      </c>
      <c r="O33" s="135">
        <v>2471</v>
      </c>
    </row>
    <row r="34" spans="2:15" s="133" customFormat="1" hidden="1" outlineLevel="2">
      <c r="B34" s="133" t="s">
        <v>256</v>
      </c>
      <c r="C34" s="138" t="s">
        <v>186</v>
      </c>
      <c r="D34" s="141">
        <v>2829</v>
      </c>
      <c r="E34" s="141">
        <v>2962</v>
      </c>
      <c r="F34" s="141">
        <v>2869</v>
      </c>
      <c r="G34" s="141">
        <v>3119</v>
      </c>
      <c r="H34" s="141">
        <v>3403</v>
      </c>
      <c r="I34" s="141">
        <v>3282</v>
      </c>
      <c r="J34" s="141">
        <v>2551</v>
      </c>
      <c r="K34" s="141">
        <v>2917</v>
      </c>
      <c r="L34" s="141">
        <v>3900</v>
      </c>
      <c r="M34" s="141">
        <v>4692</v>
      </c>
      <c r="N34" s="141">
        <v>4197</v>
      </c>
      <c r="O34" s="135">
        <v>3388</v>
      </c>
    </row>
    <row r="35" spans="2:15" s="133" customFormat="1" hidden="1" outlineLevel="2">
      <c r="B35" s="133" t="s">
        <v>256</v>
      </c>
      <c r="C35" s="138" t="s">
        <v>297</v>
      </c>
      <c r="D35" s="141">
        <v>7058</v>
      </c>
      <c r="E35" s="141">
        <v>7006</v>
      </c>
      <c r="F35" s="141">
        <v>9257</v>
      </c>
      <c r="G35" s="141">
        <v>9259</v>
      </c>
      <c r="H35" s="141">
        <v>9365</v>
      </c>
      <c r="I35" s="141">
        <v>10049</v>
      </c>
      <c r="J35" s="141">
        <v>6868</v>
      </c>
      <c r="K35" s="141">
        <v>7550</v>
      </c>
      <c r="L35" s="141">
        <v>5575</v>
      </c>
      <c r="M35" s="141">
        <v>4547</v>
      </c>
      <c r="N35" s="141">
        <v>4709</v>
      </c>
      <c r="O35" s="135">
        <v>4653</v>
      </c>
    </row>
    <row r="36" spans="2:15" s="133" customFormat="1" hidden="1" outlineLevel="2">
      <c r="B36" s="133" t="s">
        <v>256</v>
      </c>
      <c r="C36" s="138" t="s">
        <v>260</v>
      </c>
      <c r="D36" s="155">
        <v>0</v>
      </c>
      <c r="E36" s="155">
        <v>0</v>
      </c>
      <c r="F36" s="155">
        <v>0</v>
      </c>
      <c r="G36" s="155">
        <v>0</v>
      </c>
      <c r="H36" s="155">
        <v>0</v>
      </c>
      <c r="I36" s="155">
        <v>0</v>
      </c>
      <c r="J36" s="155">
        <v>0</v>
      </c>
      <c r="K36" s="155">
        <v>0</v>
      </c>
      <c r="L36" s="155">
        <v>0</v>
      </c>
      <c r="M36" s="155">
        <v>6919</v>
      </c>
      <c r="N36" s="155">
        <v>9319</v>
      </c>
      <c r="O36" s="189">
        <v>9035</v>
      </c>
    </row>
    <row r="37" spans="2:15" s="133" customFormat="1" hidden="1" outlineLevel="2">
      <c r="B37" s="133" t="s">
        <v>256</v>
      </c>
      <c r="C37" s="138" t="s">
        <v>263</v>
      </c>
      <c r="D37" s="141">
        <v>0</v>
      </c>
      <c r="E37" s="141">
        <v>0</v>
      </c>
      <c r="F37" s="141">
        <v>0</v>
      </c>
      <c r="G37" s="141">
        <v>0</v>
      </c>
      <c r="H37" s="141">
        <v>0</v>
      </c>
      <c r="I37" s="141">
        <v>0</v>
      </c>
      <c r="J37" s="141">
        <v>0</v>
      </c>
      <c r="K37" s="141">
        <v>0</v>
      </c>
      <c r="L37" s="141">
        <v>-469</v>
      </c>
      <c r="M37" s="141">
        <v>0</v>
      </c>
      <c r="N37" s="141">
        <v>0</v>
      </c>
      <c r="O37" s="135">
        <v>0</v>
      </c>
    </row>
    <row r="38" spans="2:15" s="133" customFormat="1" hidden="1" outlineLevel="2">
      <c r="B38" s="133" t="s">
        <v>256</v>
      </c>
      <c r="C38" s="138" t="s">
        <v>178</v>
      </c>
      <c r="D38" s="155">
        <v>0</v>
      </c>
      <c r="E38" s="155">
        <v>0</v>
      </c>
      <c r="F38" s="155">
        <v>0</v>
      </c>
      <c r="G38" s="155">
        <v>287</v>
      </c>
      <c r="H38" s="155">
        <v>85</v>
      </c>
      <c r="I38" s="155">
        <v>529</v>
      </c>
      <c r="J38" s="155">
        <v>-28</v>
      </c>
      <c r="K38" s="155">
        <v>1003</v>
      </c>
      <c r="L38" s="155">
        <v>424</v>
      </c>
      <c r="M38" s="155">
        <v>0</v>
      </c>
      <c r="N38" s="155">
        <v>-6</v>
      </c>
      <c r="O38" s="189">
        <v>-3</v>
      </c>
    </row>
    <row r="39" spans="2:15" s="133" customFormat="1" outlineLevel="1" collapsed="1">
      <c r="B39" s="106" t="s">
        <v>289</v>
      </c>
      <c r="C39" s="138"/>
      <c r="D39" s="159">
        <f t="shared" ref="D39:O39" si="2">SUBTOTAL(9,D29:D38)</f>
        <v>21010</v>
      </c>
      <c r="E39" s="159">
        <f t="shared" si="2"/>
        <v>21415</v>
      </c>
      <c r="F39" s="159">
        <f t="shared" si="2"/>
        <v>23618</v>
      </c>
      <c r="G39" s="159">
        <f t="shared" si="2"/>
        <v>24469</v>
      </c>
      <c r="H39" s="159">
        <f t="shared" si="2"/>
        <v>25197</v>
      </c>
      <c r="I39" s="159">
        <f t="shared" si="2"/>
        <v>27039</v>
      </c>
      <c r="J39" s="159">
        <f t="shared" si="2"/>
        <v>19306</v>
      </c>
      <c r="K39" s="159">
        <f t="shared" si="2"/>
        <v>25983</v>
      </c>
      <c r="L39" s="159">
        <f t="shared" si="2"/>
        <v>23038</v>
      </c>
      <c r="M39" s="159">
        <f t="shared" si="2"/>
        <v>31397</v>
      </c>
      <c r="N39" s="159">
        <f t="shared" si="2"/>
        <v>34075</v>
      </c>
      <c r="O39" s="97">
        <f t="shared" si="2"/>
        <v>33372</v>
      </c>
    </row>
    <row r="40" spans="2:15" s="133" customFormat="1" outlineLevel="1">
      <c r="C40" s="138"/>
      <c r="D40" s="141"/>
      <c r="E40" s="141"/>
      <c r="F40" s="141"/>
      <c r="G40" s="141"/>
      <c r="H40" s="141"/>
      <c r="I40" s="141"/>
      <c r="J40" s="141"/>
      <c r="K40" s="141"/>
      <c r="L40" s="141"/>
      <c r="M40" s="141"/>
      <c r="N40" s="141"/>
      <c r="O40" s="135"/>
    </row>
    <row r="41" spans="2:15" s="30" customFormat="1" hidden="1" outlineLevel="2">
      <c r="B41" s="138" t="s">
        <v>172</v>
      </c>
      <c r="C41" s="138" t="s">
        <v>172</v>
      </c>
      <c r="D41" s="141">
        <v>0</v>
      </c>
      <c r="E41" s="141">
        <v>0</v>
      </c>
      <c r="F41" s="141">
        <v>0</v>
      </c>
      <c r="G41" s="141">
        <v>0</v>
      </c>
      <c r="H41" s="141">
        <v>1734</v>
      </c>
      <c r="I41" s="141">
        <v>1133</v>
      </c>
      <c r="J41" s="141">
        <v>1119</v>
      </c>
      <c r="K41" s="141">
        <v>2941</v>
      </c>
      <c r="L41" s="141">
        <v>1338</v>
      </c>
      <c r="M41" s="141">
        <v>13355</v>
      </c>
      <c r="N41" s="141">
        <v>5545</v>
      </c>
      <c r="O41" s="135">
        <v>2816</v>
      </c>
    </row>
    <row r="42" spans="2:15" s="30" customFormat="1" outlineLevel="1" collapsed="1">
      <c r="B42" s="70" t="s">
        <v>290</v>
      </c>
      <c r="C42" s="138"/>
      <c r="D42" s="159">
        <f t="shared" ref="D42:O42" si="3">SUBTOTAL(9,D41:D41)</f>
        <v>0</v>
      </c>
      <c r="E42" s="159">
        <f t="shared" si="3"/>
        <v>0</v>
      </c>
      <c r="F42" s="159">
        <f t="shared" si="3"/>
        <v>0</v>
      </c>
      <c r="G42" s="159">
        <f t="shared" si="3"/>
        <v>0</v>
      </c>
      <c r="H42" s="159">
        <f t="shared" si="3"/>
        <v>1734</v>
      </c>
      <c r="I42" s="159">
        <f t="shared" si="3"/>
        <v>1133</v>
      </c>
      <c r="J42" s="159">
        <f t="shared" si="3"/>
        <v>1119</v>
      </c>
      <c r="K42" s="159">
        <f t="shared" si="3"/>
        <v>2941</v>
      </c>
      <c r="L42" s="159">
        <f t="shared" si="3"/>
        <v>1338</v>
      </c>
      <c r="M42" s="159">
        <f t="shared" si="3"/>
        <v>13355</v>
      </c>
      <c r="N42" s="159">
        <f t="shared" si="3"/>
        <v>5545</v>
      </c>
      <c r="O42" s="97">
        <f t="shared" si="3"/>
        <v>2816</v>
      </c>
    </row>
    <row r="43" spans="2:15" s="122" customFormat="1" outlineLevel="1">
      <c r="B43" s="178"/>
      <c r="C43" s="168"/>
      <c r="D43" s="161"/>
      <c r="E43" s="161"/>
      <c r="F43" s="161"/>
      <c r="G43" s="161"/>
      <c r="H43" s="161"/>
      <c r="I43" s="161"/>
      <c r="J43" s="161"/>
      <c r="K43" s="161"/>
      <c r="L43" s="161"/>
      <c r="M43" s="161"/>
      <c r="N43" s="161"/>
      <c r="O43" s="190"/>
    </row>
    <row r="44" spans="2:15" s="30" customFormat="1">
      <c r="B44" s="70" t="s">
        <v>286</v>
      </c>
      <c r="C44" s="138"/>
      <c r="D44" s="159">
        <f>SUBTOTAL(9,D20:D42)</f>
        <v>43232</v>
      </c>
      <c r="E44" s="159">
        <f t="shared" ref="E44:O44" si="4">SUBTOTAL(9,E20:E42)</f>
        <v>45726</v>
      </c>
      <c r="F44" s="159">
        <f t="shared" si="4"/>
        <v>49389</v>
      </c>
      <c r="G44" s="159">
        <f t="shared" si="4"/>
        <v>52477</v>
      </c>
      <c r="H44" s="159">
        <f t="shared" si="4"/>
        <v>54591</v>
      </c>
      <c r="I44" s="159">
        <f t="shared" si="4"/>
        <v>56826</v>
      </c>
      <c r="J44" s="159">
        <f t="shared" si="4"/>
        <v>42389</v>
      </c>
      <c r="K44" s="159">
        <f t="shared" si="4"/>
        <v>59076</v>
      </c>
      <c r="L44" s="159">
        <f t="shared" si="4"/>
        <v>53014</v>
      </c>
      <c r="M44" s="159">
        <f t="shared" si="4"/>
        <v>73371</v>
      </c>
      <c r="N44" s="159">
        <f t="shared" si="4"/>
        <v>69120</v>
      </c>
      <c r="O44" s="159">
        <f t="shared" si="4"/>
        <v>66229</v>
      </c>
    </row>
    <row r="45" spans="2:15" s="106" customFormat="1">
      <c r="B45" s="138"/>
      <c r="C45" s="138"/>
      <c r="D45" s="141"/>
      <c r="E45" s="141"/>
      <c r="F45" s="141"/>
      <c r="G45" s="141"/>
      <c r="H45" s="141"/>
      <c r="I45" s="141"/>
      <c r="J45" s="141"/>
      <c r="K45" s="141"/>
      <c r="L45" s="141"/>
      <c r="M45" s="141"/>
      <c r="N45" s="141"/>
      <c r="O45" s="187"/>
    </row>
    <row r="46" spans="2:15" s="106" customFormat="1">
      <c r="B46" s="138" t="s">
        <v>1123</v>
      </c>
      <c r="C46" s="138"/>
      <c r="D46" s="159">
        <f t="shared" ref="D46:O46" si="5">D48-D24-D27-D39</f>
        <v>0</v>
      </c>
      <c r="E46" s="159">
        <f t="shared" si="5"/>
        <v>0</v>
      </c>
      <c r="F46" s="159">
        <f t="shared" si="5"/>
        <v>0</v>
      </c>
      <c r="G46" s="159">
        <f t="shared" si="5"/>
        <v>0</v>
      </c>
      <c r="H46" s="159">
        <f t="shared" si="5"/>
        <v>0</v>
      </c>
      <c r="I46" s="159">
        <f t="shared" si="5"/>
        <v>0</v>
      </c>
      <c r="J46" s="159">
        <f t="shared" si="5"/>
        <v>0</v>
      </c>
      <c r="K46" s="159">
        <f t="shared" si="5"/>
        <v>0</v>
      </c>
      <c r="L46" s="159">
        <f t="shared" si="5"/>
        <v>0</v>
      </c>
      <c r="M46" s="159">
        <f t="shared" si="5"/>
        <v>0</v>
      </c>
      <c r="N46" s="159">
        <f t="shared" si="5"/>
        <v>0</v>
      </c>
      <c r="O46" s="159">
        <f t="shared" si="5"/>
        <v>-23</v>
      </c>
    </row>
    <row r="47" spans="2:15" s="106" customFormat="1">
      <c r="B47" s="138"/>
      <c r="C47" s="138"/>
      <c r="D47" s="141"/>
      <c r="E47" s="141"/>
      <c r="F47" s="141"/>
      <c r="G47" s="141"/>
      <c r="H47" s="141"/>
      <c r="I47" s="141"/>
      <c r="J47" s="141"/>
      <c r="K47" s="141"/>
      <c r="L47" s="141"/>
      <c r="M47" s="141"/>
      <c r="N47" s="141"/>
      <c r="O47" s="187"/>
    </row>
    <row r="48" spans="2:15" s="30" customFormat="1">
      <c r="B48" s="138" t="s">
        <v>1316</v>
      </c>
      <c r="C48" s="138"/>
      <c r="D48" s="141">
        <v>43232</v>
      </c>
      <c r="E48" s="141">
        <v>45726</v>
      </c>
      <c r="F48" s="141">
        <v>49389</v>
      </c>
      <c r="G48" s="141">
        <v>52477</v>
      </c>
      <c r="H48" s="141">
        <v>52857</v>
      </c>
      <c r="I48" s="141">
        <v>55693</v>
      </c>
      <c r="J48" s="141">
        <v>41270</v>
      </c>
      <c r="K48" s="141">
        <v>56135</v>
      </c>
      <c r="L48" s="141">
        <v>51676</v>
      </c>
      <c r="M48" s="141">
        <v>60016</v>
      </c>
      <c r="N48" s="141">
        <v>63575</v>
      </c>
      <c r="O48" s="135">
        <v>63390</v>
      </c>
    </row>
    <row r="49" spans="1:15" s="106" customFormat="1">
      <c r="B49" s="138"/>
      <c r="C49" s="138"/>
      <c r="D49" s="141"/>
      <c r="E49" s="141"/>
      <c r="F49" s="141"/>
      <c r="G49" s="141"/>
      <c r="H49" s="141"/>
      <c r="I49" s="141"/>
      <c r="J49" s="141"/>
      <c r="K49" s="141"/>
      <c r="L49" s="141"/>
      <c r="M49" s="141"/>
      <c r="N49" s="141"/>
      <c r="O49" s="187"/>
    </row>
    <row r="50" spans="1:15" s="106" customFormat="1">
      <c r="B50" s="138" t="s">
        <v>1317</v>
      </c>
      <c r="C50" s="138"/>
      <c r="D50" s="159">
        <f>D48+D42</f>
        <v>43232</v>
      </c>
      <c r="E50" s="159">
        <f t="shared" ref="E50:O50" si="6">E48+E41</f>
        <v>45726</v>
      </c>
      <c r="F50" s="159">
        <f t="shared" si="6"/>
        <v>49389</v>
      </c>
      <c r="G50" s="159">
        <f t="shared" si="6"/>
        <v>52477</v>
      </c>
      <c r="H50" s="159">
        <f t="shared" si="6"/>
        <v>54591</v>
      </c>
      <c r="I50" s="159">
        <f t="shared" si="6"/>
        <v>56826</v>
      </c>
      <c r="J50" s="159">
        <f t="shared" si="6"/>
        <v>42389</v>
      </c>
      <c r="K50" s="159">
        <f t="shared" si="6"/>
        <v>59076</v>
      </c>
      <c r="L50" s="159">
        <f t="shared" si="6"/>
        <v>53014</v>
      </c>
      <c r="M50" s="159">
        <f t="shared" si="6"/>
        <v>73371</v>
      </c>
      <c r="N50" s="159">
        <f t="shared" si="6"/>
        <v>69120</v>
      </c>
      <c r="O50" s="159">
        <f t="shared" si="6"/>
        <v>66206</v>
      </c>
    </row>
    <row r="51" spans="1:15" s="106" customFormat="1">
      <c r="B51" s="138"/>
      <c r="C51" s="138"/>
      <c r="D51" s="141"/>
      <c r="E51" s="141"/>
      <c r="F51" s="141"/>
      <c r="G51" s="141"/>
      <c r="H51" s="141"/>
      <c r="I51" s="141"/>
      <c r="J51" s="141"/>
      <c r="K51" s="141"/>
      <c r="L51" s="141"/>
      <c r="M51" s="141"/>
      <c r="N51" s="141"/>
      <c r="O51" s="187"/>
    </row>
    <row r="52" spans="1:15" s="30" customFormat="1">
      <c r="A52" s="122"/>
      <c r="B52" s="138" t="s">
        <v>1131</v>
      </c>
      <c r="C52" s="138"/>
      <c r="D52" s="159">
        <f>D48-D27-D36-D38-D29</f>
        <v>34794</v>
      </c>
      <c r="E52" s="159">
        <f t="shared" ref="E52:O52" si="7">E48-E27-E36-E38-E29</f>
        <v>37169</v>
      </c>
      <c r="F52" s="159">
        <f t="shared" si="7"/>
        <v>40697</v>
      </c>
      <c r="G52" s="159">
        <f t="shared" si="7"/>
        <v>43560</v>
      </c>
      <c r="H52" s="159">
        <f t="shared" si="7"/>
        <v>43691</v>
      </c>
      <c r="I52" s="159">
        <f t="shared" si="7"/>
        <v>45601</v>
      </c>
      <c r="J52" s="159">
        <f t="shared" si="7"/>
        <v>33894</v>
      </c>
      <c r="K52" s="159">
        <f t="shared" si="7"/>
        <v>44918</v>
      </c>
      <c r="L52" s="159">
        <f t="shared" si="7"/>
        <v>40480</v>
      </c>
      <c r="M52" s="159">
        <f t="shared" si="7"/>
        <v>40854</v>
      </c>
      <c r="N52" s="159">
        <f t="shared" si="7"/>
        <v>41882</v>
      </c>
      <c r="O52" s="159">
        <f t="shared" si="7"/>
        <v>42654</v>
      </c>
    </row>
    <row r="53" spans="1:15" s="106" customFormat="1">
      <c r="B53" s="138"/>
      <c r="C53" s="138"/>
      <c r="D53" s="141"/>
      <c r="E53" s="141"/>
      <c r="F53" s="141"/>
      <c r="G53" s="141"/>
      <c r="H53" s="141"/>
      <c r="I53" s="141"/>
      <c r="J53" s="141"/>
      <c r="K53" s="141"/>
      <c r="L53" s="141"/>
      <c r="M53" s="141"/>
      <c r="N53" s="141"/>
      <c r="O53" s="187"/>
    </row>
    <row r="54" spans="1:15" s="133" customFormat="1">
      <c r="B54" s="138" t="s">
        <v>292</v>
      </c>
      <c r="C54" s="138"/>
      <c r="D54" s="141">
        <v>68673</v>
      </c>
      <c r="E54" s="141">
        <v>70876</v>
      </c>
      <c r="F54" s="141">
        <v>72923</v>
      </c>
      <c r="G54" s="141">
        <v>73931</v>
      </c>
      <c r="H54" s="141">
        <v>77908</v>
      </c>
      <c r="I54" s="141">
        <v>82615</v>
      </c>
      <c r="J54" s="141">
        <v>66958</v>
      </c>
      <c r="K54" s="141">
        <v>85334</v>
      </c>
      <c r="L54" s="141">
        <v>82399</v>
      </c>
      <c r="M54" s="141">
        <v>81405</v>
      </c>
      <c r="N54" s="141">
        <v>81516</v>
      </c>
      <c r="O54" s="104">
        <v>81952</v>
      </c>
    </row>
    <row r="55" spans="1:15" s="133" customFormat="1">
      <c r="B55" s="138"/>
      <c r="C55" s="138"/>
      <c r="D55" s="141"/>
      <c r="E55" s="141"/>
      <c r="F55" s="141"/>
      <c r="G55" s="141"/>
      <c r="H55" s="141"/>
      <c r="I55" s="141"/>
      <c r="J55" s="141"/>
      <c r="K55" s="141"/>
      <c r="L55" s="141"/>
      <c r="M55" s="141"/>
      <c r="N55" s="141"/>
      <c r="O55" s="135"/>
    </row>
    <row r="56" spans="1:15">
      <c r="B56" s="138" t="s">
        <v>1321</v>
      </c>
      <c r="C56" s="138"/>
      <c r="D56" s="159">
        <f t="shared" ref="D56:O56" si="8">D54-D48</f>
        <v>25441</v>
      </c>
      <c r="E56" s="159">
        <f t="shared" si="8"/>
        <v>25150</v>
      </c>
      <c r="F56" s="159">
        <f t="shared" si="8"/>
        <v>23534</v>
      </c>
      <c r="G56" s="159">
        <f t="shared" si="8"/>
        <v>21454</v>
      </c>
      <c r="H56" s="159">
        <f t="shared" si="8"/>
        <v>25051</v>
      </c>
      <c r="I56" s="159">
        <f t="shared" si="8"/>
        <v>26922</v>
      </c>
      <c r="J56" s="159">
        <f t="shared" si="8"/>
        <v>25688</v>
      </c>
      <c r="K56" s="159">
        <f t="shared" si="8"/>
        <v>29199</v>
      </c>
      <c r="L56" s="159">
        <f t="shared" si="8"/>
        <v>30723</v>
      </c>
      <c r="M56" s="159">
        <f t="shared" si="8"/>
        <v>21389</v>
      </c>
      <c r="N56" s="159">
        <f t="shared" si="8"/>
        <v>17941</v>
      </c>
      <c r="O56" s="159">
        <f t="shared" si="8"/>
        <v>18562</v>
      </c>
    </row>
    <row r="57" spans="1:15" s="182" customFormat="1">
      <c r="B57" s="176"/>
      <c r="C57" s="181"/>
      <c r="D57" s="175"/>
      <c r="E57" s="175"/>
      <c r="F57" s="175"/>
      <c r="G57" s="175"/>
      <c r="H57" s="175"/>
      <c r="I57" s="175"/>
      <c r="J57" s="175"/>
      <c r="K57" s="175"/>
      <c r="L57" s="175"/>
      <c r="M57" s="175"/>
      <c r="N57" s="175"/>
      <c r="O57" s="188"/>
    </row>
    <row r="58" spans="1:15">
      <c r="B58" s="138" t="s">
        <v>1206</v>
      </c>
      <c r="C58" s="138"/>
      <c r="D58" s="162">
        <f>D56/D54</f>
        <v>0.37046583082142909</v>
      </c>
      <c r="E58" s="162">
        <f t="shared" ref="E58:O58" si="9">E56/E54</f>
        <v>0.35484508155087757</v>
      </c>
      <c r="F58" s="162">
        <f t="shared" si="9"/>
        <v>0.32272396911811091</v>
      </c>
      <c r="G58" s="162">
        <f t="shared" si="9"/>
        <v>0.29018950102122248</v>
      </c>
      <c r="H58" s="162">
        <f t="shared" si="9"/>
        <v>0.32154592596395748</v>
      </c>
      <c r="I58" s="162">
        <f t="shared" si="9"/>
        <v>0.32587302547963443</v>
      </c>
      <c r="J58" s="162">
        <f t="shared" si="9"/>
        <v>0.38364347800113502</v>
      </c>
      <c r="K58" s="162">
        <f t="shared" si="9"/>
        <v>0.3421731080225936</v>
      </c>
      <c r="L58" s="162">
        <f t="shared" si="9"/>
        <v>0.37285646670469302</v>
      </c>
      <c r="M58" s="162">
        <f t="shared" si="9"/>
        <v>0.26274798845279773</v>
      </c>
      <c r="N58" s="162">
        <f t="shared" si="9"/>
        <v>0.22009176112664999</v>
      </c>
      <c r="O58" s="162">
        <f t="shared" si="9"/>
        <v>0.22649843811011325</v>
      </c>
    </row>
    <row r="59" spans="1:15">
      <c r="D59" s="126"/>
      <c r="E59" s="126"/>
      <c r="O59" s="66"/>
    </row>
    <row r="60" spans="1:15">
      <c r="B60" s="90" t="s">
        <v>228</v>
      </c>
      <c r="D60" s="95">
        <f>'UK Analysis'!C68</f>
        <v>6962597</v>
      </c>
      <c r="E60" s="95">
        <f>'UK Analysis'!D68</f>
        <v>7326909</v>
      </c>
      <c r="F60" s="95">
        <f>'UK Analysis'!E68</f>
        <v>7897871</v>
      </c>
      <c r="G60" s="95">
        <f>'UK Analysis'!F68</f>
        <v>8142365</v>
      </c>
      <c r="H60" s="95">
        <f>'UK Analysis'!G68</f>
        <v>8606282</v>
      </c>
      <c r="I60" s="95">
        <f>'UK Analysis'!H68</f>
        <v>8813661</v>
      </c>
      <c r="J60" s="95">
        <f>'UK Analysis'!I68</f>
        <v>7168843</v>
      </c>
      <c r="K60" s="95">
        <f>'UK Analysis'!J68</f>
        <v>8726013</v>
      </c>
      <c r="L60" s="95">
        <f>'UK Analysis'!K68</f>
        <v>8135260</v>
      </c>
      <c r="M60" s="95">
        <f>'UK Analysis'!L68</f>
        <v>7213397</v>
      </c>
      <c r="N60" s="95">
        <f>'UK Analysis'!M68</f>
        <v>6521765</v>
      </c>
      <c r="O60" s="95">
        <f>'UK Analysis'!N68</f>
        <v>6858268</v>
      </c>
    </row>
    <row r="61" spans="1:15">
      <c r="B61" s="90" t="s">
        <v>264</v>
      </c>
      <c r="D61" s="95">
        <f>'UK Analysis'!C84</f>
        <v>88233</v>
      </c>
      <c r="E61" s="95">
        <f>'UK Analysis'!D84</f>
        <v>89858</v>
      </c>
      <c r="F61" s="95">
        <f>'UK Analysis'!E84</f>
        <v>87830</v>
      </c>
      <c r="G61" s="95">
        <f>'UK Analysis'!F84</f>
        <v>88282</v>
      </c>
      <c r="H61" s="95">
        <f>'UK Analysis'!G84</f>
        <v>92766</v>
      </c>
      <c r="I61" s="95">
        <f>'UK Analysis'!H84</f>
        <v>97279</v>
      </c>
      <c r="J61" s="95">
        <f>'UK Analysis'!I84</f>
        <v>75508</v>
      </c>
      <c r="K61" s="95">
        <f>'UK Analysis'!J84</f>
        <v>93668</v>
      </c>
      <c r="L61" s="95">
        <f>'UK Analysis'!K84</f>
        <v>86647</v>
      </c>
      <c r="M61" s="95">
        <f>'UK Analysis'!L84</f>
        <v>74051</v>
      </c>
      <c r="N61" s="95">
        <f>'UK Analysis'!M84</f>
        <v>68871</v>
      </c>
      <c r="O61" s="95">
        <f>'UK Analysis'!N84</f>
        <v>70112</v>
      </c>
    </row>
    <row r="62" spans="1:15">
      <c r="B62" s="111" t="s">
        <v>210</v>
      </c>
      <c r="C62" s="111"/>
      <c r="D62" s="140">
        <v>470</v>
      </c>
      <c r="E62" s="140">
        <v>456</v>
      </c>
      <c r="F62" s="140">
        <v>782</v>
      </c>
      <c r="G62" s="140">
        <v>475</v>
      </c>
      <c r="H62" s="140">
        <v>445</v>
      </c>
      <c r="I62" s="140">
        <v>427</v>
      </c>
      <c r="J62" s="140">
        <v>450</v>
      </c>
      <c r="K62" s="140">
        <v>485</v>
      </c>
      <c r="L62" s="140">
        <v>423</v>
      </c>
      <c r="M62" s="140">
        <v>393</v>
      </c>
      <c r="N62" s="140">
        <v>369</v>
      </c>
      <c r="O62" s="140">
        <v>382</v>
      </c>
    </row>
    <row r="63" spans="1:15">
      <c r="D63" s="126"/>
      <c r="E63" s="126"/>
      <c r="O63" s="66"/>
    </row>
    <row r="64" spans="1:15">
      <c r="B64" s="153" t="s">
        <v>302</v>
      </c>
      <c r="C64" s="94"/>
      <c r="D64" s="94"/>
      <c r="E64" s="94"/>
      <c r="F64" s="94"/>
      <c r="G64" s="94"/>
      <c r="H64" s="94"/>
      <c r="I64" s="94"/>
      <c r="J64" s="94"/>
      <c r="K64" s="94"/>
      <c r="L64" s="94"/>
      <c r="M64" s="94"/>
      <c r="N64" s="94"/>
      <c r="O64" s="94"/>
    </row>
    <row r="66" spans="2:15">
      <c r="B66" s="90" t="s">
        <v>1127</v>
      </c>
      <c r="D66" s="192">
        <f t="shared" ref="D66:O66" si="10">(D50/D60)*1000</f>
        <v>6.2091774089466902</v>
      </c>
      <c r="E66" s="192">
        <f t="shared" si="10"/>
        <v>6.2408308878955649</v>
      </c>
      <c r="F66" s="192">
        <f t="shared" si="10"/>
        <v>6.2534574190943362</v>
      </c>
      <c r="G66" s="192">
        <f t="shared" si="10"/>
        <v>6.4449333823772328</v>
      </c>
      <c r="H66" s="192">
        <f t="shared" si="10"/>
        <v>6.3431572425816398</v>
      </c>
      <c r="I66" s="192">
        <f t="shared" si="10"/>
        <v>6.4474910028874497</v>
      </c>
      <c r="J66" s="192">
        <f t="shared" si="10"/>
        <v>5.9129485748258119</v>
      </c>
      <c r="K66" s="192">
        <f t="shared" si="10"/>
        <v>6.770102221942599</v>
      </c>
      <c r="L66" s="192">
        <f t="shared" si="10"/>
        <v>6.5165710745569285</v>
      </c>
      <c r="M66" s="192">
        <f t="shared" si="10"/>
        <v>10.171490630558667</v>
      </c>
      <c r="N66" s="192">
        <f t="shared" si="10"/>
        <v>10.598357959846759</v>
      </c>
      <c r="O66" s="192">
        <f t="shared" si="10"/>
        <v>9.6534576951498536</v>
      </c>
    </row>
    <row r="67" spans="2:15">
      <c r="B67" s="90" t="s">
        <v>299</v>
      </c>
      <c r="D67" s="192">
        <f t="shared" ref="D67:O67" si="11">(D48/D60)*1000</f>
        <v>6.2091774089466902</v>
      </c>
      <c r="E67" s="192">
        <f t="shared" si="11"/>
        <v>6.2408308878955649</v>
      </c>
      <c r="F67" s="192">
        <f t="shared" si="11"/>
        <v>6.2534574190943362</v>
      </c>
      <c r="G67" s="192">
        <f t="shared" si="11"/>
        <v>6.4449333823772328</v>
      </c>
      <c r="H67" s="192">
        <f t="shared" si="11"/>
        <v>6.1416765102514645</v>
      </c>
      <c r="I67" s="192">
        <f t="shared" si="11"/>
        <v>6.3189405628376223</v>
      </c>
      <c r="J67" s="192">
        <f t="shared" si="11"/>
        <v>5.75685644113004</v>
      </c>
      <c r="K67" s="192">
        <f t="shared" si="11"/>
        <v>6.4330639892468646</v>
      </c>
      <c r="L67" s="192">
        <f t="shared" si="11"/>
        <v>6.3521018381711221</v>
      </c>
      <c r="M67" s="192">
        <f t="shared" si="11"/>
        <v>8.3200744392690424</v>
      </c>
      <c r="N67" s="192">
        <f t="shared" si="11"/>
        <v>9.7481279990922687</v>
      </c>
      <c r="O67" s="192">
        <f t="shared" si="11"/>
        <v>9.2428584009840389</v>
      </c>
    </row>
    <row r="68" spans="2:15">
      <c r="B68" s="90" t="s">
        <v>300</v>
      </c>
      <c r="D68" s="192">
        <f t="shared" ref="D68:O68" si="12">(D52/D60)*1000</f>
        <v>4.9972732875391186</v>
      </c>
      <c r="E68" s="192">
        <f t="shared" si="12"/>
        <v>5.072944129645939</v>
      </c>
      <c r="F68" s="192">
        <f t="shared" si="12"/>
        <v>5.1529076633437034</v>
      </c>
      <c r="G68" s="192">
        <f t="shared" si="12"/>
        <v>5.3497970184338337</v>
      </c>
      <c r="H68" s="192">
        <f t="shared" si="12"/>
        <v>5.076640528395421</v>
      </c>
      <c r="I68" s="192">
        <f t="shared" si="12"/>
        <v>5.173899926489117</v>
      </c>
      <c r="J68" s="192">
        <f t="shared" si="12"/>
        <v>4.7279595884579981</v>
      </c>
      <c r="K68" s="192">
        <f t="shared" si="12"/>
        <v>5.1475971901485824</v>
      </c>
      <c r="L68" s="192">
        <f t="shared" si="12"/>
        <v>4.975870470028001</v>
      </c>
      <c r="M68" s="192">
        <f t="shared" si="12"/>
        <v>5.663628384795679</v>
      </c>
      <c r="N68" s="192">
        <f t="shared" si="12"/>
        <v>6.4218811932046007</v>
      </c>
      <c r="O68" s="192">
        <f t="shared" si="12"/>
        <v>6.2193545075812144</v>
      </c>
    </row>
    <row r="69" spans="2:15">
      <c r="B69" s="90" t="s">
        <v>265</v>
      </c>
      <c r="D69" s="192">
        <f t="shared" ref="D69:O69" si="13">D24*1000/D60</f>
        <v>1.9996848876934856</v>
      </c>
      <c r="E69" s="192">
        <f t="shared" si="13"/>
        <v>2.1920567049488398</v>
      </c>
      <c r="F69" s="192">
        <f t="shared" si="13"/>
        <v>2.2128748367756321</v>
      </c>
      <c r="G69" s="192">
        <f t="shared" si="13"/>
        <v>2.3915655954995878</v>
      </c>
      <c r="H69" s="192">
        <f t="shared" si="13"/>
        <v>2.1674864941678647</v>
      </c>
      <c r="I69" s="192">
        <f t="shared" si="13"/>
        <v>2.1709480316976113</v>
      </c>
      <c r="J69" s="192">
        <f t="shared" si="13"/>
        <v>2.0379857670198662</v>
      </c>
      <c r="K69" s="192">
        <f t="shared" si="13"/>
        <v>2.289705504678941</v>
      </c>
      <c r="L69" s="192">
        <f t="shared" si="13"/>
        <v>2.2069362257629135</v>
      </c>
      <c r="M69" s="192">
        <f t="shared" si="13"/>
        <v>2.2976691841583099</v>
      </c>
      <c r="N69" s="192">
        <f t="shared" si="13"/>
        <v>2.6768827150318972</v>
      </c>
      <c r="O69" s="192">
        <f t="shared" si="13"/>
        <v>2.6947036773716047</v>
      </c>
    </row>
    <row r="70" spans="2:15">
      <c r="B70" s="111" t="s">
        <v>1136</v>
      </c>
      <c r="C70" s="111"/>
      <c r="D70" s="140">
        <f t="shared" ref="D70:O70" si="14">D24/D62*1000</f>
        <v>29623.404255319147</v>
      </c>
      <c r="E70" s="140">
        <f t="shared" si="14"/>
        <v>35221.491228070176</v>
      </c>
      <c r="F70" s="140">
        <f t="shared" si="14"/>
        <v>22349.104859335039</v>
      </c>
      <c r="G70" s="140">
        <f t="shared" si="14"/>
        <v>40995.789473684214</v>
      </c>
      <c r="H70" s="140">
        <f t="shared" si="14"/>
        <v>41919.101123595501</v>
      </c>
      <c r="I70" s="140">
        <f t="shared" si="14"/>
        <v>44810.304449648713</v>
      </c>
      <c r="J70" s="140">
        <f t="shared" si="14"/>
        <v>32466.666666666668</v>
      </c>
      <c r="K70" s="140">
        <f t="shared" si="14"/>
        <v>41195.876288659798</v>
      </c>
      <c r="L70" s="140">
        <f t="shared" si="14"/>
        <v>42444.444444444445</v>
      </c>
      <c r="M70" s="140">
        <f t="shared" si="14"/>
        <v>42173.02798982188</v>
      </c>
      <c r="N70" s="140">
        <f t="shared" si="14"/>
        <v>47311.653116531168</v>
      </c>
      <c r="O70" s="140">
        <f t="shared" si="14"/>
        <v>48379.581151832463</v>
      </c>
    </row>
    <row r="71" spans="2:15">
      <c r="B71" s="111" t="s">
        <v>1135</v>
      </c>
      <c r="C71" s="111"/>
      <c r="D71" s="140">
        <f t="shared" ref="D71:O71" si="15">D60/D62</f>
        <v>14814.036170212767</v>
      </c>
      <c r="E71" s="140">
        <f t="shared" si="15"/>
        <v>16067.782894736842</v>
      </c>
      <c r="F71" s="140">
        <f t="shared" si="15"/>
        <v>10099.579283887468</v>
      </c>
      <c r="G71" s="140">
        <f t="shared" si="15"/>
        <v>17141.821052631578</v>
      </c>
      <c r="H71" s="140">
        <f t="shared" si="15"/>
        <v>19339.959550561798</v>
      </c>
      <c r="I71" s="140">
        <f t="shared" si="15"/>
        <v>20640.892271662764</v>
      </c>
      <c r="J71" s="140">
        <f t="shared" si="15"/>
        <v>15930.762222222222</v>
      </c>
      <c r="K71" s="140">
        <f t="shared" si="15"/>
        <v>17991.779381443299</v>
      </c>
      <c r="L71" s="140">
        <f t="shared" si="15"/>
        <v>19232.293144208037</v>
      </c>
      <c r="M71" s="140">
        <f t="shared" si="15"/>
        <v>18354.699745547074</v>
      </c>
      <c r="N71" s="140">
        <f t="shared" si="15"/>
        <v>17674.159891598916</v>
      </c>
      <c r="O71" s="140">
        <f t="shared" si="15"/>
        <v>17953.581151832459</v>
      </c>
    </row>
    <row r="72" spans="2:15" s="134" customFormat="1">
      <c r="B72" s="168"/>
      <c r="C72" s="168"/>
      <c r="D72" s="161"/>
      <c r="E72" s="161"/>
      <c r="F72" s="161"/>
      <c r="G72" s="161"/>
      <c r="H72" s="161"/>
      <c r="I72" s="161"/>
      <c r="J72" s="161"/>
      <c r="K72" s="161"/>
      <c r="L72" s="161"/>
      <c r="M72" s="161"/>
      <c r="N72" s="161"/>
      <c r="O72" s="161"/>
    </row>
    <row r="73" spans="2:15" s="134" customFormat="1">
      <c r="B73" s="153" t="s">
        <v>309</v>
      </c>
      <c r="C73" s="94"/>
      <c r="D73" s="94"/>
      <c r="E73" s="94"/>
      <c r="F73" s="94"/>
      <c r="G73" s="94"/>
      <c r="H73" s="94"/>
      <c r="I73" s="94"/>
      <c r="J73" s="94"/>
      <c r="K73" s="94"/>
      <c r="L73" s="94"/>
      <c r="M73" s="94"/>
      <c r="N73" s="94"/>
      <c r="O73" s="94"/>
    </row>
    <row r="74" spans="2:15" s="134" customFormat="1">
      <c r="B74" s="111"/>
      <c r="C74" s="111"/>
      <c r="D74" s="141"/>
      <c r="E74" s="141"/>
      <c r="F74" s="141"/>
      <c r="G74" s="141"/>
      <c r="H74" s="141"/>
      <c r="I74" s="141"/>
      <c r="J74" s="141"/>
      <c r="K74" s="141"/>
      <c r="L74" s="141"/>
      <c r="M74" s="141"/>
      <c r="N74" s="141"/>
      <c r="O74" s="141"/>
    </row>
    <row r="75" spans="2:15" s="134" customFormat="1">
      <c r="B75" s="138" t="s">
        <v>21</v>
      </c>
      <c r="C75" s="90"/>
      <c r="D75" s="213">
        <f>VLOOKUP(D15,RPI!$B$54:$C$107,2,FALSE)</f>
        <v>171.31666666666663</v>
      </c>
      <c r="E75" s="213">
        <f>VLOOKUP(E15,RPI!$B$54:$C$107,2,FALSE)</f>
        <v>173.875</v>
      </c>
      <c r="F75" s="213">
        <f>VLOOKUP(F15,RPI!$B$54:$C$107,2,FALSE)</f>
        <v>177.51666666666665</v>
      </c>
      <c r="G75" s="213">
        <f>VLOOKUP(G15,RPI!$B$54:$C$107,2,FALSE)</f>
        <v>182.47499999999999</v>
      </c>
      <c r="H75" s="213">
        <f>VLOOKUP(H15,RPI!$B$54:$C$107,2,FALSE)</f>
        <v>188.15</v>
      </c>
      <c r="I75" s="213">
        <f>VLOOKUP(I15,RPI!$B$54:$C$107,2,FALSE)</f>
        <v>193.10833333333332</v>
      </c>
      <c r="J75" s="213">
        <f>VLOOKUP(J15,RPI!$B$54:$C$107,2,FALSE)</f>
        <v>199.41111111111113</v>
      </c>
      <c r="K75" s="213">
        <f>VLOOKUP(K15,RPI!$B$54:$C$107,2,FALSE)</f>
        <v>206.57499999999996</v>
      </c>
      <c r="L75" s="213">
        <f>VLOOKUP(L15,RPI!$B$54:$C$107,2,FALSE)</f>
        <v>214.82500000000002</v>
      </c>
      <c r="M75" s="213">
        <f>VLOOKUP(M15,RPI!$B$54:$C$107,2,FALSE)</f>
        <v>213.68333333333337</v>
      </c>
      <c r="N75" s="213">
        <f>VLOOKUP(N15,RPI!$B$54:$C$107,2,FALSE)</f>
        <v>223.55833333333331</v>
      </c>
      <c r="O75" s="213">
        <f>VLOOKUP(O15,RPI!$B$54:$C$107,2,FALSE)</f>
        <v>235.18333333333331</v>
      </c>
    </row>
    <row r="76" spans="2:15" s="134" customFormat="1">
      <c r="B76" s="138" t="s">
        <v>1048</v>
      </c>
      <c r="C76" s="90"/>
      <c r="D76" s="214">
        <f>RPI!$R$44</f>
        <v>237.3416666666667</v>
      </c>
      <c r="E76" s="214">
        <f>RPI!$R$44</f>
        <v>237.3416666666667</v>
      </c>
      <c r="F76" s="214">
        <f>RPI!$R$44</f>
        <v>237.3416666666667</v>
      </c>
      <c r="G76" s="214">
        <f>RPI!$R$44</f>
        <v>237.3416666666667</v>
      </c>
      <c r="H76" s="214">
        <f>RPI!$R$44</f>
        <v>237.3416666666667</v>
      </c>
      <c r="I76" s="214">
        <f>RPI!$R$44</f>
        <v>237.3416666666667</v>
      </c>
      <c r="J76" s="214">
        <f>RPI!$R$44</f>
        <v>237.3416666666667</v>
      </c>
      <c r="K76" s="214">
        <f>RPI!$R$44</f>
        <v>237.3416666666667</v>
      </c>
      <c r="L76" s="214">
        <f>RPI!$R$44</f>
        <v>237.3416666666667</v>
      </c>
      <c r="M76" s="214">
        <f>RPI!$R$44</f>
        <v>237.3416666666667</v>
      </c>
      <c r="N76" s="214">
        <f>RPI!$R$44</f>
        <v>237.3416666666667</v>
      </c>
      <c r="O76" s="214">
        <f>RPI!$R$44</f>
        <v>237.3416666666667</v>
      </c>
    </row>
    <row r="77" spans="2:15" s="134" customFormat="1">
      <c r="B77" s="138" t="s">
        <v>304</v>
      </c>
      <c r="C77" s="90"/>
      <c r="D77" s="214">
        <f t="shared" ref="D77:O77" si="16">D76/D75</f>
        <v>1.3853974121996309</v>
      </c>
      <c r="E77" s="214">
        <f t="shared" si="16"/>
        <v>1.3650131799664511</v>
      </c>
      <c r="F77" s="214">
        <f t="shared" si="16"/>
        <v>1.3370106093324574</v>
      </c>
      <c r="G77" s="214">
        <f t="shared" si="16"/>
        <v>1.3006804585102985</v>
      </c>
      <c r="H77" s="214">
        <f t="shared" si="16"/>
        <v>1.2614491983346623</v>
      </c>
      <c r="I77" s="214">
        <f t="shared" si="16"/>
        <v>1.229059681525914</v>
      </c>
      <c r="J77" s="214">
        <f t="shared" si="16"/>
        <v>1.1902128489441133</v>
      </c>
      <c r="K77" s="214">
        <f t="shared" si="16"/>
        <v>1.1489370285207152</v>
      </c>
      <c r="L77" s="214">
        <f t="shared" si="16"/>
        <v>1.104813995888126</v>
      </c>
      <c r="M77" s="214">
        <f t="shared" si="16"/>
        <v>1.1107167927618751</v>
      </c>
      <c r="N77" s="214">
        <f t="shared" si="16"/>
        <v>1.0616543035002053</v>
      </c>
      <c r="O77" s="214">
        <f t="shared" si="16"/>
        <v>1.0091772376160444</v>
      </c>
    </row>
    <row r="78" spans="2:15" s="134" customFormat="1">
      <c r="B78" s="111"/>
      <c r="C78" s="111"/>
      <c r="D78" s="141"/>
      <c r="E78" s="141"/>
      <c r="F78" s="141"/>
      <c r="G78" s="141"/>
      <c r="H78" s="141"/>
      <c r="I78" s="141"/>
      <c r="J78" s="141"/>
      <c r="K78" s="141"/>
      <c r="L78" s="141"/>
      <c r="M78" s="141"/>
      <c r="N78" s="141"/>
      <c r="O78" s="141"/>
    </row>
    <row r="79" spans="2:15" s="134" customFormat="1">
      <c r="B79" s="111" t="str">
        <f>B24</f>
        <v>Staff Costs Total</v>
      </c>
      <c r="C79" s="111"/>
      <c r="D79" s="159">
        <f t="shared" ref="D79:O79" si="17">D24*D$77</f>
        <v>19288.888170055459</v>
      </c>
      <c r="E79" s="159">
        <f t="shared" si="17"/>
        <v>21923.476683441171</v>
      </c>
      <c r="F79" s="159">
        <f t="shared" si="17"/>
        <v>23366.934419303358</v>
      </c>
      <c r="G79" s="159">
        <f t="shared" si="17"/>
        <v>25328.150568571044</v>
      </c>
      <c r="H79" s="159">
        <f t="shared" si="17"/>
        <v>23531.073345734789</v>
      </c>
      <c r="I79" s="159">
        <f t="shared" si="17"/>
        <v>23516.82794631684</v>
      </c>
      <c r="J79" s="159">
        <f t="shared" si="17"/>
        <v>17389.009723073494</v>
      </c>
      <c r="K79" s="159">
        <f t="shared" si="17"/>
        <v>22955.76182984389</v>
      </c>
      <c r="L79" s="159">
        <f t="shared" si="17"/>
        <v>19835.830482175414</v>
      </c>
      <c r="M79" s="159">
        <f t="shared" si="17"/>
        <v>18409.020123235317</v>
      </c>
      <c r="N79" s="159">
        <f t="shared" si="17"/>
        <v>18534.360830506583</v>
      </c>
      <c r="O79" s="159">
        <f t="shared" si="17"/>
        <v>18650.604528382115</v>
      </c>
    </row>
    <row r="80" spans="2:15" s="134" customFormat="1">
      <c r="B80" s="111" t="str">
        <f>B27</f>
        <v>Depreciation Total</v>
      </c>
      <c r="C80" s="111"/>
      <c r="D80" s="159">
        <f t="shared" ref="D80:O80" si="18">D27*D$77</f>
        <v>11497.413123844737</v>
      </c>
      <c r="E80" s="159">
        <f t="shared" si="18"/>
        <v>11261.358734723222</v>
      </c>
      <c r="F80" s="159">
        <f t="shared" si="18"/>
        <v>11089.165993803403</v>
      </c>
      <c r="G80" s="159">
        <f t="shared" si="18"/>
        <v>11101.307713385397</v>
      </c>
      <c r="H80" s="159">
        <f t="shared" si="18"/>
        <v>11360.611480201969</v>
      </c>
      <c r="I80" s="159">
        <f t="shared" si="18"/>
        <v>11700.648168126701</v>
      </c>
      <c r="J80" s="159">
        <f t="shared" si="18"/>
        <v>8752.8252911350082</v>
      </c>
      <c r="K80" s="159">
        <f t="shared" si="18"/>
        <v>11686.987454112716</v>
      </c>
      <c r="L80" s="159">
        <f t="shared" si="18"/>
        <v>11803.832732068739</v>
      </c>
      <c r="M80" s="159">
        <f t="shared" si="18"/>
        <v>13378.583768816785</v>
      </c>
      <c r="N80" s="159">
        <f t="shared" si="18"/>
        <v>12784.441122749473</v>
      </c>
      <c r="O80" s="159">
        <f t="shared" si="18"/>
        <v>11666.088866841474</v>
      </c>
    </row>
    <row r="81" spans="2:15" s="134" customFormat="1">
      <c r="B81" s="111" t="str">
        <f>B39</f>
        <v>Other Costs Total</v>
      </c>
      <c r="C81" s="111"/>
      <c r="D81" s="159">
        <f t="shared" ref="D81:O81" si="19">D39*D$77</f>
        <v>29107.199630314244</v>
      </c>
      <c r="E81" s="159">
        <f t="shared" si="19"/>
        <v>29231.75724898155</v>
      </c>
      <c r="F81" s="159">
        <f t="shared" si="19"/>
        <v>31577.516571213979</v>
      </c>
      <c r="G81" s="159">
        <f t="shared" si="19"/>
        <v>31826.350139288494</v>
      </c>
      <c r="H81" s="159">
        <f t="shared" si="19"/>
        <v>31784.735450438486</v>
      </c>
      <c r="I81" s="159">
        <f t="shared" si="19"/>
        <v>33232.54472877919</v>
      </c>
      <c r="J81" s="159">
        <f t="shared" si="19"/>
        <v>22978.249261715049</v>
      </c>
      <c r="K81" s="159">
        <f t="shared" si="19"/>
        <v>29852.830812053744</v>
      </c>
      <c r="L81" s="159">
        <f t="shared" si="19"/>
        <v>25452.704837270649</v>
      </c>
      <c r="M81" s="159">
        <f t="shared" si="19"/>
        <v>34873.175142344589</v>
      </c>
      <c r="N81" s="159">
        <f t="shared" si="19"/>
        <v>36175.870391769495</v>
      </c>
      <c r="O81" s="159">
        <f t="shared" si="19"/>
        <v>33678.262773722636</v>
      </c>
    </row>
    <row r="82" spans="2:15" s="134" customFormat="1">
      <c r="B82" s="111" t="str">
        <f>B42</f>
        <v>Exceptional Items Total</v>
      </c>
      <c r="C82" s="111"/>
      <c r="D82" s="159">
        <f t="shared" ref="D82:O82" si="20">D42*D$77</f>
        <v>0</v>
      </c>
      <c r="E82" s="159">
        <f t="shared" si="20"/>
        <v>0</v>
      </c>
      <c r="F82" s="159">
        <f t="shared" si="20"/>
        <v>0</v>
      </c>
      <c r="G82" s="159">
        <f t="shared" si="20"/>
        <v>0</v>
      </c>
      <c r="H82" s="159">
        <f t="shared" si="20"/>
        <v>2187.3529099123043</v>
      </c>
      <c r="I82" s="159">
        <f t="shared" si="20"/>
        <v>1392.5246191688607</v>
      </c>
      <c r="J82" s="159">
        <f t="shared" si="20"/>
        <v>1331.8481779684628</v>
      </c>
      <c r="K82" s="159">
        <f t="shared" si="20"/>
        <v>3379.0238008794236</v>
      </c>
      <c r="L82" s="159">
        <f t="shared" si="20"/>
        <v>1478.2411264983125</v>
      </c>
      <c r="M82" s="159">
        <f t="shared" si="20"/>
        <v>14833.622767334842</v>
      </c>
      <c r="N82" s="159">
        <f t="shared" si="20"/>
        <v>5886.8731129086382</v>
      </c>
      <c r="O82" s="159">
        <f t="shared" si="20"/>
        <v>2841.8431011267812</v>
      </c>
    </row>
    <row r="83" spans="2:15" s="134" customFormat="1">
      <c r="B83" s="111" t="str">
        <f>B44</f>
        <v>Grand Total</v>
      </c>
      <c r="C83" s="111"/>
      <c r="D83" s="159">
        <f t="shared" ref="D83:O83" si="21">D44*D$77</f>
        <v>59893.500924214444</v>
      </c>
      <c r="E83" s="159">
        <f t="shared" si="21"/>
        <v>62416.592667145946</v>
      </c>
      <c r="F83" s="159">
        <f t="shared" si="21"/>
        <v>66033.616984320746</v>
      </c>
      <c r="G83" s="159">
        <f t="shared" si="21"/>
        <v>68255.808421244932</v>
      </c>
      <c r="H83" s="159">
        <f t="shared" si="21"/>
        <v>68863.773186287552</v>
      </c>
      <c r="I83" s="159">
        <f t="shared" si="21"/>
        <v>69842.545462391587</v>
      </c>
      <c r="J83" s="159">
        <f t="shared" si="21"/>
        <v>50451.932453892019</v>
      </c>
      <c r="K83" s="159">
        <f t="shared" si="21"/>
        <v>67874.603896889777</v>
      </c>
      <c r="L83" s="159">
        <f t="shared" si="21"/>
        <v>58570.60917801311</v>
      </c>
      <c r="M83" s="159">
        <f t="shared" si="21"/>
        <v>81494.401801731539</v>
      </c>
      <c r="N83" s="159">
        <f t="shared" si="21"/>
        <v>73381.545457934189</v>
      </c>
      <c r="O83" s="159">
        <f t="shared" si="21"/>
        <v>66836.79927007301</v>
      </c>
    </row>
    <row r="84" spans="2:15" s="134" customFormat="1">
      <c r="B84" s="111" t="str">
        <f>B46</f>
        <v>Cost Residual (Ordinary Opex - Elements)</v>
      </c>
      <c r="C84" s="111"/>
      <c r="D84" s="159">
        <f t="shared" ref="D84:O84" si="22">D46*D$77</f>
        <v>0</v>
      </c>
      <c r="E84" s="159">
        <f t="shared" si="22"/>
        <v>0</v>
      </c>
      <c r="F84" s="159">
        <f t="shared" si="22"/>
        <v>0</v>
      </c>
      <c r="G84" s="159">
        <f t="shared" si="22"/>
        <v>0</v>
      </c>
      <c r="H84" s="159">
        <f t="shared" si="22"/>
        <v>0</v>
      </c>
      <c r="I84" s="159">
        <f t="shared" si="22"/>
        <v>0</v>
      </c>
      <c r="J84" s="159">
        <f t="shared" si="22"/>
        <v>0</v>
      </c>
      <c r="K84" s="159">
        <f t="shared" si="22"/>
        <v>0</v>
      </c>
      <c r="L84" s="159">
        <f t="shared" si="22"/>
        <v>0</v>
      </c>
      <c r="M84" s="159">
        <f t="shared" si="22"/>
        <v>0</v>
      </c>
      <c r="N84" s="159">
        <f t="shared" si="22"/>
        <v>0</v>
      </c>
      <c r="O84" s="159">
        <f t="shared" si="22"/>
        <v>-23.211076465169022</v>
      </c>
    </row>
    <row r="85" spans="2:15" s="134" customFormat="1">
      <c r="B85" s="111"/>
      <c r="C85" s="111"/>
      <c r="D85" s="141"/>
      <c r="E85" s="141"/>
      <c r="F85" s="141"/>
      <c r="G85" s="141"/>
      <c r="H85" s="141"/>
      <c r="I85" s="141"/>
      <c r="J85" s="141"/>
      <c r="K85" s="141"/>
      <c r="L85" s="141"/>
      <c r="M85" s="141"/>
      <c r="N85" s="141"/>
      <c r="O85" s="141"/>
    </row>
    <row r="86" spans="2:15" s="134" customFormat="1">
      <c r="B86" s="111" t="str">
        <f>B48</f>
        <v>Ordinary Opex (per accounts - including staff, depreciation and other, excluding exceptional)</v>
      </c>
      <c r="C86" s="111"/>
      <c r="D86" s="159">
        <f t="shared" ref="D86:O86" si="23">D48*D$77</f>
        <v>59893.500924214444</v>
      </c>
      <c r="E86" s="159">
        <f t="shared" si="23"/>
        <v>62416.592667145946</v>
      </c>
      <c r="F86" s="159">
        <f t="shared" si="23"/>
        <v>66033.616984320746</v>
      </c>
      <c r="G86" s="159">
        <f t="shared" si="23"/>
        <v>68255.808421244932</v>
      </c>
      <c r="H86" s="159">
        <f t="shared" si="23"/>
        <v>66676.42027637524</v>
      </c>
      <c r="I86" s="159">
        <f t="shared" si="23"/>
        <v>68450.020843222737</v>
      </c>
      <c r="J86" s="159">
        <f t="shared" si="23"/>
        <v>49120.084275923553</v>
      </c>
      <c r="K86" s="159">
        <f t="shared" si="23"/>
        <v>64495.580096010352</v>
      </c>
      <c r="L86" s="159">
        <f t="shared" si="23"/>
        <v>57092.368051514801</v>
      </c>
      <c r="M86" s="159">
        <f t="shared" si="23"/>
        <v>66660.779034396692</v>
      </c>
      <c r="N86" s="159">
        <f t="shared" si="23"/>
        <v>67494.672345025552</v>
      </c>
      <c r="O86" s="159">
        <f t="shared" si="23"/>
        <v>63971.745092481055</v>
      </c>
    </row>
    <row r="87" spans="2:15" s="134" customFormat="1">
      <c r="B87" s="111"/>
      <c r="C87" s="111"/>
      <c r="D87" s="141"/>
      <c r="E87" s="141"/>
      <c r="F87" s="141"/>
      <c r="G87" s="141"/>
      <c r="H87" s="141"/>
      <c r="I87" s="141"/>
      <c r="J87" s="141"/>
      <c r="K87" s="141"/>
      <c r="L87" s="141"/>
      <c r="M87" s="141"/>
      <c r="N87" s="141"/>
      <c r="O87" s="141"/>
    </row>
    <row r="88" spans="2:15" s="134" customFormat="1">
      <c r="B88" s="111" t="str">
        <f>B50</f>
        <v>Total Opex (ordinary + exceptional)</v>
      </c>
      <c r="C88" s="111"/>
      <c r="D88" s="159">
        <f t="shared" ref="D88:O88" si="24">D50*D$77</f>
        <v>59893.500924214444</v>
      </c>
      <c r="E88" s="159">
        <f t="shared" si="24"/>
        <v>62416.592667145946</v>
      </c>
      <c r="F88" s="159">
        <f t="shared" si="24"/>
        <v>66033.616984320746</v>
      </c>
      <c r="G88" s="159">
        <f t="shared" si="24"/>
        <v>68255.808421244932</v>
      </c>
      <c r="H88" s="159">
        <f t="shared" si="24"/>
        <v>68863.773186287552</v>
      </c>
      <c r="I88" s="159">
        <f t="shared" si="24"/>
        <v>69842.545462391587</v>
      </c>
      <c r="J88" s="159">
        <f t="shared" si="24"/>
        <v>50451.932453892019</v>
      </c>
      <c r="K88" s="159">
        <f t="shared" si="24"/>
        <v>67874.603896889777</v>
      </c>
      <c r="L88" s="159">
        <f t="shared" si="24"/>
        <v>58570.60917801311</v>
      </c>
      <c r="M88" s="159">
        <f t="shared" si="24"/>
        <v>81494.401801731539</v>
      </c>
      <c r="N88" s="159">
        <f t="shared" si="24"/>
        <v>73381.545457934189</v>
      </c>
      <c r="O88" s="159">
        <f t="shared" si="24"/>
        <v>66813.588193607837</v>
      </c>
    </row>
    <row r="89" spans="2:15" s="134" customFormat="1">
      <c r="B89" s="111"/>
      <c r="C89" s="111"/>
      <c r="D89" s="141"/>
      <c r="E89" s="141"/>
      <c r="F89" s="141"/>
      <c r="G89" s="141"/>
      <c r="H89" s="141"/>
      <c r="I89" s="141"/>
      <c r="J89" s="141"/>
      <c r="K89" s="141"/>
      <c r="L89" s="141"/>
      <c r="M89" s="141"/>
      <c r="N89" s="141"/>
      <c r="O89" s="141"/>
    </row>
    <row r="90" spans="2:15" s="134" customFormat="1">
      <c r="B90" s="111" t="str">
        <f>B52</f>
        <v>Adjusted Ordinary Opex (ordinary opex - depreciation - ANS - retail)</v>
      </c>
      <c r="C90" s="111"/>
      <c r="D90" s="159">
        <f t="shared" ref="D90:O90" si="25">D52*D$77</f>
        <v>48203.517560073953</v>
      </c>
      <c r="E90" s="159">
        <f t="shared" si="25"/>
        <v>50736.174886173023</v>
      </c>
      <c r="F90" s="159">
        <f t="shared" si="25"/>
        <v>54412.320768003017</v>
      </c>
      <c r="G90" s="159">
        <f t="shared" si="25"/>
        <v>56657.640772708597</v>
      </c>
      <c r="H90" s="159">
        <f t="shared" si="25"/>
        <v>55113.976924439732</v>
      </c>
      <c r="I90" s="159">
        <f t="shared" si="25"/>
        <v>56046.350537263206</v>
      </c>
      <c r="J90" s="159">
        <f t="shared" si="25"/>
        <v>40341.074302111774</v>
      </c>
      <c r="K90" s="159">
        <f t="shared" si="25"/>
        <v>51607.953447093489</v>
      </c>
      <c r="L90" s="159">
        <f t="shared" si="25"/>
        <v>44722.870553551344</v>
      </c>
      <c r="M90" s="159">
        <f t="shared" si="25"/>
        <v>45377.223851493647</v>
      </c>
      <c r="N90" s="159">
        <f t="shared" si="25"/>
        <v>44464.205539195595</v>
      </c>
      <c r="O90" s="159">
        <f t="shared" si="25"/>
        <v>43045.445893274758</v>
      </c>
    </row>
    <row r="91" spans="2:15" s="134" customFormat="1">
      <c r="B91" s="111"/>
      <c r="C91" s="111"/>
      <c r="D91" s="141"/>
      <c r="E91" s="141"/>
      <c r="F91" s="141"/>
      <c r="G91" s="141"/>
      <c r="H91" s="141"/>
      <c r="I91" s="141"/>
      <c r="J91" s="141"/>
      <c r="K91" s="141"/>
      <c r="L91" s="141"/>
      <c r="M91" s="141"/>
      <c r="N91" s="141"/>
      <c r="O91" s="141"/>
    </row>
    <row r="92" spans="2:15" s="134" customFormat="1">
      <c r="B92" s="111" t="str">
        <f>B54</f>
        <v>Turnover (per accounts)</v>
      </c>
      <c r="C92" s="111"/>
      <c r="D92" s="159">
        <f t="shared" ref="D92:O92" si="26">D54*D$77</f>
        <v>95139.396487985257</v>
      </c>
      <c r="E92" s="159">
        <f t="shared" si="26"/>
        <v>96746.674143302182</v>
      </c>
      <c r="F92" s="159">
        <f t="shared" si="26"/>
        <v>97498.824664350788</v>
      </c>
      <c r="G92" s="159">
        <f t="shared" si="26"/>
        <v>96160.606978124881</v>
      </c>
      <c r="H92" s="159">
        <f t="shared" si="26"/>
        <v>98276.984143856869</v>
      </c>
      <c r="I92" s="159">
        <f t="shared" si="26"/>
        <v>101538.76558926339</v>
      </c>
      <c r="J92" s="159">
        <f t="shared" si="26"/>
        <v>79694.27193959993</v>
      </c>
      <c r="K92" s="159">
        <f t="shared" si="26"/>
        <v>98043.392391786707</v>
      </c>
      <c r="L92" s="159">
        <f t="shared" si="26"/>
        <v>91035.568447185695</v>
      </c>
      <c r="M92" s="159">
        <f t="shared" si="26"/>
        <v>90417.900514780442</v>
      </c>
      <c r="N92" s="159">
        <f t="shared" si="26"/>
        <v>86541.812204122733</v>
      </c>
      <c r="O92" s="159">
        <f t="shared" si="26"/>
        <v>82704.092977110064</v>
      </c>
    </row>
    <row r="93" spans="2:15" s="134" customFormat="1">
      <c r="B93" s="111"/>
      <c r="C93" s="111"/>
      <c r="D93" s="141"/>
      <c r="E93" s="141"/>
      <c r="F93" s="141"/>
      <c r="G93" s="141"/>
      <c r="H93" s="141"/>
      <c r="I93" s="141"/>
      <c r="J93" s="141"/>
      <c r="K93" s="141"/>
      <c r="L93" s="141"/>
      <c r="M93" s="141"/>
      <c r="N93" s="141"/>
      <c r="O93" s="141"/>
    </row>
    <row r="94" spans="2:15" s="134" customFormat="1">
      <c r="B94" s="111" t="str">
        <f>B56</f>
        <v>Ordinary Profit (pre-exceptional)</v>
      </c>
      <c r="C94" s="111"/>
      <c r="D94" s="159">
        <f t="shared" ref="D94:O94" si="27">D56*D$77</f>
        <v>35245.895563770806</v>
      </c>
      <c r="E94" s="159">
        <f t="shared" si="27"/>
        <v>34330.081476156243</v>
      </c>
      <c r="F94" s="159">
        <f t="shared" si="27"/>
        <v>31465.207680030053</v>
      </c>
      <c r="G94" s="159">
        <f t="shared" si="27"/>
        <v>27904.798556879941</v>
      </c>
      <c r="H94" s="159">
        <f t="shared" si="27"/>
        <v>31600.563867481625</v>
      </c>
      <c r="I94" s="159">
        <f t="shared" si="27"/>
        <v>33088.744746040655</v>
      </c>
      <c r="J94" s="159">
        <f t="shared" si="27"/>
        <v>30574.187663676381</v>
      </c>
      <c r="K94" s="159">
        <f t="shared" si="27"/>
        <v>33547.812295776363</v>
      </c>
      <c r="L94" s="159">
        <f t="shared" si="27"/>
        <v>33943.200395670894</v>
      </c>
      <c r="M94" s="159">
        <f t="shared" si="27"/>
        <v>23757.121480383747</v>
      </c>
      <c r="N94" s="159">
        <f t="shared" si="27"/>
        <v>19047.139859097184</v>
      </c>
      <c r="O94" s="159">
        <f t="shared" si="27"/>
        <v>18732.347884629016</v>
      </c>
    </row>
    <row r="95" spans="2:15" s="134" customFormat="1">
      <c r="B95" s="111"/>
      <c r="C95" s="111"/>
      <c r="D95" s="193"/>
      <c r="E95" s="193"/>
      <c r="F95" s="193"/>
      <c r="G95" s="193"/>
      <c r="H95" s="193"/>
      <c r="I95" s="193"/>
      <c r="J95" s="193"/>
      <c r="K95" s="193"/>
      <c r="L95" s="193"/>
      <c r="M95" s="193"/>
      <c r="N95" s="193"/>
      <c r="O95" s="193"/>
    </row>
    <row r="96" spans="2:15" s="134" customFormat="1">
      <c r="B96" s="111" t="str">
        <f>B58</f>
        <v>Ordinary Profit Margin</v>
      </c>
      <c r="C96" s="111"/>
      <c r="D96" s="162">
        <f>D94/D92</f>
        <v>0.37046583082142903</v>
      </c>
      <c r="E96" s="162">
        <f t="shared" ref="E96:O96" si="28">E94/E92</f>
        <v>0.35484508155087757</v>
      </c>
      <c r="F96" s="162">
        <f t="shared" si="28"/>
        <v>0.32272396911811091</v>
      </c>
      <c r="G96" s="162">
        <f t="shared" si="28"/>
        <v>0.29018950102122243</v>
      </c>
      <c r="H96" s="162">
        <f t="shared" si="28"/>
        <v>0.32154592596395748</v>
      </c>
      <c r="I96" s="162">
        <f t="shared" si="28"/>
        <v>0.32587302547963443</v>
      </c>
      <c r="J96" s="162">
        <f t="shared" si="28"/>
        <v>0.38364347800113507</v>
      </c>
      <c r="K96" s="162">
        <f t="shared" si="28"/>
        <v>0.3421731080225936</v>
      </c>
      <c r="L96" s="162">
        <f t="shared" si="28"/>
        <v>0.37285646670469302</v>
      </c>
      <c r="M96" s="162">
        <f t="shared" si="28"/>
        <v>0.26274798845279773</v>
      </c>
      <c r="N96" s="162">
        <f t="shared" si="28"/>
        <v>0.22009176112664999</v>
      </c>
      <c r="O96" s="162">
        <f t="shared" si="28"/>
        <v>0.22649843811011325</v>
      </c>
    </row>
    <row r="97" spans="2:15" s="133" customFormat="1">
      <c r="B97" s="138"/>
      <c r="C97" s="138"/>
      <c r="D97" s="198"/>
      <c r="E97" s="198"/>
      <c r="F97" s="198"/>
      <c r="G97" s="198"/>
      <c r="H97" s="198"/>
      <c r="I97" s="198"/>
      <c r="J97" s="198"/>
      <c r="K97" s="198"/>
      <c r="L97" s="198"/>
      <c r="M97" s="198"/>
      <c r="N97" s="198"/>
      <c r="O97" s="198"/>
    </row>
    <row r="98" spans="2:15" s="133" customFormat="1">
      <c r="B98" s="153" t="s">
        <v>303</v>
      </c>
      <c r="C98" s="94"/>
      <c r="D98" s="94"/>
      <c r="E98" s="94"/>
      <c r="F98" s="94"/>
      <c r="G98" s="94"/>
      <c r="H98" s="94"/>
      <c r="I98" s="94"/>
      <c r="J98" s="94"/>
      <c r="K98" s="94"/>
      <c r="L98" s="94"/>
      <c r="M98" s="94"/>
      <c r="N98" s="94"/>
      <c r="O98" s="94"/>
    </row>
    <row r="99" spans="2:15" s="133" customFormat="1">
      <c r="B99" s="90"/>
      <c r="C99" s="90"/>
      <c r="D99" s="90"/>
      <c r="E99" s="90"/>
      <c r="F99" s="90"/>
      <c r="G99" s="90"/>
      <c r="H99" s="90"/>
      <c r="I99" s="90"/>
      <c r="J99" s="90"/>
      <c r="K99" s="90"/>
      <c r="L99" s="90"/>
      <c r="M99" s="90"/>
      <c r="N99" s="90"/>
      <c r="O99" s="90"/>
    </row>
    <row r="100" spans="2:15" s="133" customFormat="1">
      <c r="B100" s="90" t="s">
        <v>1127</v>
      </c>
      <c r="C100" s="90"/>
      <c r="D100" s="192">
        <f>(D88/D60)*1000</f>
        <v>8.6021783142431545</v>
      </c>
      <c r="E100" s="192">
        <f t="shared" ref="E100:O100" si="29">(E88/E60)*1000</f>
        <v>8.5188164159191739</v>
      </c>
      <c r="F100" s="192">
        <f t="shared" si="29"/>
        <v>8.3609389143378952</v>
      </c>
      <c r="G100" s="192">
        <f t="shared" si="29"/>
        <v>8.3827989068587474</v>
      </c>
      <c r="H100" s="192">
        <f t="shared" si="29"/>
        <v>8.0015706185653173</v>
      </c>
      <c r="I100" s="192">
        <f t="shared" si="29"/>
        <v>7.9243512386500434</v>
      </c>
      <c r="J100" s="192">
        <f t="shared" si="29"/>
        <v>7.0376673689034641</v>
      </c>
      <c r="K100" s="192">
        <f t="shared" si="29"/>
        <v>7.7784211296602219</v>
      </c>
      <c r="L100" s="192">
        <f t="shared" si="29"/>
        <v>7.1995989283702189</v>
      </c>
      <c r="M100" s="192">
        <f t="shared" si="29"/>
        <v>11.297645450781586</v>
      </c>
      <c r="N100" s="192">
        <f t="shared" si="29"/>
        <v>11.251792338106968</v>
      </c>
      <c r="O100" s="192">
        <f t="shared" si="29"/>
        <v>9.7420497702346776</v>
      </c>
    </row>
    <row r="101" spans="2:15" s="134" customFormat="1">
      <c r="B101" s="90" t="s">
        <v>299</v>
      </c>
      <c r="C101" s="90"/>
      <c r="D101" s="192">
        <f t="shared" ref="D101:O101" si="30">(D86/D60)*1000</f>
        <v>8.6021783142431545</v>
      </c>
      <c r="E101" s="192">
        <f t="shared" si="30"/>
        <v>8.5188164159191739</v>
      </c>
      <c r="F101" s="192">
        <f t="shared" si="30"/>
        <v>8.3609389143378952</v>
      </c>
      <c r="G101" s="192">
        <f t="shared" si="30"/>
        <v>8.3827989068587474</v>
      </c>
      <c r="H101" s="192">
        <f t="shared" si="30"/>
        <v>7.7474129102875366</v>
      </c>
      <c r="I101" s="192">
        <f t="shared" si="30"/>
        <v>7.7663550757423891</v>
      </c>
      <c r="J101" s="192">
        <f t="shared" si="30"/>
        <v>6.8518845057596538</v>
      </c>
      <c r="K101" s="192">
        <f t="shared" si="30"/>
        <v>7.3911854240889117</v>
      </c>
      <c r="L101" s="192">
        <f t="shared" si="30"/>
        <v>7.0178910141181481</v>
      </c>
      <c r="M101" s="192">
        <f t="shared" si="30"/>
        <v>9.2412463967249678</v>
      </c>
      <c r="N101" s="192">
        <f t="shared" si="30"/>
        <v>10.349142041307154</v>
      </c>
      <c r="O101" s="192">
        <f t="shared" si="30"/>
        <v>9.3276823087813217</v>
      </c>
    </row>
    <row r="102" spans="2:15" s="134" customFormat="1">
      <c r="B102" s="90" t="s">
        <v>300</v>
      </c>
      <c r="C102" s="90"/>
      <c r="D102" s="192">
        <f t="shared" ref="D102:O102" si="31">(D90/D60)*1000</f>
        <v>6.9232094806110354</v>
      </c>
      <c r="E102" s="192">
        <f t="shared" si="31"/>
        <v>6.9246355982001448</v>
      </c>
      <c r="F102" s="192">
        <f t="shared" si="31"/>
        <v>6.889492214801054</v>
      </c>
      <c r="G102" s="192">
        <f t="shared" si="31"/>
        <v>6.9583764388735458</v>
      </c>
      <c r="H102" s="192">
        <f t="shared" si="31"/>
        <v>6.4039241247776602</v>
      </c>
      <c r="I102" s="192">
        <f t="shared" si="31"/>
        <v>6.359031795897665</v>
      </c>
      <c r="J102" s="192">
        <f t="shared" si="31"/>
        <v>5.627278251471231</v>
      </c>
      <c r="K102" s="192">
        <f t="shared" si="31"/>
        <v>5.9142650196708955</v>
      </c>
      <c r="L102" s="192">
        <f t="shared" si="31"/>
        <v>5.4974113370133653</v>
      </c>
      <c r="M102" s="192">
        <f t="shared" si="31"/>
        <v>6.2906871549553767</v>
      </c>
      <c r="N102" s="192">
        <f t="shared" si="31"/>
        <v>6.8178178053326963</v>
      </c>
      <c r="O102" s="192">
        <f t="shared" si="31"/>
        <v>6.2764310017157037</v>
      </c>
    </row>
    <row r="103" spans="2:15" s="134" customFormat="1">
      <c r="B103" s="90" t="s">
        <v>265</v>
      </c>
      <c r="C103" s="90"/>
      <c r="D103" s="192">
        <f t="shared" ref="D103:O103" si="32">D79*1000/D60</f>
        <v>2.7703582686252646</v>
      </c>
      <c r="E103" s="192">
        <f t="shared" si="32"/>
        <v>2.9921862934889965</v>
      </c>
      <c r="F103" s="192">
        <f t="shared" si="32"/>
        <v>2.9586371338938502</v>
      </c>
      <c r="G103" s="192">
        <f t="shared" si="32"/>
        <v>3.1106626353118587</v>
      </c>
      <c r="H103" s="192">
        <f t="shared" si="32"/>
        <v>2.7341741004692608</v>
      </c>
      <c r="I103" s="192">
        <f t="shared" si="32"/>
        <v>2.668224696447576</v>
      </c>
      <c r="J103" s="192">
        <f t="shared" si="32"/>
        <v>2.425636845872269</v>
      </c>
      <c r="K103" s="192">
        <f t="shared" si="32"/>
        <v>2.6307274387333472</v>
      </c>
      <c r="L103" s="192">
        <f t="shared" si="32"/>
        <v>2.4382540302553837</v>
      </c>
      <c r="M103" s="192">
        <f t="shared" si="32"/>
        <v>2.5520597470561124</v>
      </c>
      <c r="N103" s="192">
        <f t="shared" si="32"/>
        <v>2.8419240543789268</v>
      </c>
      <c r="O103" s="192">
        <f t="shared" si="32"/>
        <v>2.7194336133236723</v>
      </c>
    </row>
    <row r="104" spans="2:15" s="134" customFormat="1">
      <c r="B104" s="111" t="s">
        <v>1136</v>
      </c>
      <c r="C104" s="111"/>
      <c r="D104" s="140">
        <f t="shared" ref="D104:O104" si="33">D79/D62*1000</f>
        <v>41040.187595862677</v>
      </c>
      <c r="E104" s="140">
        <f t="shared" si="33"/>
        <v>48077.799744388532</v>
      </c>
      <c r="F104" s="140">
        <f t="shared" si="33"/>
        <v>29880.990306014526</v>
      </c>
      <c r="G104" s="140">
        <f t="shared" si="33"/>
        <v>53322.422249623254</v>
      </c>
      <c r="H104" s="140">
        <f t="shared" si="33"/>
        <v>52878.816507269185</v>
      </c>
      <c r="I104" s="140">
        <f t="shared" si="33"/>
        <v>55074.538515964501</v>
      </c>
      <c r="J104" s="140">
        <f t="shared" si="33"/>
        <v>38642.243829052204</v>
      </c>
      <c r="K104" s="140">
        <f t="shared" si="33"/>
        <v>47331.467690399775</v>
      </c>
      <c r="L104" s="140">
        <f t="shared" si="33"/>
        <v>46893.216269918237</v>
      </c>
      <c r="M104" s="140">
        <f t="shared" si="33"/>
        <v>46842.290389911745</v>
      </c>
      <c r="N104" s="140">
        <f t="shared" si="33"/>
        <v>50228.620136874204</v>
      </c>
      <c r="O104" s="140">
        <f t="shared" si="33"/>
        <v>48823.572063827523</v>
      </c>
    </row>
    <row r="105" spans="2:15" s="134" customFormat="1">
      <c r="B105" s="168"/>
      <c r="C105" s="168"/>
      <c r="D105" s="161"/>
      <c r="E105" s="161"/>
      <c r="F105" s="161"/>
      <c r="G105" s="161"/>
      <c r="H105" s="161"/>
      <c r="I105" s="161"/>
      <c r="J105" s="161"/>
      <c r="K105" s="161"/>
      <c r="L105" s="161"/>
      <c r="M105" s="161"/>
      <c r="N105" s="161"/>
    </row>
    <row r="106" spans="2:15">
      <c r="B106" s="153" t="s">
        <v>163</v>
      </c>
      <c r="C106" s="94"/>
      <c r="D106" s="94"/>
      <c r="E106" s="94"/>
      <c r="F106" s="94"/>
      <c r="G106" s="94"/>
      <c r="H106" s="94"/>
      <c r="I106" s="94"/>
      <c r="J106" s="94"/>
      <c r="K106" s="94"/>
      <c r="L106" s="94"/>
      <c r="M106" s="94"/>
      <c r="N106" s="94"/>
      <c r="O106"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19.xml><?xml version="1.0" encoding="utf-8"?>
<worksheet xmlns="http://schemas.openxmlformats.org/spreadsheetml/2006/main" xmlns:r="http://schemas.openxmlformats.org/officeDocument/2006/relationships">
  <sheetPr>
    <pageSetUpPr autoPageBreaks="0" fitToPage="1"/>
  </sheetPr>
  <dimension ref="A1:S120"/>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204" sqref="A204:XFD204"/>
    </sheetView>
  </sheetViews>
  <sheetFormatPr defaultRowHeight="12.75" outlineLevelRow="2"/>
  <cols>
    <col min="1" max="1" width="3.140625" style="90" customWidth="1"/>
    <col min="2" max="2" width="72.28515625" style="90" customWidth="1"/>
    <col min="3" max="3" width="28.42578125" style="90" customWidth="1"/>
    <col min="4" max="14" width="15.7109375" style="90" customWidth="1"/>
    <col min="15" max="15" width="14.140625" style="90" customWidth="1"/>
    <col min="16" max="16" width="14" style="90" bestFit="1" customWidth="1"/>
    <col min="17" max="16384" width="9.140625" style="90"/>
  </cols>
  <sheetData>
    <row r="1" spans="1:16" ht="12.75" customHeight="1">
      <c r="A1" s="145"/>
    </row>
    <row r="2" spans="1:16">
      <c r="B2" s="146" t="s">
        <v>134</v>
      </c>
      <c r="C2" s="91"/>
      <c r="D2" s="91"/>
      <c r="E2" s="147" t="str">
        <f>Info!$D$10</f>
        <v>Duncan Kernohan</v>
      </c>
      <c r="F2" s="91"/>
      <c r="G2" s="91"/>
      <c r="H2" s="91"/>
      <c r="I2" s="91"/>
      <c r="J2" s="91"/>
      <c r="K2" s="91"/>
      <c r="L2" s="91"/>
      <c r="M2" s="91"/>
      <c r="N2" s="91"/>
      <c r="O2" s="91"/>
      <c r="P2" s="91"/>
    </row>
    <row r="3" spans="1:16">
      <c r="B3" s="148" t="s">
        <v>137</v>
      </c>
      <c r="C3" s="92"/>
      <c r="D3" s="92"/>
      <c r="E3" s="149" t="str">
        <f>Info!$D$11 &amp; " - " &amp; Info!$D$12</f>
        <v>Airport Opex Benchmarking 2013 - duncan.kernohan@caa.co.uk</v>
      </c>
      <c r="F3" s="92"/>
      <c r="G3" s="92"/>
      <c r="H3" s="92"/>
      <c r="I3" s="92"/>
      <c r="J3" s="92"/>
      <c r="K3" s="92"/>
      <c r="L3" s="92"/>
      <c r="M3" s="92"/>
      <c r="N3" s="92"/>
      <c r="O3" s="92"/>
      <c r="P3" s="92"/>
    </row>
    <row r="4" spans="1:16">
      <c r="B4" s="148" t="s">
        <v>130</v>
      </c>
      <c r="C4" s="92"/>
      <c r="D4" s="92"/>
      <c r="E4" s="150">
        <f>Info!$D$16</f>
        <v>2.8</v>
      </c>
      <c r="F4" s="92"/>
      <c r="G4" s="92"/>
      <c r="H4" s="92"/>
      <c r="I4" s="92"/>
      <c r="J4" s="92"/>
      <c r="K4" s="92"/>
      <c r="L4" s="92"/>
      <c r="M4" s="92"/>
      <c r="N4" s="92"/>
      <c r="O4" s="92"/>
      <c r="P4" s="92"/>
    </row>
    <row r="5" spans="1:16">
      <c r="B5" s="151" t="s">
        <v>138</v>
      </c>
      <c r="C5" s="93"/>
      <c r="D5" s="93"/>
      <c r="E5" s="152" t="str">
        <f ca="1">IF(CELL("filename",D1)="","",MID(CELL("filename",A1),FIND("]",CELL("filename",A1))+1,99))</f>
        <v>HTROW</v>
      </c>
      <c r="F5" s="93"/>
      <c r="G5" s="93"/>
      <c r="H5" s="93"/>
      <c r="I5" s="93"/>
      <c r="J5" s="93"/>
      <c r="K5" s="93"/>
      <c r="L5" s="93"/>
      <c r="M5" s="93"/>
      <c r="N5" s="93"/>
      <c r="O5" s="93"/>
      <c r="P5" s="93"/>
    </row>
    <row r="8" spans="1:16">
      <c r="B8" s="153" t="s">
        <v>1038</v>
      </c>
      <c r="C8" s="94"/>
      <c r="D8" s="94"/>
      <c r="E8" s="94"/>
      <c r="F8" s="94"/>
      <c r="G8" s="94"/>
      <c r="H8" s="94"/>
      <c r="I8" s="94"/>
      <c r="J8" s="94"/>
      <c r="K8" s="94"/>
      <c r="L8" s="94"/>
      <c r="M8" s="94"/>
      <c r="N8" s="94"/>
      <c r="O8" s="94"/>
      <c r="P8" s="94"/>
    </row>
    <row r="10" spans="1:16">
      <c r="B10" s="138" t="s">
        <v>143</v>
      </c>
      <c r="C10" s="138"/>
      <c r="D10" s="90" t="s">
        <v>270</v>
      </c>
    </row>
    <row r="11" spans="1:16">
      <c r="B11" s="138"/>
      <c r="C11" s="138"/>
      <c r="D11" s="138"/>
    </row>
    <row r="12" spans="1:16">
      <c r="B12" s="153" t="s">
        <v>195</v>
      </c>
      <c r="C12" s="94"/>
      <c r="D12" s="94"/>
      <c r="E12" s="94"/>
      <c r="F12" s="94"/>
      <c r="G12" s="94"/>
      <c r="H12" s="94"/>
      <c r="I12" s="94"/>
      <c r="J12" s="94"/>
      <c r="K12" s="94"/>
      <c r="L12" s="94"/>
      <c r="M12" s="94"/>
      <c r="N12" s="94"/>
      <c r="O12" s="94"/>
      <c r="P12" s="94"/>
    </row>
    <row r="13" spans="1:16">
      <c r="B13" s="138"/>
      <c r="C13" s="138"/>
      <c r="D13" s="138"/>
    </row>
    <row r="14" spans="1:16">
      <c r="B14" s="101" t="s">
        <v>167</v>
      </c>
      <c r="C14" s="101"/>
    </row>
    <row r="15" spans="1:16" s="133" customFormat="1">
      <c r="B15" s="138" t="s">
        <v>271</v>
      </c>
      <c r="C15" s="138"/>
      <c r="D15" s="154" t="s">
        <v>109</v>
      </c>
      <c r="E15" s="154" t="s">
        <v>110</v>
      </c>
      <c r="F15" s="154" t="s">
        <v>111</v>
      </c>
      <c r="G15" s="154" t="s">
        <v>22</v>
      </c>
      <c r="H15" s="154" t="s">
        <v>23</v>
      </c>
      <c r="I15" s="154" t="s">
        <v>24</v>
      </c>
      <c r="J15" s="154" t="s">
        <v>306</v>
      </c>
      <c r="K15" s="154">
        <v>2007</v>
      </c>
      <c r="L15" s="154">
        <v>2008</v>
      </c>
      <c r="M15" s="154">
        <v>2009</v>
      </c>
      <c r="N15" s="154">
        <v>2010</v>
      </c>
      <c r="O15" s="154">
        <v>2011</v>
      </c>
      <c r="P15" s="133">
        <v>2012</v>
      </c>
    </row>
    <row r="16" spans="1:16"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c r="P16" s="133">
        <v>2012</v>
      </c>
    </row>
    <row r="17" spans="2:19" s="133" customFormat="1">
      <c r="B17" s="138" t="s">
        <v>164</v>
      </c>
      <c r="C17" s="138"/>
      <c r="D17" s="154" t="s">
        <v>160</v>
      </c>
      <c r="E17" s="154" t="s">
        <v>160</v>
      </c>
      <c r="F17" s="154" t="s">
        <v>160</v>
      </c>
      <c r="G17" s="154" t="s">
        <v>160</v>
      </c>
      <c r="H17" s="154" t="s">
        <v>160</v>
      </c>
      <c r="I17" s="154" t="s">
        <v>160</v>
      </c>
      <c r="J17" s="154" t="s">
        <v>190</v>
      </c>
      <c r="K17" s="154" t="s">
        <v>174</v>
      </c>
      <c r="L17" s="154" t="s">
        <v>174</v>
      </c>
      <c r="M17" s="154" t="s">
        <v>174</v>
      </c>
      <c r="N17" s="154" t="s">
        <v>174</v>
      </c>
      <c r="O17" s="154" t="s">
        <v>174</v>
      </c>
      <c r="P17" s="133" t="s">
        <v>174</v>
      </c>
    </row>
    <row r="18" spans="2:19">
      <c r="B18" s="133"/>
      <c r="C18" s="133"/>
      <c r="E18" s="133"/>
      <c r="F18" s="133"/>
      <c r="G18" s="133"/>
      <c r="H18" s="133"/>
      <c r="I18" s="133"/>
      <c r="J18" s="133"/>
      <c r="K18" s="133"/>
      <c r="L18" s="133"/>
      <c r="M18" s="133"/>
      <c r="N18" s="133"/>
      <c r="O18" s="133"/>
    </row>
    <row r="19" spans="2:19">
      <c r="B19" s="106" t="s">
        <v>1314</v>
      </c>
      <c r="C19" s="106" t="s">
        <v>1315</v>
      </c>
      <c r="D19" s="133"/>
      <c r="E19" s="133"/>
      <c r="F19" s="133"/>
      <c r="G19" s="133"/>
      <c r="H19" s="133"/>
      <c r="I19" s="133"/>
      <c r="J19" s="133"/>
      <c r="K19" s="133"/>
      <c r="L19" s="133"/>
      <c r="M19" s="133"/>
      <c r="N19" s="133"/>
      <c r="O19" s="133"/>
      <c r="P19" s="133"/>
    </row>
    <row r="20" spans="2:19" hidden="1" outlineLevel="2">
      <c r="B20" s="90" t="s">
        <v>240</v>
      </c>
      <c r="C20" s="138" t="s">
        <v>165</v>
      </c>
      <c r="D20" s="141">
        <v>101200</v>
      </c>
      <c r="E20" s="141">
        <v>101700</v>
      </c>
      <c r="F20" s="141">
        <v>107500</v>
      </c>
      <c r="G20" s="141">
        <v>114600</v>
      </c>
      <c r="H20" s="141">
        <v>122900</v>
      </c>
      <c r="I20" s="141">
        <v>125900</v>
      </c>
      <c r="J20" s="141">
        <v>70900</v>
      </c>
      <c r="K20" s="141">
        <v>156300</v>
      </c>
      <c r="L20" s="141">
        <v>205100</v>
      </c>
      <c r="M20" s="141">
        <v>186700</v>
      </c>
      <c r="N20" s="141">
        <v>196400</v>
      </c>
      <c r="O20" s="141">
        <v>208300</v>
      </c>
      <c r="P20" s="141">
        <v>230800</v>
      </c>
      <c r="Q20" s="82"/>
      <c r="R20" s="218"/>
      <c r="S20" s="126">
        <f>P20-O20</f>
        <v>22500</v>
      </c>
    </row>
    <row r="21" spans="2:19" hidden="1" outlineLevel="2">
      <c r="B21" s="90" t="s">
        <v>240</v>
      </c>
      <c r="C21" s="138" t="s">
        <v>166</v>
      </c>
      <c r="D21" s="141">
        <v>7900</v>
      </c>
      <c r="E21" s="141">
        <v>7700</v>
      </c>
      <c r="F21" s="141">
        <v>8000</v>
      </c>
      <c r="G21" s="141">
        <v>10100</v>
      </c>
      <c r="H21" s="141">
        <v>10100</v>
      </c>
      <c r="I21" s="141">
        <v>11100</v>
      </c>
      <c r="J21" s="141">
        <v>5900</v>
      </c>
      <c r="K21" s="141">
        <v>12600</v>
      </c>
      <c r="L21" s="141">
        <v>16000</v>
      </c>
      <c r="M21" s="141">
        <v>15000</v>
      </c>
      <c r="N21" s="141">
        <v>15500</v>
      </c>
      <c r="O21" s="141">
        <v>18300</v>
      </c>
      <c r="P21" s="141">
        <v>20600</v>
      </c>
      <c r="Q21" s="370"/>
      <c r="R21" s="218"/>
      <c r="S21" s="126">
        <f t="shared" ref="S21:S45" si="0">P21-O21</f>
        <v>2300</v>
      </c>
    </row>
    <row r="22" spans="2:19" hidden="1" outlineLevel="2">
      <c r="B22" s="90" t="s">
        <v>240</v>
      </c>
      <c r="C22" s="138" t="s">
        <v>189</v>
      </c>
      <c r="D22" s="141">
        <v>3200</v>
      </c>
      <c r="E22" s="141">
        <v>19000</v>
      </c>
      <c r="F22" s="141">
        <v>19600</v>
      </c>
      <c r="G22" s="141">
        <v>25300</v>
      </c>
      <c r="H22" s="141">
        <v>31200</v>
      </c>
      <c r="I22" s="141">
        <v>32600</v>
      </c>
      <c r="J22" s="141">
        <v>18400</v>
      </c>
      <c r="K22" s="141">
        <v>31500</v>
      </c>
      <c r="L22" s="141">
        <v>31100</v>
      </c>
      <c r="M22" s="141">
        <v>14600</v>
      </c>
      <c r="N22" s="141">
        <v>24200</v>
      </c>
      <c r="O22" s="141">
        <v>24200</v>
      </c>
      <c r="P22" s="141">
        <v>31700</v>
      </c>
      <c r="Q22" s="82"/>
      <c r="R22" s="218"/>
      <c r="S22" s="126">
        <f t="shared" si="0"/>
        <v>7500</v>
      </c>
    </row>
    <row r="23" spans="2:19" hidden="1" outlineLevel="2">
      <c r="B23" s="90" t="s">
        <v>240</v>
      </c>
      <c r="C23" s="138" t="s">
        <v>188</v>
      </c>
      <c r="D23" s="141">
        <v>0</v>
      </c>
      <c r="E23" s="141">
        <v>-2200</v>
      </c>
      <c r="F23" s="141">
        <v>5900</v>
      </c>
      <c r="G23" s="141">
        <v>9000</v>
      </c>
      <c r="H23" s="141">
        <v>8900</v>
      </c>
      <c r="I23" s="141">
        <v>12200</v>
      </c>
      <c r="J23" s="141">
        <v>4500</v>
      </c>
      <c r="K23" s="141">
        <f>10900+1500</f>
        <v>12400</v>
      </c>
      <c r="L23" s="141">
        <f>14100+3000</f>
        <v>17100</v>
      </c>
      <c r="M23" s="141">
        <f>6800+3200</f>
        <v>10000</v>
      </c>
      <c r="N23" s="141">
        <v>9700</v>
      </c>
      <c r="O23" s="141">
        <v>11300</v>
      </c>
      <c r="P23" s="141">
        <v>8200</v>
      </c>
      <c r="Q23" s="82"/>
      <c r="R23" s="218"/>
      <c r="S23" s="126">
        <f t="shared" si="0"/>
        <v>-3100</v>
      </c>
    </row>
    <row r="24" spans="2:19" outlineLevel="1" collapsed="1">
      <c r="B24" s="173" t="s">
        <v>287</v>
      </c>
      <c r="C24" s="138"/>
      <c r="D24" s="159">
        <f t="shared" ref="D24:O24" si="1">SUBTOTAL(9,D20:D23)</f>
        <v>112300</v>
      </c>
      <c r="E24" s="159">
        <f t="shared" si="1"/>
        <v>126200</v>
      </c>
      <c r="F24" s="159">
        <f t="shared" si="1"/>
        <v>141000</v>
      </c>
      <c r="G24" s="159">
        <f t="shared" si="1"/>
        <v>159000</v>
      </c>
      <c r="H24" s="159">
        <f t="shared" si="1"/>
        <v>173100</v>
      </c>
      <c r="I24" s="159">
        <f t="shared" si="1"/>
        <v>181800</v>
      </c>
      <c r="J24" s="159">
        <f t="shared" si="1"/>
        <v>99700</v>
      </c>
      <c r="K24" s="159">
        <f t="shared" si="1"/>
        <v>212800</v>
      </c>
      <c r="L24" s="159">
        <f t="shared" si="1"/>
        <v>269300</v>
      </c>
      <c r="M24" s="159">
        <f t="shared" si="1"/>
        <v>226300</v>
      </c>
      <c r="N24" s="159">
        <f t="shared" si="1"/>
        <v>245800</v>
      </c>
      <c r="O24" s="159">
        <f t="shared" si="1"/>
        <v>262100</v>
      </c>
      <c r="P24" s="159">
        <f>SUBTOTAL(9,P20:P23)</f>
        <v>291300</v>
      </c>
      <c r="Q24" s="82"/>
      <c r="R24" s="218"/>
      <c r="S24" s="126">
        <f t="shared" si="0"/>
        <v>29200</v>
      </c>
    </row>
    <row r="25" spans="2:19" s="133" customFormat="1" outlineLevel="1">
      <c r="B25" s="137"/>
      <c r="C25" s="137"/>
      <c r="D25" s="141"/>
      <c r="E25" s="141"/>
      <c r="F25" s="141"/>
      <c r="G25" s="141"/>
      <c r="H25" s="141"/>
      <c r="I25" s="141"/>
      <c r="J25" s="141"/>
      <c r="K25" s="141"/>
      <c r="L25" s="141"/>
      <c r="M25" s="141"/>
      <c r="N25" s="141"/>
      <c r="O25" s="141"/>
      <c r="P25" s="141"/>
      <c r="Q25" s="299"/>
      <c r="R25" s="218"/>
      <c r="S25" s="126"/>
    </row>
    <row r="26" spans="2:19" s="133" customFormat="1" hidden="1" outlineLevel="2">
      <c r="B26" s="138" t="s">
        <v>30</v>
      </c>
      <c r="C26" s="138" t="s">
        <v>30</v>
      </c>
      <c r="D26" s="141">
        <v>115400</v>
      </c>
      <c r="E26" s="141">
        <v>137400</v>
      </c>
      <c r="F26" s="141">
        <v>139900</v>
      </c>
      <c r="G26" s="141">
        <v>139000</v>
      </c>
      <c r="H26" s="141">
        <v>166000</v>
      </c>
      <c r="I26" s="141">
        <v>168500</v>
      </c>
      <c r="J26" s="141">
        <v>92900</v>
      </c>
      <c r="K26" s="141">
        <v>203600</v>
      </c>
      <c r="L26" s="141">
        <v>346300</v>
      </c>
      <c r="M26" s="141">
        <v>414100</v>
      </c>
      <c r="N26" s="141">
        <v>436400</v>
      </c>
      <c r="O26" s="141">
        <v>468300</v>
      </c>
      <c r="P26" s="141">
        <v>470000</v>
      </c>
      <c r="Q26" s="299"/>
      <c r="R26" s="218"/>
      <c r="S26" s="126">
        <f t="shared" si="0"/>
        <v>1700</v>
      </c>
    </row>
    <row r="27" spans="2:19" s="133" customFormat="1" outlineLevel="1" collapsed="1">
      <c r="B27" s="70" t="s">
        <v>288</v>
      </c>
      <c r="C27" s="138"/>
      <c r="D27" s="159">
        <f t="shared" ref="D27:P27" si="2">SUBTOTAL(9,D26:D26)</f>
        <v>115400</v>
      </c>
      <c r="E27" s="159">
        <f t="shared" si="2"/>
        <v>137400</v>
      </c>
      <c r="F27" s="159">
        <f t="shared" si="2"/>
        <v>139900</v>
      </c>
      <c r="G27" s="159">
        <f t="shared" si="2"/>
        <v>139000</v>
      </c>
      <c r="H27" s="159">
        <f t="shared" si="2"/>
        <v>166000</v>
      </c>
      <c r="I27" s="159">
        <f t="shared" si="2"/>
        <v>168500</v>
      </c>
      <c r="J27" s="159">
        <f t="shared" si="2"/>
        <v>92900</v>
      </c>
      <c r="K27" s="159">
        <f t="shared" si="2"/>
        <v>203600</v>
      </c>
      <c r="L27" s="159">
        <f t="shared" si="2"/>
        <v>346300</v>
      </c>
      <c r="M27" s="159">
        <f t="shared" si="2"/>
        <v>414100</v>
      </c>
      <c r="N27" s="159">
        <f t="shared" si="2"/>
        <v>436400</v>
      </c>
      <c r="O27" s="159">
        <f t="shared" si="2"/>
        <v>468300</v>
      </c>
      <c r="P27" s="159">
        <f t="shared" si="2"/>
        <v>470000</v>
      </c>
      <c r="Q27" s="299"/>
      <c r="R27" s="218"/>
      <c r="S27" s="126">
        <f t="shared" si="0"/>
        <v>1700</v>
      </c>
    </row>
    <row r="28" spans="2:19" s="133" customFormat="1" outlineLevel="1">
      <c r="B28" s="138"/>
      <c r="C28" s="138"/>
      <c r="D28" s="141"/>
      <c r="E28" s="141"/>
      <c r="F28" s="141"/>
      <c r="G28" s="141"/>
      <c r="H28" s="141"/>
      <c r="I28" s="141"/>
      <c r="J28" s="141"/>
      <c r="K28" s="141"/>
      <c r="L28" s="141"/>
      <c r="M28" s="141"/>
      <c r="N28" s="141"/>
      <c r="O28" s="141"/>
      <c r="P28" s="299"/>
      <c r="Q28" s="299"/>
      <c r="R28" s="218"/>
      <c r="S28" s="126"/>
    </row>
    <row r="29" spans="2:19" s="133" customFormat="1" hidden="1" outlineLevel="2">
      <c r="B29" s="133" t="s">
        <v>256</v>
      </c>
      <c r="C29" s="138" t="s">
        <v>183</v>
      </c>
      <c r="D29" s="155">
        <v>10500</v>
      </c>
      <c r="E29" s="155">
        <v>9500</v>
      </c>
      <c r="F29" s="155">
        <v>8900</v>
      </c>
      <c r="G29" s="155">
        <v>3900</v>
      </c>
      <c r="H29" s="155">
        <v>5100</v>
      </c>
      <c r="I29" s="155">
        <v>6300</v>
      </c>
      <c r="J29" s="155">
        <v>5700</v>
      </c>
      <c r="K29" s="155">
        <v>11800</v>
      </c>
      <c r="L29" s="155">
        <v>19300</v>
      </c>
      <c r="M29" s="155">
        <v>26400</v>
      </c>
      <c r="N29" s="155">
        <v>22100</v>
      </c>
      <c r="O29" s="155">
        <v>22800</v>
      </c>
      <c r="P29" s="304">
        <v>25800</v>
      </c>
      <c r="Q29" s="299"/>
      <c r="R29" s="218"/>
      <c r="S29" s="126">
        <f t="shared" si="0"/>
        <v>3000</v>
      </c>
    </row>
    <row r="30" spans="2:19" s="133" customFormat="1" hidden="1" outlineLevel="2">
      <c r="B30" s="133" t="s">
        <v>256</v>
      </c>
      <c r="C30" s="138" t="s">
        <v>201</v>
      </c>
      <c r="D30" s="141">
        <v>50800</v>
      </c>
      <c r="E30" s="141">
        <v>53700</v>
      </c>
      <c r="F30" s="141">
        <v>54400</v>
      </c>
      <c r="G30" s="141">
        <v>58300</v>
      </c>
      <c r="H30" s="141">
        <v>63600</v>
      </c>
      <c r="I30" s="141">
        <v>63400</v>
      </c>
      <c r="J30" s="141">
        <v>32800</v>
      </c>
      <c r="K30" s="141">
        <v>86300</v>
      </c>
      <c r="L30" s="141">
        <v>108800</v>
      </c>
      <c r="M30" s="141">
        <v>119500</v>
      </c>
      <c r="N30" s="141">
        <v>109200</v>
      </c>
      <c r="O30" s="141">
        <v>110600</v>
      </c>
      <c r="P30" s="299">
        <v>120900</v>
      </c>
      <c r="Q30" s="299"/>
      <c r="R30" s="218"/>
      <c r="S30" s="126">
        <f t="shared" si="0"/>
        <v>10300</v>
      </c>
    </row>
    <row r="31" spans="2:19" s="133" customFormat="1" hidden="1" outlineLevel="2">
      <c r="B31" s="133" t="s">
        <v>256</v>
      </c>
      <c r="C31" s="138" t="s">
        <v>184</v>
      </c>
      <c r="D31" s="141">
        <v>48500</v>
      </c>
      <c r="E31" s="141">
        <v>43500</v>
      </c>
      <c r="F31" s="141">
        <v>45000</v>
      </c>
      <c r="G31" s="141">
        <v>46700</v>
      </c>
      <c r="H31" s="141">
        <v>49600</v>
      </c>
      <c r="I31" s="141">
        <v>55400</v>
      </c>
      <c r="J31" s="141">
        <v>30700</v>
      </c>
      <c r="K31" s="141">
        <v>65700</v>
      </c>
      <c r="L31" s="141">
        <v>92000</v>
      </c>
      <c r="M31" s="141">
        <v>114600</v>
      </c>
      <c r="N31" s="141">
        <v>101600</v>
      </c>
      <c r="O31" s="141">
        <v>113200</v>
      </c>
      <c r="P31" s="299">
        <v>126300</v>
      </c>
      <c r="Q31" s="299"/>
      <c r="R31" s="218"/>
      <c r="S31" s="126">
        <f t="shared" si="0"/>
        <v>13100</v>
      </c>
    </row>
    <row r="32" spans="2:19" s="133" customFormat="1" hidden="1" outlineLevel="2">
      <c r="B32" s="133" t="s">
        <v>256</v>
      </c>
      <c r="C32" s="138" t="s">
        <v>202</v>
      </c>
      <c r="D32" s="141">
        <v>23700</v>
      </c>
      <c r="E32" s="141">
        <v>25400</v>
      </c>
      <c r="F32" s="141">
        <v>26200</v>
      </c>
      <c r="G32" s="141">
        <v>25400</v>
      </c>
      <c r="H32" s="141">
        <v>30000</v>
      </c>
      <c r="I32" s="141">
        <v>38000</v>
      </c>
      <c r="J32" s="141">
        <v>22800</v>
      </c>
      <c r="K32" s="141">
        <v>46000</v>
      </c>
      <c r="L32" s="141">
        <v>80600</v>
      </c>
      <c r="M32" s="141">
        <v>104300</v>
      </c>
      <c r="N32" s="141">
        <v>93700</v>
      </c>
      <c r="O32" s="141">
        <v>89100</v>
      </c>
      <c r="P32" s="299">
        <v>87500</v>
      </c>
      <c r="Q32" s="299"/>
      <c r="R32" s="218"/>
      <c r="S32" s="126">
        <f t="shared" si="0"/>
        <v>-1600</v>
      </c>
    </row>
    <row r="33" spans="2:19" s="133" customFormat="1" hidden="1" outlineLevel="2">
      <c r="B33" s="133" t="s">
        <v>256</v>
      </c>
      <c r="C33" s="138" t="s">
        <v>185</v>
      </c>
      <c r="D33" s="141">
        <v>22100</v>
      </c>
      <c r="E33" s="141">
        <v>23200</v>
      </c>
      <c r="F33" s="141">
        <v>22800</v>
      </c>
      <c r="G33" s="141">
        <v>24300</v>
      </c>
      <c r="H33" s="141">
        <v>23900</v>
      </c>
      <c r="I33" s="141">
        <v>27400</v>
      </c>
      <c r="J33" s="141">
        <v>17200</v>
      </c>
      <c r="K33" s="141">
        <v>26700</v>
      </c>
      <c r="L33" s="141">
        <v>33900</v>
      </c>
      <c r="M33" s="141">
        <v>31400</v>
      </c>
      <c r="N33" s="141">
        <v>28300</v>
      </c>
      <c r="O33" s="141">
        <v>28800</v>
      </c>
      <c r="P33" s="299">
        <v>28200</v>
      </c>
      <c r="Q33" s="299"/>
      <c r="R33" s="218"/>
      <c r="S33" s="126">
        <f t="shared" si="0"/>
        <v>-600</v>
      </c>
    </row>
    <row r="34" spans="2:19" s="133" customFormat="1" hidden="1" outlineLevel="2">
      <c r="B34" s="133" t="s">
        <v>256</v>
      </c>
      <c r="C34" s="138" t="s">
        <v>186</v>
      </c>
      <c r="D34" s="141">
        <f>70000-D37</f>
        <v>70000</v>
      </c>
      <c r="E34" s="141">
        <f>73200-E37</f>
        <v>73200</v>
      </c>
      <c r="F34" s="141">
        <f>69900-F37</f>
        <v>69900</v>
      </c>
      <c r="G34" s="141">
        <f>80300-G37</f>
        <v>80300</v>
      </c>
      <c r="H34" s="141">
        <f>78900-H37</f>
        <v>78900</v>
      </c>
      <c r="I34" s="141">
        <f>46400-I37</f>
        <v>46400</v>
      </c>
      <c r="J34" s="141">
        <f>18300-J37</f>
        <v>18300</v>
      </c>
      <c r="K34" s="141">
        <f>34200-K37</f>
        <v>34200</v>
      </c>
      <c r="L34" s="141">
        <f>95200-L37</f>
        <v>3900</v>
      </c>
      <c r="M34" s="141">
        <f>108100-M37</f>
        <v>15200</v>
      </c>
      <c r="N34" s="141">
        <f>108700-N37</f>
        <v>6300</v>
      </c>
      <c r="O34" s="141">
        <f>107400-O37</f>
        <v>-3200</v>
      </c>
      <c r="P34" s="299">
        <f>119900-P37</f>
        <v>6700</v>
      </c>
      <c r="Q34" s="299"/>
      <c r="R34" s="218"/>
      <c r="S34" s="126">
        <f t="shared" si="0"/>
        <v>9900</v>
      </c>
    </row>
    <row r="35" spans="2:19" s="133" customFormat="1" hidden="1" outlineLevel="2">
      <c r="B35" s="133" t="s">
        <v>256</v>
      </c>
      <c r="C35" s="138" t="s">
        <v>187</v>
      </c>
      <c r="D35" s="141">
        <v>13200</v>
      </c>
      <c r="E35" s="141">
        <v>14000</v>
      </c>
      <c r="F35" s="141">
        <v>14300</v>
      </c>
      <c r="G35" s="141">
        <v>14900</v>
      </c>
      <c r="H35" s="141">
        <v>16900</v>
      </c>
      <c r="I35" s="141">
        <v>22300</v>
      </c>
      <c r="J35" s="141">
        <v>10400</v>
      </c>
      <c r="K35" s="141">
        <v>21300</v>
      </c>
      <c r="L35" s="141">
        <v>0</v>
      </c>
      <c r="M35" s="141">
        <v>0</v>
      </c>
      <c r="N35" s="141">
        <v>0</v>
      </c>
      <c r="O35" s="141">
        <v>0</v>
      </c>
      <c r="P35" s="299">
        <v>0</v>
      </c>
      <c r="Q35" s="299"/>
      <c r="R35" s="218"/>
      <c r="S35" s="126"/>
    </row>
    <row r="36" spans="2:19" s="133" customFormat="1" hidden="1" outlineLevel="2">
      <c r="B36" s="133" t="s">
        <v>256</v>
      </c>
      <c r="C36" s="138" t="s">
        <v>191</v>
      </c>
      <c r="D36" s="141">
        <v>74100</v>
      </c>
      <c r="E36" s="141">
        <v>68600</v>
      </c>
      <c r="F36" s="141">
        <v>78200</v>
      </c>
      <c r="G36" s="141">
        <v>85900</v>
      </c>
      <c r="H36" s="141">
        <v>98600</v>
      </c>
      <c r="I36" s="141">
        <v>148200</v>
      </c>
      <c r="J36" s="141">
        <v>81600</v>
      </c>
      <c r="K36" s="141">
        <v>184000</v>
      </c>
      <c r="L36" s="141">
        <v>202900</v>
      </c>
      <c r="M36" s="141">
        <v>184400</v>
      </c>
      <c r="N36" s="141">
        <v>219100</v>
      </c>
      <c r="O36" s="141">
        <v>221600</v>
      </c>
      <c r="P36" s="299">
        <v>207000</v>
      </c>
      <c r="Q36" s="299"/>
      <c r="R36" s="218"/>
      <c r="S36" s="126">
        <f t="shared" si="0"/>
        <v>-14600</v>
      </c>
    </row>
    <row r="37" spans="2:19" s="133" customFormat="1" hidden="1" outlineLevel="2">
      <c r="B37" s="133" t="s">
        <v>256</v>
      </c>
      <c r="C37" s="138" t="s">
        <v>1047</v>
      </c>
      <c r="D37" s="155"/>
      <c r="E37" s="155"/>
      <c r="F37" s="155"/>
      <c r="G37" s="155"/>
      <c r="H37" s="155"/>
      <c r="I37" s="155"/>
      <c r="J37" s="155"/>
      <c r="K37" s="155"/>
      <c r="L37" s="155">
        <f>'[1]HTW - Reg'!F36*1000</f>
        <v>91300</v>
      </c>
      <c r="M37" s="155">
        <f>'[1]HTW - Reg'!G36*1000</f>
        <v>92900</v>
      </c>
      <c r="N37" s="155">
        <f>'[1]HTW - Reg'!H36*1000</f>
        <v>102400</v>
      </c>
      <c r="O37" s="155">
        <f>'[1]HTW - Reg'!I36*1000</f>
        <v>110600</v>
      </c>
      <c r="P37" s="304">
        <v>113200</v>
      </c>
      <c r="Q37" s="299"/>
      <c r="R37" s="218"/>
      <c r="S37" s="126">
        <f t="shared" si="0"/>
        <v>2600</v>
      </c>
    </row>
    <row r="38" spans="2:19" s="133" customFormat="1" hidden="1" outlineLevel="2">
      <c r="B38" s="133" t="s">
        <v>256</v>
      </c>
      <c r="C38" s="138" t="s">
        <v>260</v>
      </c>
      <c r="D38" s="155">
        <v>0</v>
      </c>
      <c r="E38" s="155">
        <v>0</v>
      </c>
      <c r="F38" s="155">
        <v>0</v>
      </c>
      <c r="G38" s="155">
        <v>0</v>
      </c>
      <c r="H38" s="155">
        <v>0</v>
      </c>
      <c r="I38" s="155">
        <v>0</v>
      </c>
      <c r="J38" s="155">
        <v>0</v>
      </c>
      <c r="K38" s="155">
        <v>0</v>
      </c>
      <c r="L38" s="155">
        <v>38400</v>
      </c>
      <c r="M38" s="155">
        <v>53100</v>
      </c>
      <c r="N38" s="155">
        <v>51600</v>
      </c>
      <c r="O38" s="155">
        <v>52600</v>
      </c>
      <c r="P38" s="304">
        <v>54000</v>
      </c>
      <c r="Q38" s="299"/>
      <c r="R38" s="218"/>
      <c r="S38" s="126">
        <f t="shared" si="0"/>
        <v>1400</v>
      </c>
    </row>
    <row r="39" spans="2:19" s="133" customFormat="1" hidden="1" outlineLevel="2">
      <c r="B39" s="133" t="s">
        <v>256</v>
      </c>
      <c r="C39" s="138" t="s">
        <v>178</v>
      </c>
      <c r="D39" s="155">
        <v>3800</v>
      </c>
      <c r="E39" s="155">
        <v>4500</v>
      </c>
      <c r="F39" s="155">
        <v>1300</v>
      </c>
      <c r="G39" s="155">
        <v>2600</v>
      </c>
      <c r="H39" s="155">
        <v>-6300</v>
      </c>
      <c r="I39" s="155">
        <v>-2800</v>
      </c>
      <c r="J39" s="155">
        <v>6100</v>
      </c>
      <c r="K39" s="155">
        <v>300</v>
      </c>
      <c r="L39" s="155">
        <v>800</v>
      </c>
      <c r="M39" s="155">
        <v>-100</v>
      </c>
      <c r="N39" s="155">
        <v>300</v>
      </c>
      <c r="O39" s="155">
        <v>-200</v>
      </c>
      <c r="P39" s="304">
        <v>-500</v>
      </c>
      <c r="Q39" s="299"/>
      <c r="R39" s="218"/>
      <c r="S39" s="126">
        <f t="shared" si="0"/>
        <v>-300</v>
      </c>
    </row>
    <row r="40" spans="2:19" s="133" customFormat="1" outlineLevel="1" collapsed="1">
      <c r="B40" s="106" t="s">
        <v>289</v>
      </c>
      <c r="C40" s="138"/>
      <c r="D40" s="159">
        <f t="shared" ref="D40:O40" si="3">SUBTOTAL(9,D29:D39)</f>
        <v>316700</v>
      </c>
      <c r="E40" s="159">
        <f t="shared" si="3"/>
        <v>315600</v>
      </c>
      <c r="F40" s="159">
        <f t="shared" si="3"/>
        <v>321000</v>
      </c>
      <c r="G40" s="159">
        <f t="shared" si="3"/>
        <v>342300</v>
      </c>
      <c r="H40" s="159">
        <f t="shared" si="3"/>
        <v>360300</v>
      </c>
      <c r="I40" s="159">
        <f t="shared" si="3"/>
        <v>404600</v>
      </c>
      <c r="J40" s="159">
        <f t="shared" si="3"/>
        <v>225600</v>
      </c>
      <c r="K40" s="159">
        <f t="shared" si="3"/>
        <v>476300</v>
      </c>
      <c r="L40" s="159">
        <f t="shared" si="3"/>
        <v>671900</v>
      </c>
      <c r="M40" s="159">
        <f t="shared" si="3"/>
        <v>741700</v>
      </c>
      <c r="N40" s="159">
        <f t="shared" si="3"/>
        <v>734600</v>
      </c>
      <c r="O40" s="159">
        <f t="shared" si="3"/>
        <v>745900</v>
      </c>
      <c r="P40" s="159">
        <f>SUBTOTAL(9,P29:P39)</f>
        <v>769100</v>
      </c>
      <c r="Q40" s="299"/>
      <c r="R40" s="218"/>
      <c r="S40" s="126">
        <f t="shared" si="0"/>
        <v>23200</v>
      </c>
    </row>
    <row r="41" spans="2:19" s="133" customFormat="1" outlineLevel="1">
      <c r="C41" s="138"/>
      <c r="D41" s="141"/>
      <c r="E41" s="141"/>
      <c r="F41" s="141"/>
      <c r="G41" s="141"/>
      <c r="H41" s="141"/>
      <c r="I41" s="141"/>
      <c r="J41" s="141"/>
      <c r="K41" s="141"/>
      <c r="L41" s="141"/>
      <c r="M41" s="141"/>
      <c r="N41" s="141"/>
      <c r="O41" s="141"/>
      <c r="P41" s="306"/>
      <c r="Q41" s="299"/>
      <c r="R41" s="218"/>
      <c r="S41" s="126"/>
    </row>
    <row r="42" spans="2:19" s="30" customFormat="1" hidden="1" outlineLevel="2">
      <c r="B42" s="90" t="s">
        <v>172</v>
      </c>
      <c r="C42" s="138" t="s">
        <v>172</v>
      </c>
      <c r="D42" s="141">
        <v>0</v>
      </c>
      <c r="E42" s="141">
        <v>7600</v>
      </c>
      <c r="F42" s="141">
        <v>0</v>
      </c>
      <c r="G42" s="141">
        <v>0</v>
      </c>
      <c r="H42" s="141">
        <v>2200</v>
      </c>
      <c r="I42" s="141">
        <v>25400</v>
      </c>
      <c r="J42" s="141">
        <v>21200</v>
      </c>
      <c r="K42" s="141">
        <v>154200</v>
      </c>
      <c r="L42" s="141">
        <v>113200</v>
      </c>
      <c r="M42" s="141">
        <v>235400</v>
      </c>
      <c r="N42" s="141">
        <v>43300</v>
      </c>
      <c r="O42" s="141">
        <v>44100</v>
      </c>
      <c r="P42" s="104">
        <f>151200</f>
        <v>151200</v>
      </c>
      <c r="Q42" s="300"/>
      <c r="R42" s="218"/>
      <c r="S42" s="126">
        <f t="shared" si="0"/>
        <v>107100</v>
      </c>
    </row>
    <row r="43" spans="2:19" s="30" customFormat="1" outlineLevel="1" collapsed="1">
      <c r="B43" s="30" t="s">
        <v>290</v>
      </c>
      <c r="C43" s="138"/>
      <c r="D43" s="159">
        <f t="shared" ref="D43:P43" si="4">SUBTOTAL(9,D42:D42)</f>
        <v>0</v>
      </c>
      <c r="E43" s="159">
        <f t="shared" si="4"/>
        <v>7600</v>
      </c>
      <c r="F43" s="159">
        <f t="shared" si="4"/>
        <v>0</v>
      </c>
      <c r="G43" s="159">
        <f t="shared" si="4"/>
        <v>0</v>
      </c>
      <c r="H43" s="159">
        <f t="shared" si="4"/>
        <v>2200</v>
      </c>
      <c r="I43" s="159">
        <f t="shared" si="4"/>
        <v>25400</v>
      </c>
      <c r="J43" s="159">
        <f t="shared" si="4"/>
        <v>21200</v>
      </c>
      <c r="K43" s="159">
        <f t="shared" si="4"/>
        <v>154200</v>
      </c>
      <c r="L43" s="159">
        <f t="shared" si="4"/>
        <v>113200</v>
      </c>
      <c r="M43" s="159">
        <f t="shared" si="4"/>
        <v>235400</v>
      </c>
      <c r="N43" s="159">
        <f t="shared" si="4"/>
        <v>43300</v>
      </c>
      <c r="O43" s="159">
        <f t="shared" si="4"/>
        <v>44100</v>
      </c>
      <c r="P43" s="159">
        <f t="shared" si="4"/>
        <v>151200</v>
      </c>
      <c r="Q43" s="300"/>
      <c r="R43" s="218"/>
      <c r="S43" s="126">
        <f t="shared" si="0"/>
        <v>107100</v>
      </c>
    </row>
    <row r="44" spans="2:19" s="106" customFormat="1" outlineLevel="1">
      <c r="C44" s="138"/>
      <c r="D44" s="141"/>
      <c r="E44" s="141"/>
      <c r="F44" s="141"/>
      <c r="G44" s="141"/>
      <c r="H44" s="141"/>
      <c r="I44" s="141"/>
      <c r="J44" s="141"/>
      <c r="K44" s="141"/>
      <c r="L44" s="141"/>
      <c r="M44" s="141"/>
      <c r="N44" s="141"/>
      <c r="O44" s="141"/>
      <c r="P44" s="301"/>
      <c r="Q44" s="301"/>
      <c r="R44" s="218"/>
      <c r="S44" s="126"/>
    </row>
    <row r="45" spans="2:19" s="30" customFormat="1">
      <c r="B45" s="30" t="s">
        <v>286</v>
      </c>
      <c r="C45" s="138"/>
      <c r="D45" s="159">
        <f>SUBTOTAL(9,D20:D43)</f>
        <v>544400</v>
      </c>
      <c r="E45" s="159">
        <f t="shared" ref="E45:O45" si="5">SUBTOTAL(9,E20:E43)</f>
        <v>586800</v>
      </c>
      <c r="F45" s="159">
        <f t="shared" si="5"/>
        <v>601900</v>
      </c>
      <c r="G45" s="159">
        <f t="shared" si="5"/>
        <v>640300</v>
      </c>
      <c r="H45" s="159">
        <f>SUBTOTAL(9,H20:H43)</f>
        <v>701600</v>
      </c>
      <c r="I45" s="159">
        <f t="shared" si="5"/>
        <v>780300</v>
      </c>
      <c r="J45" s="159">
        <f t="shared" si="5"/>
        <v>439400</v>
      </c>
      <c r="K45" s="159">
        <f t="shared" si="5"/>
        <v>1046900</v>
      </c>
      <c r="L45" s="159">
        <f t="shared" si="5"/>
        <v>1400700</v>
      </c>
      <c r="M45" s="159">
        <f t="shared" si="5"/>
        <v>1617500</v>
      </c>
      <c r="N45" s="159">
        <f t="shared" si="5"/>
        <v>1460100</v>
      </c>
      <c r="O45" s="159">
        <f t="shared" si="5"/>
        <v>1520400</v>
      </c>
      <c r="P45" s="159">
        <f>SUBTOTAL(9,P20:P43)</f>
        <v>1681600</v>
      </c>
      <c r="Q45" s="300"/>
      <c r="R45" s="218"/>
      <c r="S45" s="126">
        <f t="shared" si="0"/>
        <v>161200</v>
      </c>
    </row>
    <row r="46" spans="2:19" s="106" customFormat="1">
      <c r="B46" s="138"/>
      <c r="C46" s="138"/>
      <c r="D46" s="141"/>
      <c r="E46" s="141"/>
      <c r="F46" s="141"/>
      <c r="G46" s="141"/>
      <c r="H46" s="141"/>
      <c r="I46" s="141"/>
      <c r="J46" s="259"/>
      <c r="K46" s="259"/>
      <c r="L46" s="259"/>
      <c r="M46" s="259"/>
      <c r="N46" s="259"/>
      <c r="O46" s="259"/>
      <c r="P46" s="301"/>
      <c r="Q46" s="301"/>
      <c r="R46" s="218"/>
    </row>
    <row r="47" spans="2:19" s="30" customFormat="1">
      <c r="B47" s="138" t="s">
        <v>1123</v>
      </c>
      <c r="C47" s="138"/>
      <c r="D47" s="159">
        <f t="shared" ref="D47:P47" si="6">D49-D24-D27-D40</f>
        <v>0</v>
      </c>
      <c r="E47" s="159">
        <f t="shared" si="6"/>
        <v>0</v>
      </c>
      <c r="F47" s="159">
        <f t="shared" si="6"/>
        <v>0</v>
      </c>
      <c r="G47" s="159">
        <f t="shared" si="6"/>
        <v>0</v>
      </c>
      <c r="H47" s="159">
        <f t="shared" si="6"/>
        <v>0</v>
      </c>
      <c r="I47" s="159">
        <f t="shared" si="6"/>
        <v>0</v>
      </c>
      <c r="J47" s="159">
        <f t="shared" si="6"/>
        <v>0</v>
      </c>
      <c r="K47" s="159">
        <f t="shared" si="6"/>
        <v>0</v>
      </c>
      <c r="L47" s="159">
        <f t="shared" si="6"/>
        <v>0</v>
      </c>
      <c r="M47" s="159">
        <f t="shared" si="6"/>
        <v>0</v>
      </c>
      <c r="N47" s="159">
        <f t="shared" si="6"/>
        <v>0</v>
      </c>
      <c r="O47" s="159">
        <f t="shared" si="6"/>
        <v>0</v>
      </c>
      <c r="P47" s="159">
        <f t="shared" si="6"/>
        <v>0</v>
      </c>
      <c r="Q47" s="300"/>
      <c r="R47" s="218"/>
    </row>
    <row r="48" spans="2:19" s="122" customFormat="1">
      <c r="B48" s="168"/>
      <c r="C48" s="168"/>
      <c r="D48" s="161"/>
      <c r="E48" s="161"/>
      <c r="F48" s="161"/>
      <c r="G48" s="161"/>
      <c r="H48" s="161"/>
      <c r="I48" s="161"/>
      <c r="J48" s="161"/>
      <c r="K48" s="161"/>
      <c r="L48" s="161"/>
      <c r="M48" s="161"/>
      <c r="N48" s="161"/>
      <c r="O48" s="161"/>
      <c r="P48" s="302"/>
      <c r="Q48" s="302"/>
      <c r="R48" s="218"/>
    </row>
    <row r="49" spans="1:18" s="30" customFormat="1">
      <c r="B49" s="138" t="s">
        <v>1316</v>
      </c>
      <c r="C49" s="138"/>
      <c r="D49" s="141">
        <v>544400</v>
      </c>
      <c r="E49" s="141">
        <v>579200</v>
      </c>
      <c r="F49" s="141">
        <v>601900</v>
      </c>
      <c r="G49" s="141">
        <v>640300</v>
      </c>
      <c r="H49" s="141">
        <v>699400</v>
      </c>
      <c r="I49" s="141">
        <v>754900</v>
      </c>
      <c r="J49" s="141">
        <v>418200</v>
      </c>
      <c r="K49" s="141">
        <v>892700</v>
      </c>
      <c r="L49" s="141">
        <v>1287500</v>
      </c>
      <c r="M49" s="141">
        <v>1382100</v>
      </c>
      <c r="N49" s="141">
        <v>1416800</v>
      </c>
      <c r="O49" s="141">
        <v>1476300</v>
      </c>
      <c r="P49" s="299">
        <v>1530400</v>
      </c>
      <c r="Q49" s="300"/>
      <c r="R49" s="218"/>
    </row>
    <row r="50" spans="1:18" s="106" customFormat="1">
      <c r="B50" s="138"/>
      <c r="C50" s="138"/>
      <c r="D50" s="141"/>
      <c r="E50" s="141"/>
      <c r="F50" s="141"/>
      <c r="G50" s="141"/>
      <c r="H50" s="141"/>
      <c r="I50" s="141"/>
      <c r="J50" s="141"/>
      <c r="K50" s="141"/>
      <c r="L50" s="141"/>
      <c r="M50" s="141"/>
      <c r="N50" s="141"/>
      <c r="O50" s="141"/>
      <c r="P50" s="301"/>
      <c r="Q50" s="301"/>
      <c r="R50" s="218"/>
    </row>
    <row r="51" spans="1:18" s="106" customFormat="1">
      <c r="B51" s="138" t="s">
        <v>1317</v>
      </c>
      <c r="C51" s="138"/>
      <c r="D51" s="159">
        <f>D49+D43</f>
        <v>544400</v>
      </c>
      <c r="E51" s="159">
        <f t="shared" ref="E51:N51" si="7">E49+E43</f>
        <v>586800</v>
      </c>
      <c r="F51" s="159">
        <f t="shared" si="7"/>
        <v>601900</v>
      </c>
      <c r="G51" s="159">
        <f t="shared" si="7"/>
        <v>640300</v>
      </c>
      <c r="H51" s="159">
        <f t="shared" si="7"/>
        <v>701600</v>
      </c>
      <c r="I51" s="159">
        <f t="shared" si="7"/>
        <v>780300</v>
      </c>
      <c r="J51" s="159">
        <f t="shared" si="7"/>
        <v>439400</v>
      </c>
      <c r="K51" s="159">
        <f t="shared" si="7"/>
        <v>1046900</v>
      </c>
      <c r="L51" s="159">
        <f t="shared" si="7"/>
        <v>1400700</v>
      </c>
      <c r="M51" s="159">
        <f t="shared" si="7"/>
        <v>1617500</v>
      </c>
      <c r="N51" s="159">
        <f t="shared" si="7"/>
        <v>1460100</v>
      </c>
      <c r="O51" s="159">
        <f>O49+O43</f>
        <v>1520400</v>
      </c>
      <c r="P51" s="159">
        <f>P49+P43</f>
        <v>1681600</v>
      </c>
      <c r="Q51" s="301"/>
      <c r="R51" s="218"/>
    </row>
    <row r="52" spans="1:18" s="106" customFormat="1">
      <c r="B52" s="138"/>
      <c r="C52" s="138"/>
      <c r="D52" s="141"/>
      <c r="E52" s="141"/>
      <c r="F52" s="141"/>
      <c r="G52" s="141"/>
      <c r="H52" s="141"/>
      <c r="I52" s="141"/>
      <c r="J52" s="141"/>
      <c r="K52" s="141"/>
      <c r="L52" s="141"/>
      <c r="M52" s="141"/>
      <c r="N52" s="141"/>
      <c r="O52" s="141"/>
      <c r="P52" s="301"/>
      <c r="Q52" s="301"/>
      <c r="R52" s="218"/>
    </row>
    <row r="53" spans="1:18" s="30" customFormat="1">
      <c r="A53" s="122"/>
      <c r="B53" s="138" t="s">
        <v>1131</v>
      </c>
      <c r="C53" s="138"/>
      <c r="D53" s="159">
        <f>D49-D27-D38-D37-D39-D29</f>
        <v>414700</v>
      </c>
      <c r="E53" s="159">
        <f t="shared" ref="E53:J53" si="8">E49-E27-E38-E37-E39-E29</f>
        <v>427800</v>
      </c>
      <c r="F53" s="159">
        <f t="shared" si="8"/>
        <v>451800</v>
      </c>
      <c r="G53" s="159">
        <f>G49-G27-G38-G37-G39-G29</f>
        <v>494800</v>
      </c>
      <c r="H53" s="159">
        <f t="shared" si="8"/>
        <v>534600</v>
      </c>
      <c r="I53" s="159">
        <f t="shared" si="8"/>
        <v>582900</v>
      </c>
      <c r="J53" s="159">
        <f t="shared" si="8"/>
        <v>313500</v>
      </c>
      <c r="K53" s="159">
        <f t="shared" ref="K53:P53" si="9">K49-K27-K38-K37-K39-K29</f>
        <v>677000</v>
      </c>
      <c r="L53" s="159">
        <f t="shared" si="9"/>
        <v>791400</v>
      </c>
      <c r="M53" s="159">
        <f t="shared" si="9"/>
        <v>795700</v>
      </c>
      <c r="N53" s="159">
        <f t="shared" si="9"/>
        <v>804000</v>
      </c>
      <c r="O53" s="159">
        <f t="shared" si="9"/>
        <v>822200</v>
      </c>
      <c r="P53" s="159">
        <f t="shared" si="9"/>
        <v>867900</v>
      </c>
      <c r="Q53" s="300"/>
      <c r="R53" s="218"/>
    </row>
    <row r="54" spans="1:18" s="106" customFormat="1">
      <c r="B54" s="138"/>
      <c r="C54" s="138"/>
      <c r="D54" s="141"/>
      <c r="E54" s="141"/>
      <c r="F54" s="141"/>
      <c r="G54" s="141"/>
      <c r="H54" s="141"/>
      <c r="I54" s="141"/>
      <c r="J54" s="141"/>
      <c r="K54" s="141"/>
      <c r="L54" s="141"/>
      <c r="M54" s="141"/>
      <c r="N54" s="141"/>
      <c r="O54" s="141"/>
      <c r="P54" s="301"/>
      <c r="Q54" s="301"/>
      <c r="R54" s="218"/>
    </row>
    <row r="55" spans="1:18" s="133" customFormat="1">
      <c r="B55" s="138" t="s">
        <v>292</v>
      </c>
      <c r="C55" s="138"/>
      <c r="D55" s="141">
        <v>893600</v>
      </c>
      <c r="E55" s="141">
        <v>903700</v>
      </c>
      <c r="F55" s="141">
        <v>947300</v>
      </c>
      <c r="G55" s="141">
        <v>1013600</v>
      </c>
      <c r="H55" s="141">
        <v>1109000</v>
      </c>
      <c r="I55" s="141">
        <v>1195400</v>
      </c>
      <c r="J55" s="141">
        <v>636800</v>
      </c>
      <c r="K55" s="141">
        <v>1324800</v>
      </c>
      <c r="L55" s="141">
        <v>1575600</v>
      </c>
      <c r="M55" s="141">
        <v>1745200</v>
      </c>
      <c r="N55" s="141">
        <v>1855500</v>
      </c>
      <c r="O55" s="141">
        <v>2047200</v>
      </c>
      <c r="P55" s="141">
        <v>2224100</v>
      </c>
      <c r="Q55" s="299"/>
      <c r="R55" s="218"/>
    </row>
    <row r="56" spans="1:18" s="133" customFormat="1">
      <c r="B56" s="138"/>
      <c r="C56" s="138"/>
      <c r="D56" s="141"/>
      <c r="E56" s="141"/>
      <c r="F56" s="141"/>
      <c r="G56" s="141"/>
      <c r="H56" s="141"/>
      <c r="I56" s="141"/>
      <c r="J56" s="141"/>
      <c r="K56" s="141"/>
      <c r="L56" s="141"/>
      <c r="M56" s="141"/>
      <c r="N56" s="141"/>
      <c r="O56" s="141"/>
      <c r="P56" s="141"/>
      <c r="Q56" s="299"/>
      <c r="R56" s="218"/>
    </row>
    <row r="57" spans="1:18">
      <c r="B57" s="138" t="s">
        <v>1321</v>
      </c>
      <c r="C57" s="138"/>
      <c r="D57" s="159">
        <f t="shared" ref="D57:O57" si="10">D55-D49</f>
        <v>349200</v>
      </c>
      <c r="E57" s="159">
        <f t="shared" si="10"/>
        <v>324500</v>
      </c>
      <c r="F57" s="159">
        <f t="shared" si="10"/>
        <v>345400</v>
      </c>
      <c r="G57" s="159">
        <f t="shared" si="10"/>
        <v>373300</v>
      </c>
      <c r="H57" s="159">
        <f t="shared" si="10"/>
        <v>409600</v>
      </c>
      <c r="I57" s="159">
        <f t="shared" si="10"/>
        <v>440500</v>
      </c>
      <c r="J57" s="159">
        <f t="shared" si="10"/>
        <v>218600</v>
      </c>
      <c r="K57" s="159">
        <f t="shared" si="10"/>
        <v>432100</v>
      </c>
      <c r="L57" s="159">
        <f t="shared" si="10"/>
        <v>288100</v>
      </c>
      <c r="M57" s="159">
        <f t="shared" si="10"/>
        <v>363100</v>
      </c>
      <c r="N57" s="159">
        <f t="shared" si="10"/>
        <v>438700</v>
      </c>
      <c r="O57" s="159">
        <f t="shared" si="10"/>
        <v>570900</v>
      </c>
      <c r="P57" s="159">
        <f>P55-P49</f>
        <v>693700</v>
      </c>
      <c r="Q57" s="82"/>
      <c r="R57" s="218"/>
    </row>
    <row r="58" spans="1:18" s="182" customFormat="1">
      <c r="B58" s="176"/>
      <c r="C58" s="181"/>
      <c r="D58" s="175"/>
      <c r="E58" s="175"/>
      <c r="F58" s="175"/>
      <c r="G58" s="175"/>
      <c r="H58" s="175"/>
      <c r="I58" s="175"/>
      <c r="J58" s="175"/>
      <c r="K58" s="175"/>
      <c r="L58" s="175"/>
      <c r="M58" s="175"/>
      <c r="N58" s="175"/>
      <c r="O58" s="175"/>
      <c r="P58" s="303"/>
      <c r="Q58" s="303"/>
      <c r="R58" s="218"/>
    </row>
    <row r="59" spans="1:18">
      <c r="B59" s="138" t="s">
        <v>1206</v>
      </c>
      <c r="C59" s="138"/>
      <c r="D59" s="162">
        <f>D57/D55</f>
        <v>0.39077887197851385</v>
      </c>
      <c r="E59" s="162">
        <f t="shared" ref="E59:P59" si="11">E57/E55</f>
        <v>0.35907934048910034</v>
      </c>
      <c r="F59" s="162">
        <f t="shared" si="11"/>
        <v>0.36461522221049297</v>
      </c>
      <c r="G59" s="162">
        <f t="shared" si="11"/>
        <v>0.36829123914759276</v>
      </c>
      <c r="H59" s="162">
        <f t="shared" si="11"/>
        <v>0.36934174932371505</v>
      </c>
      <c r="I59" s="162">
        <f t="shared" si="11"/>
        <v>0.3684959009536557</v>
      </c>
      <c r="J59" s="162">
        <f t="shared" si="11"/>
        <v>0.34327889447236182</v>
      </c>
      <c r="K59" s="162">
        <f t="shared" si="11"/>
        <v>0.32616243961352659</v>
      </c>
      <c r="L59" s="162">
        <f t="shared" si="11"/>
        <v>0.18285097740543285</v>
      </c>
      <c r="M59" s="162">
        <f t="shared" si="11"/>
        <v>0.20805638322255329</v>
      </c>
      <c r="N59" s="162">
        <f t="shared" si="11"/>
        <v>0.23643222850983561</v>
      </c>
      <c r="O59" s="162">
        <f t="shared" si="11"/>
        <v>0.27886869871043374</v>
      </c>
      <c r="P59" s="162">
        <f t="shared" si="11"/>
        <v>0.31190144328042801</v>
      </c>
      <c r="Q59" s="82"/>
      <c r="R59" s="218"/>
    </row>
    <row r="60" spans="1:18" s="133" customFormat="1">
      <c r="B60" s="138"/>
      <c r="C60" s="138"/>
      <c r="D60" s="198"/>
      <c r="E60" s="198"/>
      <c r="F60" s="198"/>
      <c r="G60" s="198"/>
      <c r="H60" s="198"/>
      <c r="I60" s="198"/>
      <c r="J60" s="198"/>
      <c r="K60" s="198"/>
      <c r="L60" s="198"/>
      <c r="M60" s="198"/>
      <c r="N60" s="198"/>
      <c r="O60" s="198"/>
      <c r="P60" s="299"/>
      <c r="Q60" s="299"/>
      <c r="R60" s="218"/>
    </row>
    <row r="61" spans="1:18">
      <c r="B61" s="90" t="s">
        <v>228</v>
      </c>
      <c r="D61" s="163">
        <f>'UK Analysis'!C69</f>
        <v>64327303</v>
      </c>
      <c r="E61" s="163">
        <f>'UK Analysis'!D69</f>
        <v>60385086</v>
      </c>
      <c r="F61" s="163">
        <f>'UK Analysis'!E69</f>
        <v>62979337</v>
      </c>
      <c r="G61" s="163">
        <f>'UK Analysis'!F69</f>
        <v>64260395</v>
      </c>
      <c r="H61" s="163">
        <f>'UK Analysis'!G69</f>
        <v>67651563</v>
      </c>
      <c r="I61" s="163">
        <f>'UK Analysis'!H69</f>
        <v>67419390</v>
      </c>
      <c r="J61" s="163">
        <f>'UK Analysis'!I69</f>
        <v>34351288</v>
      </c>
      <c r="K61" s="163">
        <f>'UK Analysis'!J69</f>
        <v>67852387</v>
      </c>
      <c r="L61" s="163">
        <f>'UK Analysis'!K69</f>
        <v>66906954</v>
      </c>
      <c r="M61" s="163">
        <f>'UK Analysis'!L69</f>
        <v>65906643</v>
      </c>
      <c r="N61" s="163">
        <f>'UK Analysis'!M69</f>
        <v>65745250</v>
      </c>
      <c r="O61" s="163">
        <f>'UK Analysis'!N69</f>
        <v>69390591</v>
      </c>
      <c r="P61" s="163">
        <f>'UK Analysis'!O69</f>
        <v>69983531</v>
      </c>
      <c r="Q61" s="82"/>
      <c r="R61" s="218"/>
    </row>
    <row r="62" spans="1:18">
      <c r="B62" s="90" t="s">
        <v>264</v>
      </c>
      <c r="D62" s="163">
        <f>'UK Analysis'!C85</f>
        <v>459490</v>
      </c>
      <c r="E62" s="163">
        <f>'UK Analysis'!D85</f>
        <v>455871</v>
      </c>
      <c r="F62" s="163">
        <f>'UK Analysis'!E85</f>
        <v>461118</v>
      </c>
      <c r="G62" s="163">
        <f>'UK Analysis'!F85</f>
        <v>460787</v>
      </c>
      <c r="H62" s="163">
        <f>'UK Analysis'!G85</f>
        <v>469607</v>
      </c>
      <c r="I62" s="163">
        <f>'UK Analysis'!H85</f>
        <v>473019</v>
      </c>
      <c r="J62" s="163">
        <f>'UK Analysis'!I85</f>
        <v>236235</v>
      </c>
      <c r="K62" s="163">
        <f>'UK Analysis'!J85</f>
        <v>475789</v>
      </c>
      <c r="L62" s="163">
        <f>'UK Analysis'!K85</f>
        <v>473207</v>
      </c>
      <c r="M62" s="163">
        <f>'UK Analysis'!L85</f>
        <v>460178</v>
      </c>
      <c r="N62" s="163">
        <f>'UK Analysis'!M85</f>
        <v>449271</v>
      </c>
      <c r="O62" s="163">
        <f>'UK Analysis'!N85</f>
        <v>476342</v>
      </c>
      <c r="P62" s="163">
        <f>'UK Analysis'!O85</f>
        <v>471663</v>
      </c>
      <c r="Q62" s="82"/>
      <c r="R62" s="218"/>
    </row>
    <row r="63" spans="1:18">
      <c r="B63" s="111" t="s">
        <v>210</v>
      </c>
      <c r="C63" s="111"/>
      <c r="D63" s="141">
        <v>3304</v>
      </c>
      <c r="E63" s="141">
        <v>3329</v>
      </c>
      <c r="F63" s="141">
        <v>3628</v>
      </c>
      <c r="G63" s="141">
        <v>3966</v>
      </c>
      <c r="H63" s="141">
        <v>4052</v>
      </c>
      <c r="I63" s="141">
        <v>4080</v>
      </c>
      <c r="J63" s="141">
        <v>4301</v>
      </c>
      <c r="K63" s="141">
        <v>4545</v>
      </c>
      <c r="L63" s="141">
        <v>5516</v>
      </c>
      <c r="M63" s="141">
        <v>5407</v>
      </c>
      <c r="N63" s="141">
        <v>5148</v>
      </c>
      <c r="O63" s="141">
        <v>5265</v>
      </c>
      <c r="P63" s="141">
        <v>5278</v>
      </c>
      <c r="Q63" s="82"/>
      <c r="R63" s="218"/>
    </row>
    <row r="64" spans="1:18" s="133" customFormat="1">
      <c r="B64" s="138"/>
      <c r="C64" s="138"/>
      <c r="D64" s="141"/>
      <c r="E64" s="141"/>
      <c r="F64" s="141"/>
      <c r="G64" s="141"/>
      <c r="H64" s="141"/>
      <c r="I64" s="141"/>
      <c r="J64" s="141"/>
      <c r="K64" s="141"/>
      <c r="L64" s="141"/>
      <c r="M64" s="141"/>
      <c r="N64" s="141"/>
      <c r="O64" s="141"/>
      <c r="P64" s="299"/>
      <c r="Q64" s="299"/>
      <c r="R64" s="218"/>
    </row>
    <row r="65" spans="2:18">
      <c r="B65" s="153" t="s">
        <v>920</v>
      </c>
      <c r="C65" s="94"/>
      <c r="D65" s="94"/>
      <c r="E65" s="94"/>
      <c r="F65" s="94"/>
      <c r="G65" s="94"/>
      <c r="H65" s="94"/>
      <c r="I65" s="94"/>
      <c r="J65" s="94"/>
      <c r="K65" s="94"/>
      <c r="L65" s="94"/>
      <c r="M65" s="94"/>
      <c r="N65" s="94"/>
      <c r="O65" s="94"/>
      <c r="P65" s="94"/>
      <c r="R65" s="218"/>
    </row>
    <row r="66" spans="2:18" s="133" customFormat="1">
      <c r="B66" s="137"/>
      <c r="C66" s="137"/>
      <c r="D66" s="137"/>
      <c r="E66" s="137"/>
      <c r="F66" s="137"/>
      <c r="G66" s="137"/>
      <c r="H66" s="137"/>
      <c r="I66" s="137"/>
      <c r="J66" s="137"/>
      <c r="K66" s="137"/>
      <c r="L66" s="137"/>
      <c r="M66" s="137"/>
      <c r="N66" s="137"/>
      <c r="O66" s="137"/>
      <c r="R66" s="218"/>
    </row>
    <row r="67" spans="2:18" s="134" customFormat="1">
      <c r="B67" s="216" t="s">
        <v>919</v>
      </c>
      <c r="C67" s="168"/>
      <c r="D67" s="161"/>
      <c r="E67" s="161"/>
      <c r="F67" s="161"/>
      <c r="G67" s="161"/>
      <c r="H67" s="161"/>
      <c r="I67" s="161"/>
      <c r="J67" s="161"/>
      <c r="K67" s="161"/>
      <c r="L67" s="161"/>
      <c r="M67" s="161"/>
      <c r="N67" s="161"/>
      <c r="O67" s="161"/>
      <c r="R67" s="218"/>
    </row>
    <row r="68" spans="2:18">
      <c r="B68" s="111" t="s">
        <v>912</v>
      </c>
      <c r="C68" s="111"/>
      <c r="D68" s="161">
        <v>1173.7</v>
      </c>
      <c r="E68" s="161">
        <v>1187.7</v>
      </c>
      <c r="F68" s="161">
        <v>1333.4</v>
      </c>
      <c r="G68" s="161">
        <v>1402.2</v>
      </c>
      <c r="H68" s="161">
        <v>1265</v>
      </c>
      <c r="I68" s="161">
        <v>1313.7</v>
      </c>
      <c r="J68" s="161">
        <v>1388.8</v>
      </c>
      <c r="K68" s="161">
        <v>1349.5</v>
      </c>
      <c r="L68" s="161">
        <v>1554</v>
      </c>
      <c r="M68" s="161">
        <v>1527.6</v>
      </c>
      <c r="N68" s="161">
        <v>1585</v>
      </c>
      <c r="O68" s="161">
        <v>1644.8</v>
      </c>
      <c r="P68" s="161">
        <v>1698.4</v>
      </c>
      <c r="R68" s="218"/>
    </row>
    <row r="69" spans="2:18">
      <c r="B69" s="111" t="s">
        <v>913</v>
      </c>
      <c r="C69" s="111"/>
      <c r="D69" s="161">
        <v>51.7</v>
      </c>
      <c r="E69" s="161">
        <v>47.5</v>
      </c>
      <c r="F69" s="161">
        <v>52.8</v>
      </c>
      <c r="G69" s="161">
        <v>50</v>
      </c>
      <c r="H69" s="161">
        <v>45.8</v>
      </c>
      <c r="I69" s="161">
        <v>59.5</v>
      </c>
      <c r="J69" s="161">
        <v>65.099999999999994</v>
      </c>
      <c r="K69" s="161">
        <v>62.7</v>
      </c>
      <c r="L69" s="161">
        <v>54.6</v>
      </c>
      <c r="M69" s="161">
        <v>38.5</v>
      </c>
      <c r="N69" s="161">
        <v>42.4</v>
      </c>
      <c r="O69" s="161">
        <v>48</v>
      </c>
      <c r="P69" s="161">
        <v>48.9</v>
      </c>
      <c r="R69" s="218"/>
    </row>
    <row r="70" spans="2:18">
      <c r="B70" s="111" t="s">
        <v>914</v>
      </c>
      <c r="C70" s="111"/>
      <c r="D70" s="161">
        <v>993</v>
      </c>
      <c r="E70" s="161">
        <v>1021.3</v>
      </c>
      <c r="F70" s="161">
        <v>1115.4000000000001</v>
      </c>
      <c r="G70" s="161">
        <v>1262.8</v>
      </c>
      <c r="H70" s="161">
        <v>1529.6</v>
      </c>
      <c r="I70" s="161">
        <v>1636.5</v>
      </c>
      <c r="J70" s="161">
        <v>1591.9</v>
      </c>
      <c r="K70" s="161">
        <v>1586.8</v>
      </c>
      <c r="L70" s="161">
        <v>4857.7</v>
      </c>
      <c r="M70" s="161">
        <v>5305.7</v>
      </c>
      <c r="N70" s="161">
        <v>5132.3999999999996</v>
      </c>
      <c r="O70" s="161">
        <v>5314.6</v>
      </c>
      <c r="P70" s="161">
        <v>5377.8</v>
      </c>
      <c r="R70" s="218"/>
    </row>
    <row r="71" spans="2:18">
      <c r="B71" s="111" t="s">
        <v>915</v>
      </c>
      <c r="C71" s="111"/>
      <c r="D71" s="161">
        <v>102.6</v>
      </c>
      <c r="E71" s="161">
        <v>145.9</v>
      </c>
      <c r="F71" s="161">
        <v>177.8</v>
      </c>
      <c r="G71" s="161">
        <v>196.9</v>
      </c>
      <c r="H71" s="161">
        <v>314.89999999999998</v>
      </c>
      <c r="I71" s="161">
        <v>328.1</v>
      </c>
      <c r="J71" s="161">
        <v>330.5</v>
      </c>
      <c r="K71" s="161">
        <v>465</v>
      </c>
      <c r="L71" s="161">
        <v>750</v>
      </c>
      <c r="M71" s="161">
        <v>749.1</v>
      </c>
      <c r="N71" s="161">
        <v>824.6</v>
      </c>
      <c r="O71" s="161">
        <v>805.7</v>
      </c>
      <c r="P71" s="161">
        <v>779.7</v>
      </c>
      <c r="R71" s="218"/>
    </row>
    <row r="72" spans="2:18">
      <c r="B72" s="111" t="s">
        <v>916</v>
      </c>
      <c r="C72" s="111"/>
      <c r="D72" s="161">
        <v>543.1</v>
      </c>
      <c r="E72" s="161">
        <v>531.79999999999995</v>
      </c>
      <c r="F72" s="161">
        <v>513.6</v>
      </c>
      <c r="G72" s="161">
        <v>507.3</v>
      </c>
      <c r="H72" s="161">
        <v>495.1</v>
      </c>
      <c r="I72" s="161">
        <v>503.2</v>
      </c>
      <c r="J72" s="161">
        <v>504.7</v>
      </c>
      <c r="K72" s="161">
        <v>497.6</v>
      </c>
      <c r="L72" s="161">
        <v>1146.8</v>
      </c>
      <c r="M72" s="161">
        <v>1110.4000000000001</v>
      </c>
      <c r="N72" s="161">
        <v>1076.7</v>
      </c>
      <c r="O72" s="161">
        <v>1038.9000000000001</v>
      </c>
      <c r="P72" s="161">
        <v>1000.3</v>
      </c>
      <c r="R72" s="218"/>
    </row>
    <row r="73" spans="2:18">
      <c r="B73" s="111" t="s">
        <v>917</v>
      </c>
      <c r="C73" s="111"/>
      <c r="D73" s="161">
        <v>17.7</v>
      </c>
      <c r="E73" s="161">
        <v>15.2</v>
      </c>
      <c r="F73" s="161">
        <v>14.7</v>
      </c>
      <c r="G73" s="161">
        <v>33.799999999999997</v>
      </c>
      <c r="H73" s="161">
        <v>30.8</v>
      </c>
      <c r="I73" s="161">
        <v>27.7</v>
      </c>
      <c r="J73" s="161">
        <v>25.1</v>
      </c>
      <c r="K73" s="161">
        <v>35.1</v>
      </c>
      <c r="L73" s="161">
        <v>37.700000000000003</v>
      </c>
      <c r="M73" s="161">
        <v>62.9</v>
      </c>
      <c r="N73" s="161">
        <v>60.9</v>
      </c>
      <c r="O73" s="161">
        <v>64.3</v>
      </c>
      <c r="P73" s="161">
        <v>68.900000000000006</v>
      </c>
      <c r="R73" s="218"/>
    </row>
    <row r="74" spans="2:18">
      <c r="B74" s="111" t="s">
        <v>1323</v>
      </c>
      <c r="C74" s="111"/>
      <c r="D74" s="161">
        <v>120.1</v>
      </c>
      <c r="E74" s="161">
        <v>114.4</v>
      </c>
      <c r="F74" s="161">
        <v>101.2</v>
      </c>
      <c r="G74" s="161">
        <v>100</v>
      </c>
      <c r="H74" s="161">
        <v>100.7</v>
      </c>
      <c r="I74" s="161">
        <v>84.8</v>
      </c>
      <c r="J74" s="161">
        <v>71.8</v>
      </c>
      <c r="K74" s="161">
        <v>102.4</v>
      </c>
      <c r="L74" s="161">
        <v>141.6</v>
      </c>
      <c r="M74" s="161">
        <v>183.6</v>
      </c>
      <c r="N74" s="161">
        <v>166.2</v>
      </c>
      <c r="O74" s="161">
        <v>184.3</v>
      </c>
      <c r="P74" s="161">
        <v>165.6</v>
      </c>
      <c r="R74" s="218"/>
    </row>
    <row r="75" spans="2:18">
      <c r="B75" s="111" t="s">
        <v>918</v>
      </c>
      <c r="C75" s="111"/>
      <c r="D75" s="161">
        <v>456.5</v>
      </c>
      <c r="E75" s="161">
        <v>631.6</v>
      </c>
      <c r="F75" s="161">
        <v>1201.0999999999999</v>
      </c>
      <c r="G75" s="161">
        <v>2043.1</v>
      </c>
      <c r="H75" s="161">
        <v>2715.7</v>
      </c>
      <c r="I75" s="161">
        <v>3835.7</v>
      </c>
      <c r="J75" s="161">
        <v>4646.8</v>
      </c>
      <c r="K75" s="161">
        <v>5328.8</v>
      </c>
      <c r="L75" s="161">
        <v>1310</v>
      </c>
      <c r="M75" s="161">
        <v>1089.0999999999999</v>
      </c>
      <c r="N75" s="161">
        <v>1526.9</v>
      </c>
      <c r="O75" s="161">
        <v>1819.8</v>
      </c>
      <c r="P75" s="161">
        <v>2611.6999999999998</v>
      </c>
      <c r="R75" s="218"/>
    </row>
    <row r="76" spans="2:18">
      <c r="B76" s="111" t="s">
        <v>106</v>
      </c>
      <c r="C76" s="111"/>
      <c r="D76" s="161">
        <v>3458.4</v>
      </c>
      <c r="E76" s="161">
        <v>3695.4</v>
      </c>
      <c r="F76" s="161">
        <v>4510</v>
      </c>
      <c r="G76" s="161">
        <v>5596.1</v>
      </c>
      <c r="H76" s="161">
        <v>6497.6</v>
      </c>
      <c r="I76" s="161">
        <v>7789.2</v>
      </c>
      <c r="J76" s="161">
        <v>8624.7000000000007</v>
      </c>
      <c r="K76" s="161">
        <v>9747.9</v>
      </c>
      <c r="L76" s="161">
        <v>9842.4</v>
      </c>
      <c r="M76" s="161">
        <v>10066.9</v>
      </c>
      <c r="N76" s="161">
        <v>10415.1</v>
      </c>
      <c r="O76" s="161">
        <v>10920.4</v>
      </c>
      <c r="P76" s="161">
        <v>11751.3</v>
      </c>
      <c r="R76" s="218"/>
    </row>
    <row r="77" spans="2:18">
      <c r="B77" s="154"/>
      <c r="C77" s="154"/>
      <c r="D77" s="141"/>
      <c r="E77" s="141"/>
      <c r="F77" s="141"/>
      <c r="G77" s="141"/>
      <c r="H77" s="141"/>
      <c r="I77" s="141"/>
      <c r="J77" s="141"/>
      <c r="K77" s="141"/>
      <c r="L77" s="141"/>
      <c r="M77" s="141"/>
      <c r="N77" s="141"/>
      <c r="O77" s="141"/>
      <c r="R77" s="218"/>
    </row>
    <row r="78" spans="2:18">
      <c r="B78" s="153" t="s">
        <v>302</v>
      </c>
      <c r="C78" s="94"/>
      <c r="D78" s="94"/>
      <c r="E78" s="94"/>
      <c r="F78" s="94"/>
      <c r="G78" s="94"/>
      <c r="H78" s="94"/>
      <c r="I78" s="94"/>
      <c r="J78" s="94"/>
      <c r="K78" s="94"/>
      <c r="L78" s="94"/>
      <c r="M78" s="94"/>
      <c r="N78" s="94"/>
      <c r="O78" s="94"/>
      <c r="P78" s="94"/>
      <c r="R78" s="218"/>
    </row>
    <row r="79" spans="2:18">
      <c r="R79" s="218"/>
    </row>
    <row r="80" spans="2:18">
      <c r="B80" s="90" t="s">
        <v>1127</v>
      </c>
      <c r="D80" s="345">
        <f t="shared" ref="D80:O80" si="12">(D51/D61)*1000</f>
        <v>8.4629694486025642</v>
      </c>
      <c r="E80" s="345">
        <f t="shared" si="12"/>
        <v>9.7176312707412542</v>
      </c>
      <c r="F80" s="345">
        <f t="shared" si="12"/>
        <v>9.5571028319971045</v>
      </c>
      <c r="G80" s="345">
        <f t="shared" si="12"/>
        <v>9.9641466567393486</v>
      </c>
      <c r="H80" s="345">
        <f t="shared" si="12"/>
        <v>10.37078773774968</v>
      </c>
      <c r="I80" s="345">
        <f t="shared" si="12"/>
        <v>11.573821715088197</v>
      </c>
      <c r="J80" s="345">
        <f t="shared" si="12"/>
        <v>12.791368987387024</v>
      </c>
      <c r="K80" s="345">
        <f t="shared" si="12"/>
        <v>15.429081367469061</v>
      </c>
      <c r="L80" s="345">
        <f t="shared" si="12"/>
        <v>20.93504361295539</v>
      </c>
      <c r="M80" s="345">
        <f t="shared" si="12"/>
        <v>24.542290827951895</v>
      </c>
      <c r="N80" s="345">
        <f t="shared" si="12"/>
        <v>22.208448519094539</v>
      </c>
      <c r="O80" s="345">
        <f t="shared" si="12"/>
        <v>21.910751559962936</v>
      </c>
      <c r="P80" s="345">
        <f t="shared" ref="P80" si="13">(P51/P61)*1000</f>
        <v>24.028510364817116</v>
      </c>
      <c r="R80" s="218"/>
    </row>
    <row r="81" spans="2:18">
      <c r="B81" s="90" t="s">
        <v>299</v>
      </c>
      <c r="D81" s="345">
        <f t="shared" ref="D81:O81" si="14">(D49/D61)*1000</f>
        <v>8.4629694486025642</v>
      </c>
      <c r="E81" s="345">
        <f t="shared" si="14"/>
        <v>9.5917723790274962</v>
      </c>
      <c r="F81" s="345">
        <f t="shared" si="14"/>
        <v>9.5571028319971045</v>
      </c>
      <c r="G81" s="345">
        <f t="shared" si="14"/>
        <v>9.9641466567393486</v>
      </c>
      <c r="H81" s="345">
        <f t="shared" si="14"/>
        <v>10.338268163885585</v>
      </c>
      <c r="I81" s="345">
        <f t="shared" si="14"/>
        <v>11.197075500089811</v>
      </c>
      <c r="J81" s="345">
        <f t="shared" si="14"/>
        <v>12.174216000285055</v>
      </c>
      <c r="K81" s="345">
        <f t="shared" si="14"/>
        <v>13.156501038054859</v>
      </c>
      <c r="L81" s="345">
        <f t="shared" si="14"/>
        <v>19.243141751752741</v>
      </c>
      <c r="M81" s="345">
        <f t="shared" si="14"/>
        <v>20.970571964953518</v>
      </c>
      <c r="N81" s="345">
        <f t="shared" si="14"/>
        <v>21.54984580635103</v>
      </c>
      <c r="O81" s="345">
        <f t="shared" si="14"/>
        <v>21.275218710847987</v>
      </c>
      <c r="P81" s="345">
        <f t="shared" ref="P81" si="15">(P49/P61)*1000</f>
        <v>21.868002058941553</v>
      </c>
      <c r="R81" s="218"/>
    </row>
    <row r="82" spans="2:18">
      <c r="B82" s="90" t="s">
        <v>300</v>
      </c>
      <c r="D82" s="345">
        <f t="shared" ref="D82:O82" si="16">(D53/D61)*1000</f>
        <v>6.446718277618448</v>
      </c>
      <c r="E82" s="345">
        <f t="shared" si="16"/>
        <v>7.0845307730455165</v>
      </c>
      <c r="F82" s="345">
        <f t="shared" si="16"/>
        <v>7.1737814578772081</v>
      </c>
      <c r="G82" s="345">
        <f t="shared" si="16"/>
        <v>7.6999215457670305</v>
      </c>
      <c r="H82" s="345">
        <f t="shared" si="16"/>
        <v>7.9022564489751694</v>
      </c>
      <c r="I82" s="345">
        <f t="shared" si="16"/>
        <v>8.6458806583684602</v>
      </c>
      <c r="J82" s="345">
        <f t="shared" si="16"/>
        <v>9.1262953517201453</v>
      </c>
      <c r="K82" s="345">
        <f t="shared" si="16"/>
        <v>9.9775413943801272</v>
      </c>
      <c r="L82" s="345">
        <f t="shared" si="16"/>
        <v>11.828366898902617</v>
      </c>
      <c r="M82" s="345">
        <f t="shared" si="16"/>
        <v>12.07313805984626</v>
      </c>
      <c r="N82" s="345">
        <f t="shared" si="16"/>
        <v>12.229020347477574</v>
      </c>
      <c r="O82" s="345">
        <f t="shared" si="16"/>
        <v>11.848868674428786</v>
      </c>
      <c r="P82" s="345">
        <f t="shared" ref="P82" si="17">(P53/P61)*1000</f>
        <v>12.401489144638902</v>
      </c>
      <c r="R82" s="218"/>
    </row>
    <row r="83" spans="2:18">
      <c r="B83" s="90" t="s">
        <v>265</v>
      </c>
      <c r="D83" s="345">
        <f t="shared" ref="D83:O83" si="18">D24*1000/D61</f>
        <v>1.7457594950001245</v>
      </c>
      <c r="E83" s="345">
        <f t="shared" si="18"/>
        <v>2.0899200176679389</v>
      </c>
      <c r="F83" s="345">
        <f t="shared" si="18"/>
        <v>2.2388295386469377</v>
      </c>
      <c r="G83" s="345">
        <f t="shared" si="18"/>
        <v>2.4743078532274816</v>
      </c>
      <c r="H83" s="345">
        <f t="shared" si="18"/>
        <v>2.5586991981249567</v>
      </c>
      <c r="I83" s="345">
        <f t="shared" si="18"/>
        <v>2.6965536175868694</v>
      </c>
      <c r="J83" s="345">
        <f t="shared" si="18"/>
        <v>2.9023656987767095</v>
      </c>
      <c r="K83" s="345">
        <f t="shared" si="18"/>
        <v>3.1362198060917148</v>
      </c>
      <c r="L83" s="345">
        <f t="shared" si="18"/>
        <v>4.0249926786384567</v>
      </c>
      <c r="M83" s="345">
        <f t="shared" si="18"/>
        <v>3.4336447693140735</v>
      </c>
      <c r="N83" s="345">
        <f t="shared" si="18"/>
        <v>3.7386731360820744</v>
      </c>
      <c r="O83" s="345">
        <f t="shared" si="18"/>
        <v>3.7771691553974516</v>
      </c>
      <c r="P83" s="345">
        <f t="shared" ref="P83" si="19">P24*1000/P61</f>
        <v>4.162407867073755</v>
      </c>
      <c r="R83" s="218"/>
    </row>
    <row r="84" spans="2:18">
      <c r="B84" s="111" t="s">
        <v>1136</v>
      </c>
      <c r="C84" s="111"/>
      <c r="D84" s="159">
        <f t="shared" ref="D84:O84" si="20">D24/D63*1000</f>
        <v>33989.104116222763</v>
      </c>
      <c r="E84" s="159">
        <f t="shared" si="20"/>
        <v>37909.28206668669</v>
      </c>
      <c r="F84" s="159">
        <f t="shared" si="20"/>
        <v>38864.388092613015</v>
      </c>
      <c r="G84" s="159">
        <f t="shared" si="20"/>
        <v>40090.771558245084</v>
      </c>
      <c r="H84" s="159">
        <f t="shared" si="20"/>
        <v>42719.644619940773</v>
      </c>
      <c r="I84" s="159">
        <f t="shared" si="20"/>
        <v>44558.823529411769</v>
      </c>
      <c r="J84" s="159">
        <f t="shared" si="20"/>
        <v>23180.655661474077</v>
      </c>
      <c r="K84" s="159">
        <f t="shared" si="20"/>
        <v>46820.682068206821</v>
      </c>
      <c r="L84" s="159">
        <f t="shared" si="20"/>
        <v>48821.609862218997</v>
      </c>
      <c r="M84" s="159">
        <f t="shared" si="20"/>
        <v>41853.153319770667</v>
      </c>
      <c r="N84" s="159">
        <f t="shared" si="20"/>
        <v>47746.697746697748</v>
      </c>
      <c r="O84" s="159">
        <f t="shared" si="20"/>
        <v>49781.576448243111</v>
      </c>
      <c r="P84" s="159">
        <f t="shared" ref="P84" si="21">P24/P63*1000</f>
        <v>55191.360363774162</v>
      </c>
      <c r="R84" s="218"/>
    </row>
    <row r="85" spans="2:18">
      <c r="B85" s="111" t="s">
        <v>1135</v>
      </c>
      <c r="C85" s="111"/>
      <c r="D85" s="159">
        <f t="shared" ref="D85:O85" si="22">D61/D63</f>
        <v>19469.522699757868</v>
      </c>
      <c r="E85" s="159">
        <f t="shared" si="22"/>
        <v>18139.106638630219</v>
      </c>
      <c r="F85" s="159">
        <f t="shared" si="22"/>
        <v>17359.243936052921</v>
      </c>
      <c r="G85" s="159">
        <f t="shared" si="22"/>
        <v>16202.822743318206</v>
      </c>
      <c r="H85" s="159">
        <f t="shared" si="22"/>
        <v>16695.844768015795</v>
      </c>
      <c r="I85" s="159">
        <f t="shared" si="22"/>
        <v>16524.360294117647</v>
      </c>
      <c r="J85" s="159">
        <f t="shared" si="22"/>
        <v>7986.814229249012</v>
      </c>
      <c r="K85" s="159">
        <f t="shared" si="22"/>
        <v>14929.01804180418</v>
      </c>
      <c r="L85" s="159">
        <f t="shared" si="22"/>
        <v>12129.614575779551</v>
      </c>
      <c r="M85" s="159">
        <f t="shared" si="22"/>
        <v>12189.133160717589</v>
      </c>
      <c r="N85" s="159">
        <f t="shared" si="22"/>
        <v>12771.027583527584</v>
      </c>
      <c r="O85" s="159">
        <f t="shared" si="22"/>
        <v>13179.599430199431</v>
      </c>
      <c r="P85" s="159">
        <f t="shared" ref="P85" si="23">P61/P63</f>
        <v>13259.479158772263</v>
      </c>
      <c r="R85" s="218"/>
    </row>
    <row r="86" spans="2:18" s="133" customFormat="1">
      <c r="B86" s="138"/>
      <c r="C86" s="138"/>
      <c r="D86" s="141"/>
      <c r="E86" s="141"/>
      <c r="F86" s="141"/>
      <c r="G86" s="141"/>
      <c r="H86" s="141"/>
      <c r="I86" s="141"/>
      <c r="J86" s="141"/>
      <c r="K86" s="141"/>
      <c r="L86" s="141"/>
      <c r="M86" s="141"/>
      <c r="N86" s="141"/>
      <c r="O86" s="141"/>
      <c r="R86" s="218"/>
    </row>
    <row r="87" spans="2:18">
      <c r="B87" s="153" t="s">
        <v>310</v>
      </c>
      <c r="C87" s="94"/>
      <c r="D87" s="94"/>
      <c r="E87" s="94"/>
      <c r="F87" s="94"/>
      <c r="G87" s="94"/>
      <c r="H87" s="94"/>
      <c r="I87" s="94"/>
      <c r="J87" s="94"/>
      <c r="K87" s="94"/>
      <c r="L87" s="94"/>
      <c r="M87" s="94"/>
      <c r="N87" s="94"/>
      <c r="O87" s="94"/>
      <c r="P87" s="94"/>
      <c r="R87" s="218"/>
    </row>
    <row r="88" spans="2:18">
      <c r="B88" s="111"/>
      <c r="C88" s="111"/>
      <c r="D88" s="141"/>
      <c r="E88" s="141"/>
      <c r="F88" s="141"/>
      <c r="G88" s="141"/>
      <c r="H88" s="141"/>
      <c r="I88" s="141"/>
      <c r="J88" s="141"/>
      <c r="K88" s="141"/>
      <c r="L88" s="141"/>
      <c r="M88" s="141"/>
      <c r="N88" s="141"/>
      <c r="O88" s="141"/>
      <c r="R88" s="218"/>
    </row>
    <row r="89" spans="2:18">
      <c r="B89" s="138" t="s">
        <v>21</v>
      </c>
      <c r="D89" s="213">
        <f>VLOOKUP(D15,RPI!$B$54:$C$107,2,FALSE)</f>
        <v>171.31666666666663</v>
      </c>
      <c r="E89" s="213">
        <f>VLOOKUP(E15,RPI!$B$54:$C$107,2,FALSE)</f>
        <v>173.875</v>
      </c>
      <c r="F89" s="213">
        <f>VLOOKUP(F15,RPI!$B$54:$C$107,2,FALSE)</f>
        <v>177.51666666666665</v>
      </c>
      <c r="G89" s="213">
        <f>VLOOKUP(G15,RPI!$B$54:$C$107,2,FALSE)</f>
        <v>182.47499999999999</v>
      </c>
      <c r="H89" s="213">
        <f>VLOOKUP(H15,RPI!$B$54:$C$107,2,FALSE)</f>
        <v>188.15</v>
      </c>
      <c r="I89" s="213">
        <f>VLOOKUP(I15,RPI!$B$54:$C$107,2,FALSE)</f>
        <v>193.10833333333332</v>
      </c>
      <c r="J89" s="213">
        <f>VLOOKUP(J15,RPI!$B$54:$C$107,2,FALSE)</f>
        <v>200.33333333333334</v>
      </c>
      <c r="K89" s="213">
        <f>VLOOKUP(K15,RPI!$B$54:$C$107,2,FALSE)</f>
        <v>206.57499999999996</v>
      </c>
      <c r="L89" s="213">
        <f>VLOOKUP(L15,RPI!$B$54:$C$107,2,FALSE)</f>
        <v>214.82500000000002</v>
      </c>
      <c r="M89" s="213">
        <f>VLOOKUP(M15,RPI!$B$54:$C$107,2,FALSE)</f>
        <v>213.68333333333337</v>
      </c>
      <c r="N89" s="213">
        <f>VLOOKUP(N15,RPI!$B$54:$C$107,2,FALSE)</f>
        <v>223.55833333333331</v>
      </c>
      <c r="O89" s="213">
        <f>VLOOKUP(O15,RPI!$B$54:$C$107,2,FALSE)</f>
        <v>235.18333333333331</v>
      </c>
      <c r="P89" s="213">
        <f>VLOOKUP(P15,RPI!$B$54:$C$107,2,FALSE)</f>
        <v>242.72499999999999</v>
      </c>
      <c r="R89" s="218"/>
    </row>
    <row r="90" spans="2:18">
      <c r="B90" s="138" t="s">
        <v>1048</v>
      </c>
      <c r="D90" s="214">
        <f>RPI!$R$44</f>
        <v>237.3416666666667</v>
      </c>
      <c r="E90" s="214">
        <f>RPI!$R$44</f>
        <v>237.3416666666667</v>
      </c>
      <c r="F90" s="214">
        <f>RPI!$R$44</f>
        <v>237.3416666666667</v>
      </c>
      <c r="G90" s="214">
        <f>RPI!$R$44</f>
        <v>237.3416666666667</v>
      </c>
      <c r="H90" s="214">
        <f>RPI!$R$44</f>
        <v>237.3416666666667</v>
      </c>
      <c r="I90" s="214">
        <f>RPI!$R$44</f>
        <v>237.3416666666667</v>
      </c>
      <c r="J90" s="214">
        <f>RPI!$R$44</f>
        <v>237.3416666666667</v>
      </c>
      <c r="K90" s="214">
        <f>RPI!$R$44</f>
        <v>237.3416666666667</v>
      </c>
      <c r="L90" s="214">
        <f>RPI!$R$44</f>
        <v>237.3416666666667</v>
      </c>
      <c r="M90" s="214">
        <f>RPI!$R$44</f>
        <v>237.3416666666667</v>
      </c>
      <c r="N90" s="214">
        <f>RPI!$R$44</f>
        <v>237.3416666666667</v>
      </c>
      <c r="O90" s="214">
        <f>RPI!$R$44</f>
        <v>237.3416666666667</v>
      </c>
      <c r="P90" s="214">
        <f>RPI!$R$44</f>
        <v>237.3416666666667</v>
      </c>
      <c r="R90" s="218"/>
    </row>
    <row r="91" spans="2:18">
      <c r="B91" s="138" t="s">
        <v>304</v>
      </c>
      <c r="D91" s="214">
        <f t="shared" ref="D91:O91" si="24">D90/D89</f>
        <v>1.3853974121996309</v>
      </c>
      <c r="E91" s="214">
        <f t="shared" si="24"/>
        <v>1.3650131799664511</v>
      </c>
      <c r="F91" s="214">
        <f t="shared" si="24"/>
        <v>1.3370106093324574</v>
      </c>
      <c r="G91" s="214">
        <f t="shared" si="24"/>
        <v>1.3006804585102985</v>
      </c>
      <c r="H91" s="214">
        <f t="shared" si="24"/>
        <v>1.2614491983346623</v>
      </c>
      <c r="I91" s="214">
        <f t="shared" si="24"/>
        <v>1.229059681525914</v>
      </c>
      <c r="J91" s="214">
        <f t="shared" si="24"/>
        <v>1.1847337770382695</v>
      </c>
      <c r="K91" s="214">
        <f t="shared" si="24"/>
        <v>1.1489370285207152</v>
      </c>
      <c r="L91" s="214">
        <f t="shared" si="24"/>
        <v>1.104813995888126</v>
      </c>
      <c r="M91" s="214">
        <f t="shared" si="24"/>
        <v>1.1107167927618751</v>
      </c>
      <c r="N91" s="214">
        <f t="shared" si="24"/>
        <v>1.0616543035002053</v>
      </c>
      <c r="O91" s="214">
        <f t="shared" si="24"/>
        <v>1.0091772376160444</v>
      </c>
      <c r="P91" s="214">
        <f t="shared" ref="P91" si="25">P90/P89</f>
        <v>0.97782126549249848</v>
      </c>
      <c r="R91" s="218"/>
    </row>
    <row r="92" spans="2:18">
      <c r="B92" s="111"/>
      <c r="C92" s="111"/>
      <c r="D92" s="141"/>
      <c r="E92" s="141"/>
      <c r="F92" s="141"/>
      <c r="G92" s="141"/>
      <c r="H92" s="141"/>
      <c r="I92" s="141"/>
      <c r="J92" s="141"/>
      <c r="K92" s="141"/>
      <c r="L92" s="141"/>
      <c r="M92" s="141"/>
      <c r="N92" s="141"/>
      <c r="O92" s="141"/>
      <c r="R92" s="218"/>
    </row>
    <row r="93" spans="2:18">
      <c r="B93" s="111" t="str">
        <f>B24</f>
        <v>Staff Costs Total</v>
      </c>
      <c r="C93" s="111"/>
      <c r="D93" s="159">
        <f t="shared" ref="D93:O93" si="26">D24*D$91</f>
        <v>155580.12939001856</v>
      </c>
      <c r="E93" s="159">
        <f t="shared" si="26"/>
        <v>172264.66331176614</v>
      </c>
      <c r="F93" s="159">
        <f t="shared" si="26"/>
        <v>188518.4959158765</v>
      </c>
      <c r="G93" s="159">
        <f t="shared" si="26"/>
        <v>206808.19290313745</v>
      </c>
      <c r="H93" s="159">
        <f t="shared" si="26"/>
        <v>218356.85623173005</v>
      </c>
      <c r="I93" s="159">
        <f t="shared" si="26"/>
        <v>223443.05010141118</v>
      </c>
      <c r="J93" s="159">
        <f t="shared" si="26"/>
        <v>118117.95757071547</v>
      </c>
      <c r="K93" s="159">
        <f t="shared" si="26"/>
        <v>244493.79966920821</v>
      </c>
      <c r="L93" s="159">
        <f t="shared" si="26"/>
        <v>297526.40909267234</v>
      </c>
      <c r="M93" s="159">
        <f t="shared" si="26"/>
        <v>251355.21020201233</v>
      </c>
      <c r="N93" s="159">
        <f t="shared" si="26"/>
        <v>260954.62780035046</v>
      </c>
      <c r="O93" s="159">
        <f t="shared" si="26"/>
        <v>264505.35397916526</v>
      </c>
      <c r="P93" s="159">
        <f t="shared" ref="P93" si="27">P24*P$91</f>
        <v>284839.33463796478</v>
      </c>
      <c r="R93" s="218"/>
    </row>
    <row r="94" spans="2:18">
      <c r="B94" s="111" t="str">
        <f>B27</f>
        <v>Depreciation Total</v>
      </c>
      <c r="C94" s="111"/>
      <c r="D94" s="159">
        <f t="shared" ref="D94:O94" si="28">D27*D$91</f>
        <v>159874.86136783741</v>
      </c>
      <c r="E94" s="159">
        <f t="shared" si="28"/>
        <v>187552.81092739038</v>
      </c>
      <c r="F94" s="159">
        <f t="shared" si="28"/>
        <v>187047.78424561079</v>
      </c>
      <c r="G94" s="159">
        <f t="shared" si="28"/>
        <v>180794.5837329315</v>
      </c>
      <c r="H94" s="159">
        <f t="shared" si="28"/>
        <v>209400.56692355394</v>
      </c>
      <c r="I94" s="159">
        <f t="shared" si="28"/>
        <v>207096.55633711652</v>
      </c>
      <c r="J94" s="159">
        <f t="shared" si="28"/>
        <v>110061.76788685525</v>
      </c>
      <c r="K94" s="159">
        <f t="shared" si="28"/>
        <v>233923.57900681763</v>
      </c>
      <c r="L94" s="159">
        <f t="shared" si="28"/>
        <v>382597.08677605801</v>
      </c>
      <c r="M94" s="159">
        <f t="shared" si="28"/>
        <v>459947.82388269249</v>
      </c>
      <c r="N94" s="159">
        <f t="shared" si="28"/>
        <v>463305.93804748956</v>
      </c>
      <c r="O94" s="159">
        <f t="shared" si="28"/>
        <v>472597.70037559356</v>
      </c>
      <c r="P94" s="159">
        <f t="shared" ref="P94" si="29">P27*P$91</f>
        <v>459575.99478147429</v>
      </c>
      <c r="R94" s="218"/>
    </row>
    <row r="95" spans="2:18">
      <c r="B95" s="111" t="str">
        <f>B40</f>
        <v>Other Costs Total</v>
      </c>
      <c r="C95" s="111"/>
      <c r="D95" s="159">
        <f t="shared" ref="D95:O95" si="30">D40*D$91</f>
        <v>438755.3604436231</v>
      </c>
      <c r="E95" s="159">
        <f t="shared" si="30"/>
        <v>430798.15959741198</v>
      </c>
      <c r="F95" s="159">
        <f t="shared" si="30"/>
        <v>429180.40559571882</v>
      </c>
      <c r="G95" s="159">
        <f t="shared" si="30"/>
        <v>445222.92094807519</v>
      </c>
      <c r="H95" s="159">
        <f t="shared" si="30"/>
        <v>454500.14615997882</v>
      </c>
      <c r="I95" s="159">
        <f t="shared" si="30"/>
        <v>497277.54714538483</v>
      </c>
      <c r="J95" s="159">
        <f t="shared" si="30"/>
        <v>267275.94009983359</v>
      </c>
      <c r="K95" s="159">
        <f t="shared" si="30"/>
        <v>547238.70668441663</v>
      </c>
      <c r="L95" s="159">
        <f t="shared" si="30"/>
        <v>742324.52383723191</v>
      </c>
      <c r="M95" s="159">
        <f t="shared" si="30"/>
        <v>823818.64519148273</v>
      </c>
      <c r="N95" s="159">
        <f t="shared" si="30"/>
        <v>779891.2513512508</v>
      </c>
      <c r="O95" s="159">
        <f t="shared" si="30"/>
        <v>752745.30153780757</v>
      </c>
      <c r="P95" s="159">
        <f t="shared" ref="P95" si="31">P40*P$91</f>
        <v>752042.33529028064</v>
      </c>
      <c r="R95" s="218"/>
    </row>
    <row r="96" spans="2:18">
      <c r="B96" s="111" t="str">
        <f>B43</f>
        <v>Exceptional Items Total</v>
      </c>
      <c r="C96" s="111"/>
      <c r="D96" s="159">
        <f t="shared" ref="D96:O96" si="32">D43*D$91</f>
        <v>0</v>
      </c>
      <c r="E96" s="159">
        <f t="shared" si="32"/>
        <v>10374.100167745028</v>
      </c>
      <c r="F96" s="159">
        <f t="shared" si="32"/>
        <v>0</v>
      </c>
      <c r="G96" s="159">
        <f t="shared" si="32"/>
        <v>0</v>
      </c>
      <c r="H96" s="159">
        <f t="shared" si="32"/>
        <v>2775.188236336257</v>
      </c>
      <c r="I96" s="159">
        <f t="shared" si="32"/>
        <v>31218.115910758217</v>
      </c>
      <c r="J96" s="159">
        <f t="shared" si="32"/>
        <v>25116.356073211315</v>
      </c>
      <c r="K96" s="159">
        <f t="shared" si="32"/>
        <v>177166.0897978943</v>
      </c>
      <c r="L96" s="159">
        <f t="shared" si="32"/>
        <v>125064.94433453586</v>
      </c>
      <c r="M96" s="159">
        <f t="shared" si="32"/>
        <v>261462.73301614539</v>
      </c>
      <c r="N96" s="159">
        <f t="shared" si="32"/>
        <v>45969.631341558888</v>
      </c>
      <c r="O96" s="159">
        <f t="shared" si="32"/>
        <v>44504.716178867558</v>
      </c>
      <c r="P96" s="159">
        <f t="shared" ref="P96" si="33">P43*P$91</f>
        <v>147846.57534246577</v>
      </c>
      <c r="R96" s="218"/>
    </row>
    <row r="97" spans="1:18">
      <c r="B97" s="111" t="str">
        <f>B45</f>
        <v>Grand Total</v>
      </c>
      <c r="C97" s="111"/>
      <c r="D97" s="159">
        <f t="shared" ref="D97:O97" si="34">D45*D$91</f>
        <v>754210.35120147909</v>
      </c>
      <c r="E97" s="159">
        <f t="shared" si="34"/>
        <v>800989.73400431348</v>
      </c>
      <c r="F97" s="159">
        <f t="shared" si="34"/>
        <v>804746.68575720617</v>
      </c>
      <c r="G97" s="159">
        <f t="shared" si="34"/>
        <v>832825.69758414407</v>
      </c>
      <c r="H97" s="159">
        <f t="shared" si="34"/>
        <v>885032.75755159906</v>
      </c>
      <c r="I97" s="159">
        <f t="shared" si="34"/>
        <v>959035.26949467068</v>
      </c>
      <c r="J97" s="159">
        <f t="shared" si="34"/>
        <v>520572.02163061564</v>
      </c>
      <c r="K97" s="159">
        <f t="shared" si="34"/>
        <v>1202822.1751583368</v>
      </c>
      <c r="L97" s="159">
        <f t="shared" si="34"/>
        <v>1547512.964040498</v>
      </c>
      <c r="M97" s="159">
        <f t="shared" si="34"/>
        <v>1796584.4122923329</v>
      </c>
      <c r="N97" s="159">
        <f t="shared" si="34"/>
        <v>1550121.4485406498</v>
      </c>
      <c r="O97" s="159">
        <f t="shared" si="34"/>
        <v>1534353.072071434</v>
      </c>
      <c r="P97" s="159">
        <f t="shared" ref="P97" si="35">P45*P$91</f>
        <v>1644304.2400521855</v>
      </c>
      <c r="R97" s="218"/>
    </row>
    <row r="98" spans="1:18">
      <c r="B98" s="111" t="str">
        <f>B47</f>
        <v>Cost Residual (Ordinary Opex - Elements)</v>
      </c>
      <c r="C98" s="111"/>
      <c r="D98" s="159">
        <f t="shared" ref="D98:O98" si="36">D47*D$91</f>
        <v>0</v>
      </c>
      <c r="E98" s="159">
        <f t="shared" si="36"/>
        <v>0</v>
      </c>
      <c r="F98" s="159">
        <f t="shared" si="36"/>
        <v>0</v>
      </c>
      <c r="G98" s="159">
        <f t="shared" si="36"/>
        <v>0</v>
      </c>
      <c r="H98" s="159">
        <f t="shared" si="36"/>
        <v>0</v>
      </c>
      <c r="I98" s="159">
        <f t="shared" si="36"/>
        <v>0</v>
      </c>
      <c r="J98" s="159">
        <f t="shared" si="36"/>
        <v>0</v>
      </c>
      <c r="K98" s="159">
        <f t="shared" si="36"/>
        <v>0</v>
      </c>
      <c r="L98" s="159">
        <f t="shared" si="36"/>
        <v>0</v>
      </c>
      <c r="M98" s="159">
        <f t="shared" si="36"/>
        <v>0</v>
      </c>
      <c r="N98" s="159">
        <f t="shared" si="36"/>
        <v>0</v>
      </c>
      <c r="O98" s="159">
        <f t="shared" si="36"/>
        <v>0</v>
      </c>
      <c r="P98" s="159">
        <f t="shared" ref="P98" si="37">P47*P$91</f>
        <v>0</v>
      </c>
      <c r="R98" s="218"/>
    </row>
    <row r="99" spans="1:18">
      <c r="B99" s="111"/>
      <c r="C99" s="111"/>
      <c r="D99" s="141"/>
      <c r="E99" s="141"/>
      <c r="F99" s="141"/>
      <c r="G99" s="141"/>
      <c r="H99" s="141"/>
      <c r="I99" s="141"/>
      <c r="J99" s="141"/>
      <c r="K99" s="141"/>
      <c r="L99" s="141"/>
      <c r="M99" s="141"/>
      <c r="N99" s="141"/>
      <c r="O99" s="141"/>
      <c r="R99" s="218"/>
    </row>
    <row r="100" spans="1:18">
      <c r="B100" s="111" t="str">
        <f>B49</f>
        <v>Ordinary Opex (per accounts - including staff, depreciation and other, excluding exceptional)</v>
      </c>
      <c r="C100" s="111"/>
      <c r="D100" s="159">
        <f t="shared" ref="D100:O100" si="38">D49*D$91</f>
        <v>754210.35120147909</v>
      </c>
      <c r="E100" s="159">
        <f t="shared" si="38"/>
        <v>790615.63383656845</v>
      </c>
      <c r="F100" s="159">
        <f t="shared" si="38"/>
        <v>804746.68575720617</v>
      </c>
      <c r="G100" s="159">
        <f t="shared" si="38"/>
        <v>832825.69758414407</v>
      </c>
      <c r="H100" s="159">
        <f t="shared" si="38"/>
        <v>882257.56931526284</v>
      </c>
      <c r="I100" s="159">
        <f t="shared" si="38"/>
        <v>927817.15358391253</v>
      </c>
      <c r="J100" s="159">
        <f t="shared" si="38"/>
        <v>495455.66555740434</v>
      </c>
      <c r="K100" s="159">
        <f t="shared" si="38"/>
        <v>1025656.0853604425</v>
      </c>
      <c r="L100" s="159">
        <f t="shared" si="38"/>
        <v>1422448.0197059622</v>
      </c>
      <c r="M100" s="159">
        <f t="shared" si="38"/>
        <v>1535121.6792761874</v>
      </c>
      <c r="N100" s="159">
        <f t="shared" si="38"/>
        <v>1504151.817199091</v>
      </c>
      <c r="O100" s="159">
        <f t="shared" si="38"/>
        <v>1489848.3558925663</v>
      </c>
      <c r="P100" s="159">
        <f t="shared" ref="P100" si="39">P49*P$91</f>
        <v>1496457.6647097196</v>
      </c>
      <c r="R100" s="218"/>
    </row>
    <row r="101" spans="1:18">
      <c r="B101" s="111"/>
      <c r="C101" s="111"/>
      <c r="D101" s="141"/>
      <c r="E101" s="141"/>
      <c r="F101" s="141"/>
      <c r="G101" s="141"/>
      <c r="H101" s="141"/>
      <c r="I101" s="141"/>
      <c r="J101" s="141"/>
      <c r="K101" s="141"/>
      <c r="L101" s="141"/>
      <c r="M101" s="141"/>
      <c r="N101" s="141"/>
      <c r="O101" s="141"/>
      <c r="P101" s="141"/>
      <c r="R101" s="218"/>
    </row>
    <row r="102" spans="1:18">
      <c r="B102" s="111" t="str">
        <f>B51</f>
        <v>Total Opex (ordinary + exceptional)</v>
      </c>
      <c r="C102" s="111"/>
      <c r="D102" s="159">
        <f>D51*D$91</f>
        <v>754210.35120147909</v>
      </c>
      <c r="E102" s="159">
        <f t="shared" ref="E102:O102" si="40">E51*E$91</f>
        <v>800989.73400431348</v>
      </c>
      <c r="F102" s="159">
        <f t="shared" si="40"/>
        <v>804746.68575720617</v>
      </c>
      <c r="G102" s="159">
        <f t="shared" si="40"/>
        <v>832825.69758414407</v>
      </c>
      <c r="H102" s="159">
        <f t="shared" si="40"/>
        <v>885032.75755159906</v>
      </c>
      <c r="I102" s="159">
        <f t="shared" si="40"/>
        <v>959035.26949467068</v>
      </c>
      <c r="J102" s="159">
        <f t="shared" si="40"/>
        <v>520572.02163061564</v>
      </c>
      <c r="K102" s="159">
        <f t="shared" si="40"/>
        <v>1202822.1751583368</v>
      </c>
      <c r="L102" s="159">
        <f t="shared" si="40"/>
        <v>1547512.964040498</v>
      </c>
      <c r="M102" s="159">
        <f t="shared" si="40"/>
        <v>1796584.4122923329</v>
      </c>
      <c r="N102" s="159">
        <f t="shared" si="40"/>
        <v>1550121.4485406498</v>
      </c>
      <c r="O102" s="159">
        <f t="shared" si="40"/>
        <v>1534353.072071434</v>
      </c>
      <c r="P102" s="159">
        <f t="shared" ref="P102" si="41">P51*P$91</f>
        <v>1644304.2400521855</v>
      </c>
      <c r="R102" s="218"/>
    </row>
    <row r="103" spans="1:18">
      <c r="B103" s="111"/>
      <c r="C103" s="111"/>
      <c r="D103" s="141"/>
      <c r="E103" s="141"/>
      <c r="F103" s="141"/>
      <c r="G103" s="141"/>
      <c r="H103" s="141"/>
      <c r="I103" s="141"/>
      <c r="J103" s="141"/>
      <c r="K103" s="141"/>
      <c r="L103" s="141"/>
      <c r="M103" s="141"/>
      <c r="N103" s="141"/>
      <c r="O103" s="141"/>
      <c r="P103" s="141"/>
      <c r="R103" s="218"/>
    </row>
    <row r="104" spans="1:18">
      <c r="A104" s="134"/>
      <c r="B104" s="111" t="str">
        <f>B53</f>
        <v>Adjusted Ordinary Opex (ordinary opex - depreciation - ANS - retail)</v>
      </c>
      <c r="C104" s="111"/>
      <c r="D104" s="159">
        <f t="shared" ref="D104:O104" si="42">D53*D$91</f>
        <v>574524.30683918693</v>
      </c>
      <c r="E104" s="159">
        <f t="shared" si="42"/>
        <v>583952.63838964782</v>
      </c>
      <c r="F104" s="159">
        <f t="shared" si="42"/>
        <v>604061.39329640428</v>
      </c>
      <c r="G104" s="159">
        <f t="shared" si="42"/>
        <v>643576.69087089563</v>
      </c>
      <c r="H104" s="159">
        <f t="shared" si="42"/>
        <v>674370.74142971041</v>
      </c>
      <c r="I104" s="159">
        <f t="shared" si="42"/>
        <v>716418.88836145529</v>
      </c>
      <c r="J104" s="159">
        <f t="shared" si="42"/>
        <v>371414.0391014975</v>
      </c>
      <c r="K104" s="159">
        <f t="shared" si="42"/>
        <v>777830.36830852425</v>
      </c>
      <c r="L104" s="159">
        <f t="shared" si="42"/>
        <v>874349.79634586291</v>
      </c>
      <c r="M104" s="159">
        <f t="shared" si="42"/>
        <v>883797.35200062394</v>
      </c>
      <c r="N104" s="159">
        <f t="shared" si="42"/>
        <v>853570.06001416501</v>
      </c>
      <c r="O104" s="159">
        <f t="shared" si="42"/>
        <v>829745.52476791164</v>
      </c>
      <c r="P104" s="159">
        <f t="shared" ref="P104" si="43">P53*P$91</f>
        <v>848651.07632093946</v>
      </c>
      <c r="R104" s="218"/>
    </row>
    <row r="105" spans="1:18">
      <c r="B105" s="111"/>
      <c r="C105" s="111"/>
      <c r="D105" s="141"/>
      <c r="E105" s="141"/>
      <c r="F105" s="141"/>
      <c r="G105" s="141"/>
      <c r="H105" s="141"/>
      <c r="I105" s="141"/>
      <c r="J105" s="141"/>
      <c r="K105" s="141"/>
      <c r="L105" s="141"/>
      <c r="M105" s="141"/>
      <c r="N105" s="141"/>
      <c r="O105" s="141"/>
      <c r="P105" s="141"/>
      <c r="R105" s="218"/>
    </row>
    <row r="106" spans="1:18">
      <c r="B106" s="111" t="str">
        <f>B55</f>
        <v>Turnover (per accounts)</v>
      </c>
      <c r="C106" s="111"/>
      <c r="D106" s="159">
        <f t="shared" ref="D106:O106" si="44">D55*D$91</f>
        <v>1237991.1275415902</v>
      </c>
      <c r="E106" s="159">
        <f t="shared" si="44"/>
        <v>1233562.4107356819</v>
      </c>
      <c r="F106" s="159">
        <f t="shared" si="44"/>
        <v>1266550.150220637</v>
      </c>
      <c r="G106" s="159">
        <f t="shared" si="44"/>
        <v>1318369.7127460386</v>
      </c>
      <c r="H106" s="159">
        <f t="shared" si="44"/>
        <v>1398947.1609531406</v>
      </c>
      <c r="I106" s="159">
        <f t="shared" si="44"/>
        <v>1469217.9432960777</v>
      </c>
      <c r="J106" s="159">
        <f t="shared" si="44"/>
        <v>754438.46921797004</v>
      </c>
      <c r="K106" s="159">
        <f t="shared" si="44"/>
        <v>1522111.7753842436</v>
      </c>
      <c r="L106" s="159">
        <f t="shared" si="44"/>
        <v>1740744.9319213314</v>
      </c>
      <c r="M106" s="159">
        <f t="shared" si="44"/>
        <v>1938422.9467280244</v>
      </c>
      <c r="N106" s="159">
        <f t="shared" si="44"/>
        <v>1969899.560144631</v>
      </c>
      <c r="O106" s="159">
        <f t="shared" si="44"/>
        <v>2065987.6408475661</v>
      </c>
      <c r="P106" s="159">
        <f t="shared" ref="P106" si="45">P55*P$91</f>
        <v>2174772.2765818657</v>
      </c>
      <c r="R106" s="218"/>
    </row>
    <row r="107" spans="1:18">
      <c r="B107" s="111"/>
      <c r="C107" s="111"/>
      <c r="D107" s="141"/>
      <c r="E107" s="141"/>
      <c r="F107" s="141"/>
      <c r="G107" s="141"/>
      <c r="H107" s="141"/>
      <c r="I107" s="141"/>
      <c r="J107" s="141"/>
      <c r="K107" s="141"/>
      <c r="L107" s="141"/>
      <c r="M107" s="141"/>
      <c r="N107" s="141"/>
      <c r="O107" s="141"/>
      <c r="P107" s="141"/>
      <c r="R107" s="218"/>
    </row>
    <row r="108" spans="1:18">
      <c r="B108" s="111" t="str">
        <f>B57</f>
        <v>Ordinary Profit (pre-exceptional)</v>
      </c>
      <c r="C108" s="111"/>
      <c r="D108" s="159">
        <f t="shared" ref="D108:O108" si="46">D57*D$91</f>
        <v>483780.7763401111</v>
      </c>
      <c r="E108" s="159">
        <f t="shared" si="46"/>
        <v>442946.77689911338</v>
      </c>
      <c r="F108" s="159">
        <f t="shared" si="46"/>
        <v>461803.46446343081</v>
      </c>
      <c r="G108" s="159">
        <f t="shared" si="46"/>
        <v>485544.01516189444</v>
      </c>
      <c r="H108" s="159">
        <f t="shared" si="46"/>
        <v>516689.59163787769</v>
      </c>
      <c r="I108" s="159">
        <f t="shared" si="46"/>
        <v>541400.78971216513</v>
      </c>
      <c r="J108" s="159">
        <f t="shared" si="46"/>
        <v>258982.80366056573</v>
      </c>
      <c r="K108" s="159">
        <f t="shared" si="46"/>
        <v>496455.69002380106</v>
      </c>
      <c r="L108" s="159">
        <f t="shared" si="46"/>
        <v>318296.91221536911</v>
      </c>
      <c r="M108" s="159">
        <f t="shared" si="46"/>
        <v>403301.26745183684</v>
      </c>
      <c r="N108" s="159">
        <f t="shared" si="46"/>
        <v>465747.74294554006</v>
      </c>
      <c r="O108" s="159">
        <f t="shared" si="46"/>
        <v>576139.28495499969</v>
      </c>
      <c r="P108" s="159">
        <f t="shared" ref="P108" si="47">P57*P$91</f>
        <v>678314.61187214614</v>
      </c>
      <c r="R108" s="218"/>
    </row>
    <row r="109" spans="1:18">
      <c r="B109" s="111"/>
      <c r="C109" s="111"/>
      <c r="D109" s="193"/>
      <c r="E109" s="193"/>
      <c r="F109" s="193"/>
      <c r="G109" s="193"/>
      <c r="H109" s="193"/>
      <c r="I109" s="193"/>
      <c r="J109" s="193"/>
      <c r="K109" s="193"/>
      <c r="L109" s="193"/>
      <c r="M109" s="193"/>
      <c r="N109" s="193"/>
      <c r="O109" s="193"/>
      <c r="P109" s="193"/>
      <c r="R109" s="218"/>
    </row>
    <row r="110" spans="1:18">
      <c r="B110" s="111" t="str">
        <f>B59</f>
        <v>Ordinary Profit Margin</v>
      </c>
      <c r="C110" s="111"/>
      <c r="D110" s="162">
        <f>D108/D106</f>
        <v>0.39077887197851385</v>
      </c>
      <c r="E110" s="162">
        <f t="shared" ref="E110:P110" si="48">E108/E106</f>
        <v>0.35907934048910034</v>
      </c>
      <c r="F110" s="162">
        <f t="shared" si="48"/>
        <v>0.36461522221049297</v>
      </c>
      <c r="G110" s="162">
        <f t="shared" si="48"/>
        <v>0.36829123914759276</v>
      </c>
      <c r="H110" s="162">
        <f t="shared" si="48"/>
        <v>0.36934174932371505</v>
      </c>
      <c r="I110" s="162">
        <f t="shared" si="48"/>
        <v>0.3684959009536557</v>
      </c>
      <c r="J110" s="162">
        <f t="shared" si="48"/>
        <v>0.34327889447236182</v>
      </c>
      <c r="K110" s="162">
        <f t="shared" si="48"/>
        <v>0.32616243961352659</v>
      </c>
      <c r="L110" s="162">
        <f t="shared" si="48"/>
        <v>0.18285097740543285</v>
      </c>
      <c r="M110" s="162">
        <f t="shared" si="48"/>
        <v>0.20805638322255329</v>
      </c>
      <c r="N110" s="162">
        <f t="shared" si="48"/>
        <v>0.23643222850983561</v>
      </c>
      <c r="O110" s="162">
        <f t="shared" si="48"/>
        <v>0.27886869871043374</v>
      </c>
      <c r="P110" s="162">
        <f t="shared" si="48"/>
        <v>0.31190144328042801</v>
      </c>
      <c r="R110" s="218"/>
    </row>
    <row r="111" spans="1:18">
      <c r="B111" s="111"/>
      <c r="C111" s="111"/>
      <c r="D111" s="161"/>
      <c r="E111" s="161"/>
      <c r="F111" s="161"/>
      <c r="G111" s="161"/>
      <c r="H111" s="161"/>
      <c r="I111" s="161"/>
      <c r="J111" s="161"/>
      <c r="K111" s="161"/>
      <c r="L111" s="161"/>
      <c r="M111" s="161"/>
      <c r="N111" s="161"/>
      <c r="O111" s="161"/>
      <c r="P111" s="161"/>
      <c r="R111" s="218"/>
    </row>
    <row r="112" spans="1:18">
      <c r="B112" s="153" t="s">
        <v>303</v>
      </c>
      <c r="C112" s="94"/>
      <c r="D112" s="94"/>
      <c r="E112" s="94"/>
      <c r="F112" s="94"/>
      <c r="G112" s="94"/>
      <c r="H112" s="94"/>
      <c r="I112" s="94"/>
      <c r="J112" s="94"/>
      <c r="K112" s="94"/>
      <c r="L112" s="94"/>
      <c r="M112" s="94"/>
      <c r="N112" s="94"/>
      <c r="O112" s="94"/>
      <c r="P112" s="94"/>
      <c r="R112" s="218"/>
    </row>
    <row r="113" spans="2:18">
      <c r="R113" s="218"/>
    </row>
    <row r="114" spans="2:18">
      <c r="B114" s="90" t="s">
        <v>1127</v>
      </c>
      <c r="D114" s="345">
        <f>(D102/D61)*1000</f>
        <v>11.72457597361853</v>
      </c>
      <c r="E114" s="345">
        <f t="shared" ref="E114:O114" si="49">(E102/E61)*1000</f>
        <v>13.264694762615946</v>
      </c>
      <c r="F114" s="345">
        <f t="shared" si="49"/>
        <v>12.777947880861403</v>
      </c>
      <c r="G114" s="345">
        <f t="shared" si="49"/>
        <v>12.960170842151593</v>
      </c>
      <c r="H114" s="345">
        <f t="shared" si="49"/>
        <v>13.08222187788328</v>
      </c>
      <c r="I114" s="345">
        <f t="shared" si="49"/>
        <v>14.224917631184006</v>
      </c>
      <c r="J114" s="345">
        <f t="shared" si="49"/>
        <v>15.154366893917214</v>
      </c>
      <c r="K114" s="345">
        <f t="shared" si="49"/>
        <v>17.727042899144237</v>
      </c>
      <c r="L114" s="345">
        <f t="shared" si="49"/>
        <v>23.129329188121432</v>
      </c>
      <c r="M114" s="345">
        <f t="shared" si="49"/>
        <v>27.259534555451911</v>
      </c>
      <c r="N114" s="345">
        <f t="shared" si="49"/>
        <v>23.577694944359475</v>
      </c>
      <c r="O114" s="345">
        <f t="shared" si="49"/>
        <v>22.111831733374832</v>
      </c>
      <c r="P114" s="345">
        <f t="shared" ref="P114" si="50">(P102/P61)*1000</f>
        <v>23.495588412825093</v>
      </c>
      <c r="R114" s="218"/>
    </row>
    <row r="115" spans="2:18">
      <c r="B115" s="90" t="s">
        <v>299</v>
      </c>
      <c r="D115" s="345">
        <f t="shared" ref="D115:O115" si="51">(D100/D61)*1000</f>
        <v>11.72457597361853</v>
      </c>
      <c r="E115" s="345">
        <f t="shared" si="51"/>
        <v>13.092895716610695</v>
      </c>
      <c r="F115" s="345">
        <f t="shared" si="51"/>
        <v>12.777947880861403</v>
      </c>
      <c r="G115" s="345">
        <f t="shared" si="51"/>
        <v>12.960170842151593</v>
      </c>
      <c r="H115" s="345">
        <f t="shared" si="51"/>
        <v>13.041200087502235</v>
      </c>
      <c r="I115" s="345">
        <f t="shared" si="51"/>
        <v>13.761874048161998</v>
      </c>
      <c r="J115" s="345">
        <f t="shared" si="51"/>
        <v>14.423204904497448</v>
      </c>
      <c r="K115" s="345">
        <f t="shared" si="51"/>
        <v>15.115991208392455</v>
      </c>
      <c r="L115" s="345">
        <f t="shared" si="51"/>
        <v>21.260092332195576</v>
      </c>
      <c r="M115" s="345">
        <f t="shared" si="51"/>
        <v>23.292366435295264</v>
      </c>
      <c r="N115" s="345">
        <f t="shared" si="51"/>
        <v>22.878486540078423</v>
      </c>
      <c r="O115" s="345">
        <f t="shared" si="51"/>
        <v>21.470466448290754</v>
      </c>
      <c r="P115" s="345">
        <f t="shared" ref="P115" si="52">(P100/P61)*1000</f>
        <v>21.382997447066792</v>
      </c>
      <c r="R115" s="218"/>
    </row>
    <row r="116" spans="2:18">
      <c r="B116" s="90" t="s">
        <v>300</v>
      </c>
      <c r="D116" s="345">
        <f t="shared" ref="D116:N116" si="53">(D104/D61)*1000</f>
        <v>8.9312668189926594</v>
      </c>
      <c r="E116" s="345">
        <f t="shared" si="53"/>
        <v>9.6704778790850412</v>
      </c>
      <c r="F116" s="345">
        <f t="shared" si="53"/>
        <v>9.5914219182142908</v>
      </c>
      <c r="G116" s="345">
        <f t="shared" si="53"/>
        <v>10.015137486641587</v>
      </c>
      <c r="H116" s="345">
        <f t="shared" si="53"/>
        <v>9.9682950625946436</v>
      </c>
      <c r="I116" s="345">
        <f t="shared" si="53"/>
        <v>10.626303328485401</v>
      </c>
      <c r="J116" s="345">
        <f t="shared" si="53"/>
        <v>10.81223036241021</v>
      </c>
      <c r="K116" s="345">
        <f t="shared" si="53"/>
        <v>11.463566761601538</v>
      </c>
      <c r="L116" s="345">
        <f t="shared" si="53"/>
        <v>13.06814529840744</v>
      </c>
      <c r="M116" s="345">
        <f t="shared" si="53"/>
        <v>13.409837184403763</v>
      </c>
      <c r="N116" s="345">
        <f t="shared" si="53"/>
        <v>12.982992079491142</v>
      </c>
      <c r="O116" s="345">
        <f>(O104/O61)*1000</f>
        <v>11.957608557735323</v>
      </c>
      <c r="P116" s="345">
        <f>(P104/P61)*1000</f>
        <v>12.126439809402292</v>
      </c>
      <c r="Q116" s="261"/>
      <c r="R116" s="218"/>
    </row>
    <row r="117" spans="2:18">
      <c r="B117" s="90" t="s">
        <v>265</v>
      </c>
      <c r="D117" s="345">
        <f t="shared" ref="D117:O117" si="54">D93*1000/D61</f>
        <v>2.418570686696107</v>
      </c>
      <c r="E117" s="345">
        <f t="shared" si="54"/>
        <v>2.852768369192455</v>
      </c>
      <c r="F117" s="345">
        <f t="shared" si="54"/>
        <v>2.9933388456578465</v>
      </c>
      <c r="G117" s="345">
        <f t="shared" si="54"/>
        <v>3.2182838730315528</v>
      </c>
      <c r="H117" s="345">
        <f t="shared" si="54"/>
        <v>3.2276690522542699</v>
      </c>
      <c r="I117" s="345">
        <f t="shared" si="54"/>
        <v>3.3142253304488691</v>
      </c>
      <c r="J117" s="345">
        <f t="shared" si="54"/>
        <v>3.4385306766580475</v>
      </c>
      <c r="K117" s="345">
        <f t="shared" si="54"/>
        <v>3.6033190647988285</v>
      </c>
      <c r="L117" s="345">
        <f>L93*1000/L61</f>
        <v>4.4468682447070051</v>
      </c>
      <c r="M117" s="345">
        <f t="shared" si="54"/>
        <v>3.8138069056561164</v>
      </c>
      <c r="N117" s="345">
        <f t="shared" si="54"/>
        <v>3.9691784243021431</v>
      </c>
      <c r="O117" s="345">
        <f t="shared" si="54"/>
        <v>3.8118331342525278</v>
      </c>
      <c r="P117" s="345">
        <f t="shared" ref="P117" si="55">P93*1000/P61</f>
        <v>4.07009092807799</v>
      </c>
      <c r="R117" s="218"/>
    </row>
    <row r="118" spans="2:18">
      <c r="B118" s="111" t="s">
        <v>1136</v>
      </c>
      <c r="C118" s="111"/>
      <c r="D118" s="159">
        <f t="shared" ref="D118:O118" si="56">D93/D63*1000</f>
        <v>47088.416885598839</v>
      </c>
      <c r="E118" s="159">
        <f t="shared" si="56"/>
        <v>51746.669664093162</v>
      </c>
      <c r="F118" s="159">
        <f t="shared" si="56"/>
        <v>51962.099205037623</v>
      </c>
      <c r="G118" s="159">
        <f t="shared" si="56"/>
        <v>52145.283132409844</v>
      </c>
      <c r="H118" s="159">
        <f t="shared" si="56"/>
        <v>53888.661458965958</v>
      </c>
      <c r="I118" s="159">
        <f t="shared" si="56"/>
        <v>54765.453456228228</v>
      </c>
      <c r="J118" s="159">
        <f t="shared" si="56"/>
        <v>27462.905736041725</v>
      </c>
      <c r="K118" s="159">
        <f t="shared" si="56"/>
        <v>53794.01532875868</v>
      </c>
      <c r="L118" s="159">
        <f t="shared" si="56"/>
        <v>53938.797877569312</v>
      </c>
      <c r="M118" s="159">
        <f t="shared" si="56"/>
        <v>46487.000222306699</v>
      </c>
      <c r="N118" s="159">
        <f t="shared" si="56"/>
        <v>50690.487140705212</v>
      </c>
      <c r="O118" s="159">
        <f t="shared" si="56"/>
        <v>50238.433804209926</v>
      </c>
      <c r="P118" s="159">
        <f t="shared" ref="P118" si="57">P93/P63*1000</f>
        <v>53967.285835158167</v>
      </c>
      <c r="R118" s="218"/>
    </row>
    <row r="119" spans="2:18">
      <c r="B119" s="111"/>
      <c r="C119" s="111"/>
      <c r="D119" s="141"/>
      <c r="E119" s="141"/>
      <c r="F119" s="141"/>
      <c r="G119" s="141"/>
      <c r="H119" s="141"/>
      <c r="I119" s="141"/>
      <c r="J119" s="141"/>
      <c r="K119" s="141"/>
      <c r="L119" s="141"/>
      <c r="M119" s="141"/>
      <c r="N119" s="141"/>
    </row>
    <row r="120" spans="2:18">
      <c r="B120" s="153" t="s">
        <v>163</v>
      </c>
      <c r="C120" s="94"/>
      <c r="D120" s="94"/>
      <c r="E120" s="94"/>
      <c r="F120" s="94"/>
      <c r="G120" s="94"/>
      <c r="H120" s="94"/>
      <c r="I120" s="94"/>
      <c r="J120" s="94"/>
      <c r="K120" s="94"/>
      <c r="L120" s="94"/>
      <c r="M120" s="94"/>
      <c r="N120" s="94"/>
      <c r="O120" s="94"/>
      <c r="P120"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xml><?xml version="1.0" encoding="utf-8"?>
<worksheet xmlns="http://schemas.openxmlformats.org/spreadsheetml/2006/main" xmlns:r="http://schemas.openxmlformats.org/officeDocument/2006/relationships">
  <sheetPr>
    <pageSetUpPr autoPageBreaks="0" fitToPage="1"/>
  </sheetPr>
  <dimension ref="A1:S64"/>
  <sheetViews>
    <sheetView showGridLines="0" zoomScale="85" zoomScaleNormal="85" workbookViewId="0">
      <selection activeCell="J29" sqref="J29"/>
    </sheetView>
  </sheetViews>
  <sheetFormatPr defaultRowHeight="12.75"/>
  <cols>
    <col min="1" max="1" width="3.140625" style="5" customWidth="1"/>
    <col min="2" max="2" width="18.28515625" style="5" customWidth="1"/>
    <col min="3" max="16" width="10.7109375" style="5" customWidth="1"/>
    <col min="17" max="17" width="9.140625" style="5"/>
    <col min="18" max="18" width="10.140625" style="5" bestFit="1" customWidth="1"/>
    <col min="19" max="19" width="13.85546875" style="5" customWidth="1"/>
    <col min="20" max="16384" width="9.140625" style="5"/>
  </cols>
  <sheetData>
    <row r="1" spans="1:19" ht="12.75" customHeight="1">
      <c r="A1" s="59"/>
    </row>
    <row r="2" spans="1:19">
      <c r="B2" s="57" t="s">
        <v>134</v>
      </c>
      <c r="C2" s="56"/>
      <c r="D2" s="55" t="str">
        <f>Info!$D$10</f>
        <v>Duncan Kernohan</v>
      </c>
      <c r="E2" s="54"/>
      <c r="F2" s="54"/>
      <c r="G2" s="54"/>
      <c r="H2" s="54"/>
      <c r="I2" s="54"/>
      <c r="J2" s="54"/>
      <c r="K2" s="54"/>
      <c r="L2" s="54"/>
      <c r="M2" s="54"/>
      <c r="N2" s="54"/>
      <c r="O2" s="54"/>
      <c r="P2" s="54"/>
      <c r="Q2" s="54"/>
      <c r="R2" s="54"/>
      <c r="S2" s="54"/>
    </row>
    <row r="3" spans="1:19">
      <c r="B3" s="52" t="s">
        <v>137</v>
      </c>
      <c r="C3" s="51"/>
      <c r="D3" s="53" t="str">
        <f>Info!$D$11 &amp; " - " &amp; Info!$D$12</f>
        <v>Airport Opex Benchmarking 2013 - duncan.kernohan@caa.co.uk</v>
      </c>
      <c r="E3" s="49"/>
      <c r="F3" s="49"/>
      <c r="G3" s="49"/>
      <c r="H3" s="49"/>
      <c r="I3" s="49"/>
      <c r="J3" s="49"/>
      <c r="K3" s="49"/>
      <c r="L3" s="49"/>
      <c r="M3" s="49"/>
      <c r="N3" s="49"/>
      <c r="O3" s="49"/>
      <c r="P3" s="49"/>
      <c r="Q3" s="49"/>
      <c r="R3" s="49"/>
      <c r="S3" s="49"/>
    </row>
    <row r="4" spans="1:19">
      <c r="B4" s="52" t="s">
        <v>130</v>
      </c>
      <c r="C4" s="51"/>
      <c r="D4" s="63">
        <f>Info!$D$16</f>
        <v>2.8</v>
      </c>
      <c r="E4" s="49"/>
      <c r="F4" s="49"/>
      <c r="G4" s="49"/>
      <c r="H4" s="49"/>
      <c r="I4" s="49"/>
      <c r="J4" s="49"/>
      <c r="K4" s="49"/>
      <c r="L4" s="49"/>
      <c r="M4" s="49"/>
      <c r="N4" s="49"/>
      <c r="O4" s="49"/>
      <c r="P4" s="49"/>
      <c r="Q4" s="49"/>
      <c r="R4" s="49"/>
      <c r="S4" s="49"/>
    </row>
    <row r="5" spans="1:19">
      <c r="B5" s="48" t="s">
        <v>138</v>
      </c>
      <c r="C5" s="47"/>
      <c r="D5" s="46" t="str">
        <f ca="1">IF(CELL("filename",C1)="","",MID(CELL("filename",A1),FIND("]",CELL("filename",A1))+1,99))</f>
        <v>Parameters</v>
      </c>
      <c r="E5" s="45"/>
      <c r="F5" s="45"/>
      <c r="G5" s="45"/>
      <c r="H5" s="45"/>
      <c r="I5" s="45"/>
      <c r="J5" s="45"/>
      <c r="K5" s="45"/>
      <c r="L5" s="45"/>
      <c r="M5" s="45"/>
      <c r="N5" s="45"/>
      <c r="O5" s="45"/>
      <c r="P5" s="45"/>
      <c r="Q5" s="45"/>
      <c r="R5" s="45"/>
      <c r="S5" s="45"/>
    </row>
    <row r="8" spans="1:19" ht="16.5">
      <c r="B8" s="7" t="s">
        <v>1145</v>
      </c>
      <c r="C8" s="6"/>
      <c r="D8" s="6"/>
      <c r="E8" s="6"/>
      <c r="F8" s="6"/>
      <c r="G8" s="6"/>
      <c r="H8" s="6"/>
      <c r="I8" s="6"/>
      <c r="J8" s="6"/>
      <c r="K8" s="6"/>
      <c r="L8" s="6"/>
      <c r="M8" s="6"/>
      <c r="N8" s="6"/>
      <c r="O8" s="6"/>
      <c r="P8" s="6"/>
      <c r="Q8" s="6"/>
      <c r="R8" s="6"/>
      <c r="S8" s="6"/>
    </row>
    <row r="9" spans="1:19" s="60" customFormat="1" ht="16.5">
      <c r="B9" s="64"/>
      <c r="C9" s="35"/>
      <c r="D9" s="35"/>
      <c r="E9" s="35"/>
      <c r="F9" s="35"/>
      <c r="G9" s="35"/>
      <c r="H9" s="35"/>
      <c r="I9" s="35"/>
      <c r="J9" s="35"/>
      <c r="K9" s="35"/>
      <c r="L9" s="35"/>
      <c r="M9" s="35"/>
      <c r="N9" s="35"/>
      <c r="O9" s="35"/>
      <c r="P9" s="35"/>
    </row>
    <row r="10" spans="1:19" s="60" customFormat="1">
      <c r="B10" s="381" t="s">
        <v>1214</v>
      </c>
      <c r="C10" s="35"/>
      <c r="D10" s="35"/>
      <c r="E10" s="35"/>
      <c r="F10" s="35"/>
      <c r="G10" s="35"/>
      <c r="H10" s="35"/>
      <c r="I10" s="35"/>
      <c r="J10" s="35"/>
      <c r="K10" s="35"/>
      <c r="L10" s="35"/>
      <c r="M10" s="35"/>
      <c r="N10" s="35"/>
      <c r="O10" s="35"/>
      <c r="P10" s="35"/>
    </row>
    <row r="11" spans="1:19" s="60" customFormat="1">
      <c r="B11" s="381"/>
      <c r="C11" s="35"/>
      <c r="D11" s="35"/>
      <c r="E11" s="35"/>
      <c r="F11" s="35"/>
      <c r="G11" s="35"/>
      <c r="H11" s="35"/>
      <c r="I11" s="35"/>
      <c r="J11" s="35"/>
      <c r="K11" s="35"/>
      <c r="L11" s="35"/>
      <c r="M11" s="35"/>
      <c r="N11" s="35"/>
      <c r="O11" s="35"/>
      <c r="P11" s="35"/>
    </row>
    <row r="12" spans="1:19">
      <c r="B12" s="90" t="s">
        <v>161</v>
      </c>
      <c r="C12" s="290" t="s">
        <v>109</v>
      </c>
      <c r="D12" s="290" t="s">
        <v>110</v>
      </c>
      <c r="E12" s="290" t="s">
        <v>111</v>
      </c>
      <c r="F12" s="290" t="s">
        <v>22</v>
      </c>
      <c r="G12" s="290" t="s">
        <v>23</v>
      </c>
      <c r="H12" s="290" t="s">
        <v>24</v>
      </c>
      <c r="I12" s="290" t="s">
        <v>25</v>
      </c>
      <c r="J12" s="290" t="s">
        <v>26</v>
      </c>
      <c r="K12" s="323" t="s">
        <v>27</v>
      </c>
      <c r="L12" s="323" t="s">
        <v>28</v>
      </c>
      <c r="M12" s="77" t="s">
        <v>29</v>
      </c>
      <c r="N12" s="77" t="s">
        <v>246</v>
      </c>
      <c r="O12" s="77" t="s">
        <v>1247</v>
      </c>
    </row>
    <row r="13" spans="1:19">
      <c r="B13" s="90" t="s">
        <v>162</v>
      </c>
      <c r="C13" s="69">
        <v>2000</v>
      </c>
      <c r="D13" s="69">
        <v>2001</v>
      </c>
      <c r="E13" s="69">
        <v>2002</v>
      </c>
      <c r="F13" s="69">
        <v>2003</v>
      </c>
      <c r="G13" s="69">
        <v>2004</v>
      </c>
      <c r="H13" s="69">
        <v>2005</v>
      </c>
      <c r="I13" s="69">
        <v>2006</v>
      </c>
      <c r="J13" s="69">
        <v>2007</v>
      </c>
      <c r="K13" s="69">
        <v>2008</v>
      </c>
      <c r="L13" s="69">
        <v>2009</v>
      </c>
      <c r="M13" s="69">
        <v>2010</v>
      </c>
      <c r="N13" s="69">
        <v>2011</v>
      </c>
      <c r="O13" s="30">
        <v>2012</v>
      </c>
      <c r="P13" s="77"/>
      <c r="Q13" s="69"/>
      <c r="R13" s="30"/>
      <c r="S13" s="69"/>
    </row>
    <row r="14" spans="1:19">
      <c r="B14" s="251" t="s">
        <v>116</v>
      </c>
      <c r="C14" s="321">
        <f>ABD!D29/ABD!D43</f>
        <v>8.6545047008280921E-3</v>
      </c>
      <c r="D14" s="321">
        <f>ABD!E29/ABD!E43</f>
        <v>5.2637411347517728E-3</v>
      </c>
      <c r="E14" s="321">
        <f>ABD!F29/ABD!F43</f>
        <v>1.6614055490945341E-4</v>
      </c>
      <c r="F14" s="321">
        <f>ABD!G29/ABD!G43</f>
        <v>1.9818659267700539E-4</v>
      </c>
      <c r="G14" s="321">
        <f>ABD!H29/ABD!H43</f>
        <v>6.2993652178126663E-4</v>
      </c>
      <c r="H14" s="321">
        <f>ABD!I29/ABD!I43</f>
        <v>8.6918730986527601E-4</v>
      </c>
      <c r="I14" s="321">
        <f>ABD!J29/ABD!J43</f>
        <v>5.5478502080443827E-4</v>
      </c>
      <c r="J14" s="321">
        <f>ABD!K29/ABD!K43</f>
        <v>2.1981412209324748E-3</v>
      </c>
      <c r="K14" s="321">
        <f>ABD!L29/ABD!L43</f>
        <v>1.2243648607284971E-3</v>
      </c>
      <c r="L14" s="321">
        <f>ABD!M29/ABD!M43</f>
        <v>2.3853703794130574E-2</v>
      </c>
      <c r="M14" s="321">
        <f>ABD!N29/ABD!N43</f>
        <v>2.6770805278750337E-2</v>
      </c>
      <c r="N14" s="321">
        <f>ABD!O29/ABD!O43</f>
        <v>2.771230996348191E-2</v>
      </c>
      <c r="O14" s="321"/>
      <c r="P14" s="249"/>
    </row>
    <row r="15" spans="1:19">
      <c r="B15" s="251" t="s">
        <v>115</v>
      </c>
      <c r="C15" s="321">
        <f>EDIN!D30/EDIN!D44</f>
        <v>0</v>
      </c>
      <c r="D15" s="321">
        <f>EDIN!E30/EDIN!E44</f>
        <v>6.4839768391279987E-3</v>
      </c>
      <c r="E15" s="321">
        <f>EDIN!F30/EDIN!F44</f>
        <v>7.897407966726909E-3</v>
      </c>
      <c r="F15" s="321">
        <f>EDIN!G30/EDIN!G44</f>
        <v>9.7137983320697496E-4</v>
      </c>
      <c r="G15" s="321">
        <f>EDIN!H30/EDIN!H44</f>
        <v>6.9000414002484017E-4</v>
      </c>
      <c r="H15" s="321">
        <f>EDIN!I30/EDIN!I44</f>
        <v>9.7826086956521747E-4</v>
      </c>
      <c r="I15" s="321">
        <f>EDIN!J30/EDIN!J44</f>
        <v>2.4814845180508867E-2</v>
      </c>
      <c r="J15" s="321">
        <f>EDIN!K30/EDIN!K44</f>
        <v>2.0819277108433735E-2</v>
      </c>
      <c r="K15" s="321">
        <f>EDIN!L30/EDIN!L44</f>
        <v>2.2124145246528896E-2</v>
      </c>
      <c r="L15" s="321">
        <f>EDIN!M30/EDIN!M44</f>
        <v>1.6267905635851169E-2</v>
      </c>
      <c r="M15" s="321">
        <f>EDIN!N30/EDIN!N44</f>
        <v>2.4245224892174986E-2</v>
      </c>
      <c r="N15" s="321">
        <f>EDIN!O30/EDIN!O44</f>
        <v>2.1599149414027501E-2</v>
      </c>
      <c r="O15" s="321"/>
      <c r="P15" s="249"/>
      <c r="S15" s="68"/>
    </row>
    <row r="16" spans="1:19">
      <c r="B16" s="251" t="s">
        <v>114</v>
      </c>
      <c r="C16" s="321">
        <f>GLAS!D29/GLAS!D44</f>
        <v>3.2152109548482604E-3</v>
      </c>
      <c r="D16" s="321">
        <f>GLAS!E29/GLAS!E44</f>
        <v>6.7139045619559988E-3</v>
      </c>
      <c r="E16" s="321">
        <f>GLAS!F29/GLAS!F44</f>
        <v>8.0584745591123531E-3</v>
      </c>
      <c r="F16" s="321">
        <f>GLAS!G29/GLAS!G44</f>
        <v>1.8103169007374659E-3</v>
      </c>
      <c r="G16" s="321">
        <f>GLAS!H29/GLAS!H44</f>
        <v>1.3738528328845413E-3</v>
      </c>
      <c r="H16" s="321">
        <f>GLAS!I29/GLAS!I44</f>
        <v>7.5669587864709816E-4</v>
      </c>
      <c r="I16" s="321">
        <f>GLAS!J29/GLAS!J44</f>
        <v>1.1795512986859798E-3</v>
      </c>
      <c r="J16" s="321">
        <f>GLAS!K29/GLAS!K44</f>
        <v>7.1094860857200896E-4</v>
      </c>
      <c r="K16" s="321">
        <f>GLAS!L29/GLAS!L44</f>
        <v>1.6599388840683592E-3</v>
      </c>
      <c r="L16" s="321">
        <f>GLAS!M29/GLAS!M44</f>
        <v>2.6986138937727441E-3</v>
      </c>
      <c r="M16" s="321">
        <f>GLAS!N29/GLAS!N44</f>
        <v>4.890046296296296E-3</v>
      </c>
      <c r="N16" s="321">
        <f>GLAS!O29/GLAS!O44</f>
        <v>2.1742741095290585E-3</v>
      </c>
      <c r="O16" s="321"/>
      <c r="P16" s="249"/>
    </row>
    <row r="17" spans="2:19">
      <c r="B17" s="252" t="s">
        <v>105</v>
      </c>
      <c r="C17" s="199">
        <f>HTROW!D29/HTROW!D45</f>
        <v>1.9287288758265981E-2</v>
      </c>
      <c r="D17" s="199">
        <f>HTROW!E29/HTROW!E45</f>
        <v>1.6189502385821404E-2</v>
      </c>
      <c r="E17" s="199">
        <f>HTROW!F29/HTROW!F45</f>
        <v>1.4786509386941352E-2</v>
      </c>
      <c r="F17" s="199">
        <f>HTROW!G29/HTROW!G45</f>
        <v>6.090894893018897E-3</v>
      </c>
      <c r="G17" s="199">
        <f>HTROW!H29/HTROW!H45</f>
        <v>7.2690992018244012E-3</v>
      </c>
      <c r="H17" s="199">
        <f>HTROW!I29/HTROW!I45</f>
        <v>8.0738177623990767E-3</v>
      </c>
      <c r="I17" s="199">
        <f>HTROW!J29/HTROW!J45</f>
        <v>1.297223486572599E-2</v>
      </c>
      <c r="J17" s="199">
        <f>HTROW!K29/HTROW!K45</f>
        <v>1.1271372623937339E-2</v>
      </c>
      <c r="K17" s="199">
        <f>HTROW!L29/HTROW!L45</f>
        <v>1.3778824873277647E-2</v>
      </c>
      <c r="L17" s="199">
        <f>HTROW!M29/HTROW!M45</f>
        <v>1.6321483771251932E-2</v>
      </c>
      <c r="M17" s="199">
        <f>HTROW!N29/HTROW!N45</f>
        <v>1.5135949592493664E-2</v>
      </c>
      <c r="N17" s="199">
        <f>HTROW!O29/HTROW!O45</f>
        <v>1.499605367008682E-2</v>
      </c>
      <c r="O17" s="199">
        <f>HTROW!P29/HTROW!P45</f>
        <v>1.5342530922930543E-2</v>
      </c>
      <c r="P17" s="224"/>
    </row>
    <row r="18" spans="2:19">
      <c r="B18" s="253" t="s">
        <v>113</v>
      </c>
      <c r="C18" s="199"/>
      <c r="D18" s="199"/>
      <c r="E18" s="199"/>
      <c r="F18" s="199"/>
      <c r="G18" s="199"/>
      <c r="H18" s="199"/>
      <c r="I18" s="199">
        <f>STHAM!J29/STHAM!J41</f>
        <v>1.0878433505575197E-3</v>
      </c>
      <c r="J18" s="199">
        <f>STHAM!K29/STHAM!K41</f>
        <v>4.2993107975057433E-2</v>
      </c>
      <c r="K18" s="199">
        <f>STHAM!L29/STHAM!L41</f>
        <v>4.406943105110897E-2</v>
      </c>
      <c r="L18" s="199">
        <f>STHAM!M29/STHAM!M41</f>
        <v>3.9131462799495587E-2</v>
      </c>
      <c r="M18" s="199">
        <f>STHAM!N29/STHAM!N41</f>
        <v>5.7770325093308809E-2</v>
      </c>
      <c r="N18" s="199"/>
      <c r="O18" s="199"/>
      <c r="P18" s="224"/>
    </row>
    <row r="19" spans="2:19">
      <c r="B19" s="253" t="s">
        <v>112</v>
      </c>
      <c r="C19" s="321">
        <f>STAN!E30/STAN!E40</f>
        <v>7.9688436189334928E-3</v>
      </c>
      <c r="D19" s="321">
        <f>STAN!F30/STAN!F40</f>
        <v>6.4292256746283378E-3</v>
      </c>
      <c r="E19" s="321">
        <f>STAN!G30/STAN!G40</f>
        <v>-2.5062656641604009E-3</v>
      </c>
      <c r="F19" s="321">
        <f>STAN!H30/STAN!H40</f>
        <v>4.2735042735042739E-3</v>
      </c>
      <c r="G19" s="321">
        <f>STAN!I30/STAN!I40</f>
        <v>3.6968576709796672E-3</v>
      </c>
      <c r="H19" s="321">
        <f>STAN!J30/STAN!J40</f>
        <v>1.2522361359570662E-2</v>
      </c>
      <c r="I19" s="321">
        <f>STAN!K30/STAN!K40</f>
        <v>2.6859504132231406E-2</v>
      </c>
      <c r="J19" s="321">
        <f>STAN!L30/STAN!L40</f>
        <v>2.5815217391304348E-2</v>
      </c>
      <c r="K19" s="321">
        <f>STAN!M30/STAN!M40</f>
        <v>3.6076662908680945E-2</v>
      </c>
      <c r="L19" s="321">
        <f>STAN!N30/STAN!N40</f>
        <v>8.7420042643923238E-2</v>
      </c>
      <c r="M19" s="321">
        <f>STAN!O30/STAN!O40</f>
        <v>9.1299677765843176E-2</v>
      </c>
      <c r="N19" s="321">
        <f>STAN!P30/STAN!P40</f>
        <v>8.8840736728060671E-2</v>
      </c>
      <c r="O19" s="321">
        <f>STAN!Q30/STAN!Q40</f>
        <v>7.6335877862595422E-2</v>
      </c>
    </row>
    <row r="20" spans="2:19" s="60" customFormat="1">
      <c r="B20" s="264"/>
      <c r="C20" s="139"/>
      <c r="D20" s="139"/>
      <c r="E20" s="139"/>
      <c r="F20" s="139"/>
      <c r="G20" s="139"/>
      <c r="H20" s="139"/>
      <c r="I20" s="139"/>
      <c r="J20" s="139"/>
      <c r="K20" s="139"/>
      <c r="L20" s="139"/>
      <c r="M20" s="139"/>
      <c r="N20" s="139"/>
      <c r="O20" s="139"/>
      <c r="P20" s="139"/>
    </row>
    <row r="21" spans="2:19">
      <c r="B21" s="251" t="s">
        <v>234</v>
      </c>
      <c r="C21" s="322">
        <f t="shared" ref="C21:N21" si="0">AVERAGE(C14:C19)</f>
        <v>7.825169606575165E-3</v>
      </c>
      <c r="D21" s="322">
        <f t="shared" si="0"/>
        <v>8.2160701192571014E-3</v>
      </c>
      <c r="E21" s="322">
        <f t="shared" si="0"/>
        <v>5.6804533607059341E-3</v>
      </c>
      <c r="F21" s="322">
        <f t="shared" si="0"/>
        <v>2.6688564986289231E-3</v>
      </c>
      <c r="G21" s="322">
        <f t="shared" si="0"/>
        <v>2.7319500734989434E-3</v>
      </c>
      <c r="H21" s="322">
        <f t="shared" si="0"/>
        <v>4.6400646360094666E-3</v>
      </c>
      <c r="I21" s="322">
        <f t="shared" si="0"/>
        <v>1.1244793974752365E-2</v>
      </c>
      <c r="J21" s="322">
        <f t="shared" si="0"/>
        <v>1.7301344154706223E-2</v>
      </c>
      <c r="K21" s="322">
        <f t="shared" si="0"/>
        <v>1.9822227970732218E-2</v>
      </c>
      <c r="L21" s="322">
        <f t="shared" si="0"/>
        <v>3.0948868756404208E-2</v>
      </c>
      <c r="M21" s="322">
        <f t="shared" si="0"/>
        <v>3.6685338153144544E-2</v>
      </c>
      <c r="N21" s="322">
        <f t="shared" si="0"/>
        <v>3.1064504777037195E-2</v>
      </c>
      <c r="O21" s="322">
        <f t="shared" ref="O21" si="1">AVERAGE(O14:O19)</f>
        <v>4.5839204392762983E-2</v>
      </c>
      <c r="P21" s="250"/>
    </row>
    <row r="22" spans="2:19">
      <c r="B22" s="119"/>
      <c r="D22" s="69"/>
      <c r="E22" s="66"/>
      <c r="F22" s="66"/>
      <c r="G22" s="66"/>
      <c r="H22" s="66"/>
      <c r="I22" s="66"/>
      <c r="J22" s="66"/>
      <c r="K22" s="66"/>
      <c r="L22" s="66"/>
      <c r="M22" s="66"/>
      <c r="N22" s="66"/>
      <c r="O22" s="66"/>
      <c r="P22" s="66"/>
    </row>
    <row r="24" spans="2:19" ht="16.5">
      <c r="B24" s="7" t="s">
        <v>1196</v>
      </c>
      <c r="C24" s="6"/>
      <c r="D24" s="6"/>
      <c r="E24" s="6"/>
      <c r="F24" s="6"/>
      <c r="G24" s="6"/>
      <c r="H24" s="6"/>
      <c r="I24" s="6"/>
      <c r="J24" s="6"/>
      <c r="K24" s="6"/>
      <c r="L24" s="6"/>
      <c r="M24" s="6"/>
      <c r="N24" s="6"/>
      <c r="O24" s="6"/>
      <c r="P24" s="6"/>
      <c r="Q24" s="6"/>
      <c r="R24" s="6"/>
      <c r="S24" s="6"/>
    </row>
    <row r="26" spans="2:19">
      <c r="B26" s="5" t="s">
        <v>1212</v>
      </c>
    </row>
    <row r="28" spans="2:19">
      <c r="B28" s="5" t="s">
        <v>1092</v>
      </c>
      <c r="C28" s="348" t="s">
        <v>1213</v>
      </c>
    </row>
    <row r="30" spans="2:19">
      <c r="B30" s="30" t="s">
        <v>1312</v>
      </c>
    </row>
    <row r="31" spans="2:19">
      <c r="B31" s="30" t="s">
        <v>1198</v>
      </c>
      <c r="C31" s="30"/>
      <c r="D31" s="30"/>
      <c r="E31" s="30"/>
      <c r="F31" s="30">
        <v>2010</v>
      </c>
      <c r="G31" s="30">
        <v>2011</v>
      </c>
      <c r="H31" s="30">
        <v>2012</v>
      </c>
    </row>
    <row r="32" spans="2:19">
      <c r="B32" s="5" t="s">
        <v>1179</v>
      </c>
      <c r="F32" s="218">
        <v>0.42</v>
      </c>
      <c r="G32" s="218">
        <v>0.38</v>
      </c>
      <c r="H32" s="218">
        <v>0.37</v>
      </c>
    </row>
    <row r="33" spans="2:8">
      <c r="B33" s="5" t="s">
        <v>1184</v>
      </c>
      <c r="F33" s="218">
        <v>0.23</v>
      </c>
      <c r="G33" s="218">
        <v>0.18</v>
      </c>
      <c r="H33" s="218">
        <v>0.22</v>
      </c>
    </row>
    <row r="34" spans="2:8">
      <c r="B34" s="5" t="s">
        <v>1186</v>
      </c>
      <c r="F34" s="218">
        <v>0.05</v>
      </c>
      <c r="G34" s="218">
        <v>0.05</v>
      </c>
      <c r="H34" s="218">
        <v>0.04</v>
      </c>
    </row>
    <row r="35" spans="2:8">
      <c r="B35" s="5" t="s">
        <v>1185</v>
      </c>
      <c r="F35" s="218">
        <v>0.06</v>
      </c>
      <c r="G35" s="218">
        <v>0.06</v>
      </c>
      <c r="H35" s="218">
        <v>0.06</v>
      </c>
    </row>
    <row r="36" spans="2:8">
      <c r="B36" s="5" t="s">
        <v>1187</v>
      </c>
      <c r="F36" s="218">
        <v>0.01</v>
      </c>
      <c r="G36" s="218">
        <v>0.01</v>
      </c>
      <c r="H36" s="218">
        <v>0.01</v>
      </c>
    </row>
    <row r="37" spans="2:8">
      <c r="B37" s="5" t="s">
        <v>1188</v>
      </c>
      <c r="F37" s="218" t="s">
        <v>1182</v>
      </c>
      <c r="G37" s="218">
        <v>0.08</v>
      </c>
      <c r="H37" s="218">
        <v>0.05</v>
      </c>
    </row>
    <row r="38" spans="2:8">
      <c r="B38" s="5" t="s">
        <v>1189</v>
      </c>
      <c r="F38" s="218">
        <v>0.04</v>
      </c>
      <c r="G38" s="218">
        <v>0.05</v>
      </c>
      <c r="H38" s="218">
        <v>0.05</v>
      </c>
    </row>
    <row r="39" spans="2:8">
      <c r="B39" s="5" t="s">
        <v>1190</v>
      </c>
      <c r="F39" s="218">
        <v>0.06</v>
      </c>
      <c r="G39" s="218">
        <v>7.0000000000000007E-2</v>
      </c>
      <c r="H39" s="218">
        <v>7.0000000000000007E-2</v>
      </c>
    </row>
    <row r="40" spans="2:8">
      <c r="B40" s="5" t="s">
        <v>266</v>
      </c>
      <c r="F40" s="218">
        <v>0.13</v>
      </c>
      <c r="G40" s="218">
        <v>0.11</v>
      </c>
      <c r="H40" s="218">
        <v>0.13</v>
      </c>
    </row>
    <row r="41" spans="2:8">
      <c r="B41" s="5" t="s">
        <v>106</v>
      </c>
      <c r="F41" s="218">
        <f>SUM(F32:F40)</f>
        <v>1</v>
      </c>
      <c r="G41" s="218">
        <f>SUM(G32:G40)</f>
        <v>0.9900000000000001</v>
      </c>
      <c r="H41" s="218">
        <f>SUM(H32:H40)</f>
        <v>1</v>
      </c>
    </row>
    <row r="43" spans="2:8">
      <c r="B43" s="30" t="s">
        <v>1313</v>
      </c>
    </row>
    <row r="44" spans="2:8">
      <c r="B44" s="30" t="s">
        <v>1197</v>
      </c>
      <c r="C44" s="30"/>
      <c r="D44" s="30"/>
      <c r="E44" s="30"/>
      <c r="F44" s="30">
        <v>2010</v>
      </c>
      <c r="G44" s="30">
        <v>2011</v>
      </c>
      <c r="H44" s="30">
        <v>2012</v>
      </c>
    </row>
    <row r="45" spans="2:8">
      <c r="B45" s="5" t="s">
        <v>1191</v>
      </c>
      <c r="F45" s="218">
        <v>0.19</v>
      </c>
      <c r="G45" s="218">
        <v>0.2</v>
      </c>
      <c r="H45" s="218">
        <v>0.24</v>
      </c>
    </row>
    <row r="46" spans="2:8">
      <c r="B46" s="5" t="s">
        <v>1192</v>
      </c>
      <c r="F46" s="218">
        <v>0.24</v>
      </c>
      <c r="G46" s="218">
        <v>0.28999999999999998</v>
      </c>
      <c r="H46" s="218">
        <v>0.3</v>
      </c>
    </row>
    <row r="47" spans="2:8">
      <c r="B47" s="5" t="s">
        <v>1193</v>
      </c>
      <c r="F47" s="218">
        <v>0.28999999999999998</v>
      </c>
      <c r="G47" s="218">
        <v>0.27</v>
      </c>
      <c r="H47" s="218">
        <v>0.25</v>
      </c>
    </row>
    <row r="48" spans="2:8">
      <c r="B48" s="5" t="s">
        <v>1194</v>
      </c>
      <c r="F48" s="218">
        <v>0.19</v>
      </c>
      <c r="G48" s="218">
        <v>0.16</v>
      </c>
      <c r="H48" s="218">
        <v>0.17</v>
      </c>
    </row>
    <row r="49" spans="2:19">
      <c r="B49" s="5" t="s">
        <v>1195</v>
      </c>
      <c r="F49" s="218">
        <v>0.04</v>
      </c>
      <c r="G49" s="218">
        <v>0.04</v>
      </c>
      <c r="H49" s="218">
        <v>0.03</v>
      </c>
    </row>
    <row r="50" spans="2:19">
      <c r="B50" s="5" t="s">
        <v>266</v>
      </c>
      <c r="F50" s="218">
        <v>0.05</v>
      </c>
      <c r="G50" s="218">
        <v>0.04</v>
      </c>
      <c r="H50" s="218">
        <v>0.01</v>
      </c>
    </row>
    <row r="51" spans="2:19">
      <c r="B51" s="5" t="s">
        <v>106</v>
      </c>
      <c r="F51" s="218">
        <f>SUM(F45:F50)</f>
        <v>1</v>
      </c>
      <c r="G51" s="218">
        <f>SUM(G45:G50)</f>
        <v>1</v>
      </c>
      <c r="H51" s="218">
        <f>SUM(H45:H50)</f>
        <v>1</v>
      </c>
    </row>
    <row r="54" spans="2:19">
      <c r="B54" s="30" t="s">
        <v>1199</v>
      </c>
      <c r="F54" s="69" t="s">
        <v>1205</v>
      </c>
      <c r="G54" s="69" t="s">
        <v>1204</v>
      </c>
    </row>
    <row r="55" spans="2:19">
      <c r="B55" s="5" t="s">
        <v>1200</v>
      </c>
      <c r="F55" s="5">
        <v>6.2</v>
      </c>
      <c r="G55" s="218">
        <v>0.32</v>
      </c>
    </row>
    <row r="56" spans="2:19">
      <c r="B56" s="5" t="s">
        <v>1201</v>
      </c>
      <c r="F56" s="5">
        <v>4.7</v>
      </c>
      <c r="G56" s="218">
        <v>0.245</v>
      </c>
    </row>
    <row r="57" spans="2:19">
      <c r="B57" s="5" t="s">
        <v>1188</v>
      </c>
      <c r="F57" s="5">
        <v>1.9</v>
      </c>
      <c r="G57" s="218">
        <v>0.1</v>
      </c>
    </row>
    <row r="58" spans="2:19">
      <c r="B58" s="5" t="s">
        <v>1202</v>
      </c>
      <c r="F58" s="5">
        <v>0.4</v>
      </c>
      <c r="G58" s="218">
        <v>0.02</v>
      </c>
    </row>
    <row r="59" spans="2:19">
      <c r="B59" s="5" t="s">
        <v>368</v>
      </c>
      <c r="F59" s="5">
        <v>1.2</v>
      </c>
      <c r="G59" s="218">
        <v>6.5000000000000002E-2</v>
      </c>
    </row>
    <row r="60" spans="2:19">
      <c r="B60" s="5" t="s">
        <v>344</v>
      </c>
      <c r="F60" s="5">
        <v>0.2</v>
      </c>
      <c r="G60" s="218">
        <v>0.01</v>
      </c>
    </row>
    <row r="61" spans="2:19">
      <c r="B61" s="5" t="s">
        <v>1203</v>
      </c>
      <c r="F61" s="5">
        <v>4.5999999999999996</v>
      </c>
      <c r="G61" s="218">
        <v>0.24</v>
      </c>
    </row>
    <row r="62" spans="2:19">
      <c r="B62" s="5" t="s">
        <v>106</v>
      </c>
      <c r="F62" s="5">
        <f>SUM(F55:F61)</f>
        <v>19.2</v>
      </c>
      <c r="G62" s="218">
        <f>SUM(G55:G61)</f>
        <v>1</v>
      </c>
    </row>
    <row r="64" spans="2:19" ht="16.5">
      <c r="B64" s="7" t="s">
        <v>163</v>
      </c>
      <c r="C64" s="6"/>
      <c r="D64" s="6"/>
      <c r="E64" s="6"/>
      <c r="F64" s="6"/>
      <c r="G64" s="6"/>
      <c r="H64" s="6"/>
      <c r="I64" s="6"/>
      <c r="J64" s="6"/>
      <c r="K64" s="6"/>
      <c r="L64" s="6"/>
      <c r="M64" s="6"/>
      <c r="N64" s="6"/>
      <c r="O64" s="6"/>
      <c r="P64" s="6"/>
      <c r="Q64" s="6"/>
      <c r="R64" s="6"/>
      <c r="S64" s="6"/>
    </row>
  </sheetData>
  <conditionalFormatting sqref="E22:P22 D20:P20">
    <cfRule type="cellIs" dxfId="2" priority="3" operator="equal">
      <formula>"""Yes"""</formula>
    </cfRule>
  </conditionalFormatting>
  <conditionalFormatting sqref="E22:P22 D20:P20">
    <cfRule type="containsText" dxfId="1" priority="1" operator="containsText" text="No">
      <formula>NOT(ISERROR(SEARCH("No",D20)))</formula>
    </cfRule>
    <cfRule type="containsText" dxfId="0" priority="2" operator="containsText" text="Yes">
      <formula>NOT(ISERROR(SEARCH("Yes",D20)))</formula>
    </cfRule>
  </conditionalFormatting>
  <hyperlinks>
    <hyperlink ref="C28" r:id="rId1"/>
  </hyperlinks>
  <pageMargins left="0.75" right="0.75" top="1" bottom="1" header="0.5" footer="0.5"/>
  <pageSetup paperSize="9" scale="65" orientation="landscape" r:id="rId2"/>
  <headerFooter alignWithMargins="0">
    <oddFooter>&amp;L&amp;F \ &amp;A&amp;R&amp;T  &amp;D</oddFooter>
  </headerFooter>
  <legacyDrawing r:id="rId3"/>
</worksheet>
</file>

<file path=xl/worksheets/sheet20.xml><?xml version="1.0" encoding="utf-8"?>
<worksheet xmlns="http://schemas.openxmlformats.org/spreadsheetml/2006/main" xmlns:r="http://schemas.openxmlformats.org/officeDocument/2006/relationships">
  <sheetPr>
    <pageSetUpPr autoPageBreaks="0" fitToPage="1"/>
  </sheetPr>
  <dimension ref="A1:U101"/>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75" sqref="A175:XFD175"/>
    </sheetView>
  </sheetViews>
  <sheetFormatPr defaultRowHeight="12.75" outlineLevelRow="2"/>
  <cols>
    <col min="1" max="1" width="3.140625" style="90" customWidth="1"/>
    <col min="2" max="2" width="52.28515625" style="90" customWidth="1"/>
    <col min="3" max="3" width="30" style="90" customWidth="1"/>
    <col min="4" max="14" width="15.7109375" style="90" customWidth="1"/>
    <col min="15" max="15" width="11.7109375" style="90" customWidth="1"/>
    <col min="16" max="16384" width="9.140625" style="90"/>
  </cols>
  <sheetData>
    <row r="1" spans="1:16" ht="12.75" customHeight="1">
      <c r="A1" s="145"/>
    </row>
    <row r="2" spans="1:16">
      <c r="B2" s="146" t="s">
        <v>134</v>
      </c>
      <c r="C2" s="91"/>
      <c r="D2" s="91"/>
      <c r="E2" s="147" t="str">
        <f>Info!$D$10</f>
        <v>Duncan Kernohan</v>
      </c>
      <c r="F2" s="91"/>
      <c r="G2" s="91"/>
      <c r="H2" s="91"/>
      <c r="I2" s="91"/>
      <c r="J2" s="91"/>
      <c r="K2" s="91"/>
      <c r="L2" s="91"/>
      <c r="M2" s="91"/>
      <c r="N2" s="91"/>
      <c r="O2" s="91"/>
      <c r="P2" s="91"/>
    </row>
    <row r="3" spans="1:16">
      <c r="B3" s="148" t="s">
        <v>137</v>
      </c>
      <c r="C3" s="92"/>
      <c r="D3" s="92"/>
      <c r="E3" s="149" t="str">
        <f>Info!$D$11 &amp; " - " &amp; Info!$D$12</f>
        <v>Airport Opex Benchmarking 2013 - duncan.kernohan@caa.co.uk</v>
      </c>
      <c r="F3" s="92"/>
      <c r="G3" s="92"/>
      <c r="H3" s="92"/>
      <c r="I3" s="92"/>
      <c r="J3" s="92"/>
      <c r="K3" s="92"/>
      <c r="L3" s="92"/>
      <c r="M3" s="92"/>
      <c r="N3" s="92"/>
      <c r="O3" s="92"/>
      <c r="P3" s="92"/>
    </row>
    <row r="4" spans="1:16">
      <c r="B4" s="148" t="s">
        <v>130</v>
      </c>
      <c r="C4" s="92"/>
      <c r="D4" s="92"/>
      <c r="E4" s="150">
        <f>Info!$D$16</f>
        <v>2.8</v>
      </c>
      <c r="F4" s="92"/>
      <c r="G4" s="92"/>
      <c r="H4" s="92"/>
      <c r="I4" s="92"/>
      <c r="J4" s="92"/>
      <c r="K4" s="92"/>
      <c r="L4" s="92"/>
      <c r="M4" s="92"/>
      <c r="N4" s="92"/>
      <c r="O4" s="92"/>
      <c r="P4" s="92"/>
    </row>
    <row r="5" spans="1:16">
      <c r="B5" s="151" t="s">
        <v>138</v>
      </c>
      <c r="C5" s="93"/>
      <c r="D5" s="93"/>
      <c r="E5" s="152" t="str">
        <f ca="1">IF(CELL("filename",D1)="","",MID(CELL("filename",A1),FIND("]",CELL("filename",A1))+1,99))</f>
        <v>LTN</v>
      </c>
      <c r="F5" s="93"/>
      <c r="G5" s="93"/>
      <c r="H5" s="93"/>
      <c r="I5" s="93"/>
      <c r="J5" s="93"/>
      <c r="K5" s="93"/>
      <c r="L5" s="93"/>
      <c r="M5" s="93"/>
      <c r="N5" s="93"/>
      <c r="O5" s="93"/>
      <c r="P5" s="93"/>
    </row>
    <row r="8" spans="1:16">
      <c r="B8" s="153" t="s">
        <v>1039</v>
      </c>
      <c r="C8" s="94"/>
      <c r="D8" s="94"/>
      <c r="E8" s="94"/>
      <c r="F8" s="94"/>
      <c r="G8" s="94"/>
      <c r="H8" s="94"/>
      <c r="I8" s="94"/>
      <c r="J8" s="94"/>
      <c r="K8" s="94"/>
      <c r="L8" s="94"/>
      <c r="M8" s="94"/>
      <c r="N8" s="94"/>
      <c r="O8" s="94"/>
      <c r="P8" s="94"/>
    </row>
    <row r="10" spans="1:16">
      <c r="B10" s="138" t="s">
        <v>143</v>
      </c>
      <c r="C10" s="138"/>
      <c r="D10" s="90" t="s">
        <v>270</v>
      </c>
    </row>
    <row r="11" spans="1:16">
      <c r="B11" s="138"/>
      <c r="C11" s="138"/>
      <c r="D11" s="138"/>
    </row>
    <row r="12" spans="1:16">
      <c r="B12" s="153" t="s">
        <v>173</v>
      </c>
      <c r="C12" s="94"/>
      <c r="D12" s="94"/>
      <c r="E12" s="94"/>
      <c r="F12" s="94"/>
      <c r="G12" s="94"/>
      <c r="H12" s="94"/>
      <c r="I12" s="94"/>
      <c r="J12" s="94"/>
      <c r="K12" s="94"/>
      <c r="L12" s="94"/>
      <c r="M12" s="94"/>
      <c r="N12" s="94"/>
      <c r="O12" s="94"/>
      <c r="P12" s="94"/>
    </row>
    <row r="13" spans="1:16">
      <c r="B13" s="138"/>
      <c r="C13" s="138"/>
      <c r="D13" s="138"/>
    </row>
    <row r="14" spans="1:16">
      <c r="B14" s="101" t="s">
        <v>167</v>
      </c>
      <c r="C14" s="101"/>
    </row>
    <row r="15" spans="1:16" s="133" customFormat="1">
      <c r="B15" s="138" t="s">
        <v>271</v>
      </c>
      <c r="C15" s="138"/>
      <c r="D15" s="154" t="s">
        <v>109</v>
      </c>
      <c r="E15" s="154" t="s">
        <v>110</v>
      </c>
      <c r="F15" s="154" t="s">
        <v>111</v>
      </c>
      <c r="G15" s="154" t="s">
        <v>22</v>
      </c>
      <c r="H15" s="154" t="s">
        <v>298</v>
      </c>
      <c r="I15" s="154">
        <v>2005</v>
      </c>
      <c r="J15" s="154">
        <v>2006</v>
      </c>
      <c r="K15" s="154">
        <v>2007</v>
      </c>
      <c r="L15" s="154">
        <v>2008</v>
      </c>
      <c r="M15" s="154">
        <v>2009</v>
      </c>
      <c r="N15" s="154">
        <v>2010</v>
      </c>
      <c r="O15" s="154">
        <v>2011</v>
      </c>
      <c r="P15" s="154">
        <v>2012</v>
      </c>
    </row>
    <row r="16" spans="1:16"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c r="P16" s="154">
        <v>2012</v>
      </c>
    </row>
    <row r="17" spans="2:16" s="133" customFormat="1">
      <c r="B17" s="138" t="s">
        <v>164</v>
      </c>
      <c r="C17" s="138"/>
      <c r="D17" s="154" t="s">
        <v>160</v>
      </c>
      <c r="E17" s="154" t="s">
        <v>160</v>
      </c>
      <c r="F17" s="154" t="s">
        <v>160</v>
      </c>
      <c r="G17" s="154" t="s">
        <v>160</v>
      </c>
      <c r="H17" s="154" t="s">
        <v>176</v>
      </c>
      <c r="I17" s="154" t="s">
        <v>174</v>
      </c>
      <c r="J17" s="154" t="s">
        <v>174</v>
      </c>
      <c r="K17" s="154" t="s">
        <v>174</v>
      </c>
      <c r="L17" s="154" t="s">
        <v>174</v>
      </c>
      <c r="M17" s="154" t="s">
        <v>174</v>
      </c>
      <c r="N17" s="154" t="s">
        <v>174</v>
      </c>
      <c r="O17" s="154" t="s">
        <v>174</v>
      </c>
      <c r="P17" s="154" t="s">
        <v>174</v>
      </c>
    </row>
    <row r="18" spans="2:16">
      <c r="B18" s="133"/>
      <c r="C18" s="133"/>
      <c r="E18" s="133"/>
      <c r="F18" s="133"/>
      <c r="G18" s="133"/>
      <c r="H18" s="133"/>
      <c r="I18" s="133"/>
      <c r="J18" s="133"/>
      <c r="K18" s="133"/>
      <c r="L18" s="133"/>
      <c r="M18" s="133"/>
      <c r="N18" s="133"/>
      <c r="O18" s="133"/>
    </row>
    <row r="19" spans="2:16">
      <c r="B19" s="106" t="s">
        <v>1314</v>
      </c>
      <c r="C19" s="106" t="s">
        <v>1315</v>
      </c>
      <c r="E19" s="133"/>
      <c r="F19" s="133"/>
      <c r="G19" s="133"/>
      <c r="H19" s="133"/>
      <c r="I19" s="133"/>
      <c r="J19" s="133"/>
      <c r="K19" s="133"/>
      <c r="L19" s="133"/>
      <c r="M19" s="133"/>
      <c r="N19" s="133"/>
      <c r="O19" s="133"/>
    </row>
    <row r="20" spans="2:16" hidden="1" outlineLevel="2">
      <c r="B20" s="90" t="s">
        <v>240</v>
      </c>
      <c r="C20" s="138" t="s">
        <v>165</v>
      </c>
      <c r="D20" s="141">
        <v>16725</v>
      </c>
      <c r="E20" s="141">
        <v>16165</v>
      </c>
      <c r="F20" s="141">
        <v>10294</v>
      </c>
      <c r="G20" s="141">
        <v>9947</v>
      </c>
      <c r="H20" s="141">
        <v>8278</v>
      </c>
      <c r="I20" s="141">
        <v>11323</v>
      </c>
      <c r="J20" s="141">
        <v>12391</v>
      </c>
      <c r="K20" s="141">
        <v>13598</v>
      </c>
      <c r="L20" s="141">
        <v>14279</v>
      </c>
      <c r="M20" s="141">
        <v>13909</v>
      </c>
      <c r="N20" s="141">
        <v>15331</v>
      </c>
      <c r="O20" s="141">
        <v>16798</v>
      </c>
      <c r="P20" s="102">
        <v>18188</v>
      </c>
    </row>
    <row r="21" spans="2:16" hidden="1" outlineLevel="2">
      <c r="B21" s="90" t="s">
        <v>240</v>
      </c>
      <c r="C21" s="138" t="s">
        <v>166</v>
      </c>
      <c r="D21" s="141">
        <v>1365</v>
      </c>
      <c r="E21" s="141">
        <v>1322</v>
      </c>
      <c r="F21" s="141">
        <v>787</v>
      </c>
      <c r="G21" s="141">
        <v>792</v>
      </c>
      <c r="H21" s="141">
        <v>631</v>
      </c>
      <c r="I21" s="141">
        <v>914</v>
      </c>
      <c r="J21" s="141">
        <v>1127</v>
      </c>
      <c r="K21" s="141">
        <v>1093</v>
      </c>
      <c r="L21" s="141">
        <v>1153</v>
      </c>
      <c r="M21" s="141">
        <v>1357</v>
      </c>
      <c r="N21" s="141">
        <v>1207</v>
      </c>
      <c r="O21" s="141">
        <v>1409</v>
      </c>
      <c r="P21" s="102">
        <v>1551</v>
      </c>
    </row>
    <row r="22" spans="2:16" hidden="1" outlineLevel="2">
      <c r="B22" s="90" t="s">
        <v>240</v>
      </c>
      <c r="C22" s="138" t="s">
        <v>189</v>
      </c>
      <c r="D22" s="141">
        <v>1247</v>
      </c>
      <c r="E22" s="141">
        <v>1208</v>
      </c>
      <c r="F22" s="141">
        <v>974</v>
      </c>
      <c r="G22" s="141">
        <v>1200</v>
      </c>
      <c r="H22" s="141">
        <v>1020</v>
      </c>
      <c r="I22" s="141">
        <v>1488</v>
      </c>
      <c r="J22" s="141">
        <v>1867</v>
      </c>
      <c r="K22" s="141">
        <v>2273</v>
      </c>
      <c r="L22" s="141">
        <v>1925</v>
      </c>
      <c r="M22" s="141">
        <v>1587</v>
      </c>
      <c r="N22" s="141">
        <v>2504</v>
      </c>
      <c r="O22" s="141">
        <v>2774</v>
      </c>
      <c r="P22" s="102">
        <v>2934</v>
      </c>
    </row>
    <row r="23" spans="2:16" hidden="1" outlineLevel="2">
      <c r="B23" s="90" t="s">
        <v>240</v>
      </c>
      <c r="C23" s="138" t="s">
        <v>256</v>
      </c>
      <c r="D23" s="141">
        <v>0</v>
      </c>
      <c r="E23" s="141">
        <v>0</v>
      </c>
      <c r="F23" s="141">
        <v>0</v>
      </c>
      <c r="G23" s="141">
        <v>0</v>
      </c>
      <c r="H23" s="141">
        <v>0</v>
      </c>
      <c r="I23" s="141">
        <v>0</v>
      </c>
      <c r="J23" s="141">
        <v>0</v>
      </c>
      <c r="K23" s="141">
        <v>0</v>
      </c>
      <c r="L23" s="141">
        <v>0</v>
      </c>
      <c r="M23" s="141">
        <v>0</v>
      </c>
      <c r="N23" s="141">
        <v>17</v>
      </c>
      <c r="O23" s="141">
        <v>14</v>
      </c>
      <c r="P23" s="102">
        <v>0</v>
      </c>
    </row>
    <row r="24" spans="2:16" outlineLevel="1" collapsed="1">
      <c r="B24" s="173" t="s">
        <v>287</v>
      </c>
      <c r="C24" s="138"/>
      <c r="D24" s="159">
        <f t="shared" ref="D24:P24" si="0">SUBTOTAL(9,D20:D23)</f>
        <v>19337</v>
      </c>
      <c r="E24" s="159">
        <f t="shared" si="0"/>
        <v>18695</v>
      </c>
      <c r="F24" s="159">
        <f t="shared" si="0"/>
        <v>12055</v>
      </c>
      <c r="G24" s="159">
        <f t="shared" si="0"/>
        <v>11939</v>
      </c>
      <c r="H24" s="159">
        <f t="shared" si="0"/>
        <v>9929</v>
      </c>
      <c r="I24" s="159">
        <f t="shared" si="0"/>
        <v>13725</v>
      </c>
      <c r="J24" s="159">
        <f t="shared" si="0"/>
        <v>15385</v>
      </c>
      <c r="K24" s="159">
        <f t="shared" si="0"/>
        <v>16964</v>
      </c>
      <c r="L24" s="159">
        <f t="shared" si="0"/>
        <v>17357</v>
      </c>
      <c r="M24" s="159">
        <f t="shared" si="0"/>
        <v>16853</v>
      </c>
      <c r="N24" s="159">
        <f t="shared" si="0"/>
        <v>19059</v>
      </c>
      <c r="O24" s="159">
        <f t="shared" si="0"/>
        <v>20995</v>
      </c>
      <c r="P24" s="159">
        <f t="shared" si="0"/>
        <v>22673</v>
      </c>
    </row>
    <row r="25" spans="2:16" s="133" customFormat="1" outlineLevel="1">
      <c r="C25" s="137"/>
      <c r="D25" s="141"/>
      <c r="E25" s="141"/>
      <c r="F25" s="141"/>
      <c r="G25" s="141"/>
      <c r="H25" s="141"/>
      <c r="I25" s="141"/>
      <c r="J25" s="141"/>
      <c r="K25" s="141"/>
      <c r="L25" s="141"/>
      <c r="M25" s="141"/>
      <c r="N25" s="141"/>
      <c r="O25" s="141"/>
    </row>
    <row r="26" spans="2:16" s="133" customFormat="1" hidden="1" outlineLevel="2">
      <c r="B26" s="138" t="s">
        <v>30</v>
      </c>
      <c r="C26" s="138" t="s">
        <v>170</v>
      </c>
      <c r="D26" s="141">
        <v>2346</v>
      </c>
      <c r="E26" s="141">
        <v>5467</v>
      </c>
      <c r="F26" s="141">
        <v>6095</v>
      </c>
      <c r="G26" s="141">
        <v>6586</v>
      </c>
      <c r="H26" s="141">
        <v>5892</v>
      </c>
      <c r="I26" s="141">
        <v>8206</v>
      </c>
      <c r="J26" s="141">
        <v>10285</v>
      </c>
      <c r="K26" s="141">
        <v>11647</v>
      </c>
      <c r="L26" s="141">
        <v>12051</v>
      </c>
      <c r="M26" s="141">
        <v>12139</v>
      </c>
      <c r="N26" s="141">
        <v>12835</v>
      </c>
      <c r="O26" s="141">
        <v>11149</v>
      </c>
      <c r="P26" s="133">
        <v>11602</v>
      </c>
    </row>
    <row r="27" spans="2:16" s="133" customFormat="1" hidden="1" outlineLevel="2">
      <c r="B27" s="138" t="s">
        <v>30</v>
      </c>
      <c r="C27" s="138" t="s">
        <v>171</v>
      </c>
      <c r="D27" s="141">
        <v>0</v>
      </c>
      <c r="E27" s="141">
        <v>1183</v>
      </c>
      <c r="F27" s="141">
        <v>0</v>
      </c>
      <c r="G27" s="141">
        <v>203</v>
      </c>
      <c r="H27" s="141">
        <v>159</v>
      </c>
      <c r="I27" s="141">
        <v>689</v>
      </c>
      <c r="J27" s="141">
        <v>971</v>
      </c>
      <c r="K27" s="141">
        <v>282</v>
      </c>
      <c r="L27" s="141">
        <v>282</v>
      </c>
      <c r="M27" s="141">
        <v>200</v>
      </c>
      <c r="N27" s="141">
        <v>200</v>
      </c>
      <c r="O27" s="141">
        <v>200</v>
      </c>
      <c r="P27" s="133">
        <v>200</v>
      </c>
    </row>
    <row r="28" spans="2:16" s="133" customFormat="1" hidden="1" outlineLevel="2">
      <c r="B28" s="138" t="s">
        <v>30</v>
      </c>
      <c r="C28" s="138" t="s">
        <v>203</v>
      </c>
      <c r="D28" s="141">
        <v>1510</v>
      </c>
      <c r="E28" s="141">
        <v>0</v>
      </c>
      <c r="F28" s="141">
        <v>0</v>
      </c>
      <c r="G28" s="141">
        <v>0</v>
      </c>
      <c r="H28" s="141">
        <v>0</v>
      </c>
      <c r="I28" s="141">
        <v>0</v>
      </c>
      <c r="J28" s="141">
        <v>0</v>
      </c>
      <c r="K28" s="141">
        <v>0</v>
      </c>
      <c r="L28" s="141">
        <v>0</v>
      </c>
      <c r="M28" s="141">
        <v>0</v>
      </c>
      <c r="N28" s="141">
        <v>0</v>
      </c>
      <c r="O28" s="141">
        <v>28</v>
      </c>
      <c r="P28" s="133">
        <f>28+3</f>
        <v>31</v>
      </c>
    </row>
    <row r="29" spans="2:16" s="133" customFormat="1" outlineLevel="1" collapsed="1">
      <c r="B29" s="70" t="s">
        <v>288</v>
      </c>
      <c r="C29" s="138"/>
      <c r="D29" s="159">
        <f t="shared" ref="D29:P29" si="1">SUBTOTAL(9,D26:D28)</f>
        <v>3856</v>
      </c>
      <c r="E29" s="159">
        <f t="shared" si="1"/>
        <v>6650</v>
      </c>
      <c r="F29" s="159">
        <f t="shared" si="1"/>
        <v>6095</v>
      </c>
      <c r="G29" s="159">
        <f t="shared" si="1"/>
        <v>6789</v>
      </c>
      <c r="H29" s="159">
        <f t="shared" si="1"/>
        <v>6051</v>
      </c>
      <c r="I29" s="159">
        <f t="shared" si="1"/>
        <v>8895</v>
      </c>
      <c r="J29" s="159">
        <f t="shared" si="1"/>
        <v>11256</v>
      </c>
      <c r="K29" s="159">
        <f t="shared" si="1"/>
        <v>11929</v>
      </c>
      <c r="L29" s="159">
        <f t="shared" si="1"/>
        <v>12333</v>
      </c>
      <c r="M29" s="159">
        <f t="shared" si="1"/>
        <v>12339</v>
      </c>
      <c r="N29" s="159">
        <f t="shared" si="1"/>
        <v>13035</v>
      </c>
      <c r="O29" s="159">
        <f t="shared" si="1"/>
        <v>11377</v>
      </c>
      <c r="P29" s="159">
        <f t="shared" si="1"/>
        <v>11833</v>
      </c>
    </row>
    <row r="30" spans="2:16" s="133" customFormat="1" outlineLevel="1">
      <c r="B30" s="138"/>
      <c r="C30" s="138"/>
      <c r="D30" s="141"/>
      <c r="E30" s="141"/>
      <c r="F30" s="141"/>
      <c r="G30" s="141"/>
      <c r="H30" s="141"/>
      <c r="I30" s="141"/>
      <c r="J30" s="141"/>
      <c r="K30" s="141"/>
      <c r="L30" s="141"/>
      <c r="M30" s="141"/>
      <c r="N30" s="141"/>
      <c r="O30" s="141"/>
    </row>
    <row r="31" spans="2:16" hidden="1" outlineLevel="2">
      <c r="B31" s="138" t="s">
        <v>256</v>
      </c>
      <c r="C31" s="138" t="s">
        <v>178</v>
      </c>
      <c r="D31" s="155">
        <v>0</v>
      </c>
      <c r="E31" s="155">
        <v>0</v>
      </c>
      <c r="F31" s="155">
        <v>0</v>
      </c>
      <c r="G31" s="155">
        <v>0</v>
      </c>
      <c r="H31" s="155">
        <v>55</v>
      </c>
      <c r="I31" s="155">
        <v>51</v>
      </c>
      <c r="J31" s="155">
        <v>-24</v>
      </c>
      <c r="K31" s="155">
        <v>45</v>
      </c>
      <c r="L31" s="155">
        <v>16</v>
      </c>
      <c r="M31" s="155">
        <v>16</v>
      </c>
      <c r="N31" s="155">
        <v>185</v>
      </c>
      <c r="O31" s="155">
        <v>0</v>
      </c>
      <c r="P31" s="155">
        <v>0</v>
      </c>
    </row>
    <row r="32" spans="2:16" outlineLevel="1" collapsed="1">
      <c r="B32" s="70" t="s">
        <v>289</v>
      </c>
      <c r="C32" s="138"/>
      <c r="D32" s="159">
        <f t="shared" ref="D32:O32" si="2">SUBTOTAL(9,D31:D31)</f>
        <v>0</v>
      </c>
      <c r="E32" s="159">
        <f t="shared" si="2"/>
        <v>0</v>
      </c>
      <c r="F32" s="159">
        <f t="shared" si="2"/>
        <v>0</v>
      </c>
      <c r="G32" s="159">
        <f t="shared" si="2"/>
        <v>0</v>
      </c>
      <c r="H32" s="159">
        <f t="shared" si="2"/>
        <v>55</v>
      </c>
      <c r="I32" s="159">
        <f t="shared" si="2"/>
        <v>51</v>
      </c>
      <c r="J32" s="159">
        <f t="shared" si="2"/>
        <v>-24</v>
      </c>
      <c r="K32" s="159">
        <f t="shared" si="2"/>
        <v>45</v>
      </c>
      <c r="L32" s="159">
        <f t="shared" si="2"/>
        <v>16</v>
      </c>
      <c r="M32" s="159">
        <f t="shared" si="2"/>
        <v>16</v>
      </c>
      <c r="N32" s="159">
        <f t="shared" si="2"/>
        <v>185</v>
      </c>
      <c r="O32" s="159">
        <f t="shared" si="2"/>
        <v>0</v>
      </c>
      <c r="P32" s="159">
        <f t="shared" ref="P32" si="3">SUBTOTAL(9,P31:P31)</f>
        <v>0</v>
      </c>
    </row>
    <row r="33" spans="1:16" s="133" customFormat="1" outlineLevel="1">
      <c r="B33" s="138"/>
      <c r="C33" s="138"/>
      <c r="D33" s="141"/>
      <c r="E33" s="141"/>
      <c r="F33" s="141"/>
      <c r="G33" s="141"/>
      <c r="H33" s="141"/>
      <c r="I33" s="141"/>
      <c r="J33" s="141"/>
      <c r="K33" s="141"/>
      <c r="L33" s="141"/>
      <c r="M33" s="141"/>
      <c r="N33" s="141"/>
      <c r="O33" s="141"/>
    </row>
    <row r="34" spans="1:16" s="30" customFormat="1" hidden="1" outlineLevel="2">
      <c r="B34" s="138" t="s">
        <v>172</v>
      </c>
      <c r="C34" s="138" t="s">
        <v>172</v>
      </c>
      <c r="D34" s="141">
        <v>0</v>
      </c>
      <c r="E34" s="141">
        <v>7121</v>
      </c>
      <c r="F34" s="141">
        <v>2590</v>
      </c>
      <c r="G34" s="141">
        <v>7319</v>
      </c>
      <c r="H34" s="141">
        <v>60</v>
      </c>
      <c r="I34" s="141">
        <v>0</v>
      </c>
      <c r="J34" s="141">
        <v>0</v>
      </c>
      <c r="K34" s="141">
        <v>0</v>
      </c>
      <c r="L34" s="141">
        <v>0</v>
      </c>
      <c r="M34" s="141">
        <v>0</v>
      </c>
      <c r="N34" s="141">
        <v>0</v>
      </c>
      <c r="O34" s="141">
        <v>0</v>
      </c>
      <c r="P34" s="66">
        <v>0</v>
      </c>
    </row>
    <row r="35" spans="1:16" s="30" customFormat="1" outlineLevel="1" collapsed="1">
      <c r="B35" s="70" t="s">
        <v>290</v>
      </c>
      <c r="C35" s="138"/>
      <c r="D35" s="159">
        <f t="shared" ref="D35:P35" si="4">SUBTOTAL(9,D34:D34)</f>
        <v>0</v>
      </c>
      <c r="E35" s="159">
        <f t="shared" si="4"/>
        <v>7121</v>
      </c>
      <c r="F35" s="159">
        <f t="shared" si="4"/>
        <v>2590</v>
      </c>
      <c r="G35" s="159">
        <f t="shared" si="4"/>
        <v>7319</v>
      </c>
      <c r="H35" s="159">
        <f t="shared" si="4"/>
        <v>60</v>
      </c>
      <c r="I35" s="159">
        <f t="shared" si="4"/>
        <v>0</v>
      </c>
      <c r="J35" s="159">
        <f t="shared" si="4"/>
        <v>0</v>
      </c>
      <c r="K35" s="159">
        <f t="shared" si="4"/>
        <v>0</v>
      </c>
      <c r="L35" s="159">
        <f t="shared" si="4"/>
        <v>0</v>
      </c>
      <c r="M35" s="159">
        <f t="shared" si="4"/>
        <v>0</v>
      </c>
      <c r="N35" s="159">
        <f t="shared" si="4"/>
        <v>0</v>
      </c>
      <c r="O35" s="159">
        <f t="shared" si="4"/>
        <v>0</v>
      </c>
      <c r="P35" s="159">
        <f t="shared" si="4"/>
        <v>0</v>
      </c>
    </row>
    <row r="36" spans="1:16" s="106" customFormat="1" outlineLevel="1">
      <c r="B36" s="70"/>
      <c r="C36" s="138"/>
      <c r="D36" s="141"/>
      <c r="E36" s="141"/>
      <c r="F36" s="141"/>
      <c r="G36" s="141"/>
      <c r="H36" s="141"/>
      <c r="I36" s="141"/>
      <c r="J36" s="141"/>
      <c r="K36" s="141"/>
      <c r="L36" s="141"/>
      <c r="M36" s="141"/>
      <c r="N36" s="141"/>
      <c r="O36" s="141"/>
    </row>
    <row r="37" spans="1:16" s="30" customFormat="1">
      <c r="B37" s="70" t="s">
        <v>286</v>
      </c>
      <c r="C37" s="138"/>
      <c r="D37" s="159">
        <f>SUBTOTAL(9,D20:D35)</f>
        <v>23193</v>
      </c>
      <c r="E37" s="159">
        <f t="shared" ref="E37:P37" si="5">SUBTOTAL(9,E20:E35)</f>
        <v>32466</v>
      </c>
      <c r="F37" s="159">
        <f t="shared" si="5"/>
        <v>20740</v>
      </c>
      <c r="G37" s="159">
        <f t="shared" si="5"/>
        <v>26047</v>
      </c>
      <c r="H37" s="159">
        <f t="shared" si="5"/>
        <v>16095</v>
      </c>
      <c r="I37" s="159">
        <f t="shared" si="5"/>
        <v>22671</v>
      </c>
      <c r="J37" s="159">
        <f t="shared" si="5"/>
        <v>26617</v>
      </c>
      <c r="K37" s="159">
        <f t="shared" si="5"/>
        <v>28938</v>
      </c>
      <c r="L37" s="159">
        <f t="shared" si="5"/>
        <v>29706</v>
      </c>
      <c r="M37" s="159">
        <f t="shared" si="5"/>
        <v>29208</v>
      </c>
      <c r="N37" s="159">
        <f t="shared" si="5"/>
        <v>32279</v>
      </c>
      <c r="O37" s="159">
        <f t="shared" si="5"/>
        <v>32372</v>
      </c>
      <c r="P37" s="159">
        <f t="shared" si="5"/>
        <v>34506</v>
      </c>
    </row>
    <row r="38" spans="1:16" s="106" customFormat="1">
      <c r="B38" s="138"/>
      <c r="C38" s="138"/>
      <c r="D38" s="141"/>
      <c r="E38" s="141"/>
      <c r="F38" s="141"/>
      <c r="G38" s="141"/>
      <c r="H38" s="141"/>
      <c r="I38" s="141"/>
      <c r="J38" s="141"/>
      <c r="K38" s="141"/>
      <c r="L38" s="141"/>
      <c r="M38" s="141"/>
      <c r="N38" s="141"/>
      <c r="O38" s="141"/>
    </row>
    <row r="39" spans="1:16" s="30" customFormat="1">
      <c r="B39" s="138" t="s">
        <v>1123</v>
      </c>
      <c r="C39" s="138"/>
      <c r="D39" s="159">
        <f t="shared" ref="D39:P39" si="6">D41-D24-D29-D32</f>
        <v>24308</v>
      </c>
      <c r="E39" s="159">
        <f t="shared" si="6"/>
        <v>37478</v>
      </c>
      <c r="F39" s="159">
        <f t="shared" si="6"/>
        <v>36227</v>
      </c>
      <c r="G39" s="159">
        <f t="shared" si="6"/>
        <v>35152</v>
      </c>
      <c r="H39" s="159">
        <f t="shared" si="6"/>
        <v>26747</v>
      </c>
      <c r="I39" s="159">
        <f t="shared" si="6"/>
        <v>41472</v>
      </c>
      <c r="J39" s="159">
        <f t="shared" si="6"/>
        <v>43737</v>
      </c>
      <c r="K39" s="159">
        <f t="shared" si="6"/>
        <v>48299</v>
      </c>
      <c r="L39" s="159">
        <f t="shared" si="6"/>
        <v>53616</v>
      </c>
      <c r="M39" s="159">
        <f t="shared" si="6"/>
        <v>49970</v>
      </c>
      <c r="N39" s="159">
        <f t="shared" si="6"/>
        <v>49378</v>
      </c>
      <c r="O39" s="159">
        <f t="shared" si="6"/>
        <v>55887</v>
      </c>
      <c r="P39" s="159">
        <f t="shared" si="6"/>
        <v>58917</v>
      </c>
    </row>
    <row r="40" spans="1:16" s="122" customFormat="1">
      <c r="B40" s="168"/>
      <c r="C40" s="168"/>
      <c r="D40" s="161"/>
      <c r="E40" s="161"/>
      <c r="F40" s="161"/>
      <c r="G40" s="161"/>
      <c r="H40" s="161"/>
      <c r="I40" s="161"/>
      <c r="J40" s="161"/>
      <c r="K40" s="161"/>
      <c r="L40" s="161"/>
      <c r="M40" s="161"/>
      <c r="N40" s="161"/>
      <c r="O40" s="161"/>
    </row>
    <row r="41" spans="1:16" s="30" customFormat="1">
      <c r="B41" s="138" t="s">
        <v>1316</v>
      </c>
      <c r="C41" s="138"/>
      <c r="D41" s="141">
        <v>47501</v>
      </c>
      <c r="E41" s="141">
        <v>62823</v>
      </c>
      <c r="F41" s="141">
        <v>54377</v>
      </c>
      <c r="G41" s="141">
        <v>53880</v>
      </c>
      <c r="H41" s="141">
        <v>42782</v>
      </c>
      <c r="I41" s="141">
        <v>64143</v>
      </c>
      <c r="J41" s="141">
        <v>70354</v>
      </c>
      <c r="K41" s="141">
        <v>77237</v>
      </c>
      <c r="L41" s="141">
        <v>83322</v>
      </c>
      <c r="M41" s="141">
        <v>79178</v>
      </c>
      <c r="N41" s="141">
        <v>81657</v>
      </c>
      <c r="O41" s="141">
        <v>88259</v>
      </c>
      <c r="P41" s="126">
        <v>93423</v>
      </c>
    </row>
    <row r="42" spans="1:16" s="122" customFormat="1">
      <c r="B42" s="138"/>
      <c r="C42" s="168"/>
      <c r="D42" s="161"/>
      <c r="E42" s="161"/>
      <c r="F42" s="161"/>
      <c r="G42" s="161"/>
      <c r="H42" s="161"/>
      <c r="I42" s="161"/>
      <c r="J42" s="161"/>
      <c r="K42" s="161"/>
      <c r="L42" s="161"/>
      <c r="M42" s="161"/>
      <c r="N42" s="161"/>
      <c r="O42" s="161"/>
    </row>
    <row r="43" spans="1:16" s="106" customFormat="1">
      <c r="B43" s="138" t="s">
        <v>1317</v>
      </c>
      <c r="C43" s="138"/>
      <c r="D43" s="159">
        <f>D41+D35</f>
        <v>47501</v>
      </c>
      <c r="E43" s="159">
        <f t="shared" ref="E43:P43" si="7">E41+E34</f>
        <v>69944</v>
      </c>
      <c r="F43" s="159">
        <f t="shared" si="7"/>
        <v>56967</v>
      </c>
      <c r="G43" s="159">
        <f t="shared" si="7"/>
        <v>61199</v>
      </c>
      <c r="H43" s="159">
        <f t="shared" si="7"/>
        <v>42842</v>
      </c>
      <c r="I43" s="159">
        <f t="shared" si="7"/>
        <v>64143</v>
      </c>
      <c r="J43" s="159">
        <f t="shared" si="7"/>
        <v>70354</v>
      </c>
      <c r="K43" s="159">
        <f t="shared" si="7"/>
        <v>77237</v>
      </c>
      <c r="L43" s="159">
        <f t="shared" si="7"/>
        <v>83322</v>
      </c>
      <c r="M43" s="159">
        <f t="shared" si="7"/>
        <v>79178</v>
      </c>
      <c r="N43" s="159">
        <f t="shared" si="7"/>
        <v>81657</v>
      </c>
      <c r="O43" s="159">
        <f t="shared" si="7"/>
        <v>88259</v>
      </c>
      <c r="P43" s="159">
        <f t="shared" si="7"/>
        <v>93423</v>
      </c>
    </row>
    <row r="44" spans="1:16" s="122" customFormat="1">
      <c r="B44" s="168"/>
      <c r="C44" s="168"/>
      <c r="D44" s="161"/>
      <c r="E44" s="161"/>
      <c r="F44" s="161"/>
      <c r="G44" s="161"/>
      <c r="H44" s="161"/>
      <c r="I44" s="161"/>
      <c r="J44" s="161"/>
      <c r="K44" s="161"/>
      <c r="L44" s="161"/>
      <c r="M44" s="161"/>
      <c r="N44" s="161"/>
      <c r="O44" s="161"/>
    </row>
    <row r="45" spans="1:16" s="122" customFormat="1">
      <c r="B45" s="168" t="s">
        <v>1146</v>
      </c>
      <c r="C45" s="168"/>
      <c r="D45" s="140">
        <f>D37*Parameters!C21</f>
        <v>181.48915868529781</v>
      </c>
      <c r="E45" s="140">
        <f>E37*Parameters!D21</f>
        <v>266.74293249180107</v>
      </c>
      <c r="F45" s="140">
        <f>F37*Parameters!E21</f>
        <v>117.81260270104107</v>
      </c>
      <c r="G45" s="140">
        <f>G37*Parameters!F21</f>
        <v>69.515705219787563</v>
      </c>
      <c r="H45" s="140">
        <f>H37*Parameters!G21</f>
        <v>43.970736432965495</v>
      </c>
      <c r="I45" s="140">
        <f>I37*Parameters!H21</f>
        <v>105.19490536297062</v>
      </c>
      <c r="J45" s="140">
        <f>J37*Parameters!I21</f>
        <v>299.30268122598369</v>
      </c>
      <c r="K45" s="140">
        <f>K37*Parameters!J21</f>
        <v>500.6662971488887</v>
      </c>
      <c r="L45" s="140">
        <f>L37*Parameters!K21</f>
        <v>588.83910409857128</v>
      </c>
      <c r="M45" s="140">
        <f>M37*Parameters!L21</f>
        <v>903.95455863705411</v>
      </c>
      <c r="N45" s="140">
        <f>N37*Parameters!M21</f>
        <v>1184.1660302453527</v>
      </c>
      <c r="O45" s="140">
        <f>O37*Parameters!N21</f>
        <v>1005.6201486422481</v>
      </c>
      <c r="P45" s="140">
        <f>P37*Parameters!O21</f>
        <v>1581.7275867766796</v>
      </c>
    </row>
    <row r="46" spans="1:16" s="122" customFormat="1">
      <c r="B46" s="168"/>
      <c r="C46" s="168"/>
      <c r="D46" s="161"/>
      <c r="E46" s="161"/>
      <c r="F46" s="161"/>
      <c r="G46" s="161"/>
      <c r="H46" s="161"/>
      <c r="I46" s="161"/>
      <c r="J46" s="161"/>
      <c r="K46" s="161"/>
      <c r="L46" s="161"/>
      <c r="M46" s="161"/>
      <c r="N46" s="161"/>
      <c r="O46" s="161"/>
    </row>
    <row r="47" spans="1:16" s="30" customFormat="1">
      <c r="A47" s="122"/>
      <c r="B47" s="138" t="s">
        <v>1131</v>
      </c>
      <c r="C47" s="138"/>
      <c r="D47" s="159">
        <f>D41-D29-D31-D45</f>
        <v>43463.510841314703</v>
      </c>
      <c r="E47" s="159">
        <f t="shared" ref="E47:N47" si="8">E41-E29-E31-E45</f>
        <v>55906.257067508202</v>
      </c>
      <c r="F47" s="159">
        <f t="shared" si="8"/>
        <v>48164.187397298956</v>
      </c>
      <c r="G47" s="159">
        <f t="shared" si="8"/>
        <v>47021.48429478021</v>
      </c>
      <c r="H47" s="159">
        <f t="shared" si="8"/>
        <v>36632.029263567034</v>
      </c>
      <c r="I47" s="159">
        <f t="shared" si="8"/>
        <v>55091.805094637028</v>
      </c>
      <c r="J47" s="159">
        <f t="shared" si="8"/>
        <v>58822.697318774015</v>
      </c>
      <c r="K47" s="159">
        <f t="shared" si="8"/>
        <v>64762.333702851109</v>
      </c>
      <c r="L47" s="159">
        <f t="shared" si="8"/>
        <v>70384.160895901427</v>
      </c>
      <c r="M47" s="159">
        <f t="shared" si="8"/>
        <v>65919.045441362949</v>
      </c>
      <c r="N47" s="159">
        <f t="shared" si="8"/>
        <v>67252.833969754647</v>
      </c>
      <c r="O47" s="159">
        <f>O41-O29-O31-O45</f>
        <v>75876.379851357749</v>
      </c>
      <c r="P47" s="159">
        <f>P41-P29-P31-P45</f>
        <v>80008.272413223327</v>
      </c>
    </row>
    <row r="48" spans="1:16" s="122" customFormat="1">
      <c r="B48" s="138"/>
      <c r="C48" s="168"/>
      <c r="D48" s="161"/>
      <c r="E48" s="161"/>
      <c r="F48" s="161"/>
      <c r="G48" s="161"/>
      <c r="H48" s="161"/>
      <c r="I48" s="161"/>
      <c r="J48" s="161"/>
      <c r="K48" s="161"/>
      <c r="L48" s="161"/>
      <c r="M48" s="161"/>
      <c r="N48" s="161"/>
      <c r="O48" s="161"/>
    </row>
    <row r="49" spans="2:16" s="133" customFormat="1">
      <c r="B49" s="138" t="s">
        <v>292</v>
      </c>
      <c r="C49" s="138"/>
      <c r="D49" s="141">
        <v>50898</v>
      </c>
      <c r="E49" s="141">
        <v>56875</v>
      </c>
      <c r="F49" s="141">
        <v>65708</v>
      </c>
      <c r="G49" s="141">
        <v>69214</v>
      </c>
      <c r="H49" s="141">
        <v>54840</v>
      </c>
      <c r="I49" s="141">
        <v>77021</v>
      </c>
      <c r="J49" s="141">
        <v>82172</v>
      </c>
      <c r="K49" s="141">
        <v>93725</v>
      </c>
      <c r="L49" s="141">
        <v>104306</v>
      </c>
      <c r="M49" s="141">
        <v>98525</v>
      </c>
      <c r="N49" s="141">
        <v>102187</v>
      </c>
      <c r="O49" s="141">
        <v>112062</v>
      </c>
      <c r="P49" s="133">
        <v>117858</v>
      </c>
    </row>
    <row r="50" spans="2:16" s="133" customFormat="1">
      <c r="B50" s="138"/>
      <c r="C50" s="138"/>
      <c r="D50" s="141"/>
      <c r="E50" s="141"/>
      <c r="F50" s="141"/>
      <c r="G50" s="141"/>
      <c r="H50" s="141"/>
      <c r="I50" s="141"/>
      <c r="J50" s="141"/>
      <c r="K50" s="141"/>
      <c r="L50" s="141"/>
      <c r="M50" s="141"/>
      <c r="N50" s="141"/>
      <c r="O50" s="141"/>
    </row>
    <row r="51" spans="2:16">
      <c r="B51" s="138" t="s">
        <v>1321</v>
      </c>
      <c r="C51" s="138"/>
      <c r="D51" s="159">
        <f t="shared" ref="D51:O51" si="9">D49-D41</f>
        <v>3397</v>
      </c>
      <c r="E51" s="159">
        <f t="shared" si="9"/>
        <v>-5948</v>
      </c>
      <c r="F51" s="159">
        <f t="shared" si="9"/>
        <v>11331</v>
      </c>
      <c r="G51" s="159">
        <f t="shared" si="9"/>
        <v>15334</v>
      </c>
      <c r="H51" s="159">
        <f t="shared" si="9"/>
        <v>12058</v>
      </c>
      <c r="I51" s="159">
        <f t="shared" si="9"/>
        <v>12878</v>
      </c>
      <c r="J51" s="159">
        <f t="shared" si="9"/>
        <v>11818</v>
      </c>
      <c r="K51" s="159">
        <f t="shared" si="9"/>
        <v>16488</v>
      </c>
      <c r="L51" s="159">
        <f t="shared" si="9"/>
        <v>20984</v>
      </c>
      <c r="M51" s="159">
        <f t="shared" si="9"/>
        <v>19347</v>
      </c>
      <c r="N51" s="159">
        <f t="shared" si="9"/>
        <v>20530</v>
      </c>
      <c r="O51" s="159">
        <f t="shared" si="9"/>
        <v>23803</v>
      </c>
      <c r="P51" s="159">
        <f t="shared" ref="P51" si="10">P49-P41</f>
        <v>24435</v>
      </c>
    </row>
    <row r="52" spans="2:16" s="182" customFormat="1">
      <c r="B52" s="176"/>
      <c r="C52" s="181"/>
      <c r="D52" s="175"/>
      <c r="E52" s="175"/>
      <c r="F52" s="175"/>
      <c r="G52" s="175"/>
      <c r="H52" s="175"/>
      <c r="I52" s="175"/>
      <c r="J52" s="175"/>
      <c r="K52" s="175"/>
      <c r="L52" s="175"/>
      <c r="M52" s="175"/>
      <c r="N52" s="175"/>
      <c r="O52" s="175"/>
      <c r="P52" s="175"/>
    </row>
    <row r="53" spans="2:16">
      <c r="B53" s="138" t="s">
        <v>1206</v>
      </c>
      <c r="C53" s="138"/>
      <c r="D53" s="162">
        <f>D51/D49</f>
        <v>6.6741325788832573E-2</v>
      </c>
      <c r="E53" s="162">
        <f t="shared" ref="E53:O53" si="11">E51/E49</f>
        <v>-0.10458021978021978</v>
      </c>
      <c r="F53" s="162">
        <f t="shared" si="11"/>
        <v>0.17244475558531686</v>
      </c>
      <c r="G53" s="162">
        <f t="shared" si="11"/>
        <v>0.22154477417863438</v>
      </c>
      <c r="H53" s="162">
        <f t="shared" si="11"/>
        <v>0.21987600291757842</v>
      </c>
      <c r="I53" s="162">
        <f t="shared" si="11"/>
        <v>0.16720115293231716</v>
      </c>
      <c r="J53" s="162">
        <f t="shared" si="11"/>
        <v>0.14382027941391229</v>
      </c>
      <c r="K53" s="162">
        <f t="shared" si="11"/>
        <v>0.17591891170978927</v>
      </c>
      <c r="L53" s="162">
        <f t="shared" si="11"/>
        <v>0.20117730523651564</v>
      </c>
      <c r="M53" s="162">
        <f t="shared" si="11"/>
        <v>0.19636640446587161</v>
      </c>
      <c r="N53" s="162">
        <f t="shared" si="11"/>
        <v>0.20090618180394768</v>
      </c>
      <c r="O53" s="162">
        <f t="shared" si="11"/>
        <v>0.21240920204886582</v>
      </c>
      <c r="P53" s="162">
        <f t="shared" ref="P53" si="12">P51/P49</f>
        <v>0.20732576490352797</v>
      </c>
    </row>
    <row r="54" spans="2:16" s="133" customFormat="1">
      <c r="B54" s="138"/>
      <c r="C54" s="138"/>
      <c r="D54" s="198"/>
      <c r="E54" s="198"/>
      <c r="F54" s="198"/>
      <c r="G54" s="198"/>
      <c r="H54" s="198"/>
      <c r="I54" s="198"/>
      <c r="J54" s="198"/>
      <c r="K54" s="198"/>
      <c r="L54" s="198"/>
      <c r="M54" s="198"/>
      <c r="N54" s="198"/>
      <c r="O54" s="198"/>
    </row>
    <row r="55" spans="2:16">
      <c r="B55" s="90" t="s">
        <v>228</v>
      </c>
      <c r="D55" s="95">
        <f>'UK Analysis'!C70</f>
        <v>6323512</v>
      </c>
      <c r="E55" s="95">
        <f>'UK Analysis'!D70</f>
        <v>6533988</v>
      </c>
      <c r="F55" s="95">
        <f>'UK Analysis'!E70</f>
        <v>6566319</v>
      </c>
      <c r="G55" s="95">
        <f>'UK Analysis'!F70</f>
        <v>6871808</v>
      </c>
      <c r="H55" s="95">
        <f>'UK Analysis'!G70</f>
        <v>6012345</v>
      </c>
      <c r="I55" s="95">
        <f>'UK Analysis'!H70</f>
        <v>9134748</v>
      </c>
      <c r="J55" s="95">
        <f>'UK Analysis'!I70</f>
        <v>9414829</v>
      </c>
      <c r="K55" s="95">
        <f>'UK Analysis'!J70</f>
        <v>9919361</v>
      </c>
      <c r="L55" s="95">
        <f>'UK Analysis'!K70</f>
        <v>10173902</v>
      </c>
      <c r="M55" s="95">
        <f>'UK Analysis'!L70</f>
        <v>9115316</v>
      </c>
      <c r="N55" s="95">
        <f>'UK Analysis'!M70</f>
        <v>8733837</v>
      </c>
      <c r="O55" s="95">
        <f>'UK Analysis'!N70</f>
        <v>9509915</v>
      </c>
      <c r="P55" s="95">
        <f>'UK Analysis'!O70</f>
        <v>9614175</v>
      </c>
    </row>
    <row r="56" spans="2:16">
      <c r="B56" s="90" t="s">
        <v>264</v>
      </c>
      <c r="D56" s="95">
        <f>'UK Analysis'!C86</f>
        <v>56482</v>
      </c>
      <c r="E56" s="95">
        <f>'UK Analysis'!D86</f>
        <v>54903</v>
      </c>
      <c r="F56" s="95">
        <f>'UK Analysis'!E86</f>
        <v>56499</v>
      </c>
      <c r="G56" s="95">
        <f>'UK Analysis'!F86</f>
        <v>59122</v>
      </c>
      <c r="H56" s="95">
        <f>'UK Analysis'!G86</f>
        <v>50397</v>
      </c>
      <c r="I56" s="95">
        <f>'UK Analysis'!H86</f>
        <v>75424</v>
      </c>
      <c r="J56" s="95">
        <f>'UK Analysis'!I86</f>
        <v>78840</v>
      </c>
      <c r="K56" s="95">
        <f>'UK Analysis'!J86</f>
        <v>83319</v>
      </c>
      <c r="L56" s="95">
        <f>'UK Analysis'!K86</f>
        <v>85661</v>
      </c>
      <c r="M56" s="95">
        <f>'UK Analysis'!L86</f>
        <v>75093</v>
      </c>
      <c r="N56" s="95">
        <f>'UK Analysis'!M86</f>
        <v>68571</v>
      </c>
      <c r="O56" s="95">
        <f>'UK Analysis'!N86</f>
        <v>72403</v>
      </c>
      <c r="P56" s="95">
        <f>'UK Analysis'!O86</f>
        <v>73658</v>
      </c>
    </row>
    <row r="57" spans="2:16">
      <c r="B57" s="111" t="s">
        <v>210</v>
      </c>
      <c r="C57" s="111"/>
      <c r="D57" s="141">
        <v>717</v>
      </c>
      <c r="E57" s="141">
        <v>638</v>
      </c>
      <c r="F57" s="141">
        <v>422</v>
      </c>
      <c r="G57" s="141">
        <v>417</v>
      </c>
      <c r="H57" s="141">
        <v>430</v>
      </c>
      <c r="I57" s="141">
        <v>454</v>
      </c>
      <c r="J57" s="141">
        <v>482</v>
      </c>
      <c r="K57" s="141">
        <v>517</v>
      </c>
      <c r="L57" s="141">
        <v>529</v>
      </c>
      <c r="M57" s="141">
        <v>534</v>
      </c>
      <c r="N57" s="141">
        <v>522</v>
      </c>
      <c r="O57" s="141">
        <v>516</v>
      </c>
      <c r="P57" s="141">
        <v>556</v>
      </c>
    </row>
    <row r="58" spans="2:16" s="133" customFormat="1">
      <c r="B58" s="138"/>
      <c r="C58" s="138"/>
      <c r="D58" s="198"/>
      <c r="E58" s="198"/>
      <c r="F58" s="198"/>
      <c r="G58" s="198"/>
      <c r="H58" s="198"/>
      <c r="I58" s="198"/>
      <c r="J58" s="198"/>
      <c r="K58" s="198"/>
      <c r="L58" s="198"/>
      <c r="M58" s="198"/>
      <c r="N58" s="198"/>
      <c r="O58" s="198"/>
    </row>
    <row r="59" spans="2:16">
      <c r="B59" s="153" t="s">
        <v>302</v>
      </c>
      <c r="C59" s="94"/>
      <c r="D59" s="94"/>
      <c r="E59" s="94"/>
      <c r="F59" s="94"/>
      <c r="G59" s="94"/>
      <c r="H59" s="94"/>
      <c r="I59" s="94"/>
      <c r="J59" s="94"/>
      <c r="K59" s="94"/>
      <c r="L59" s="94"/>
      <c r="M59" s="94"/>
      <c r="N59" s="94"/>
      <c r="O59" s="94"/>
      <c r="P59" s="94"/>
    </row>
    <row r="61" spans="2:16">
      <c r="B61" s="90" t="s">
        <v>1127</v>
      </c>
      <c r="D61" s="192">
        <f t="shared" ref="D61:O61" si="13">(D43/D55)*1000</f>
        <v>7.5118067301841132</v>
      </c>
      <c r="E61" s="192">
        <f t="shared" si="13"/>
        <v>10.70464163692985</v>
      </c>
      <c r="F61" s="192">
        <f t="shared" si="13"/>
        <v>8.6756369893086216</v>
      </c>
      <c r="G61" s="192">
        <f t="shared" si="13"/>
        <v>8.9058076127854555</v>
      </c>
      <c r="H61" s="192">
        <f t="shared" si="13"/>
        <v>7.125672262652925</v>
      </c>
      <c r="I61" s="192">
        <f t="shared" si="13"/>
        <v>7.0218685835668371</v>
      </c>
      <c r="J61" s="192">
        <f t="shared" si="13"/>
        <v>7.4726795356559315</v>
      </c>
      <c r="K61" s="192">
        <f t="shared" si="13"/>
        <v>7.786489472456946</v>
      </c>
      <c r="L61" s="192">
        <f t="shared" si="13"/>
        <v>8.1897781205283877</v>
      </c>
      <c r="M61" s="192">
        <f t="shared" si="13"/>
        <v>8.6862594780038336</v>
      </c>
      <c r="N61" s="192">
        <f t="shared" si="13"/>
        <v>9.349498965918416</v>
      </c>
      <c r="O61" s="192">
        <f t="shared" si="13"/>
        <v>9.2807348961583767</v>
      </c>
      <c r="P61" s="192">
        <f t="shared" ref="P61" si="14">(P43/P55)*1000</f>
        <v>9.7172144255747366</v>
      </c>
    </row>
    <row r="62" spans="2:16">
      <c r="B62" s="90" t="s">
        <v>299</v>
      </c>
      <c r="D62" s="192">
        <f t="shared" ref="D62:O62" si="15">(D41/D55)*1000</f>
        <v>7.5118067301841132</v>
      </c>
      <c r="E62" s="192">
        <f t="shared" si="15"/>
        <v>9.6148018637316124</v>
      </c>
      <c r="F62" s="192">
        <f t="shared" si="15"/>
        <v>8.281199862510487</v>
      </c>
      <c r="G62" s="192">
        <f t="shared" si="15"/>
        <v>7.8407312893491783</v>
      </c>
      <c r="H62" s="192">
        <f t="shared" si="15"/>
        <v>7.1156927954067841</v>
      </c>
      <c r="I62" s="192">
        <f t="shared" si="15"/>
        <v>7.0218685835668371</v>
      </c>
      <c r="J62" s="192">
        <f t="shared" si="15"/>
        <v>7.4726795356559315</v>
      </c>
      <c r="K62" s="192">
        <f t="shared" si="15"/>
        <v>7.786489472456946</v>
      </c>
      <c r="L62" s="192">
        <f t="shared" si="15"/>
        <v>8.1897781205283877</v>
      </c>
      <c r="M62" s="192">
        <f t="shared" si="15"/>
        <v>8.6862594780038336</v>
      </c>
      <c r="N62" s="192">
        <f t="shared" si="15"/>
        <v>9.349498965918416</v>
      </c>
      <c r="O62" s="192">
        <f t="shared" si="15"/>
        <v>9.2807348961583767</v>
      </c>
      <c r="P62" s="192">
        <f t="shared" ref="P62" si="16">(P41/P55)*1000</f>
        <v>9.7172144255747366</v>
      </c>
    </row>
    <row r="63" spans="2:16">
      <c r="B63" s="90" t="s">
        <v>300</v>
      </c>
      <c r="D63" s="192">
        <f t="shared" ref="D63:O63" si="17">(D47/D55)*1000</f>
        <v>6.8733183144611258</v>
      </c>
      <c r="E63" s="192">
        <f t="shared" si="17"/>
        <v>8.5562227949467005</v>
      </c>
      <c r="F63" s="192">
        <f t="shared" si="17"/>
        <v>7.3350361743465333</v>
      </c>
      <c r="G63" s="192">
        <f t="shared" si="17"/>
        <v>6.842665612132965</v>
      </c>
      <c r="H63" s="192">
        <f t="shared" si="17"/>
        <v>6.0928022699241362</v>
      </c>
      <c r="I63" s="192">
        <f t="shared" si="17"/>
        <v>6.0310153158726463</v>
      </c>
      <c r="J63" s="192">
        <f t="shared" si="17"/>
        <v>6.2478773983865254</v>
      </c>
      <c r="K63" s="192">
        <f t="shared" si="17"/>
        <v>6.5288816187707166</v>
      </c>
      <c r="L63" s="192">
        <f t="shared" si="17"/>
        <v>6.9181087940400277</v>
      </c>
      <c r="M63" s="192">
        <f t="shared" si="17"/>
        <v>7.2316796742277445</v>
      </c>
      <c r="N63" s="192">
        <f t="shared" si="17"/>
        <v>7.7002620921085025</v>
      </c>
      <c r="O63" s="192">
        <f t="shared" si="17"/>
        <v>7.9786601511535844</v>
      </c>
      <c r="P63" s="192">
        <f t="shared" ref="P63" si="18">(P47/P55)*1000</f>
        <v>8.3219072269043703</v>
      </c>
    </row>
    <row r="64" spans="2:16">
      <c r="B64" s="90" t="s">
        <v>265</v>
      </c>
      <c r="D64" s="170">
        <f t="shared" ref="D64:O64" si="19">D24*1000/D55</f>
        <v>3.0579526060834548</v>
      </c>
      <c r="E64" s="170">
        <f t="shared" si="19"/>
        <v>2.8611928886309554</v>
      </c>
      <c r="F64" s="170">
        <f t="shared" si="19"/>
        <v>1.8358840013712401</v>
      </c>
      <c r="G64" s="170">
        <f t="shared" si="19"/>
        <v>1.7373884718548598</v>
      </c>
      <c r="H64" s="170">
        <f t="shared" si="19"/>
        <v>1.6514355047822438</v>
      </c>
      <c r="I64" s="170">
        <f t="shared" si="19"/>
        <v>1.5025045025872634</v>
      </c>
      <c r="J64" s="170">
        <f t="shared" si="19"/>
        <v>1.6341242097971189</v>
      </c>
      <c r="K64" s="170">
        <f t="shared" si="19"/>
        <v>1.7101908076538399</v>
      </c>
      <c r="L64" s="170">
        <f t="shared" si="19"/>
        <v>1.7060317663763618</v>
      </c>
      <c r="M64" s="170">
        <f t="shared" si="19"/>
        <v>1.8488662378791914</v>
      </c>
      <c r="N64" s="170">
        <f t="shared" si="19"/>
        <v>2.1822023928314667</v>
      </c>
      <c r="O64" s="170">
        <f t="shared" si="19"/>
        <v>2.20769586268647</v>
      </c>
      <c r="P64" s="170">
        <f t="shared" ref="P64" si="20">P24*1000/P55</f>
        <v>2.3582886727150276</v>
      </c>
    </row>
    <row r="65" spans="2:21">
      <c r="B65" s="111" t="s">
        <v>1136</v>
      </c>
      <c r="C65" s="111"/>
      <c r="D65" s="140">
        <f t="shared" ref="D65:O65" si="21">D24/D57*1000</f>
        <v>26969.316596931658</v>
      </c>
      <c r="E65" s="140">
        <f t="shared" si="21"/>
        <v>29302.507836990597</v>
      </c>
      <c r="F65" s="140">
        <f t="shared" si="21"/>
        <v>28566.350710900471</v>
      </c>
      <c r="G65" s="140">
        <f t="shared" si="21"/>
        <v>28630.695443645083</v>
      </c>
      <c r="H65" s="140">
        <f t="shared" si="21"/>
        <v>23090.697674418603</v>
      </c>
      <c r="I65" s="140">
        <f t="shared" si="21"/>
        <v>30231.277533039647</v>
      </c>
      <c r="J65" s="140">
        <f t="shared" si="21"/>
        <v>31919.087136929458</v>
      </c>
      <c r="K65" s="140">
        <f t="shared" si="21"/>
        <v>32812.379110251451</v>
      </c>
      <c r="L65" s="140">
        <f t="shared" si="21"/>
        <v>32810.964083175801</v>
      </c>
      <c r="M65" s="140">
        <f t="shared" si="21"/>
        <v>31559.925093632959</v>
      </c>
      <c r="N65" s="140">
        <f t="shared" si="21"/>
        <v>36511.494252873563</v>
      </c>
      <c r="O65" s="140">
        <f t="shared" si="21"/>
        <v>40687.984496124031</v>
      </c>
      <c r="P65" s="140">
        <f t="shared" ref="P65" si="22">P24/P57*1000</f>
        <v>40778.776978417271</v>
      </c>
    </row>
    <row r="66" spans="2:21">
      <c r="B66" s="111" t="s">
        <v>1135</v>
      </c>
      <c r="C66" s="111"/>
      <c r="D66" s="140">
        <f t="shared" ref="D66:O66" si="23">D55/D57</f>
        <v>8819.4030683403071</v>
      </c>
      <c r="E66" s="140">
        <f t="shared" si="23"/>
        <v>10241.360501567398</v>
      </c>
      <c r="F66" s="140">
        <f t="shared" si="23"/>
        <v>15559.997630331754</v>
      </c>
      <c r="G66" s="140">
        <f t="shared" si="23"/>
        <v>16479.155875299759</v>
      </c>
      <c r="H66" s="140">
        <f t="shared" si="23"/>
        <v>13982.197674418605</v>
      </c>
      <c r="I66" s="140">
        <f t="shared" si="23"/>
        <v>20120.590308370043</v>
      </c>
      <c r="J66" s="140">
        <f t="shared" si="23"/>
        <v>19532.840248962657</v>
      </c>
      <c r="K66" s="140">
        <f t="shared" si="23"/>
        <v>19186.38491295938</v>
      </c>
      <c r="L66" s="140">
        <f t="shared" si="23"/>
        <v>19232.328922495275</v>
      </c>
      <c r="M66" s="140">
        <f t="shared" si="23"/>
        <v>17069.880149812732</v>
      </c>
      <c r="N66" s="140">
        <f t="shared" si="23"/>
        <v>16731.488505747126</v>
      </c>
      <c r="O66" s="140">
        <f t="shared" si="23"/>
        <v>18430.067829457363</v>
      </c>
      <c r="P66" s="140">
        <f t="shared" ref="P66" si="24">P55/P57</f>
        <v>17291.68165467626</v>
      </c>
    </row>
    <row r="67" spans="2:21" s="133" customFormat="1">
      <c r="B67" s="138"/>
      <c r="C67" s="138"/>
      <c r="D67" s="141"/>
      <c r="E67" s="141"/>
      <c r="F67" s="141"/>
      <c r="G67" s="141"/>
      <c r="H67" s="141"/>
      <c r="I67" s="141"/>
      <c r="J67" s="141"/>
      <c r="K67" s="141"/>
      <c r="L67" s="141"/>
      <c r="M67" s="141"/>
      <c r="N67" s="141"/>
      <c r="O67" s="141"/>
      <c r="T67" s="142"/>
      <c r="U67" s="142"/>
    </row>
    <row r="68" spans="2:21">
      <c r="B68" s="153" t="s">
        <v>311</v>
      </c>
      <c r="C68" s="94"/>
      <c r="D68" s="94"/>
      <c r="E68" s="94"/>
      <c r="F68" s="94"/>
      <c r="G68" s="94"/>
      <c r="H68" s="94"/>
      <c r="I68" s="94"/>
      <c r="J68" s="94"/>
      <c r="K68" s="94"/>
      <c r="L68" s="94"/>
      <c r="M68" s="94"/>
      <c r="N68" s="94"/>
      <c r="O68" s="94"/>
      <c r="P68" s="94"/>
      <c r="T68" s="208"/>
      <c r="U68" s="208"/>
    </row>
    <row r="69" spans="2:21">
      <c r="B69" s="111"/>
      <c r="C69" s="111"/>
      <c r="D69" s="141"/>
      <c r="E69" s="141"/>
      <c r="F69" s="141"/>
      <c r="G69" s="141"/>
      <c r="H69" s="141"/>
      <c r="I69" s="141"/>
      <c r="J69" s="141"/>
      <c r="K69" s="141"/>
      <c r="L69" s="141"/>
      <c r="M69" s="141"/>
      <c r="N69" s="141"/>
      <c r="O69" s="141"/>
      <c r="T69" s="208"/>
      <c r="U69" s="208"/>
    </row>
    <row r="70" spans="2:21">
      <c r="B70" s="138" t="s">
        <v>21</v>
      </c>
      <c r="D70" s="213">
        <f>VLOOKUP(D15,RPI!$B$54:$C$107,2,FALSE)</f>
        <v>171.31666666666663</v>
      </c>
      <c r="E70" s="213">
        <f>VLOOKUP(E15,RPI!$B$54:$C$107,2,FALSE)</f>
        <v>173.875</v>
      </c>
      <c r="F70" s="213">
        <f>VLOOKUP(F15,RPI!$B$54:$C$107,2,FALSE)</f>
        <v>177.51666666666665</v>
      </c>
      <c r="G70" s="213">
        <f>VLOOKUP(G15,RPI!$B$54:$C$107,2,FALSE)</f>
        <v>182.47499999999999</v>
      </c>
      <c r="H70" s="213">
        <f>VLOOKUP(H15,RPI!$B$54:$C$109,2,FALSE)</f>
        <v>187.64444444444445</v>
      </c>
      <c r="I70" s="213">
        <f>VLOOKUP(I15,RPI!$B$54:$C$107,2,FALSE)</f>
        <v>191.97499999999999</v>
      </c>
      <c r="J70" s="213">
        <f>VLOOKUP(J15,RPI!$B$54:$C$107,2,FALSE)</f>
        <v>198.10833333333332</v>
      </c>
      <c r="K70" s="213">
        <f>VLOOKUP(K15,RPI!$B$54:$C$107,2,FALSE)</f>
        <v>206.57499999999996</v>
      </c>
      <c r="L70" s="213">
        <f>VLOOKUP(L15,RPI!$B$54:$C$107,2,FALSE)</f>
        <v>214.82500000000002</v>
      </c>
      <c r="M70" s="213">
        <f>VLOOKUP(M15,RPI!$B$54:$C$107,2,FALSE)</f>
        <v>213.68333333333337</v>
      </c>
      <c r="N70" s="213">
        <f>VLOOKUP(N15,RPI!$B$54:$C$107,2,FALSE)</f>
        <v>223.55833333333331</v>
      </c>
      <c r="O70" s="213">
        <f>VLOOKUP(O15,RPI!$B$54:$C$107,2,FALSE)</f>
        <v>235.18333333333331</v>
      </c>
      <c r="P70" s="213">
        <f>VLOOKUP(P15,RPI!$B$54:$C$107,2,FALSE)</f>
        <v>242.72499999999999</v>
      </c>
    </row>
    <row r="71" spans="2:21">
      <c r="B71" s="138" t="s">
        <v>1048</v>
      </c>
      <c r="D71" s="214">
        <f>RPI!$R$44</f>
        <v>237.3416666666667</v>
      </c>
      <c r="E71" s="214">
        <f>RPI!$R$44</f>
        <v>237.3416666666667</v>
      </c>
      <c r="F71" s="214">
        <f>RPI!$R$44</f>
        <v>237.3416666666667</v>
      </c>
      <c r="G71" s="214">
        <f>RPI!$R$44</f>
        <v>237.3416666666667</v>
      </c>
      <c r="H71" s="214">
        <f>RPI!$R$44</f>
        <v>237.3416666666667</v>
      </c>
      <c r="I71" s="214">
        <f>RPI!$R$44</f>
        <v>237.3416666666667</v>
      </c>
      <c r="J71" s="214">
        <f>RPI!$R$44</f>
        <v>237.3416666666667</v>
      </c>
      <c r="K71" s="214">
        <f>RPI!$R$44</f>
        <v>237.3416666666667</v>
      </c>
      <c r="L71" s="214">
        <f>RPI!$R$44</f>
        <v>237.3416666666667</v>
      </c>
      <c r="M71" s="214">
        <f>RPI!$R$44</f>
        <v>237.3416666666667</v>
      </c>
      <c r="N71" s="214">
        <f>RPI!$R$44</f>
        <v>237.3416666666667</v>
      </c>
      <c r="O71" s="214">
        <f>RPI!$R$44</f>
        <v>237.3416666666667</v>
      </c>
      <c r="P71" s="214">
        <f>RPI!$R$44</f>
        <v>237.3416666666667</v>
      </c>
    </row>
    <row r="72" spans="2:21">
      <c r="B72" s="138" t="s">
        <v>304</v>
      </c>
      <c r="D72" s="214">
        <f t="shared" ref="D72:O72" si="25">D71/D70</f>
        <v>1.3853974121996309</v>
      </c>
      <c r="E72" s="214">
        <f t="shared" si="25"/>
        <v>1.3650131799664511</v>
      </c>
      <c r="F72" s="214">
        <f t="shared" si="25"/>
        <v>1.3370106093324574</v>
      </c>
      <c r="G72" s="214">
        <f t="shared" si="25"/>
        <v>1.3006804585102985</v>
      </c>
      <c r="H72" s="214">
        <f t="shared" si="25"/>
        <v>1.2648478209379443</v>
      </c>
      <c r="I72" s="214">
        <f t="shared" si="25"/>
        <v>1.2363154924686377</v>
      </c>
      <c r="J72" s="214">
        <f t="shared" si="25"/>
        <v>1.1980397930425275</v>
      </c>
      <c r="K72" s="214">
        <f t="shared" si="25"/>
        <v>1.1489370285207152</v>
      </c>
      <c r="L72" s="214">
        <f t="shared" si="25"/>
        <v>1.104813995888126</v>
      </c>
      <c r="M72" s="214">
        <f t="shared" si="25"/>
        <v>1.1107167927618751</v>
      </c>
      <c r="N72" s="214">
        <f t="shared" si="25"/>
        <v>1.0616543035002053</v>
      </c>
      <c r="O72" s="214">
        <f t="shared" si="25"/>
        <v>1.0091772376160444</v>
      </c>
      <c r="P72" s="214">
        <f t="shared" ref="P72" si="26">P71/P70</f>
        <v>0.97782126549249848</v>
      </c>
    </row>
    <row r="73" spans="2:21">
      <c r="B73" s="111"/>
      <c r="C73" s="111"/>
      <c r="D73" s="141"/>
      <c r="E73" s="141"/>
      <c r="F73" s="141"/>
      <c r="G73" s="141"/>
      <c r="H73" s="141"/>
      <c r="I73" s="141"/>
      <c r="J73" s="141"/>
      <c r="K73" s="141"/>
      <c r="L73" s="141"/>
      <c r="M73" s="141"/>
      <c r="N73" s="141"/>
      <c r="O73" s="141"/>
      <c r="P73" s="141"/>
    </row>
    <row r="74" spans="2:21">
      <c r="B74" s="111" t="str">
        <f>B24</f>
        <v>Staff Costs Total</v>
      </c>
      <c r="C74" s="111"/>
      <c r="D74" s="159">
        <f t="shared" ref="D74:O74" si="27">D24*D$72</f>
        <v>26789.429759704261</v>
      </c>
      <c r="E74" s="159">
        <f t="shared" si="27"/>
        <v>25518.921399472805</v>
      </c>
      <c r="F74" s="159">
        <f t="shared" si="27"/>
        <v>16117.662895502774</v>
      </c>
      <c r="G74" s="159">
        <f t="shared" si="27"/>
        <v>15528.823994154453</v>
      </c>
      <c r="H74" s="159">
        <f t="shared" si="27"/>
        <v>12558.674014092849</v>
      </c>
      <c r="I74" s="159">
        <f t="shared" si="27"/>
        <v>16968.430134132053</v>
      </c>
      <c r="J74" s="159">
        <f t="shared" si="27"/>
        <v>18431.842215959285</v>
      </c>
      <c r="K74" s="159">
        <f t="shared" si="27"/>
        <v>19490.567751825412</v>
      </c>
      <c r="L74" s="159">
        <f t="shared" si="27"/>
        <v>19176.256526630204</v>
      </c>
      <c r="M74" s="159">
        <f t="shared" si="27"/>
        <v>18718.910108415879</v>
      </c>
      <c r="N74" s="159">
        <f t="shared" si="27"/>
        <v>20234.069370410412</v>
      </c>
      <c r="O74" s="159">
        <f t="shared" si="27"/>
        <v>21187.67610374885</v>
      </c>
      <c r="P74" s="159">
        <f t="shared" ref="P74" si="28">P24*P$72</f>
        <v>22170.141552511417</v>
      </c>
    </row>
    <row r="75" spans="2:21">
      <c r="B75" s="111" t="str">
        <f>B29</f>
        <v>Depreciation Total</v>
      </c>
      <c r="C75" s="111"/>
      <c r="D75" s="159">
        <f t="shared" ref="D75:O75" si="29">D29*D$72</f>
        <v>5342.0924214417764</v>
      </c>
      <c r="E75" s="159">
        <f t="shared" si="29"/>
        <v>9077.3376467768994</v>
      </c>
      <c r="F75" s="159">
        <f t="shared" si="29"/>
        <v>8149.0796638813281</v>
      </c>
      <c r="G75" s="159">
        <f t="shared" si="29"/>
        <v>8830.3196328264166</v>
      </c>
      <c r="H75" s="159">
        <f t="shared" si="29"/>
        <v>7653.594164495501</v>
      </c>
      <c r="I75" s="159">
        <f t="shared" si="29"/>
        <v>10997.026305508532</v>
      </c>
      <c r="J75" s="159">
        <f t="shared" si="29"/>
        <v>13485.13591048669</v>
      </c>
      <c r="K75" s="159">
        <f t="shared" si="29"/>
        <v>13705.669813223612</v>
      </c>
      <c r="L75" s="159">
        <f t="shared" si="29"/>
        <v>13625.671011288257</v>
      </c>
      <c r="M75" s="159">
        <f t="shared" si="29"/>
        <v>13705.134505888776</v>
      </c>
      <c r="N75" s="159">
        <f t="shared" si="29"/>
        <v>13838.663846125175</v>
      </c>
      <c r="O75" s="159">
        <f t="shared" si="29"/>
        <v>11481.409432357737</v>
      </c>
      <c r="P75" s="159">
        <f t="shared" ref="P75" si="30">P29*P$72</f>
        <v>11570.559034572734</v>
      </c>
    </row>
    <row r="76" spans="2:21">
      <c r="B76" s="111" t="str">
        <f>B32</f>
        <v>Other Costs Total</v>
      </c>
      <c r="C76" s="111"/>
      <c r="D76" s="159">
        <f t="shared" ref="D76:O76" si="31">D32*D$72</f>
        <v>0</v>
      </c>
      <c r="E76" s="159">
        <f t="shared" si="31"/>
        <v>0</v>
      </c>
      <c r="F76" s="159">
        <f t="shared" si="31"/>
        <v>0</v>
      </c>
      <c r="G76" s="159">
        <f t="shared" si="31"/>
        <v>0</v>
      </c>
      <c r="H76" s="159">
        <f t="shared" si="31"/>
        <v>69.566630151586935</v>
      </c>
      <c r="I76" s="159">
        <f t="shared" si="31"/>
        <v>63.052090115900526</v>
      </c>
      <c r="J76" s="159">
        <f t="shared" si="31"/>
        <v>-28.752955033020662</v>
      </c>
      <c r="K76" s="159">
        <f t="shared" si="31"/>
        <v>51.702166283432184</v>
      </c>
      <c r="L76" s="159">
        <f t="shared" si="31"/>
        <v>17.677023934210016</v>
      </c>
      <c r="M76" s="159">
        <f t="shared" si="31"/>
        <v>17.771468684190001</v>
      </c>
      <c r="N76" s="159">
        <f t="shared" si="31"/>
        <v>196.40604614753798</v>
      </c>
      <c r="O76" s="159">
        <f t="shared" si="31"/>
        <v>0</v>
      </c>
      <c r="P76" s="159">
        <f t="shared" ref="P76" si="32">P32*P$72</f>
        <v>0</v>
      </c>
    </row>
    <row r="77" spans="2:21">
      <c r="B77" s="111" t="str">
        <f>B35</f>
        <v>Exceptional Items Total</v>
      </c>
      <c r="C77" s="111"/>
      <c r="D77" s="159">
        <f t="shared" ref="D77:O77" si="33">D35*D$72</f>
        <v>0</v>
      </c>
      <c r="E77" s="159">
        <f t="shared" si="33"/>
        <v>9720.2588545410981</v>
      </c>
      <c r="F77" s="159">
        <f t="shared" si="33"/>
        <v>3462.8574781710645</v>
      </c>
      <c r="G77" s="159">
        <f t="shared" si="33"/>
        <v>9519.680275836874</v>
      </c>
      <c r="H77" s="159">
        <f t="shared" si="33"/>
        <v>75.890869256276659</v>
      </c>
      <c r="I77" s="159">
        <f t="shared" si="33"/>
        <v>0</v>
      </c>
      <c r="J77" s="159">
        <f t="shared" si="33"/>
        <v>0</v>
      </c>
      <c r="K77" s="159">
        <f t="shared" si="33"/>
        <v>0</v>
      </c>
      <c r="L77" s="159">
        <f t="shared" si="33"/>
        <v>0</v>
      </c>
      <c r="M77" s="159">
        <f t="shared" si="33"/>
        <v>0</v>
      </c>
      <c r="N77" s="159">
        <f t="shared" si="33"/>
        <v>0</v>
      </c>
      <c r="O77" s="159">
        <f t="shared" si="33"/>
        <v>0</v>
      </c>
      <c r="P77" s="159">
        <f t="shared" ref="P77" si="34">P35*P$72</f>
        <v>0</v>
      </c>
    </row>
    <row r="78" spans="2:21">
      <c r="B78" s="111" t="str">
        <f>B37</f>
        <v>Grand Total</v>
      </c>
      <c r="C78" s="111"/>
      <c r="D78" s="159">
        <f t="shared" ref="D78:O78" si="35">D37*D$72</f>
        <v>32131.52218114604</v>
      </c>
      <c r="E78" s="159">
        <f t="shared" si="35"/>
        <v>44316.517900790801</v>
      </c>
      <c r="F78" s="159">
        <f t="shared" si="35"/>
        <v>27729.600037555167</v>
      </c>
      <c r="G78" s="159">
        <f t="shared" si="35"/>
        <v>33878.823902817741</v>
      </c>
      <c r="H78" s="159">
        <f t="shared" si="35"/>
        <v>20357.725677996215</v>
      </c>
      <c r="I78" s="159">
        <f t="shared" si="35"/>
        <v>28028.508529756484</v>
      </c>
      <c r="J78" s="159">
        <f t="shared" si="35"/>
        <v>31888.225171412956</v>
      </c>
      <c r="K78" s="159">
        <f t="shared" si="35"/>
        <v>33247.939731332459</v>
      </c>
      <c r="L78" s="159">
        <f t="shared" si="35"/>
        <v>32819.60456185267</v>
      </c>
      <c r="M78" s="159">
        <f t="shared" si="35"/>
        <v>32441.816082988847</v>
      </c>
      <c r="N78" s="159">
        <f t="shared" si="35"/>
        <v>34269.139262683129</v>
      </c>
      <c r="O78" s="159">
        <f t="shared" si="35"/>
        <v>32669.085536106588</v>
      </c>
      <c r="P78" s="159">
        <f t="shared" ref="P78" si="36">P37*P$72</f>
        <v>33740.700587084153</v>
      </c>
    </row>
    <row r="79" spans="2:21">
      <c r="B79" s="111" t="str">
        <f>B39</f>
        <v>Cost Residual (Ordinary Opex - Elements)</v>
      </c>
      <c r="C79" s="111"/>
      <c r="D79" s="159">
        <f t="shared" ref="D79:O79" si="37">D39*D$72</f>
        <v>33676.240295748627</v>
      </c>
      <c r="E79" s="159">
        <f t="shared" si="37"/>
        <v>51157.963958782653</v>
      </c>
      <c r="F79" s="159">
        <f t="shared" si="37"/>
        <v>48435.883344286936</v>
      </c>
      <c r="G79" s="159">
        <f t="shared" si="37"/>
        <v>45721.519477554015</v>
      </c>
      <c r="H79" s="159">
        <f t="shared" si="37"/>
        <v>33830.8846666272</v>
      </c>
      <c r="I79" s="159">
        <f t="shared" si="37"/>
        <v>51272.476103659341</v>
      </c>
      <c r="J79" s="159">
        <f t="shared" si="37"/>
        <v>52398.666428301025</v>
      </c>
      <c r="K79" s="159">
        <f t="shared" si="37"/>
        <v>55492.509540522027</v>
      </c>
      <c r="L79" s="159">
        <f t="shared" si="37"/>
        <v>59235.707203537764</v>
      </c>
      <c r="M79" s="159">
        <f t="shared" si="37"/>
        <v>55502.5181343109</v>
      </c>
      <c r="N79" s="159">
        <f t="shared" si="37"/>
        <v>52422.36619823314</v>
      </c>
      <c r="O79" s="159">
        <f t="shared" si="37"/>
        <v>56399.888278647872</v>
      </c>
      <c r="P79" s="159">
        <f t="shared" ref="P79" si="38">P39*P$72</f>
        <v>57610.295499021537</v>
      </c>
    </row>
    <row r="80" spans="2:21">
      <c r="B80" s="111"/>
      <c r="C80" s="111"/>
      <c r="D80" s="141"/>
      <c r="E80" s="141"/>
      <c r="F80" s="141"/>
      <c r="G80" s="141"/>
      <c r="H80" s="141"/>
      <c r="I80" s="141"/>
      <c r="J80" s="141"/>
      <c r="K80" s="141"/>
      <c r="L80" s="141"/>
      <c r="M80" s="141"/>
      <c r="N80" s="141"/>
      <c r="O80" s="141"/>
      <c r="P80" s="141"/>
    </row>
    <row r="81" spans="1:16">
      <c r="B81" s="111" t="str">
        <f>B41</f>
        <v>Ordinary Opex (per accounts - including staff, depreciation and other, excluding exceptional)</v>
      </c>
      <c r="C81" s="111"/>
      <c r="D81" s="159">
        <f t="shared" ref="D81:O81" si="39">D41*D$72</f>
        <v>65807.76247689467</v>
      </c>
      <c r="E81" s="159">
        <f t="shared" si="39"/>
        <v>85754.223005032356</v>
      </c>
      <c r="F81" s="159">
        <f t="shared" si="39"/>
        <v>72702.62590367104</v>
      </c>
      <c r="G81" s="159">
        <f t="shared" si="39"/>
        <v>70080.663104534877</v>
      </c>
      <c r="H81" s="159">
        <f t="shared" si="39"/>
        <v>54112.719475367136</v>
      </c>
      <c r="I81" s="159">
        <f t="shared" si="39"/>
        <v>79300.984633415821</v>
      </c>
      <c r="J81" s="159">
        <f t="shared" si="39"/>
        <v>84286.891599713985</v>
      </c>
      <c r="K81" s="159">
        <f t="shared" si="39"/>
        <v>88740.449271854479</v>
      </c>
      <c r="L81" s="159">
        <f t="shared" si="39"/>
        <v>92055.311765390434</v>
      </c>
      <c r="M81" s="159">
        <f t="shared" si="39"/>
        <v>87944.334217299751</v>
      </c>
      <c r="N81" s="159">
        <f t="shared" si="39"/>
        <v>86691.505460916262</v>
      </c>
      <c r="O81" s="159">
        <f t="shared" si="39"/>
        <v>89068.973814754456</v>
      </c>
      <c r="P81" s="159">
        <f t="shared" ref="P81" si="40">P41*P$72</f>
        <v>91350.99608610569</v>
      </c>
    </row>
    <row r="82" spans="1:16">
      <c r="B82" s="111"/>
      <c r="C82" s="111"/>
      <c r="D82" s="141"/>
      <c r="E82" s="141"/>
      <c r="F82" s="141"/>
      <c r="G82" s="141"/>
      <c r="H82" s="141"/>
      <c r="I82" s="141"/>
      <c r="J82" s="141"/>
      <c r="K82" s="141"/>
      <c r="L82" s="141"/>
      <c r="M82" s="141"/>
      <c r="N82" s="141"/>
      <c r="O82" s="141"/>
      <c r="P82" s="141"/>
    </row>
    <row r="83" spans="1:16">
      <c r="B83" s="111" t="str">
        <f>B43</f>
        <v>Total Opex (ordinary + exceptional)</v>
      </c>
      <c r="C83" s="111"/>
      <c r="D83" s="159">
        <f t="shared" ref="D83:O83" si="41">D43*D$72</f>
        <v>65807.76247689467</v>
      </c>
      <c r="E83" s="159">
        <f t="shared" si="41"/>
        <v>95474.481859573454</v>
      </c>
      <c r="F83" s="159">
        <f t="shared" si="41"/>
        <v>76165.483381842103</v>
      </c>
      <c r="G83" s="159">
        <f t="shared" si="41"/>
        <v>79600.343380371749</v>
      </c>
      <c r="H83" s="159">
        <f t="shared" si="41"/>
        <v>54188.610344623412</v>
      </c>
      <c r="I83" s="159">
        <f t="shared" si="41"/>
        <v>79300.984633415821</v>
      </c>
      <c r="J83" s="159">
        <f t="shared" si="41"/>
        <v>84286.891599713985</v>
      </c>
      <c r="K83" s="159">
        <f t="shared" si="41"/>
        <v>88740.449271854479</v>
      </c>
      <c r="L83" s="159">
        <f t="shared" si="41"/>
        <v>92055.311765390434</v>
      </c>
      <c r="M83" s="159">
        <f t="shared" si="41"/>
        <v>87944.334217299751</v>
      </c>
      <c r="N83" s="159">
        <f t="shared" si="41"/>
        <v>86691.505460916262</v>
      </c>
      <c r="O83" s="159">
        <f t="shared" si="41"/>
        <v>89068.973814754456</v>
      </c>
      <c r="P83" s="159">
        <f t="shared" ref="P83" si="42">P43*P$72</f>
        <v>91350.99608610569</v>
      </c>
    </row>
    <row r="84" spans="1:16">
      <c r="B84" s="111"/>
      <c r="C84" s="111"/>
      <c r="D84" s="141"/>
      <c r="E84" s="141"/>
      <c r="F84" s="141"/>
      <c r="G84" s="141"/>
      <c r="H84" s="141"/>
      <c r="I84" s="141"/>
      <c r="J84" s="141"/>
      <c r="K84" s="141"/>
      <c r="L84" s="141"/>
      <c r="M84" s="141"/>
      <c r="N84" s="141"/>
      <c r="O84" s="141"/>
      <c r="P84" s="141"/>
    </row>
    <row r="85" spans="1:16">
      <c r="A85" s="134"/>
      <c r="B85" s="111" t="str">
        <f>B47</f>
        <v>Adjusted Ordinary Opex (ordinary opex - depreciation - ANS - retail)</v>
      </c>
      <c r="C85" s="111"/>
      <c r="D85" s="159">
        <f t="shared" ref="D85:O85" si="43">D47*D$72</f>
        <v>60214.235444667989</v>
      </c>
      <c r="E85" s="159">
        <f t="shared" si="43"/>
        <v>76312.777739741257</v>
      </c>
      <c r="F85" s="159">
        <f t="shared" si="43"/>
        <v>64396.029540065341</v>
      </c>
      <c r="G85" s="159">
        <f t="shared" si="43"/>
        <v>61159.92575236952</v>
      </c>
      <c r="H85" s="159">
        <f t="shared" si="43"/>
        <v>46333.942390557771</v>
      </c>
      <c r="I85" s="159">
        <f t="shared" si="43"/>
        <v>68110.852146562378</v>
      </c>
      <c r="J85" s="159">
        <f t="shared" si="43"/>
        <v>70471.932121987265</v>
      </c>
      <c r="K85" s="159">
        <f t="shared" si="43"/>
        <v>74407.843244620715</v>
      </c>
      <c r="L85" s="159">
        <f t="shared" si="43"/>
        <v>77761.406046633638</v>
      </c>
      <c r="M85" s="159">
        <f t="shared" si="43"/>
        <v>73217.390734554952</v>
      </c>
      <c r="N85" s="159">
        <f t="shared" si="43"/>
        <v>71399.260606574811</v>
      </c>
      <c r="O85" s="159">
        <f t="shared" si="43"/>
        <v>76572.715418698906</v>
      </c>
      <c r="P85" s="159">
        <f t="shared" ref="P85" si="44">P47*P$72</f>
        <v>78233.790180966593</v>
      </c>
    </row>
    <row r="86" spans="1:16">
      <c r="B86" s="111"/>
      <c r="C86" s="111"/>
      <c r="D86" s="141"/>
      <c r="E86" s="141"/>
      <c r="F86" s="141"/>
      <c r="G86" s="141"/>
      <c r="H86" s="141"/>
      <c r="I86" s="141"/>
      <c r="J86" s="141"/>
      <c r="K86" s="141"/>
      <c r="L86" s="141"/>
      <c r="M86" s="141"/>
      <c r="N86" s="141"/>
      <c r="O86" s="141"/>
      <c r="P86" s="141"/>
    </row>
    <row r="87" spans="1:16">
      <c r="B87" s="111" t="str">
        <f>B49</f>
        <v>Turnover (per accounts)</v>
      </c>
      <c r="C87" s="111"/>
      <c r="D87" s="159">
        <f t="shared" ref="D87:O87" si="45">D49*D$72</f>
        <v>70513.957486136816</v>
      </c>
      <c r="E87" s="159">
        <f t="shared" si="45"/>
        <v>77635.124610591913</v>
      </c>
      <c r="F87" s="159">
        <f t="shared" si="45"/>
        <v>87852.293118017114</v>
      </c>
      <c r="G87" s="159">
        <f t="shared" si="45"/>
        <v>90025.297255331796</v>
      </c>
      <c r="H87" s="159">
        <f t="shared" si="45"/>
        <v>69364.254500236872</v>
      </c>
      <c r="I87" s="159">
        <f t="shared" si="45"/>
        <v>95222.255545426946</v>
      </c>
      <c r="J87" s="159">
        <f t="shared" si="45"/>
        <v>98445.325873890572</v>
      </c>
      <c r="K87" s="159">
        <f t="shared" si="45"/>
        <v>107684.12299810404</v>
      </c>
      <c r="L87" s="159">
        <f t="shared" si="45"/>
        <v>115238.72865510687</v>
      </c>
      <c r="M87" s="159">
        <f t="shared" si="45"/>
        <v>109433.37200686375</v>
      </c>
      <c r="N87" s="159">
        <f t="shared" si="45"/>
        <v>108487.26831177548</v>
      </c>
      <c r="O87" s="159">
        <f t="shared" si="45"/>
        <v>113090.41960172917</v>
      </c>
      <c r="P87" s="159">
        <f t="shared" ref="P87" si="46">P49*P$72</f>
        <v>115244.05870841489</v>
      </c>
    </row>
    <row r="88" spans="1:16">
      <c r="B88" s="111"/>
      <c r="C88" s="111"/>
      <c r="D88" s="141"/>
      <c r="E88" s="141"/>
      <c r="F88" s="141"/>
      <c r="G88" s="141"/>
      <c r="H88" s="141"/>
      <c r="I88" s="141"/>
      <c r="J88" s="141"/>
      <c r="K88" s="141"/>
      <c r="L88" s="141"/>
      <c r="M88" s="141"/>
      <c r="N88" s="141"/>
      <c r="O88" s="141"/>
      <c r="P88" s="141"/>
    </row>
    <row r="89" spans="1:16">
      <c r="B89" s="111" t="str">
        <f>B51</f>
        <v>Ordinary Profit (pre-exceptional)</v>
      </c>
      <c r="C89" s="111"/>
      <c r="D89" s="159">
        <f t="shared" ref="D89:O89" si="47">D51*D$72</f>
        <v>4706.1950092421457</v>
      </c>
      <c r="E89" s="159">
        <f t="shared" si="47"/>
        <v>-8119.0983944404516</v>
      </c>
      <c r="F89" s="159">
        <f t="shared" si="47"/>
        <v>15149.667214346075</v>
      </c>
      <c r="G89" s="159">
        <f t="shared" si="47"/>
        <v>19944.634150796915</v>
      </c>
      <c r="H89" s="159">
        <f t="shared" si="47"/>
        <v>15251.535024869732</v>
      </c>
      <c r="I89" s="159">
        <f t="shared" si="47"/>
        <v>15921.270912011116</v>
      </c>
      <c r="J89" s="159">
        <f t="shared" si="47"/>
        <v>14158.43427417659</v>
      </c>
      <c r="K89" s="159">
        <f t="shared" si="47"/>
        <v>18943.673726249552</v>
      </c>
      <c r="L89" s="159">
        <f t="shared" si="47"/>
        <v>23183.416889716435</v>
      </c>
      <c r="M89" s="159">
        <f t="shared" si="47"/>
        <v>21489.037789563998</v>
      </c>
      <c r="N89" s="159">
        <f t="shared" si="47"/>
        <v>21795.762850859213</v>
      </c>
      <c r="O89" s="159">
        <f t="shared" si="47"/>
        <v>24021.445786974706</v>
      </c>
      <c r="P89" s="159">
        <f t="shared" ref="P89" si="48">P51*P$72</f>
        <v>23893.0626223092</v>
      </c>
    </row>
    <row r="90" spans="1:16">
      <c r="B90" s="111"/>
      <c r="C90" s="111"/>
      <c r="D90" s="193"/>
      <c r="E90" s="193"/>
      <c r="F90" s="193"/>
      <c r="G90" s="193"/>
      <c r="H90" s="193"/>
      <c r="I90" s="193"/>
      <c r="J90" s="193"/>
      <c r="K90" s="193"/>
      <c r="L90" s="193"/>
      <c r="M90" s="193"/>
      <c r="N90" s="193"/>
      <c r="O90" s="193"/>
      <c r="P90" s="193"/>
    </row>
    <row r="91" spans="1:16">
      <c r="B91" s="111" t="str">
        <f>B53</f>
        <v>Ordinary Profit Margin</v>
      </c>
      <c r="C91" s="111"/>
      <c r="D91" s="162">
        <f>D89/D87</f>
        <v>6.6741325788832559E-2</v>
      </c>
      <c r="E91" s="162">
        <f t="shared" ref="E91:O91" si="49">E89/E87</f>
        <v>-0.10458021978021978</v>
      </c>
      <c r="F91" s="162">
        <f t="shared" si="49"/>
        <v>0.17244475558531686</v>
      </c>
      <c r="G91" s="162">
        <f t="shared" si="49"/>
        <v>0.22154477417863438</v>
      </c>
      <c r="H91" s="162">
        <f t="shared" si="49"/>
        <v>0.21987600291757839</v>
      </c>
      <c r="I91" s="162">
        <f t="shared" si="49"/>
        <v>0.16720115293231716</v>
      </c>
      <c r="J91" s="162">
        <f t="shared" si="49"/>
        <v>0.14382027941391229</v>
      </c>
      <c r="K91" s="162">
        <f t="shared" si="49"/>
        <v>0.17591891170978927</v>
      </c>
      <c r="L91" s="162">
        <f t="shared" si="49"/>
        <v>0.20117730523651564</v>
      </c>
      <c r="M91" s="162">
        <f t="shared" si="49"/>
        <v>0.19636640446587159</v>
      </c>
      <c r="N91" s="162">
        <f t="shared" si="49"/>
        <v>0.20090618180394765</v>
      </c>
      <c r="O91" s="162">
        <f t="shared" si="49"/>
        <v>0.21240920204886582</v>
      </c>
      <c r="P91" s="162">
        <f t="shared" ref="P91" si="50">P89/P87</f>
        <v>0.20732576490352797</v>
      </c>
    </row>
    <row r="92" spans="1:16" s="134" customFormat="1">
      <c r="B92" s="168"/>
      <c r="C92" s="168"/>
      <c r="D92" s="161"/>
      <c r="E92" s="161"/>
      <c r="F92" s="161"/>
      <c r="G92" s="161"/>
      <c r="H92" s="161"/>
      <c r="I92" s="161"/>
      <c r="J92" s="161"/>
      <c r="K92" s="161"/>
      <c r="L92" s="161"/>
      <c r="M92" s="161"/>
      <c r="N92" s="161"/>
      <c r="O92" s="161"/>
    </row>
    <row r="93" spans="1:16" s="134" customFormat="1">
      <c r="B93" s="153" t="s">
        <v>303</v>
      </c>
      <c r="C93" s="94"/>
      <c r="D93" s="94"/>
      <c r="E93" s="94"/>
      <c r="F93" s="94"/>
      <c r="G93" s="94"/>
      <c r="H93" s="94"/>
      <c r="I93" s="94"/>
      <c r="J93" s="94"/>
      <c r="K93" s="94"/>
      <c r="L93" s="94"/>
      <c r="M93" s="94"/>
      <c r="N93" s="94"/>
      <c r="O93" s="94"/>
      <c r="P93" s="94"/>
    </row>
    <row r="94" spans="1:16" s="134" customFormat="1">
      <c r="B94" s="90"/>
      <c r="C94" s="90"/>
      <c r="D94" s="90"/>
      <c r="E94" s="90"/>
      <c r="F94" s="90"/>
      <c r="G94" s="90"/>
      <c r="H94" s="90"/>
      <c r="I94" s="90"/>
      <c r="J94" s="90"/>
      <c r="K94" s="90"/>
      <c r="L94" s="90"/>
      <c r="M94" s="90"/>
      <c r="N94" s="90"/>
      <c r="O94" s="90"/>
    </row>
    <row r="95" spans="1:16" s="134" customFormat="1">
      <c r="B95" s="90" t="s">
        <v>1127</v>
      </c>
      <c r="C95" s="90"/>
      <c r="D95" s="209">
        <f>(D83/D55)*1000</f>
        <v>10.40683760494084</v>
      </c>
      <c r="E95" s="209">
        <f>(E83/E55)*1000</f>
        <v>14.611976921226892</v>
      </c>
      <c r="F95" s="209">
        <f>(F83/F55)*1000</f>
        <v>11.599418697422728</v>
      </c>
      <c r="G95" s="209">
        <f>(G83/G55)*1000</f>
        <v>11.583609929202293</v>
      </c>
      <c r="H95" s="209">
        <f t="shared" ref="H95:O95" si="51">(H83/H55)*1000</f>
        <v>9.012891034134503</v>
      </c>
      <c r="I95" s="209">
        <f t="shared" si="51"/>
        <v>8.6812449159424894</v>
      </c>
      <c r="J95" s="209">
        <f t="shared" si="51"/>
        <v>8.9525674443703629</v>
      </c>
      <c r="K95" s="209">
        <f t="shared" si="51"/>
        <v>8.9461860770925146</v>
      </c>
      <c r="L95" s="209">
        <f t="shared" si="51"/>
        <v>9.0481814907781128</v>
      </c>
      <c r="M95" s="209">
        <f t="shared" si="51"/>
        <v>9.6479742685058589</v>
      </c>
      <c r="N95" s="209">
        <f t="shared" si="51"/>
        <v>9.9259358127380057</v>
      </c>
      <c r="O95" s="209">
        <f t="shared" si="51"/>
        <v>9.3659064055519377</v>
      </c>
      <c r="P95" s="209">
        <f t="shared" ref="P95" si="52">(P83/P55)*1000</f>
        <v>9.5016989066774507</v>
      </c>
    </row>
    <row r="96" spans="1:16" s="134" customFormat="1">
      <c r="B96" s="90" t="s">
        <v>299</v>
      </c>
      <c r="C96" s="90"/>
      <c r="D96" s="209">
        <f t="shared" ref="D96:O96" si="53">(D81/D55)*1000</f>
        <v>10.40683760494084</v>
      </c>
      <c r="E96" s="209">
        <f t="shared" si="53"/>
        <v>13.124331266759651</v>
      </c>
      <c r="F96" s="209">
        <f t="shared" si="53"/>
        <v>11.072052074179009</v>
      </c>
      <c r="G96" s="209">
        <f t="shared" si="53"/>
        <v>10.198285968486733</v>
      </c>
      <c r="H96" s="209">
        <f t="shared" si="53"/>
        <v>9.0002685267341018</v>
      </c>
      <c r="I96" s="209">
        <f t="shared" si="53"/>
        <v>8.6812449159424894</v>
      </c>
      <c r="J96" s="209">
        <f t="shared" si="53"/>
        <v>8.9525674443703629</v>
      </c>
      <c r="K96" s="209">
        <f t="shared" si="53"/>
        <v>8.9461860770925146</v>
      </c>
      <c r="L96" s="209">
        <f t="shared" si="53"/>
        <v>9.0481814907781128</v>
      </c>
      <c r="M96" s="209">
        <f t="shared" si="53"/>
        <v>9.6479742685058589</v>
      </c>
      <c r="N96" s="209">
        <f t="shared" si="53"/>
        <v>9.9259358127380057</v>
      </c>
      <c r="O96" s="209">
        <f t="shared" si="53"/>
        <v>9.3659064055519377</v>
      </c>
      <c r="P96" s="209">
        <f t="shared" ref="P96" si="54">(P81/P55)*1000</f>
        <v>9.5016989066774507</v>
      </c>
    </row>
    <row r="97" spans="2:16" s="134" customFormat="1">
      <c r="B97" s="90" t="s">
        <v>300</v>
      </c>
      <c r="C97" s="90"/>
      <c r="D97" s="209">
        <f t="shared" ref="D97:O97" si="55">(D85/D55)*1000</f>
        <v>9.5222774060787714</v>
      </c>
      <c r="E97" s="209">
        <f t="shared" si="55"/>
        <v>11.679356885831632</v>
      </c>
      <c r="F97" s="209">
        <f t="shared" si="55"/>
        <v>9.8070211849386766</v>
      </c>
      <c r="G97" s="209">
        <f t="shared" si="55"/>
        <v>8.9001214458217568</v>
      </c>
      <c r="H97" s="209">
        <f t="shared" si="55"/>
        <v>7.7064676745193053</v>
      </c>
      <c r="I97" s="209">
        <f t="shared" si="55"/>
        <v>7.4562376703289877</v>
      </c>
      <c r="J97" s="209">
        <f t="shared" si="55"/>
        <v>7.4852057453180789</v>
      </c>
      <c r="K97" s="209">
        <f t="shared" si="55"/>
        <v>7.5012738466339428</v>
      </c>
      <c r="L97" s="209">
        <f t="shared" si="55"/>
        <v>7.6432234207321477</v>
      </c>
      <c r="M97" s="209">
        <f t="shared" si="55"/>
        <v>8.0323480540394812</v>
      </c>
      <c r="N97" s="209">
        <f t="shared" si="55"/>
        <v>8.175016388166485</v>
      </c>
      <c r="O97" s="209">
        <f t="shared" si="55"/>
        <v>8.0518822112183859</v>
      </c>
      <c r="P97" s="209">
        <f t="shared" ref="P97" si="56">(P85/P55)*1000</f>
        <v>8.1373378559228016</v>
      </c>
    </row>
    <row r="98" spans="2:16" s="134" customFormat="1">
      <c r="B98" s="90" t="s">
        <v>265</v>
      </c>
      <c r="C98" s="90"/>
      <c r="D98" s="210">
        <f t="shared" ref="D98:O98" si="57">D74*1000/D55</f>
        <v>4.2364796270971352</v>
      </c>
      <c r="E98" s="210">
        <f t="shared" si="57"/>
        <v>3.9055660034075372</v>
      </c>
      <c r="F98" s="210">
        <f t="shared" si="57"/>
        <v>2.4545963873370718</v>
      </c>
      <c r="G98" s="210">
        <f t="shared" si="57"/>
        <v>2.2597872341826859</v>
      </c>
      <c r="H98" s="210">
        <f t="shared" si="57"/>
        <v>2.0888145996433756</v>
      </c>
      <c r="I98" s="210">
        <f t="shared" si="57"/>
        <v>1.8575695940525183</v>
      </c>
      <c r="J98" s="210">
        <f t="shared" si="57"/>
        <v>1.9577458301111241</v>
      </c>
      <c r="K98" s="210">
        <f t="shared" si="57"/>
        <v>1.9649015447492446</v>
      </c>
      <c r="L98" s="210">
        <f t="shared" si="57"/>
        <v>1.8848477729223463</v>
      </c>
      <c r="M98" s="210">
        <f t="shared" si="57"/>
        <v>2.0535667779828892</v>
      </c>
      <c r="N98" s="210">
        <f t="shared" si="57"/>
        <v>2.3167445614579725</v>
      </c>
      <c r="O98" s="210">
        <f t="shared" si="57"/>
        <v>2.2279564122023015</v>
      </c>
      <c r="P98" s="210">
        <f t="shared" ref="P98" si="58">P74*1000/P55</f>
        <v>2.3059848143508326</v>
      </c>
    </row>
    <row r="99" spans="2:16" s="134" customFormat="1">
      <c r="B99" s="111" t="s">
        <v>1136</v>
      </c>
      <c r="C99" s="111"/>
      <c r="D99" s="159">
        <f t="shared" ref="D99:O99" si="59">D74/D57*1000</f>
        <v>37363.221422181676</v>
      </c>
      <c r="E99" s="159">
        <f t="shared" si="59"/>
        <v>39998.309403562387</v>
      </c>
      <c r="F99" s="159">
        <f t="shared" si="59"/>
        <v>38193.513970385713</v>
      </c>
      <c r="G99" s="159">
        <f t="shared" si="59"/>
        <v>37239.386077108997</v>
      </c>
      <c r="H99" s="159">
        <f t="shared" si="59"/>
        <v>29206.218637425231</v>
      </c>
      <c r="I99" s="159">
        <f t="shared" si="59"/>
        <v>37375.396771215972</v>
      </c>
      <c r="J99" s="159">
        <f t="shared" si="59"/>
        <v>38240.336547633371</v>
      </c>
      <c r="K99" s="159">
        <f t="shared" si="59"/>
        <v>37699.357353627493</v>
      </c>
      <c r="L99" s="159">
        <f t="shared" si="59"/>
        <v>36250.012337675245</v>
      </c>
      <c r="M99" s="159">
        <f t="shared" si="59"/>
        <v>35054.138779805013</v>
      </c>
      <c r="N99" s="159">
        <f t="shared" si="59"/>
        <v>38762.585000786232</v>
      </c>
      <c r="O99" s="159">
        <f t="shared" si="59"/>
        <v>41061.387797962889</v>
      </c>
      <c r="P99" s="159">
        <f t="shared" ref="P99" si="60">P74/P57*1000</f>
        <v>39874.355310272338</v>
      </c>
    </row>
    <row r="100" spans="2:16" s="134" customFormat="1">
      <c r="B100" s="168"/>
      <c r="C100" s="168"/>
      <c r="D100" s="161"/>
      <c r="E100" s="161"/>
      <c r="F100" s="161"/>
      <c r="G100" s="161"/>
      <c r="H100" s="161"/>
      <c r="I100" s="161"/>
      <c r="J100" s="161"/>
      <c r="K100" s="161"/>
      <c r="L100" s="161"/>
      <c r="M100" s="161"/>
      <c r="N100" s="161"/>
      <c r="O100" s="161"/>
    </row>
    <row r="101" spans="2:16">
      <c r="B101" s="153" t="s">
        <v>163</v>
      </c>
      <c r="C101" s="94"/>
      <c r="D101" s="94"/>
      <c r="E101" s="94"/>
      <c r="F101" s="94"/>
      <c r="G101" s="94"/>
      <c r="H101" s="94"/>
      <c r="I101" s="94"/>
      <c r="J101" s="94"/>
      <c r="K101" s="94"/>
      <c r="L101" s="94"/>
      <c r="M101" s="94"/>
      <c r="N101" s="94"/>
      <c r="O101" s="94"/>
      <c r="P101"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1.xml><?xml version="1.0" encoding="utf-8"?>
<worksheet xmlns="http://schemas.openxmlformats.org/spreadsheetml/2006/main" xmlns:r="http://schemas.openxmlformats.org/officeDocument/2006/relationships">
  <sheetPr>
    <pageSetUpPr autoPageBreaks="0" fitToPage="1"/>
  </sheetPr>
  <dimension ref="A1:P107"/>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78" sqref="A178:XFD178"/>
    </sheetView>
  </sheetViews>
  <sheetFormatPr defaultRowHeight="12.75" outlineLevelRow="2"/>
  <cols>
    <col min="1" max="1" width="3.140625" style="90" customWidth="1"/>
    <col min="2" max="2" width="53.85546875" style="90" customWidth="1"/>
    <col min="3" max="3" width="49.5703125" style="90" customWidth="1"/>
    <col min="4" max="14" width="15.7109375" style="90" customWidth="1"/>
    <col min="15" max="15" width="11.7109375" style="90" customWidth="1"/>
    <col min="16" max="16384" width="9.140625" style="90"/>
  </cols>
  <sheetData>
    <row r="1" spans="1:15" ht="12.75" customHeight="1">
      <c r="A1" s="145"/>
    </row>
    <row r="2" spans="1:15">
      <c r="B2" s="146" t="s">
        <v>134</v>
      </c>
      <c r="C2" s="91"/>
      <c r="D2" s="91"/>
      <c r="E2" s="147" t="str">
        <f>Info!$D$10</f>
        <v>Duncan Kernohan</v>
      </c>
      <c r="F2" s="91"/>
      <c r="G2" s="91"/>
      <c r="H2" s="91"/>
      <c r="I2" s="91"/>
      <c r="J2" s="91"/>
      <c r="K2" s="91"/>
      <c r="L2" s="91"/>
      <c r="M2" s="91"/>
      <c r="N2" s="91"/>
      <c r="O2" s="91"/>
    </row>
    <row r="3" spans="1:15">
      <c r="B3" s="148" t="s">
        <v>137</v>
      </c>
      <c r="C3" s="92"/>
      <c r="D3" s="92"/>
      <c r="E3" s="149" t="str">
        <f>Info!$D$11 &amp; " - " &amp; Info!$D$12</f>
        <v>Airport Opex Benchmarking 2013 - duncan.kernohan@caa.co.uk</v>
      </c>
      <c r="F3" s="92"/>
      <c r="G3" s="92"/>
      <c r="H3" s="92"/>
      <c r="I3" s="92"/>
      <c r="J3" s="92"/>
      <c r="K3" s="92"/>
      <c r="L3" s="92"/>
      <c r="M3" s="92"/>
      <c r="N3" s="92"/>
      <c r="O3" s="92"/>
    </row>
    <row r="4" spans="1:15">
      <c r="B4" s="148" t="s">
        <v>130</v>
      </c>
      <c r="C4" s="92"/>
      <c r="D4" s="92"/>
      <c r="E4" s="150">
        <f>Info!$D$16</f>
        <v>2.8</v>
      </c>
      <c r="F4" s="92"/>
      <c r="G4" s="92"/>
      <c r="H4" s="92"/>
      <c r="I4" s="92"/>
      <c r="J4" s="92"/>
      <c r="K4" s="92"/>
      <c r="L4" s="92"/>
      <c r="M4" s="92"/>
      <c r="N4" s="92"/>
      <c r="O4" s="92"/>
    </row>
    <row r="5" spans="1:15">
      <c r="B5" s="151" t="s">
        <v>138</v>
      </c>
      <c r="C5" s="93"/>
      <c r="D5" s="93"/>
      <c r="E5" s="152" t="str">
        <f ca="1">IF(CELL("filename",D1)="","",MID(CELL("filename",A1),FIND("]",CELL("filename",A1))+1,99))</f>
        <v>MAN</v>
      </c>
      <c r="F5" s="93"/>
      <c r="G5" s="93"/>
      <c r="H5" s="93"/>
      <c r="I5" s="93"/>
      <c r="J5" s="93"/>
      <c r="K5" s="93"/>
      <c r="L5" s="93"/>
      <c r="M5" s="93"/>
      <c r="N5" s="93"/>
      <c r="O5" s="93"/>
    </row>
    <row r="8" spans="1:15">
      <c r="B8" s="153" t="s">
        <v>1040</v>
      </c>
      <c r="C8" s="94"/>
      <c r="D8" s="94"/>
      <c r="E8" s="94"/>
      <c r="F8" s="94"/>
      <c r="G8" s="94"/>
      <c r="H8" s="94"/>
      <c r="I8" s="94"/>
      <c r="J8" s="94"/>
      <c r="K8" s="94"/>
      <c r="L8" s="94"/>
      <c r="M8" s="94"/>
      <c r="N8" s="94"/>
      <c r="O8" s="94"/>
    </row>
    <row r="10" spans="1:15">
      <c r="B10" s="138" t="s">
        <v>143</v>
      </c>
      <c r="C10" s="138"/>
      <c r="D10" s="90" t="s">
        <v>270</v>
      </c>
    </row>
    <row r="11" spans="1:15">
      <c r="B11" s="138"/>
      <c r="C11" s="138"/>
      <c r="D11" s="138"/>
    </row>
    <row r="12" spans="1:15">
      <c r="B12" s="153" t="s">
        <v>179</v>
      </c>
      <c r="C12" s="94"/>
      <c r="D12" s="94"/>
      <c r="E12" s="94"/>
      <c r="F12" s="94"/>
      <c r="G12" s="94"/>
      <c r="H12" s="94"/>
      <c r="I12" s="94"/>
      <c r="J12" s="94"/>
      <c r="K12" s="94"/>
      <c r="L12" s="94"/>
      <c r="M12" s="94"/>
      <c r="N12" s="94"/>
      <c r="O12" s="94"/>
    </row>
    <row r="13" spans="1:15">
      <c r="B13" s="138"/>
      <c r="C13" s="138"/>
      <c r="D13" s="138"/>
    </row>
    <row r="14" spans="1:15">
      <c r="B14" s="101" t="s">
        <v>167</v>
      </c>
      <c r="C14" s="101"/>
    </row>
    <row r="15" spans="1:15" s="133" customFormat="1">
      <c r="B15" s="138" t="s">
        <v>271</v>
      </c>
      <c r="C15" s="138"/>
      <c r="D15" s="154" t="s">
        <v>109</v>
      </c>
      <c r="E15" s="154" t="s">
        <v>110</v>
      </c>
      <c r="F15" s="154" t="s">
        <v>111</v>
      </c>
      <c r="G15" s="154" t="s">
        <v>22</v>
      </c>
      <c r="H15" s="154" t="s">
        <v>23</v>
      </c>
      <c r="I15" s="154" t="s">
        <v>24</v>
      </c>
      <c r="J15" s="154" t="s">
        <v>25</v>
      </c>
      <c r="K15" s="154" t="s">
        <v>26</v>
      </c>
      <c r="L15" s="154" t="s">
        <v>27</v>
      </c>
      <c r="M15" s="154" t="s">
        <v>28</v>
      </c>
      <c r="N15" s="154" t="s">
        <v>29</v>
      </c>
      <c r="O15" s="154" t="s">
        <v>247</v>
      </c>
    </row>
    <row r="16" spans="1:15"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c r="O16" s="154">
        <v>2011</v>
      </c>
    </row>
    <row r="17" spans="2:15" s="133" customFormat="1">
      <c r="B17" s="138" t="s">
        <v>164</v>
      </c>
      <c r="C17" s="138"/>
      <c r="D17" s="154" t="s">
        <v>160</v>
      </c>
      <c r="E17" s="154" t="s">
        <v>160</v>
      </c>
      <c r="F17" s="154" t="s">
        <v>160</v>
      </c>
      <c r="G17" s="154" t="s">
        <v>160</v>
      </c>
      <c r="H17" s="154" t="s">
        <v>160</v>
      </c>
      <c r="I17" s="154" t="s">
        <v>160</v>
      </c>
      <c r="J17" s="154" t="s">
        <v>160</v>
      </c>
      <c r="K17" s="154" t="s">
        <v>160</v>
      </c>
      <c r="L17" s="154" t="s">
        <v>160</v>
      </c>
      <c r="M17" s="154" t="s">
        <v>160</v>
      </c>
      <c r="N17" s="154" t="s">
        <v>160</v>
      </c>
      <c r="O17" s="154" t="s">
        <v>160</v>
      </c>
    </row>
    <row r="18" spans="2:15" s="133" customFormat="1">
      <c r="B18" s="138"/>
      <c r="C18" s="138"/>
      <c r="D18" s="154"/>
      <c r="E18" s="154"/>
      <c r="F18" s="154"/>
      <c r="G18" s="154"/>
      <c r="H18" s="154"/>
      <c r="I18" s="154"/>
      <c r="J18" s="154"/>
      <c r="K18" s="154"/>
      <c r="L18" s="154"/>
      <c r="M18" s="154"/>
      <c r="N18" s="154"/>
      <c r="O18" s="154"/>
    </row>
    <row r="19" spans="2:15">
      <c r="B19" s="106" t="s">
        <v>1314</v>
      </c>
      <c r="C19" s="106" t="s">
        <v>1315</v>
      </c>
      <c r="E19" s="133"/>
      <c r="F19" s="133"/>
      <c r="G19" s="133"/>
      <c r="H19" s="133"/>
      <c r="I19" s="133"/>
      <c r="J19" s="133"/>
      <c r="K19" s="133"/>
      <c r="L19" s="133"/>
      <c r="M19" s="133"/>
      <c r="N19" s="133"/>
      <c r="O19" s="133"/>
    </row>
    <row r="20" spans="2:15" hidden="1" outlineLevel="2">
      <c r="B20" s="90" t="s">
        <v>240</v>
      </c>
      <c r="C20" s="138" t="s">
        <v>165</v>
      </c>
      <c r="D20" s="141">
        <v>54949</v>
      </c>
      <c r="E20" s="141">
        <v>58658</v>
      </c>
      <c r="F20" s="141">
        <v>33957</v>
      </c>
      <c r="G20" s="141">
        <v>29406</v>
      </c>
      <c r="H20" s="141">
        <v>30714</v>
      </c>
      <c r="I20" s="141">
        <v>33985</v>
      </c>
      <c r="J20" s="141">
        <v>39941</v>
      </c>
      <c r="K20" s="141">
        <v>43990</v>
      </c>
      <c r="L20" s="141">
        <v>43973</v>
      </c>
      <c r="M20" s="141">
        <v>44505</v>
      </c>
      <c r="N20" s="141">
        <v>44915</v>
      </c>
      <c r="O20" s="141">
        <v>50443</v>
      </c>
    </row>
    <row r="21" spans="2:15" hidden="1" outlineLevel="2">
      <c r="B21" s="90" t="s">
        <v>240</v>
      </c>
      <c r="C21" s="138" t="s">
        <v>166</v>
      </c>
      <c r="D21" s="141">
        <v>4361</v>
      </c>
      <c r="E21" s="141">
        <v>4744</v>
      </c>
      <c r="F21" s="141">
        <v>2311</v>
      </c>
      <c r="G21" s="141">
        <v>2450</v>
      </c>
      <c r="H21" s="141">
        <v>2673</v>
      </c>
      <c r="I21" s="141">
        <v>2980</v>
      </c>
      <c r="J21" s="141">
        <v>3479</v>
      </c>
      <c r="K21" s="141">
        <v>3836</v>
      </c>
      <c r="L21" s="141">
        <v>3873</v>
      </c>
      <c r="M21" s="141">
        <v>3832</v>
      </c>
      <c r="N21" s="141">
        <v>3838</v>
      </c>
      <c r="O21" s="141">
        <v>1195</v>
      </c>
    </row>
    <row r="22" spans="2:15" hidden="1" outlineLevel="2">
      <c r="B22" s="90" t="s">
        <v>240</v>
      </c>
      <c r="C22" s="138" t="s">
        <v>189</v>
      </c>
      <c r="D22" s="141">
        <v>4025</v>
      </c>
      <c r="E22" s="141">
        <v>4775</v>
      </c>
      <c r="F22" s="141">
        <v>3937</v>
      </c>
      <c r="G22" s="141">
        <v>3806</v>
      </c>
      <c r="H22" s="141">
        <v>3894</v>
      </c>
      <c r="I22" s="141">
        <v>5428</v>
      </c>
      <c r="J22" s="141">
        <v>11619</v>
      </c>
      <c r="K22" s="141">
        <v>4878</v>
      </c>
      <c r="L22" s="141">
        <v>4997</v>
      </c>
      <c r="M22" s="141">
        <v>2235</v>
      </c>
      <c r="N22" s="141">
        <v>3364</v>
      </c>
      <c r="O22" s="141">
        <v>4648</v>
      </c>
    </row>
    <row r="23" spans="2:15" outlineLevel="1" collapsed="1">
      <c r="B23" s="173" t="s">
        <v>287</v>
      </c>
      <c r="C23" s="138"/>
      <c r="D23" s="159">
        <f t="shared" ref="D23:O23" si="0">SUBTOTAL(9,D20:D22)</f>
        <v>63335</v>
      </c>
      <c r="E23" s="159">
        <f t="shared" si="0"/>
        <v>68177</v>
      </c>
      <c r="F23" s="159">
        <f t="shared" si="0"/>
        <v>40205</v>
      </c>
      <c r="G23" s="159">
        <f t="shared" si="0"/>
        <v>35662</v>
      </c>
      <c r="H23" s="159">
        <f t="shared" si="0"/>
        <v>37281</v>
      </c>
      <c r="I23" s="159">
        <f t="shared" si="0"/>
        <v>42393</v>
      </c>
      <c r="J23" s="159">
        <f t="shared" si="0"/>
        <v>55039</v>
      </c>
      <c r="K23" s="159">
        <f t="shared" si="0"/>
        <v>52704</v>
      </c>
      <c r="L23" s="159">
        <f t="shared" si="0"/>
        <v>52843</v>
      </c>
      <c r="M23" s="159">
        <f t="shared" si="0"/>
        <v>50572</v>
      </c>
      <c r="N23" s="159">
        <f t="shared" si="0"/>
        <v>52117</v>
      </c>
      <c r="O23" s="159">
        <f t="shared" si="0"/>
        <v>56286</v>
      </c>
    </row>
    <row r="24" spans="2:15" s="133" customFormat="1" outlineLevel="1">
      <c r="C24" s="137"/>
      <c r="D24" s="141"/>
      <c r="E24" s="141"/>
      <c r="F24" s="141"/>
      <c r="G24" s="141"/>
      <c r="H24" s="141"/>
      <c r="I24" s="141"/>
      <c r="J24" s="141"/>
      <c r="K24" s="141"/>
      <c r="L24" s="141"/>
      <c r="M24" s="141"/>
      <c r="N24" s="141"/>
      <c r="O24" s="141"/>
    </row>
    <row r="25" spans="2:15" s="133" customFormat="1" hidden="1" outlineLevel="2">
      <c r="B25" s="133" t="s">
        <v>30</v>
      </c>
      <c r="C25" s="138" t="s">
        <v>170</v>
      </c>
      <c r="D25" s="141">
        <v>53106</v>
      </c>
      <c r="E25" s="141">
        <v>49398</v>
      </c>
      <c r="F25" s="141">
        <v>51765</v>
      </c>
      <c r="G25" s="141">
        <v>49433</v>
      </c>
      <c r="H25" s="141">
        <v>58712</v>
      </c>
      <c r="I25" s="141">
        <v>57623</v>
      </c>
      <c r="J25" s="141">
        <v>54943</v>
      </c>
      <c r="K25" s="141">
        <v>46690</v>
      </c>
      <c r="L25" s="141">
        <v>49890</v>
      </c>
      <c r="M25" s="141">
        <v>51310</v>
      </c>
      <c r="N25" s="141">
        <v>54084</v>
      </c>
      <c r="O25" s="141">
        <v>55643</v>
      </c>
    </row>
    <row r="26" spans="2:15" s="133" customFormat="1" hidden="1" outlineLevel="2">
      <c r="B26" s="133" t="s">
        <v>30</v>
      </c>
      <c r="C26" s="138" t="s">
        <v>171</v>
      </c>
      <c r="D26" s="141">
        <v>-167</v>
      </c>
      <c r="E26" s="141">
        <v>0</v>
      </c>
      <c r="F26" s="141">
        <v>0</v>
      </c>
      <c r="G26" s="141">
        <v>1416</v>
      </c>
      <c r="H26" s="141">
        <v>1549</v>
      </c>
      <c r="I26" s="141">
        <v>1040</v>
      </c>
      <c r="J26" s="141">
        <v>418</v>
      </c>
      <c r="K26" s="141">
        <v>359</v>
      </c>
      <c r="L26" s="141">
        <v>0</v>
      </c>
      <c r="M26" s="141">
        <v>179</v>
      </c>
      <c r="N26" s="141">
        <v>179</v>
      </c>
      <c r="O26" s="141">
        <v>0</v>
      </c>
    </row>
    <row r="27" spans="2:15" s="133" customFormat="1" hidden="1" outlineLevel="2">
      <c r="B27" s="133" t="s">
        <v>30</v>
      </c>
      <c r="C27" s="138" t="s">
        <v>203</v>
      </c>
      <c r="D27" s="141">
        <v>193</v>
      </c>
      <c r="E27" s="141">
        <v>193</v>
      </c>
      <c r="F27" s="141">
        <v>0</v>
      </c>
      <c r="G27" s="141">
        <v>0</v>
      </c>
      <c r="H27" s="141">
        <v>0</v>
      </c>
      <c r="I27" s="141">
        <v>0</v>
      </c>
      <c r="J27" s="141">
        <v>0</v>
      </c>
      <c r="K27" s="141">
        <v>0</v>
      </c>
      <c r="L27" s="141">
        <v>0</v>
      </c>
      <c r="M27" s="141">
        <v>0</v>
      </c>
      <c r="N27" s="141">
        <v>0</v>
      </c>
      <c r="O27" s="141">
        <v>0</v>
      </c>
    </row>
    <row r="28" spans="2:15" s="133" customFormat="1" outlineLevel="1" collapsed="1">
      <c r="B28" s="106" t="s">
        <v>288</v>
      </c>
      <c r="C28" s="138"/>
      <c r="D28" s="159">
        <f t="shared" ref="D28:O28" si="1">SUBTOTAL(9,D25:D27)</f>
        <v>53132</v>
      </c>
      <c r="E28" s="159">
        <f t="shared" si="1"/>
        <v>49591</v>
      </c>
      <c r="F28" s="159">
        <f t="shared" si="1"/>
        <v>51765</v>
      </c>
      <c r="G28" s="159">
        <f t="shared" si="1"/>
        <v>50849</v>
      </c>
      <c r="H28" s="159">
        <f t="shared" si="1"/>
        <v>60261</v>
      </c>
      <c r="I28" s="159">
        <f t="shared" si="1"/>
        <v>58663</v>
      </c>
      <c r="J28" s="159">
        <f t="shared" si="1"/>
        <v>55361</v>
      </c>
      <c r="K28" s="159">
        <f t="shared" si="1"/>
        <v>47049</v>
      </c>
      <c r="L28" s="159">
        <f t="shared" si="1"/>
        <v>49890</v>
      </c>
      <c r="M28" s="159">
        <f t="shared" si="1"/>
        <v>51489</v>
      </c>
      <c r="N28" s="159">
        <f t="shared" si="1"/>
        <v>54263</v>
      </c>
      <c r="O28" s="159">
        <f t="shared" si="1"/>
        <v>55643</v>
      </c>
    </row>
    <row r="29" spans="2:15" s="133" customFormat="1" outlineLevel="1">
      <c r="B29" s="138"/>
      <c r="C29" s="138"/>
      <c r="D29" s="141"/>
      <c r="E29" s="141"/>
      <c r="F29" s="141"/>
      <c r="G29" s="141"/>
      <c r="H29" s="141"/>
      <c r="I29" s="141"/>
      <c r="J29" s="141"/>
      <c r="K29" s="141"/>
      <c r="L29" s="141"/>
      <c r="M29" s="141"/>
      <c r="N29" s="141"/>
      <c r="O29" s="141"/>
    </row>
    <row r="30" spans="2:15" s="133" customFormat="1" hidden="1" outlineLevel="2">
      <c r="B30" s="133" t="s">
        <v>256</v>
      </c>
      <c r="C30" s="138" t="s">
        <v>180</v>
      </c>
      <c r="D30" s="141">
        <v>89274</v>
      </c>
      <c r="E30" s="141">
        <v>96069</v>
      </c>
      <c r="F30" s="141">
        <v>96775</v>
      </c>
      <c r="G30" s="141">
        <v>96389</v>
      </c>
      <c r="H30" s="141">
        <v>101245</v>
      </c>
      <c r="I30" s="141">
        <v>117999</v>
      </c>
      <c r="J30" s="141">
        <v>106341</v>
      </c>
      <c r="K30" s="141">
        <v>113850</v>
      </c>
      <c r="L30" s="141">
        <v>121956</v>
      </c>
      <c r="M30" s="141">
        <v>0</v>
      </c>
      <c r="N30" s="141">
        <v>0</v>
      </c>
      <c r="O30" s="141">
        <v>0</v>
      </c>
    </row>
    <row r="31" spans="2:15" s="133" customFormat="1" hidden="1" outlineLevel="2">
      <c r="B31" s="133" t="s">
        <v>256</v>
      </c>
      <c r="C31" s="138" t="s">
        <v>177</v>
      </c>
      <c r="D31" s="141">
        <v>420</v>
      </c>
      <c r="E31" s="141">
        <v>465</v>
      </c>
      <c r="F31" s="141">
        <v>863</v>
      </c>
      <c r="G31" s="141">
        <v>369</v>
      </c>
      <c r="H31" s="141">
        <v>0</v>
      </c>
      <c r="I31" s="141">
        <v>0</v>
      </c>
      <c r="J31" s="141">
        <v>0</v>
      </c>
      <c r="K31" s="141">
        <v>0</v>
      </c>
      <c r="L31" s="141">
        <v>0</v>
      </c>
      <c r="M31" s="141">
        <v>0</v>
      </c>
      <c r="N31" s="141">
        <v>0</v>
      </c>
      <c r="O31" s="141">
        <v>0</v>
      </c>
    </row>
    <row r="32" spans="2:15" s="133" customFormat="1" hidden="1" outlineLevel="2">
      <c r="B32" s="133" t="s">
        <v>256</v>
      </c>
      <c r="C32" s="138" t="s">
        <v>168</v>
      </c>
      <c r="D32" s="141">
        <v>6686</v>
      </c>
      <c r="E32" s="141">
        <v>9539</v>
      </c>
      <c r="F32" s="141">
        <v>8758</v>
      </c>
      <c r="G32" s="141">
        <v>0</v>
      </c>
      <c r="H32" s="141">
        <v>0</v>
      </c>
      <c r="I32" s="141">
        <v>0</v>
      </c>
      <c r="J32" s="141">
        <v>0</v>
      </c>
      <c r="K32" s="141">
        <v>0</v>
      </c>
      <c r="L32" s="141">
        <v>0</v>
      </c>
      <c r="M32" s="141">
        <v>0</v>
      </c>
      <c r="N32" s="141">
        <v>0</v>
      </c>
      <c r="O32" s="141">
        <v>0</v>
      </c>
    </row>
    <row r="33" spans="2:16" s="133" customFormat="1" hidden="1" outlineLevel="2">
      <c r="B33" s="133" t="s">
        <v>256</v>
      </c>
      <c r="C33" s="138" t="s">
        <v>175</v>
      </c>
      <c r="D33" s="141">
        <v>8893</v>
      </c>
      <c r="E33" s="141">
        <v>10187</v>
      </c>
      <c r="F33" s="141">
        <v>10236</v>
      </c>
      <c r="G33" s="141">
        <v>9091</v>
      </c>
      <c r="H33" s="141">
        <v>9496</v>
      </c>
      <c r="I33" s="141">
        <v>10443</v>
      </c>
      <c r="J33" s="141">
        <v>10550</v>
      </c>
      <c r="K33" s="141">
        <v>10707</v>
      </c>
      <c r="L33" s="141">
        <v>9367</v>
      </c>
      <c r="M33" s="141">
        <v>10604</v>
      </c>
      <c r="N33" s="141">
        <v>10439</v>
      </c>
      <c r="O33" s="141">
        <v>10452</v>
      </c>
    </row>
    <row r="34" spans="2:16" s="133" customFormat="1" hidden="1" outlineLevel="2">
      <c r="B34" s="133" t="s">
        <v>256</v>
      </c>
      <c r="C34" s="138" t="s">
        <v>181</v>
      </c>
      <c r="D34" s="141">
        <v>0</v>
      </c>
      <c r="E34" s="141">
        <v>0</v>
      </c>
      <c r="F34" s="141">
        <v>0</v>
      </c>
      <c r="G34" s="141">
        <v>0</v>
      </c>
      <c r="H34" s="141">
        <v>0</v>
      </c>
      <c r="I34" s="141">
        <v>0</v>
      </c>
      <c r="J34" s="141">
        <v>0</v>
      </c>
      <c r="K34" s="141">
        <v>0</v>
      </c>
      <c r="L34" s="141">
        <v>1740</v>
      </c>
      <c r="M34" s="141">
        <v>0</v>
      </c>
      <c r="N34" s="141">
        <v>0</v>
      </c>
      <c r="O34" s="141">
        <v>0</v>
      </c>
    </row>
    <row r="35" spans="2:16" hidden="1" outlineLevel="2">
      <c r="B35" s="133" t="s">
        <v>256</v>
      </c>
      <c r="C35" s="138" t="s">
        <v>200</v>
      </c>
      <c r="D35" s="141">
        <v>82</v>
      </c>
      <c r="E35" s="141">
        <v>80</v>
      </c>
      <c r="F35" s="141">
        <v>57</v>
      </c>
      <c r="G35" s="141">
        <v>52</v>
      </c>
      <c r="H35" s="141">
        <v>42</v>
      </c>
      <c r="I35" s="141">
        <v>57</v>
      </c>
      <c r="J35" s="141">
        <v>60</v>
      </c>
      <c r="K35" s="141">
        <v>65</v>
      </c>
      <c r="L35" s="141">
        <v>65</v>
      </c>
      <c r="M35" s="141">
        <v>65</v>
      </c>
      <c r="N35" s="141">
        <v>65</v>
      </c>
      <c r="O35" s="141">
        <v>63</v>
      </c>
    </row>
    <row r="36" spans="2:16" hidden="1" outlineLevel="2">
      <c r="B36" s="133" t="s">
        <v>256</v>
      </c>
      <c r="C36" s="138" t="s">
        <v>169</v>
      </c>
      <c r="D36" s="141">
        <v>0</v>
      </c>
      <c r="E36" s="141">
        <v>0</v>
      </c>
      <c r="F36" s="141">
        <v>0</v>
      </c>
      <c r="G36" s="141">
        <v>120</v>
      </c>
      <c r="H36" s="141">
        <v>112</v>
      </c>
      <c r="I36" s="141">
        <v>55</v>
      </c>
      <c r="J36" s="141">
        <v>65</v>
      </c>
      <c r="K36" s="141">
        <v>0</v>
      </c>
      <c r="L36" s="141">
        <v>0</v>
      </c>
      <c r="M36" s="141">
        <v>0</v>
      </c>
      <c r="N36" s="141">
        <v>0</v>
      </c>
      <c r="O36" s="141">
        <v>0</v>
      </c>
    </row>
    <row r="37" spans="2:16" hidden="1" outlineLevel="2">
      <c r="B37" s="133" t="s">
        <v>256</v>
      </c>
      <c r="C37" s="138" t="s">
        <v>178</v>
      </c>
      <c r="D37" s="155">
        <v>-167</v>
      </c>
      <c r="E37" s="155">
        <v>-457</v>
      </c>
      <c r="F37" s="155">
        <v>-526</v>
      </c>
      <c r="G37" s="155">
        <v>-794</v>
      </c>
      <c r="H37" s="155">
        <v>-262</v>
      </c>
      <c r="I37" s="155">
        <v>-11</v>
      </c>
      <c r="J37" s="155">
        <v>-737</v>
      </c>
      <c r="K37" s="155">
        <v>-6477</v>
      </c>
      <c r="L37" s="155">
        <v>0</v>
      </c>
      <c r="M37" s="155">
        <v>-480</v>
      </c>
      <c r="N37" s="155">
        <v>0</v>
      </c>
      <c r="O37" s="155">
        <v>145</v>
      </c>
    </row>
    <row r="38" spans="2:16" outlineLevel="1" collapsed="1">
      <c r="B38" s="106" t="s">
        <v>289</v>
      </c>
      <c r="C38" s="138"/>
      <c r="D38" s="159">
        <f t="shared" ref="D38:O38" si="2">SUBTOTAL(9,D30:D37)</f>
        <v>105188</v>
      </c>
      <c r="E38" s="159">
        <f t="shared" si="2"/>
        <v>115883</v>
      </c>
      <c r="F38" s="159">
        <f t="shared" si="2"/>
        <v>116163</v>
      </c>
      <c r="G38" s="159">
        <f t="shared" si="2"/>
        <v>105227</v>
      </c>
      <c r="H38" s="159">
        <f t="shared" si="2"/>
        <v>110633</v>
      </c>
      <c r="I38" s="159">
        <f t="shared" si="2"/>
        <v>128543</v>
      </c>
      <c r="J38" s="159">
        <f t="shared" si="2"/>
        <v>116279</v>
      </c>
      <c r="K38" s="159">
        <f t="shared" si="2"/>
        <v>118145</v>
      </c>
      <c r="L38" s="159">
        <f t="shared" si="2"/>
        <v>133128</v>
      </c>
      <c r="M38" s="159">
        <f t="shared" si="2"/>
        <v>10189</v>
      </c>
      <c r="N38" s="159">
        <f t="shared" si="2"/>
        <v>10504</v>
      </c>
      <c r="O38" s="159">
        <f t="shared" si="2"/>
        <v>10660</v>
      </c>
    </row>
    <row r="39" spans="2:16" s="133" customFormat="1" outlineLevel="1">
      <c r="C39" s="138"/>
      <c r="D39" s="141"/>
      <c r="E39" s="141"/>
      <c r="F39" s="141"/>
      <c r="G39" s="141"/>
      <c r="H39" s="141"/>
      <c r="I39" s="141"/>
      <c r="J39" s="141"/>
      <c r="K39" s="141"/>
      <c r="L39" s="141"/>
      <c r="M39" s="141"/>
      <c r="N39" s="141"/>
      <c r="O39" s="141"/>
    </row>
    <row r="40" spans="2:16" s="30" customFormat="1" hidden="1" outlineLevel="2">
      <c r="B40" s="138" t="s">
        <v>172</v>
      </c>
      <c r="C40" s="138" t="s">
        <v>172</v>
      </c>
      <c r="D40" s="141">
        <v>0</v>
      </c>
      <c r="E40" s="141">
        <v>0</v>
      </c>
      <c r="F40" s="141">
        <v>0</v>
      </c>
      <c r="G40" s="141">
        <v>0</v>
      </c>
      <c r="H40" s="141">
        <v>0</v>
      </c>
      <c r="I40" s="141">
        <v>0</v>
      </c>
      <c r="J40" s="141">
        <v>0</v>
      </c>
      <c r="K40" s="141">
        <v>0</v>
      </c>
      <c r="L40" s="141">
        <v>0</v>
      </c>
      <c r="M40" s="141">
        <v>0</v>
      </c>
      <c r="N40" s="141">
        <v>0</v>
      </c>
      <c r="O40" s="141"/>
    </row>
    <row r="41" spans="2:16" s="30" customFormat="1" outlineLevel="1" collapsed="1">
      <c r="B41" s="70" t="s">
        <v>290</v>
      </c>
      <c r="C41" s="138"/>
      <c r="D41" s="159">
        <f t="shared" ref="D41:O41" si="3">SUBTOTAL(9,D40:D40)</f>
        <v>0</v>
      </c>
      <c r="E41" s="159">
        <f t="shared" si="3"/>
        <v>0</v>
      </c>
      <c r="F41" s="159">
        <f t="shared" si="3"/>
        <v>0</v>
      </c>
      <c r="G41" s="159">
        <f t="shared" si="3"/>
        <v>0</v>
      </c>
      <c r="H41" s="159">
        <f t="shared" si="3"/>
        <v>0</v>
      </c>
      <c r="I41" s="159">
        <f t="shared" si="3"/>
        <v>0</v>
      </c>
      <c r="J41" s="159">
        <f t="shared" si="3"/>
        <v>0</v>
      </c>
      <c r="K41" s="159">
        <f t="shared" si="3"/>
        <v>0</v>
      </c>
      <c r="L41" s="159">
        <f t="shared" si="3"/>
        <v>0</v>
      </c>
      <c r="M41" s="159">
        <f t="shared" si="3"/>
        <v>0</v>
      </c>
      <c r="N41" s="159">
        <f t="shared" si="3"/>
        <v>0</v>
      </c>
      <c r="O41" s="159">
        <f t="shared" si="3"/>
        <v>0</v>
      </c>
    </row>
    <row r="42" spans="2:16" s="122" customFormat="1" outlineLevel="1">
      <c r="B42" s="178"/>
      <c r="C42" s="168"/>
      <c r="D42" s="161"/>
      <c r="E42" s="161"/>
      <c r="F42" s="161"/>
      <c r="G42" s="161"/>
      <c r="H42" s="161"/>
      <c r="I42" s="161"/>
      <c r="J42" s="161"/>
      <c r="K42" s="161"/>
      <c r="L42" s="161"/>
      <c r="M42" s="161"/>
      <c r="N42" s="161"/>
      <c r="O42" s="161"/>
    </row>
    <row r="43" spans="2:16" s="30" customFormat="1">
      <c r="B43" s="70" t="s">
        <v>286</v>
      </c>
      <c r="C43" s="138"/>
      <c r="D43" s="159">
        <f>SUBTOTAL(9,D20:D41)</f>
        <v>221655</v>
      </c>
      <c r="E43" s="159">
        <f>SUBTOTAL(9,E20:E41)</f>
        <v>233651</v>
      </c>
      <c r="F43" s="159">
        <f t="shared" ref="F43:O43" si="4">SUBTOTAL(9,F20:F41)</f>
        <v>208133</v>
      </c>
      <c r="G43" s="159">
        <f t="shared" si="4"/>
        <v>191738</v>
      </c>
      <c r="H43" s="159">
        <f t="shared" si="4"/>
        <v>208175</v>
      </c>
      <c r="I43" s="159">
        <f t="shared" si="4"/>
        <v>229599</v>
      </c>
      <c r="J43" s="159">
        <f t="shared" si="4"/>
        <v>226679</v>
      </c>
      <c r="K43" s="159">
        <f t="shared" si="4"/>
        <v>217898</v>
      </c>
      <c r="L43" s="159">
        <f t="shared" si="4"/>
        <v>235861</v>
      </c>
      <c r="M43" s="159">
        <f t="shared" si="4"/>
        <v>112250</v>
      </c>
      <c r="N43" s="159">
        <f t="shared" si="4"/>
        <v>116884</v>
      </c>
      <c r="O43" s="159">
        <f t="shared" si="4"/>
        <v>122589</v>
      </c>
    </row>
    <row r="44" spans="2:16" s="106" customFormat="1">
      <c r="B44" s="138"/>
      <c r="C44" s="138"/>
      <c r="D44" s="141"/>
      <c r="E44" s="141"/>
      <c r="F44" s="141"/>
      <c r="G44" s="141"/>
      <c r="H44" s="141"/>
      <c r="I44" s="141"/>
      <c r="J44" s="141"/>
      <c r="K44" s="141"/>
      <c r="L44" s="141"/>
      <c r="M44" s="141"/>
      <c r="N44" s="141"/>
      <c r="O44" s="141"/>
    </row>
    <row r="45" spans="2:16" s="106" customFormat="1">
      <c r="B45" s="138" t="s">
        <v>1123</v>
      </c>
      <c r="C45" s="138"/>
      <c r="D45" s="159">
        <f t="shared" ref="D45:O45" si="5">D47-D23-D28-D38</f>
        <v>-36917</v>
      </c>
      <c r="E45" s="159">
        <f t="shared" si="5"/>
        <v>-17804</v>
      </c>
      <c r="F45" s="159">
        <f t="shared" si="5"/>
        <v>-5323</v>
      </c>
      <c r="G45" s="159">
        <f t="shared" si="5"/>
        <v>-8838</v>
      </c>
      <c r="H45" s="159">
        <f t="shared" si="5"/>
        <v>-9388</v>
      </c>
      <c r="I45" s="159">
        <f t="shared" si="5"/>
        <v>-10544</v>
      </c>
      <c r="J45" s="159">
        <f t="shared" si="5"/>
        <v>-9938</v>
      </c>
      <c r="K45" s="159">
        <f t="shared" si="5"/>
        <v>-4295</v>
      </c>
      <c r="L45" s="159">
        <f t="shared" si="5"/>
        <v>-11172</v>
      </c>
      <c r="M45" s="159">
        <f t="shared" si="5"/>
        <v>105623</v>
      </c>
      <c r="N45" s="159">
        <f t="shared" si="5"/>
        <v>104533</v>
      </c>
      <c r="O45" s="159">
        <f t="shared" si="5"/>
        <v>109353</v>
      </c>
    </row>
    <row r="46" spans="2:16" s="106" customFormat="1">
      <c r="B46" s="138"/>
      <c r="C46" s="138"/>
      <c r="D46" s="141"/>
      <c r="E46" s="141"/>
      <c r="F46" s="141"/>
      <c r="G46" s="141"/>
      <c r="H46" s="141"/>
      <c r="I46" s="141"/>
      <c r="J46" s="141"/>
      <c r="K46" s="141"/>
      <c r="L46" s="141"/>
      <c r="M46" s="141"/>
      <c r="N46" s="141"/>
      <c r="O46" s="141"/>
    </row>
    <row r="47" spans="2:16" s="30" customFormat="1">
      <c r="B47" s="138" t="s">
        <v>1316</v>
      </c>
      <c r="C47" s="138"/>
      <c r="D47" s="141">
        <f>52592+92082+40064</f>
        <v>184738</v>
      </c>
      <c r="E47" s="141">
        <f>52370+115494+47983</f>
        <v>215847</v>
      </c>
      <c r="F47" s="141">
        <f>40205+110840+51765</f>
        <v>202810</v>
      </c>
      <c r="G47" s="141">
        <v>182900</v>
      </c>
      <c r="H47" s="141">
        <v>198787</v>
      </c>
      <c r="I47" s="141">
        <v>219055</v>
      </c>
      <c r="J47" s="141">
        <v>216741</v>
      </c>
      <c r="K47" s="141">
        <v>213603</v>
      </c>
      <c r="L47" s="141">
        <v>224689</v>
      </c>
      <c r="M47" s="141">
        <v>217873</v>
      </c>
      <c r="N47" s="141">
        <v>221417</v>
      </c>
      <c r="O47" s="141">
        <v>231942</v>
      </c>
      <c r="P47" s="79"/>
    </row>
    <row r="48" spans="2:16" s="106" customFormat="1">
      <c r="B48" s="138"/>
      <c r="C48" s="138"/>
      <c r="D48" s="141"/>
      <c r="E48" s="141"/>
      <c r="F48" s="141"/>
      <c r="G48" s="141"/>
      <c r="H48" s="141"/>
      <c r="I48" s="141"/>
      <c r="J48" s="141"/>
      <c r="K48" s="141"/>
      <c r="L48" s="141"/>
      <c r="M48" s="141"/>
      <c r="N48" s="141"/>
      <c r="O48" s="141"/>
    </row>
    <row r="49" spans="1:16" s="30" customFormat="1">
      <c r="B49" s="138" t="s">
        <v>1317</v>
      </c>
      <c r="C49" s="138"/>
      <c r="D49" s="159">
        <f>D47+D41</f>
        <v>184738</v>
      </c>
      <c r="E49" s="159">
        <f t="shared" ref="E49:O49" si="6">E47+E40</f>
        <v>215847</v>
      </c>
      <c r="F49" s="159">
        <f t="shared" si="6"/>
        <v>202810</v>
      </c>
      <c r="G49" s="159">
        <f t="shared" si="6"/>
        <v>182900</v>
      </c>
      <c r="H49" s="159">
        <f t="shared" si="6"/>
        <v>198787</v>
      </c>
      <c r="I49" s="159">
        <f t="shared" si="6"/>
        <v>219055</v>
      </c>
      <c r="J49" s="159">
        <f t="shared" si="6"/>
        <v>216741</v>
      </c>
      <c r="K49" s="159">
        <f t="shared" si="6"/>
        <v>213603</v>
      </c>
      <c r="L49" s="159">
        <f t="shared" si="6"/>
        <v>224689</v>
      </c>
      <c r="M49" s="159">
        <f t="shared" si="6"/>
        <v>217873</v>
      </c>
      <c r="N49" s="159">
        <f t="shared" si="6"/>
        <v>221417</v>
      </c>
      <c r="O49" s="159">
        <f t="shared" si="6"/>
        <v>231942</v>
      </c>
      <c r="P49" s="79"/>
    </row>
    <row r="50" spans="1:16" s="106" customFormat="1">
      <c r="B50" s="138"/>
      <c r="C50" s="138"/>
      <c r="D50" s="141"/>
      <c r="E50" s="141"/>
      <c r="F50" s="141"/>
      <c r="G50" s="141"/>
      <c r="H50" s="141"/>
      <c r="I50" s="141"/>
      <c r="J50" s="141"/>
      <c r="K50" s="141"/>
      <c r="L50" s="141"/>
      <c r="M50" s="141"/>
      <c r="N50" s="141"/>
      <c r="O50" s="141"/>
      <c r="P50" s="114"/>
    </row>
    <row r="51" spans="1:16" s="106" customFormat="1">
      <c r="B51" s="138" t="s">
        <v>1146</v>
      </c>
      <c r="C51" s="138"/>
      <c r="D51" s="140">
        <f>D43*Parameters!C21</f>
        <v>1734.4879691454182</v>
      </c>
      <c r="E51" s="140">
        <f>E43*Parameters!D21</f>
        <v>1919.692999434541</v>
      </c>
      <c r="F51" s="140">
        <f>F43*Parameters!E21</f>
        <v>1182.2897993238082</v>
      </c>
      <c r="G51" s="140">
        <f>G43*Parameters!F21</f>
        <v>511.72120733411248</v>
      </c>
      <c r="H51" s="140">
        <f>H43*Parameters!G21</f>
        <v>568.72370655064253</v>
      </c>
      <c r="I51" s="140">
        <f>I43*Parameters!H21</f>
        <v>1065.3542003631376</v>
      </c>
      <c r="J51" s="140">
        <f>J43*Parameters!I21</f>
        <v>2548.9586534028913</v>
      </c>
      <c r="K51" s="140">
        <f>K43*Parameters!J21</f>
        <v>3769.9282886221768</v>
      </c>
      <c r="L51" s="140">
        <f>L43*Parameters!K21</f>
        <v>4675.2905114048717</v>
      </c>
      <c r="M51" s="140">
        <f>M43*Parameters!L21</f>
        <v>3474.0105179063721</v>
      </c>
      <c r="N51" s="140">
        <f>N43*Parameters!M21</f>
        <v>4287.9290646921472</v>
      </c>
      <c r="O51" s="140">
        <f>O43*Parameters!N21</f>
        <v>3808.1665761122126</v>
      </c>
      <c r="P51" s="114"/>
    </row>
    <row r="52" spans="1:16" s="106" customFormat="1">
      <c r="B52" s="138"/>
      <c r="C52" s="138"/>
      <c r="D52" s="141"/>
      <c r="E52" s="141"/>
      <c r="F52" s="141"/>
      <c r="G52" s="141"/>
      <c r="H52" s="141"/>
      <c r="I52" s="141"/>
      <c r="J52" s="141"/>
      <c r="K52" s="141"/>
      <c r="L52" s="141"/>
      <c r="M52" s="141"/>
      <c r="N52" s="141"/>
      <c r="O52" s="141"/>
      <c r="P52" s="114"/>
    </row>
    <row r="53" spans="1:16" s="30" customFormat="1">
      <c r="A53" s="122"/>
      <c r="B53" s="138" t="s">
        <v>1131</v>
      </c>
      <c r="C53" s="138"/>
      <c r="D53" s="159">
        <f>D47-D28-D37-D51</f>
        <v>130038.51203085459</v>
      </c>
      <c r="E53" s="159">
        <f t="shared" ref="E53:O53" si="7">E47-E28-E37-E51</f>
        <v>164793.30700056546</v>
      </c>
      <c r="F53" s="159">
        <f t="shared" si="7"/>
        <v>150388.7102006762</v>
      </c>
      <c r="G53" s="159">
        <f t="shared" si="7"/>
        <v>132333.27879266589</v>
      </c>
      <c r="H53" s="159">
        <f t="shared" si="7"/>
        <v>138219.27629344937</v>
      </c>
      <c r="I53" s="159">
        <f t="shared" si="7"/>
        <v>159337.64579963687</v>
      </c>
      <c r="J53" s="159">
        <f t="shared" si="7"/>
        <v>159568.04134659711</v>
      </c>
      <c r="K53" s="159">
        <f t="shared" si="7"/>
        <v>169261.07171137782</v>
      </c>
      <c r="L53" s="159">
        <f t="shared" si="7"/>
        <v>170123.70948859514</v>
      </c>
      <c r="M53" s="159">
        <f t="shared" si="7"/>
        <v>163389.98948209363</v>
      </c>
      <c r="N53" s="159">
        <f t="shared" si="7"/>
        <v>162866.07093530786</v>
      </c>
      <c r="O53" s="159">
        <f t="shared" si="7"/>
        <v>172345.83342388779</v>
      </c>
      <c r="P53" s="79"/>
    </row>
    <row r="54" spans="1:16" s="106" customFormat="1">
      <c r="B54" s="138"/>
      <c r="C54" s="138"/>
      <c r="D54" s="141"/>
      <c r="E54" s="141"/>
      <c r="F54" s="141"/>
      <c r="G54" s="141"/>
      <c r="H54" s="141"/>
      <c r="I54" s="141"/>
      <c r="J54" s="141"/>
      <c r="K54" s="141"/>
      <c r="L54" s="141"/>
      <c r="M54" s="141"/>
      <c r="N54" s="141"/>
      <c r="O54" s="141"/>
    </row>
    <row r="55" spans="1:16" s="133" customFormat="1">
      <c r="B55" s="138" t="s">
        <v>292</v>
      </c>
      <c r="C55" s="138"/>
      <c r="D55" s="141">
        <v>231712</v>
      </c>
      <c r="E55" s="141">
        <v>242038</v>
      </c>
      <c r="F55" s="141">
        <v>237847</v>
      </c>
      <c r="G55" s="141">
        <v>251966</v>
      </c>
      <c r="H55" s="141">
        <v>281429</v>
      </c>
      <c r="I55" s="141">
        <v>290553</v>
      </c>
      <c r="J55" s="141">
        <v>285675</v>
      </c>
      <c r="K55" s="141">
        <v>296018</v>
      </c>
      <c r="L55" s="141">
        <v>286469</v>
      </c>
      <c r="M55" s="141">
        <v>282230</v>
      </c>
      <c r="N55" s="141">
        <v>281118</v>
      </c>
      <c r="O55" s="141">
        <v>302272</v>
      </c>
    </row>
    <row r="56" spans="1:16" s="133" customFormat="1">
      <c r="B56" s="138"/>
      <c r="C56" s="138"/>
      <c r="D56" s="141"/>
      <c r="E56" s="141"/>
      <c r="F56" s="141"/>
      <c r="G56" s="141"/>
      <c r="H56" s="141"/>
      <c r="I56" s="141"/>
      <c r="J56" s="141"/>
      <c r="K56" s="141"/>
      <c r="L56" s="141"/>
      <c r="M56" s="141"/>
      <c r="N56" s="141"/>
      <c r="O56" s="141"/>
    </row>
    <row r="57" spans="1:16">
      <c r="B57" s="138" t="s">
        <v>1321</v>
      </c>
      <c r="C57" s="138"/>
      <c r="D57" s="159">
        <f t="shared" ref="D57:N57" si="8">D55-D47</f>
        <v>46974</v>
      </c>
      <c r="E57" s="159">
        <f t="shared" si="8"/>
        <v>26191</v>
      </c>
      <c r="F57" s="159">
        <f t="shared" si="8"/>
        <v>35037</v>
      </c>
      <c r="G57" s="159">
        <f t="shared" si="8"/>
        <v>69066</v>
      </c>
      <c r="H57" s="159">
        <f t="shared" si="8"/>
        <v>82642</v>
      </c>
      <c r="I57" s="159">
        <f t="shared" si="8"/>
        <v>71498</v>
      </c>
      <c r="J57" s="159">
        <f t="shared" si="8"/>
        <v>68934</v>
      </c>
      <c r="K57" s="159">
        <f t="shared" si="8"/>
        <v>82415</v>
      </c>
      <c r="L57" s="159">
        <f t="shared" si="8"/>
        <v>61780</v>
      </c>
      <c r="M57" s="159">
        <f t="shared" si="8"/>
        <v>64357</v>
      </c>
      <c r="N57" s="159">
        <f t="shared" si="8"/>
        <v>59701</v>
      </c>
      <c r="O57" s="159">
        <v>52239</v>
      </c>
    </row>
    <row r="58" spans="1:16" s="182" customFormat="1">
      <c r="B58" s="176"/>
      <c r="C58" s="181"/>
      <c r="D58" s="175"/>
      <c r="E58" s="175"/>
      <c r="F58" s="175"/>
      <c r="G58" s="175"/>
      <c r="H58" s="175"/>
      <c r="I58" s="175"/>
      <c r="J58" s="175"/>
      <c r="K58" s="175"/>
      <c r="L58" s="175"/>
      <c r="M58" s="175"/>
      <c r="N58" s="175"/>
      <c r="O58" s="175"/>
    </row>
    <row r="59" spans="1:16">
      <c r="B59" s="138" t="s">
        <v>1206</v>
      </c>
      <c r="C59" s="138"/>
      <c r="D59" s="162">
        <f>D57/D55</f>
        <v>0.202725797541776</v>
      </c>
      <c r="E59" s="162">
        <f t="shared" ref="E59:M59" si="9">E57/E55</f>
        <v>0.10821028103025145</v>
      </c>
      <c r="F59" s="162">
        <f>F57/F55</f>
        <v>0.14730898434708026</v>
      </c>
      <c r="G59" s="162">
        <f t="shared" si="9"/>
        <v>0.27410841145233883</v>
      </c>
      <c r="H59" s="162">
        <f t="shared" si="9"/>
        <v>0.29365132946498052</v>
      </c>
      <c r="I59" s="162">
        <f t="shared" si="9"/>
        <v>0.24607558689808745</v>
      </c>
      <c r="J59" s="162">
        <f t="shared" si="9"/>
        <v>0.24130217904961931</v>
      </c>
      <c r="K59" s="162">
        <f t="shared" si="9"/>
        <v>0.27841212358707917</v>
      </c>
      <c r="L59" s="162">
        <f t="shared" si="9"/>
        <v>0.21566033322977354</v>
      </c>
      <c r="M59" s="162">
        <f t="shared" si="9"/>
        <v>0.22803032987279878</v>
      </c>
      <c r="N59" s="162">
        <f>N57/N55</f>
        <v>0.21236989449270413</v>
      </c>
      <c r="O59" s="162">
        <f>O57/O55</f>
        <v>0.17282116769002753</v>
      </c>
    </row>
    <row r="60" spans="1:16" s="133" customFormat="1">
      <c r="B60" s="138"/>
      <c r="C60" s="138"/>
      <c r="D60" s="198"/>
      <c r="E60" s="198"/>
      <c r="F60" s="198"/>
      <c r="G60" s="198"/>
      <c r="H60" s="198"/>
      <c r="I60" s="198"/>
      <c r="J60" s="198"/>
      <c r="K60" s="198"/>
      <c r="L60" s="198"/>
      <c r="M60" s="198"/>
      <c r="N60" s="198"/>
      <c r="O60" s="198"/>
    </row>
    <row r="61" spans="1:16" s="133" customFormat="1">
      <c r="B61" s="90" t="s">
        <v>228</v>
      </c>
      <c r="C61" s="90"/>
      <c r="D61" s="95">
        <f>'UK Analysis'!C71</f>
        <v>18602363</v>
      </c>
      <c r="E61" s="95">
        <f>'UK Analysis'!D71</f>
        <v>19002040</v>
      </c>
      <c r="F61" s="95">
        <f>'UK Analysis'!E71</f>
        <v>18597013</v>
      </c>
      <c r="G61" s="95">
        <f>'UK Analysis'!F71</f>
        <v>20100110</v>
      </c>
      <c r="H61" s="95">
        <f>'UK Analysis'!G71</f>
        <v>21290760</v>
      </c>
      <c r="I61" s="95">
        <f>'UK Analysis'!H71</f>
        <v>22036529</v>
      </c>
      <c r="J61" s="95">
        <f>'UK Analysis'!I71</f>
        <v>22135847</v>
      </c>
      <c r="K61" s="95">
        <f>'UK Analysis'!J71</f>
        <v>21996482</v>
      </c>
      <c r="L61" s="95">
        <f>'UK Analysis'!K71</f>
        <v>20400053</v>
      </c>
      <c r="M61" s="95">
        <f>'UK Analysis'!L71</f>
        <v>18249743</v>
      </c>
      <c r="N61" s="95">
        <f>'UK Analysis'!M71</f>
        <v>17719594</v>
      </c>
      <c r="O61" s="95">
        <f>'UK Analysis'!N71</f>
        <v>19119010</v>
      </c>
    </row>
    <row r="62" spans="1:16" s="133" customFormat="1">
      <c r="B62" s="90" t="s">
        <v>264</v>
      </c>
      <c r="C62" s="90"/>
      <c r="D62" s="95">
        <f>'UK Analysis'!C87</f>
        <v>178493</v>
      </c>
      <c r="E62" s="95">
        <f>'UK Analysis'!D87</f>
        <v>181384</v>
      </c>
      <c r="F62" s="95">
        <f>'UK Analysis'!E87</f>
        <v>179245</v>
      </c>
      <c r="G62" s="95">
        <f>'UK Analysis'!F87</f>
        <v>196723</v>
      </c>
      <c r="H62" s="95">
        <f>'UK Analysis'!G87</f>
        <v>211900</v>
      </c>
      <c r="I62" s="95">
        <f>'UK Analysis'!H87</f>
        <v>217115</v>
      </c>
      <c r="J62" s="95">
        <f>'UK Analysis'!I87</f>
        <v>211269</v>
      </c>
      <c r="K62" s="95">
        <f>'UK Analysis'!J87</f>
        <v>204651</v>
      </c>
      <c r="L62" s="95">
        <f>'UK Analysis'!K87</f>
        <v>184661</v>
      </c>
      <c r="M62" s="95">
        <f>'UK Analysis'!L87</f>
        <v>156332</v>
      </c>
      <c r="N62" s="95">
        <f>'UK Analysis'!M87</f>
        <v>150557</v>
      </c>
      <c r="O62" s="95">
        <f>'UK Analysis'!N87</f>
        <v>159283</v>
      </c>
    </row>
    <row r="63" spans="1:16" s="133" customFormat="1">
      <c r="B63" s="111" t="s">
        <v>210</v>
      </c>
      <c r="C63" s="111"/>
      <c r="D63" s="141">
        <v>2585</v>
      </c>
      <c r="E63" s="141">
        <v>2663</v>
      </c>
      <c r="F63" s="141">
        <v>1706</v>
      </c>
      <c r="G63" s="141">
        <v>1146</v>
      </c>
      <c r="H63" s="141">
        <v>1221</v>
      </c>
      <c r="I63" s="141">
        <v>1382</v>
      </c>
      <c r="J63" s="141">
        <v>1623</v>
      </c>
      <c r="K63" s="141">
        <v>1722</v>
      </c>
      <c r="L63" s="141">
        <v>1825</v>
      </c>
      <c r="M63" s="141">
        <v>2040</v>
      </c>
      <c r="N63" s="141">
        <v>2072</v>
      </c>
      <c r="O63" s="141">
        <v>2052</v>
      </c>
    </row>
    <row r="64" spans="1:16">
      <c r="B64" s="154"/>
      <c r="C64" s="154"/>
      <c r="D64" s="141"/>
      <c r="E64" s="141"/>
      <c r="F64" s="141"/>
      <c r="G64" s="141"/>
      <c r="H64" s="141"/>
      <c r="I64" s="141"/>
      <c r="J64" s="141"/>
      <c r="K64" s="141"/>
      <c r="L64" s="141"/>
      <c r="M64" s="141"/>
      <c r="N64" s="141"/>
      <c r="O64" s="141"/>
    </row>
    <row r="65" spans="2:15">
      <c r="B65" s="153" t="s">
        <v>302</v>
      </c>
      <c r="C65" s="94"/>
      <c r="D65" s="94"/>
      <c r="E65" s="94"/>
      <c r="F65" s="94"/>
      <c r="G65" s="94"/>
      <c r="H65" s="94"/>
      <c r="I65" s="94"/>
      <c r="J65" s="94"/>
      <c r="K65" s="94"/>
      <c r="L65" s="94"/>
      <c r="M65" s="94"/>
      <c r="N65" s="94"/>
      <c r="O65" s="94"/>
    </row>
    <row r="67" spans="2:15">
      <c r="B67" s="90" t="s">
        <v>1127</v>
      </c>
      <c r="D67" s="209">
        <f t="shared" ref="D67:O67" si="10">(D49/D61)*1000</f>
        <v>9.930888887610676</v>
      </c>
      <c r="E67" s="209">
        <f t="shared" si="10"/>
        <v>11.359148807180702</v>
      </c>
      <c r="F67" s="209">
        <f t="shared" si="10"/>
        <v>10.905514772721835</v>
      </c>
      <c r="G67" s="209">
        <f t="shared" si="10"/>
        <v>9.0994526895623959</v>
      </c>
      <c r="H67" s="209">
        <f t="shared" si="10"/>
        <v>9.3367733232632375</v>
      </c>
      <c r="I67" s="209">
        <f t="shared" si="10"/>
        <v>9.9405400914091331</v>
      </c>
      <c r="J67" s="209">
        <f t="shared" si="10"/>
        <v>9.7914030576738256</v>
      </c>
      <c r="K67" s="209">
        <f t="shared" si="10"/>
        <v>9.7107801147474397</v>
      </c>
      <c r="L67" s="209">
        <f t="shared" si="10"/>
        <v>11.014138051504082</v>
      </c>
      <c r="M67" s="209">
        <f t="shared" si="10"/>
        <v>11.938414694387752</v>
      </c>
      <c r="N67" s="209">
        <f t="shared" si="10"/>
        <v>12.495602325877217</v>
      </c>
      <c r="O67" s="209">
        <f t="shared" si="10"/>
        <v>12.131485887606106</v>
      </c>
    </row>
    <row r="68" spans="2:15">
      <c r="B68" s="90" t="s">
        <v>299</v>
      </c>
      <c r="D68" s="209">
        <f t="shared" ref="D68:O68" si="11">(D47/D61)*1000</f>
        <v>9.930888887610676</v>
      </c>
      <c r="E68" s="209">
        <f t="shared" si="11"/>
        <v>11.359148807180702</v>
      </c>
      <c r="F68" s="209">
        <f t="shared" si="11"/>
        <v>10.905514772721835</v>
      </c>
      <c r="G68" s="209">
        <f t="shared" si="11"/>
        <v>9.0994526895623959</v>
      </c>
      <c r="H68" s="209">
        <f t="shared" si="11"/>
        <v>9.3367733232632375</v>
      </c>
      <c r="I68" s="209">
        <f t="shared" si="11"/>
        <v>9.9405400914091331</v>
      </c>
      <c r="J68" s="209">
        <f t="shared" si="11"/>
        <v>9.7914030576738256</v>
      </c>
      <c r="K68" s="209">
        <f t="shared" si="11"/>
        <v>9.7107801147474397</v>
      </c>
      <c r="L68" s="209">
        <f t="shared" si="11"/>
        <v>11.014138051504082</v>
      </c>
      <c r="M68" s="209">
        <f t="shared" si="11"/>
        <v>11.938414694387752</v>
      </c>
      <c r="N68" s="209">
        <f t="shared" si="11"/>
        <v>12.495602325877217</v>
      </c>
      <c r="O68" s="209">
        <f t="shared" si="11"/>
        <v>12.131485887606106</v>
      </c>
    </row>
    <row r="69" spans="2:15">
      <c r="B69" s="90" t="s">
        <v>300</v>
      </c>
      <c r="D69" s="209">
        <f t="shared" ref="D69:O69" si="12">(D53/D61)*1000</f>
        <v>6.9904297658773018</v>
      </c>
      <c r="E69" s="209">
        <f t="shared" si="12"/>
        <v>8.6724008054169701</v>
      </c>
      <c r="F69" s="209">
        <f t="shared" si="12"/>
        <v>8.0867131834922201</v>
      </c>
      <c r="G69" s="209">
        <f t="shared" si="12"/>
        <v>6.5837091833162056</v>
      </c>
      <c r="H69" s="209">
        <f t="shared" si="12"/>
        <v>6.4919841421090352</v>
      </c>
      <c r="I69" s="209">
        <f t="shared" si="12"/>
        <v>7.2306144855951171</v>
      </c>
      <c r="J69" s="209">
        <f t="shared" si="12"/>
        <v>7.208580785121848</v>
      </c>
      <c r="K69" s="209">
        <f t="shared" si="12"/>
        <v>7.6949155647424812</v>
      </c>
      <c r="L69" s="209">
        <f t="shared" si="12"/>
        <v>8.3393758579252282</v>
      </c>
      <c r="M69" s="209">
        <f t="shared" si="12"/>
        <v>8.9530022138993193</v>
      </c>
      <c r="N69" s="209">
        <f t="shared" si="12"/>
        <v>9.1912981152563571</v>
      </c>
      <c r="O69" s="209">
        <f t="shared" si="12"/>
        <v>9.0143701699977026</v>
      </c>
    </row>
    <row r="70" spans="2:15">
      <c r="B70" s="90" t="s">
        <v>265</v>
      </c>
      <c r="D70" s="210">
        <f t="shared" ref="D70:O70" si="13">D23*1000/D61</f>
        <v>3.4046749867207731</v>
      </c>
      <c r="E70" s="210">
        <f t="shared" si="13"/>
        <v>3.5878779331061295</v>
      </c>
      <c r="F70" s="210">
        <f t="shared" si="13"/>
        <v>2.1619063233434317</v>
      </c>
      <c r="G70" s="210">
        <f t="shared" si="13"/>
        <v>1.7742191460643748</v>
      </c>
      <c r="H70" s="210">
        <f t="shared" si="13"/>
        <v>1.7510412967879023</v>
      </c>
      <c r="I70" s="210">
        <f t="shared" si="13"/>
        <v>1.92376031633657</v>
      </c>
      <c r="J70" s="210">
        <f t="shared" si="13"/>
        <v>2.4864194263720742</v>
      </c>
      <c r="K70" s="210">
        <f t="shared" si="13"/>
        <v>2.3960195089378384</v>
      </c>
      <c r="L70" s="210">
        <f t="shared" si="13"/>
        <v>2.5903364074593336</v>
      </c>
      <c r="M70" s="210">
        <f t="shared" si="13"/>
        <v>2.7711075164181764</v>
      </c>
      <c r="N70" s="210">
        <f t="shared" si="13"/>
        <v>2.9412073436897033</v>
      </c>
      <c r="O70" s="210">
        <f t="shared" si="13"/>
        <v>2.9439808860396015</v>
      </c>
    </row>
    <row r="71" spans="2:15">
      <c r="B71" s="111" t="s">
        <v>1136</v>
      </c>
      <c r="C71" s="111"/>
      <c r="D71" s="159">
        <f t="shared" ref="D71:O71" si="14">D23/D63*1000</f>
        <v>24500.967117988395</v>
      </c>
      <c r="E71" s="159">
        <f t="shared" si="14"/>
        <v>25601.577168606833</v>
      </c>
      <c r="F71" s="159">
        <f t="shared" si="14"/>
        <v>23566.822977725675</v>
      </c>
      <c r="G71" s="159">
        <f t="shared" si="14"/>
        <v>31118.673647469459</v>
      </c>
      <c r="H71" s="159">
        <f t="shared" si="14"/>
        <v>30533.169533169534</v>
      </c>
      <c r="I71" s="159">
        <f t="shared" si="14"/>
        <v>30675.108538350214</v>
      </c>
      <c r="J71" s="159">
        <f t="shared" si="14"/>
        <v>33911.891558841649</v>
      </c>
      <c r="K71" s="159">
        <f t="shared" si="14"/>
        <v>30606.271777003487</v>
      </c>
      <c r="L71" s="159">
        <f t="shared" si="14"/>
        <v>28955.068493150684</v>
      </c>
      <c r="M71" s="159">
        <f t="shared" si="14"/>
        <v>24790.196078431371</v>
      </c>
      <c r="N71" s="159">
        <f t="shared" si="14"/>
        <v>25152.992277992278</v>
      </c>
      <c r="O71" s="159">
        <f t="shared" si="14"/>
        <v>27429.824561403511</v>
      </c>
    </row>
    <row r="72" spans="2:15">
      <c r="B72" s="111" t="s">
        <v>1135</v>
      </c>
      <c r="C72" s="111"/>
      <c r="D72" s="159">
        <f t="shared" ref="D72:O72" si="15">D61/D63</f>
        <v>7196.2719535783363</v>
      </c>
      <c r="E72" s="159">
        <f t="shared" si="15"/>
        <v>7135.5764175741642</v>
      </c>
      <c r="F72" s="159">
        <f t="shared" si="15"/>
        <v>10900.945486518171</v>
      </c>
      <c r="G72" s="159">
        <f t="shared" si="15"/>
        <v>17539.363001745201</v>
      </c>
      <c r="H72" s="159">
        <f t="shared" si="15"/>
        <v>17437.149877149877</v>
      </c>
      <c r="I72" s="159">
        <f t="shared" si="15"/>
        <v>15945.390014471781</v>
      </c>
      <c r="J72" s="159">
        <f t="shared" si="15"/>
        <v>13638.84596426371</v>
      </c>
      <c r="K72" s="159">
        <f t="shared" si="15"/>
        <v>12773.799070847852</v>
      </c>
      <c r="L72" s="159">
        <f t="shared" si="15"/>
        <v>11178.111232876712</v>
      </c>
      <c r="M72" s="159">
        <f t="shared" si="15"/>
        <v>8945.9524509803923</v>
      </c>
      <c r="N72" s="159">
        <f t="shared" si="15"/>
        <v>8551.9276061776054</v>
      </c>
      <c r="O72" s="159">
        <f t="shared" si="15"/>
        <v>9317.256335282651</v>
      </c>
    </row>
    <row r="73" spans="2:15">
      <c r="B73" s="111"/>
      <c r="C73" s="111"/>
      <c r="D73" s="161"/>
      <c r="E73" s="161"/>
      <c r="F73" s="161"/>
      <c r="G73" s="161"/>
      <c r="H73" s="161"/>
      <c r="I73" s="161"/>
      <c r="J73" s="161"/>
      <c r="K73" s="161"/>
      <c r="L73" s="161"/>
      <c r="M73" s="161"/>
      <c r="N73" s="161"/>
      <c r="O73" s="161"/>
    </row>
    <row r="74" spans="2:15">
      <c r="B74" s="153" t="s">
        <v>318</v>
      </c>
      <c r="C74" s="94"/>
      <c r="D74" s="94"/>
      <c r="E74" s="94"/>
      <c r="F74" s="94"/>
      <c r="G74" s="94"/>
      <c r="H74" s="94"/>
      <c r="I74" s="94"/>
      <c r="J74" s="94"/>
      <c r="K74" s="94"/>
      <c r="L74" s="94"/>
      <c r="M74" s="94"/>
      <c r="N74" s="94"/>
      <c r="O74" s="94"/>
    </row>
    <row r="75" spans="2:15" s="133" customFormat="1">
      <c r="B75" s="138"/>
      <c r="C75" s="138"/>
      <c r="D75" s="141"/>
      <c r="E75" s="141"/>
      <c r="F75" s="141"/>
      <c r="G75" s="141"/>
      <c r="H75" s="141"/>
      <c r="I75" s="141"/>
      <c r="J75" s="141"/>
      <c r="K75" s="141"/>
      <c r="L75" s="141"/>
      <c r="M75" s="141"/>
      <c r="N75" s="141"/>
      <c r="O75" s="141"/>
    </row>
    <row r="76" spans="2:15">
      <c r="B76" s="138" t="s">
        <v>21</v>
      </c>
      <c r="D76" s="213">
        <f>VLOOKUP(D15,RPI!$B$54:$C$107,2,FALSE)</f>
        <v>171.31666666666663</v>
      </c>
      <c r="E76" s="213">
        <f>VLOOKUP(E15,RPI!$B$54:$C$107,2,FALSE)</f>
        <v>173.875</v>
      </c>
      <c r="F76" s="213">
        <f>VLOOKUP(F15,RPI!$B$54:$C$107,2,FALSE)</f>
        <v>177.51666666666665</v>
      </c>
      <c r="G76" s="213">
        <f>VLOOKUP(G15,RPI!$B$54:$C$107,2,FALSE)</f>
        <v>182.47499999999999</v>
      </c>
      <c r="H76" s="213">
        <f>VLOOKUP(H15,RPI!$B$54:$C$107,2,FALSE)</f>
        <v>188.15</v>
      </c>
      <c r="I76" s="213">
        <f>VLOOKUP(I15,RPI!$B$54:$C$107,2,FALSE)</f>
        <v>193.10833333333332</v>
      </c>
      <c r="J76" s="213">
        <f>VLOOKUP(J15,RPI!$B$54:$C$107,2,FALSE)</f>
        <v>200.31666666666669</v>
      </c>
      <c r="K76" s="213">
        <f>VLOOKUP(K15,RPI!$B$54:$C$107,2,FALSE)</f>
        <v>208.5916666666667</v>
      </c>
      <c r="L76" s="213">
        <f>VLOOKUP(L15,RPI!$B$54:$C$107,2,FALSE)</f>
        <v>214.78333333333339</v>
      </c>
      <c r="M76" s="213">
        <f>VLOOKUP(M15,RPI!$B$54:$C$107,2,FALSE)</f>
        <v>215.76666666666665</v>
      </c>
      <c r="N76" s="213">
        <f>VLOOKUP(N15,RPI!$B$54:$C$107,2,FALSE)</f>
        <v>226.47499999999999</v>
      </c>
      <c r="O76" s="213">
        <f>VLOOKUP(O15,RPI!$B$54:$C$107,2,FALSE)</f>
        <v>237.3416666666667</v>
      </c>
    </row>
    <row r="77" spans="2:15">
      <c r="B77" s="138" t="s">
        <v>1048</v>
      </c>
      <c r="D77" s="214">
        <f>RPI!$R$44</f>
        <v>237.3416666666667</v>
      </c>
      <c r="E77" s="214">
        <f>RPI!$R$44</f>
        <v>237.3416666666667</v>
      </c>
      <c r="F77" s="214">
        <f>RPI!$R$44</f>
        <v>237.3416666666667</v>
      </c>
      <c r="G77" s="214">
        <f>RPI!$R$44</f>
        <v>237.3416666666667</v>
      </c>
      <c r="H77" s="214">
        <f>RPI!$R$44</f>
        <v>237.3416666666667</v>
      </c>
      <c r="I77" s="214">
        <f>RPI!$R$44</f>
        <v>237.3416666666667</v>
      </c>
      <c r="J77" s="214">
        <f>RPI!$R$44</f>
        <v>237.3416666666667</v>
      </c>
      <c r="K77" s="214">
        <f>RPI!$R$44</f>
        <v>237.3416666666667</v>
      </c>
      <c r="L77" s="214">
        <f>RPI!$R$44</f>
        <v>237.3416666666667</v>
      </c>
      <c r="M77" s="214">
        <f>RPI!$R$44</f>
        <v>237.3416666666667</v>
      </c>
      <c r="N77" s="214">
        <f>RPI!$R$44</f>
        <v>237.3416666666667</v>
      </c>
      <c r="O77" s="214">
        <f>RPI!$R$44</f>
        <v>237.3416666666667</v>
      </c>
    </row>
    <row r="78" spans="2:15">
      <c r="B78" s="138" t="s">
        <v>304</v>
      </c>
      <c r="D78" s="214">
        <f t="shared" ref="D78:O78" si="16">D77/D76</f>
        <v>1.3853974121996309</v>
      </c>
      <c r="E78" s="214">
        <f t="shared" si="16"/>
        <v>1.3650131799664511</v>
      </c>
      <c r="F78" s="214">
        <f t="shared" si="16"/>
        <v>1.3370106093324574</v>
      </c>
      <c r="G78" s="214">
        <f t="shared" si="16"/>
        <v>1.3006804585102985</v>
      </c>
      <c r="H78" s="214">
        <f t="shared" si="16"/>
        <v>1.2614491983346623</v>
      </c>
      <c r="I78" s="214">
        <f t="shared" si="16"/>
        <v>1.229059681525914</v>
      </c>
      <c r="J78" s="214">
        <f t="shared" si="16"/>
        <v>1.1848323487810966</v>
      </c>
      <c r="K78" s="214">
        <f t="shared" si="16"/>
        <v>1.1378290919260117</v>
      </c>
      <c r="L78" s="214">
        <f t="shared" si="16"/>
        <v>1.1050283231163187</v>
      </c>
      <c r="M78" s="214">
        <f t="shared" si="16"/>
        <v>1.0999922756063651</v>
      </c>
      <c r="N78" s="214">
        <f t="shared" si="16"/>
        <v>1.0479817492732828</v>
      </c>
      <c r="O78" s="214">
        <f t="shared" si="16"/>
        <v>1</v>
      </c>
    </row>
    <row r="79" spans="2:15">
      <c r="B79" s="111"/>
      <c r="C79" s="111"/>
      <c r="D79" s="141"/>
      <c r="E79" s="141"/>
      <c r="F79" s="141"/>
      <c r="G79" s="141"/>
      <c r="H79" s="141"/>
      <c r="I79" s="141"/>
      <c r="J79" s="141"/>
      <c r="K79" s="141"/>
      <c r="L79" s="141"/>
      <c r="M79" s="141"/>
      <c r="N79" s="141"/>
      <c r="O79" s="141"/>
    </row>
    <row r="80" spans="2:15">
      <c r="B80" s="111" t="str">
        <f>B23</f>
        <v>Staff Costs Total</v>
      </c>
      <c r="C80" s="111"/>
      <c r="D80" s="159">
        <f t="shared" ref="D80:O80" si="17">D23*D$78</f>
        <v>87744.145101663627</v>
      </c>
      <c r="E80" s="159">
        <f t="shared" si="17"/>
        <v>93062.503570572735</v>
      </c>
      <c r="F80" s="159">
        <f t="shared" si="17"/>
        <v>53754.511548211449</v>
      </c>
      <c r="G80" s="159">
        <f t="shared" si="17"/>
        <v>46384.866511394262</v>
      </c>
      <c r="H80" s="159">
        <f t="shared" si="17"/>
        <v>47028.087563114546</v>
      </c>
      <c r="I80" s="159">
        <f t="shared" si="17"/>
        <v>52103.527078928077</v>
      </c>
      <c r="J80" s="159">
        <f t="shared" si="17"/>
        <v>65211.987644562774</v>
      </c>
      <c r="K80" s="159">
        <f t="shared" si="17"/>
        <v>59968.14446086852</v>
      </c>
      <c r="L80" s="159">
        <f t="shared" si="17"/>
        <v>58393.011678435629</v>
      </c>
      <c r="M80" s="159">
        <f t="shared" si="17"/>
        <v>55628.809361965097</v>
      </c>
      <c r="N80" s="159">
        <f t="shared" si="17"/>
        <v>54617.664826875676</v>
      </c>
      <c r="O80" s="159">
        <f t="shared" si="17"/>
        <v>56286</v>
      </c>
    </row>
    <row r="81" spans="1:15">
      <c r="B81" s="111" t="str">
        <f>B28</f>
        <v>Depreciation Total</v>
      </c>
      <c r="C81" s="111"/>
      <c r="D81" s="159">
        <f t="shared" ref="D81:O81" si="18">D28*D$78</f>
        <v>73608.93530499078</v>
      </c>
      <c r="E81" s="159">
        <f t="shared" si="18"/>
        <v>67692.368607716271</v>
      </c>
      <c r="F81" s="159">
        <f t="shared" si="18"/>
        <v>69210.354192094659</v>
      </c>
      <c r="G81" s="159">
        <f t="shared" si="18"/>
        <v>66138.300634790168</v>
      </c>
      <c r="H81" s="159">
        <f t="shared" si="18"/>
        <v>76016.190140845079</v>
      </c>
      <c r="I81" s="159">
        <f t="shared" si="18"/>
        <v>72100.328097354693</v>
      </c>
      <c r="J81" s="159">
        <f t="shared" si="18"/>
        <v>65593.503660870279</v>
      </c>
      <c r="K81" s="159">
        <f t="shared" si="18"/>
        <v>53533.720946026922</v>
      </c>
      <c r="L81" s="159">
        <f t="shared" si="18"/>
        <v>55129.863040273143</v>
      </c>
      <c r="M81" s="159">
        <f t="shared" si="18"/>
        <v>56637.502278696134</v>
      </c>
      <c r="N81" s="159">
        <f t="shared" si="18"/>
        <v>56866.633660816144</v>
      </c>
      <c r="O81" s="159">
        <f t="shared" si="18"/>
        <v>55643</v>
      </c>
    </row>
    <row r="82" spans="1:15">
      <c r="B82" s="111" t="str">
        <f>B38</f>
        <v>Other Costs Total</v>
      </c>
      <c r="C82" s="111"/>
      <c r="D82" s="159">
        <f t="shared" ref="D82:O82" si="19">D38*D$78</f>
        <v>145727.18299445478</v>
      </c>
      <c r="E82" s="159">
        <f t="shared" si="19"/>
        <v>158181.82233405227</v>
      </c>
      <c r="F82" s="159">
        <f t="shared" si="19"/>
        <v>155311.16341188626</v>
      </c>
      <c r="G82" s="159">
        <f t="shared" si="19"/>
        <v>136866.70260766317</v>
      </c>
      <c r="H82" s="159">
        <f t="shared" si="19"/>
        <v>139557.90915935871</v>
      </c>
      <c r="I82" s="159">
        <f t="shared" si="19"/>
        <v>157987.01864238558</v>
      </c>
      <c r="J82" s="159">
        <f t="shared" si="19"/>
        <v>137771.12068391714</v>
      </c>
      <c r="K82" s="159">
        <f t="shared" si="19"/>
        <v>134428.81806559864</v>
      </c>
      <c r="L82" s="159">
        <f t="shared" si="19"/>
        <v>147110.21059982927</v>
      </c>
      <c r="M82" s="159">
        <f t="shared" si="19"/>
        <v>11207.821296153254</v>
      </c>
      <c r="N82" s="159">
        <f t="shared" si="19"/>
        <v>11008.000294366562</v>
      </c>
      <c r="O82" s="159">
        <f t="shared" si="19"/>
        <v>10660</v>
      </c>
    </row>
    <row r="83" spans="1:15">
      <c r="B83" s="111" t="str">
        <f>B41</f>
        <v>Exceptional Items Total</v>
      </c>
      <c r="C83" s="111"/>
      <c r="D83" s="159">
        <f t="shared" ref="D83:O83" si="20">D41*D$78</f>
        <v>0</v>
      </c>
      <c r="E83" s="159">
        <f t="shared" si="20"/>
        <v>0</v>
      </c>
      <c r="F83" s="159">
        <f t="shared" si="20"/>
        <v>0</v>
      </c>
      <c r="G83" s="159">
        <f t="shared" si="20"/>
        <v>0</v>
      </c>
      <c r="H83" s="159">
        <f t="shared" si="20"/>
        <v>0</v>
      </c>
      <c r="I83" s="159">
        <f t="shared" si="20"/>
        <v>0</v>
      </c>
      <c r="J83" s="159">
        <f t="shared" si="20"/>
        <v>0</v>
      </c>
      <c r="K83" s="159">
        <f t="shared" si="20"/>
        <v>0</v>
      </c>
      <c r="L83" s="159">
        <f t="shared" si="20"/>
        <v>0</v>
      </c>
      <c r="M83" s="159">
        <f t="shared" si="20"/>
        <v>0</v>
      </c>
      <c r="N83" s="159">
        <f t="shared" si="20"/>
        <v>0</v>
      </c>
      <c r="O83" s="159">
        <f t="shared" si="20"/>
        <v>0</v>
      </c>
    </row>
    <row r="84" spans="1:15">
      <c r="B84" s="111" t="str">
        <f>B43</f>
        <v>Grand Total</v>
      </c>
      <c r="C84" s="111"/>
      <c r="D84" s="159">
        <f t="shared" ref="D84:O84" si="21">D43*D$78</f>
        <v>307080.2634011092</v>
      </c>
      <c r="E84" s="159">
        <f t="shared" si="21"/>
        <v>318936.69451234129</v>
      </c>
      <c r="F84" s="159">
        <f t="shared" si="21"/>
        <v>278276.02915219235</v>
      </c>
      <c r="G84" s="159">
        <f t="shared" si="21"/>
        <v>249389.8697538476</v>
      </c>
      <c r="H84" s="159">
        <f t="shared" si="21"/>
        <v>262602.18686331832</v>
      </c>
      <c r="I84" s="159">
        <f t="shared" si="21"/>
        <v>282190.87381866836</v>
      </c>
      <c r="J84" s="159">
        <f t="shared" si="21"/>
        <v>268576.61198935017</v>
      </c>
      <c r="K84" s="159">
        <f t="shared" si="21"/>
        <v>247930.6834724941</v>
      </c>
      <c r="L84" s="159">
        <f t="shared" si="21"/>
        <v>260633.08531853804</v>
      </c>
      <c r="M84" s="159">
        <f t="shared" si="21"/>
        <v>123474.13293681449</v>
      </c>
      <c r="N84" s="159">
        <f t="shared" si="21"/>
        <v>122492.29878205838</v>
      </c>
      <c r="O84" s="159">
        <f t="shared" si="21"/>
        <v>122589</v>
      </c>
    </row>
    <row r="85" spans="1:15">
      <c r="B85" s="111" t="str">
        <f>B45</f>
        <v>Cost Residual (Ordinary Opex - Elements)</v>
      </c>
      <c r="C85" s="111"/>
      <c r="D85" s="159">
        <f t="shared" ref="D85:O85" si="22">D45*D$78</f>
        <v>-51144.716266173775</v>
      </c>
      <c r="E85" s="159">
        <f t="shared" si="22"/>
        <v>-24302.694656122694</v>
      </c>
      <c r="F85" s="159">
        <f t="shared" si="22"/>
        <v>-7116.9074734766709</v>
      </c>
      <c r="G85" s="159">
        <f t="shared" si="22"/>
        <v>-11495.413892314018</v>
      </c>
      <c r="H85" s="159">
        <f t="shared" si="22"/>
        <v>-11842.48507396581</v>
      </c>
      <c r="I85" s="159">
        <f t="shared" si="22"/>
        <v>-12959.205282009238</v>
      </c>
      <c r="J85" s="159">
        <f t="shared" si="22"/>
        <v>-11774.863882186537</v>
      </c>
      <c r="K85" s="159">
        <f t="shared" si="22"/>
        <v>-4886.9759498222202</v>
      </c>
      <c r="L85" s="159">
        <f t="shared" si="22"/>
        <v>-12345.376425855513</v>
      </c>
      <c r="M85" s="159">
        <f t="shared" si="22"/>
        <v>116184.4841263711</v>
      </c>
      <c r="N85" s="159">
        <f t="shared" si="22"/>
        <v>109548.67619678407</v>
      </c>
      <c r="O85" s="159">
        <f t="shared" si="22"/>
        <v>109353</v>
      </c>
    </row>
    <row r="86" spans="1:15">
      <c r="B86" s="111"/>
      <c r="C86" s="111"/>
      <c r="D86" s="141"/>
      <c r="E86" s="141"/>
      <c r="F86" s="141"/>
      <c r="G86" s="141"/>
      <c r="H86" s="141"/>
      <c r="I86" s="141"/>
      <c r="J86" s="141"/>
      <c r="K86" s="141"/>
      <c r="L86" s="141"/>
      <c r="M86" s="141"/>
      <c r="N86" s="141"/>
      <c r="O86" s="141"/>
    </row>
    <row r="87" spans="1:15">
      <c r="B87" s="111" t="str">
        <f>B47</f>
        <v>Ordinary Opex (per accounts - including staff, depreciation and other, excluding exceptional)</v>
      </c>
      <c r="C87" s="111"/>
      <c r="D87" s="159">
        <f t="shared" ref="D87:O87" si="23">D47*D$78</f>
        <v>255935.54713493542</v>
      </c>
      <c r="E87" s="159">
        <f t="shared" si="23"/>
        <v>294633.99985621858</v>
      </c>
      <c r="F87" s="159">
        <f t="shared" si="23"/>
        <v>271159.12167871569</v>
      </c>
      <c r="G87" s="159">
        <f t="shared" si="23"/>
        <v>237894.45586153358</v>
      </c>
      <c r="H87" s="159">
        <f t="shared" si="23"/>
        <v>250759.70178935252</v>
      </c>
      <c r="I87" s="159">
        <f t="shared" si="23"/>
        <v>269231.6685366591</v>
      </c>
      <c r="J87" s="159">
        <f t="shared" si="23"/>
        <v>256801.74810716364</v>
      </c>
      <c r="K87" s="159">
        <f t="shared" si="23"/>
        <v>243043.70752267187</v>
      </c>
      <c r="L87" s="159">
        <f t="shared" si="23"/>
        <v>248287.70889268254</v>
      </c>
      <c r="M87" s="159">
        <f t="shared" si="23"/>
        <v>239658.61706318561</v>
      </c>
      <c r="N87" s="159">
        <f t="shared" si="23"/>
        <v>232040.97497884245</v>
      </c>
      <c r="O87" s="159">
        <f t="shared" si="23"/>
        <v>231942</v>
      </c>
    </row>
    <row r="88" spans="1:15">
      <c r="B88" s="111"/>
      <c r="C88" s="111"/>
      <c r="D88" s="141"/>
      <c r="E88" s="141"/>
      <c r="F88" s="141"/>
      <c r="G88" s="141"/>
      <c r="H88" s="141"/>
      <c r="I88" s="141"/>
      <c r="J88" s="141"/>
      <c r="K88" s="141"/>
      <c r="L88" s="141"/>
      <c r="M88" s="141"/>
      <c r="N88" s="141"/>
      <c r="O88" s="141"/>
    </row>
    <row r="89" spans="1:15">
      <c r="B89" s="111" t="str">
        <f>B49</f>
        <v>Total Opex (ordinary + exceptional)</v>
      </c>
      <c r="C89" s="111"/>
      <c r="D89" s="159">
        <f t="shared" ref="D89:O89" si="24">D49*D$78</f>
        <v>255935.54713493542</v>
      </c>
      <c r="E89" s="159">
        <f t="shared" si="24"/>
        <v>294633.99985621858</v>
      </c>
      <c r="F89" s="159">
        <f t="shared" si="24"/>
        <v>271159.12167871569</v>
      </c>
      <c r="G89" s="159">
        <f t="shared" si="24"/>
        <v>237894.45586153358</v>
      </c>
      <c r="H89" s="159">
        <f t="shared" si="24"/>
        <v>250759.70178935252</v>
      </c>
      <c r="I89" s="159">
        <f t="shared" si="24"/>
        <v>269231.6685366591</v>
      </c>
      <c r="J89" s="159">
        <f t="shared" si="24"/>
        <v>256801.74810716364</v>
      </c>
      <c r="K89" s="159">
        <f t="shared" si="24"/>
        <v>243043.70752267187</v>
      </c>
      <c r="L89" s="159">
        <f t="shared" si="24"/>
        <v>248287.70889268254</v>
      </c>
      <c r="M89" s="159">
        <f t="shared" si="24"/>
        <v>239658.61706318561</v>
      </c>
      <c r="N89" s="159">
        <f t="shared" si="24"/>
        <v>232040.97497884245</v>
      </c>
      <c r="O89" s="159">
        <f t="shared" si="24"/>
        <v>231942</v>
      </c>
    </row>
    <row r="90" spans="1:15">
      <c r="B90" s="111"/>
      <c r="C90" s="111"/>
      <c r="D90" s="141"/>
      <c r="E90" s="141"/>
      <c r="F90" s="141"/>
      <c r="G90" s="141"/>
      <c r="H90" s="141"/>
      <c r="I90" s="141"/>
      <c r="J90" s="141"/>
      <c r="K90" s="141"/>
      <c r="L90" s="141"/>
      <c r="M90" s="141"/>
      <c r="N90" s="141"/>
      <c r="O90" s="141"/>
    </row>
    <row r="91" spans="1:15">
      <c r="A91" s="134"/>
      <c r="B91" s="111" t="str">
        <f>B53</f>
        <v>Adjusted Ordinary Opex (ordinary opex - depreciation - ANS - retail)</v>
      </c>
      <c r="C91" s="111"/>
      <c r="D91" s="159">
        <f t="shared" ref="D91:O91" si="25">D53*D$78</f>
        <v>180155.01805383651</v>
      </c>
      <c r="E91" s="159">
        <f t="shared" si="25"/>
        <v>224945.0360260295</v>
      </c>
      <c r="F91" s="159">
        <f t="shared" si="25"/>
        <v>201071.30106212845</v>
      </c>
      <c r="G91" s="159">
        <f t="shared" si="25"/>
        <v>172123.30973621583</v>
      </c>
      <c r="H91" s="159">
        <f t="shared" si="25"/>
        <v>174356.59527476889</v>
      </c>
      <c r="I91" s="159">
        <f t="shared" si="25"/>
        <v>195835.47620159059</v>
      </c>
      <c r="J91" s="159">
        <f t="shared" si="25"/>
        <v>189061.37721908779</v>
      </c>
      <c r="K91" s="159">
        <f t="shared" si="25"/>
        <v>192590.17152378056</v>
      </c>
      <c r="L91" s="159">
        <f t="shared" si="25"/>
        <v>187991.51741851005</v>
      </c>
      <c r="M91" s="159">
        <f t="shared" si="25"/>
        <v>179727.72634170824</v>
      </c>
      <c r="N91" s="159">
        <f t="shared" si="25"/>
        <v>170680.66991605048</v>
      </c>
      <c r="O91" s="159">
        <f t="shared" si="25"/>
        <v>172345.83342388779</v>
      </c>
    </row>
    <row r="92" spans="1:15">
      <c r="B92" s="111"/>
      <c r="C92" s="111"/>
      <c r="D92" s="141"/>
      <c r="E92" s="141"/>
      <c r="F92" s="141"/>
      <c r="G92" s="141"/>
      <c r="H92" s="141"/>
      <c r="I92" s="141"/>
      <c r="J92" s="141"/>
      <c r="K92" s="141"/>
      <c r="L92" s="141"/>
      <c r="M92" s="141"/>
      <c r="N92" s="141"/>
      <c r="O92" s="141"/>
    </row>
    <row r="93" spans="1:15">
      <c r="B93" s="111" t="str">
        <f>B55</f>
        <v>Turnover (per accounts)</v>
      </c>
      <c r="C93" s="111"/>
      <c r="D93" s="159">
        <f t="shared" ref="D93:O93" si="26">D55*D$78</f>
        <v>321013.20517560089</v>
      </c>
      <c r="E93" s="159">
        <f t="shared" si="26"/>
        <v>330385.0600527199</v>
      </c>
      <c r="F93" s="159">
        <f t="shared" si="26"/>
        <v>318003.96239789698</v>
      </c>
      <c r="G93" s="159">
        <f t="shared" si="26"/>
        <v>327727.25240900589</v>
      </c>
      <c r="H93" s="159">
        <f t="shared" si="26"/>
        <v>355008.38643812569</v>
      </c>
      <c r="I93" s="159">
        <f t="shared" si="26"/>
        <v>357106.97764639888</v>
      </c>
      <c r="J93" s="159">
        <f t="shared" si="26"/>
        <v>338476.98123803973</v>
      </c>
      <c r="K93" s="159">
        <f t="shared" si="26"/>
        <v>336817.8921337541</v>
      </c>
      <c r="L93" s="159">
        <f t="shared" si="26"/>
        <v>316556.35869480873</v>
      </c>
      <c r="M93" s="159">
        <f t="shared" si="26"/>
        <v>310450.81994438445</v>
      </c>
      <c r="N93" s="159">
        <f t="shared" si="26"/>
        <v>294606.53339220671</v>
      </c>
      <c r="O93" s="159">
        <f t="shared" si="26"/>
        <v>302272</v>
      </c>
    </row>
    <row r="94" spans="1:15">
      <c r="B94" s="111"/>
      <c r="C94" s="111"/>
      <c r="D94" s="141"/>
      <c r="E94" s="141"/>
      <c r="F94" s="141"/>
      <c r="G94" s="141"/>
      <c r="H94" s="141"/>
      <c r="I94" s="141"/>
      <c r="J94" s="141"/>
      <c r="K94" s="141"/>
      <c r="L94" s="141"/>
      <c r="M94" s="141"/>
      <c r="N94" s="141"/>
      <c r="O94" s="141"/>
    </row>
    <row r="95" spans="1:15">
      <c r="B95" s="111" t="str">
        <f>B57</f>
        <v>Ordinary Profit (pre-exceptional)</v>
      </c>
      <c r="C95" s="111"/>
      <c r="D95" s="159">
        <f t="shared" ref="D95:O95" si="27">D57*D$78</f>
        <v>65077.658040665461</v>
      </c>
      <c r="E95" s="159">
        <f t="shared" si="27"/>
        <v>35751.060196501319</v>
      </c>
      <c r="F95" s="159">
        <f t="shared" si="27"/>
        <v>46844.840719181309</v>
      </c>
      <c r="G95" s="159">
        <f t="shared" si="27"/>
        <v>89832.796547472273</v>
      </c>
      <c r="H95" s="159">
        <f t="shared" si="27"/>
        <v>104248.68464877317</v>
      </c>
      <c r="I95" s="159">
        <f t="shared" si="27"/>
        <v>87875.309109739799</v>
      </c>
      <c r="J95" s="159">
        <f t="shared" si="27"/>
        <v>81675.233130876106</v>
      </c>
      <c r="K95" s="159">
        <f t="shared" si="27"/>
        <v>93774.184611082252</v>
      </c>
      <c r="L95" s="159">
        <f t="shared" si="27"/>
        <v>68268.649802126165</v>
      </c>
      <c r="M95" s="159">
        <f t="shared" si="27"/>
        <v>70792.202881198842</v>
      </c>
      <c r="N95" s="159">
        <f t="shared" si="27"/>
        <v>62565.558413364255</v>
      </c>
      <c r="O95" s="159">
        <f t="shared" si="27"/>
        <v>52239</v>
      </c>
    </row>
    <row r="96" spans="1:15">
      <c r="B96" s="111"/>
      <c r="C96" s="111"/>
      <c r="D96" s="193"/>
      <c r="E96" s="193"/>
      <c r="F96" s="193"/>
      <c r="G96" s="193"/>
      <c r="H96" s="193"/>
      <c r="I96" s="193"/>
      <c r="J96" s="193"/>
      <c r="K96" s="193"/>
      <c r="L96" s="193"/>
      <c r="M96" s="193"/>
      <c r="N96" s="193"/>
      <c r="O96" s="193"/>
    </row>
    <row r="97" spans="2:15">
      <c r="B97" s="111" t="str">
        <f>B59</f>
        <v>Ordinary Profit Margin</v>
      </c>
      <c r="C97" s="111"/>
      <c r="D97" s="162">
        <f>D95/D93</f>
        <v>0.202725797541776</v>
      </c>
      <c r="E97" s="162">
        <f t="shared" ref="E97:O97" si="28">E95/E93</f>
        <v>0.10821028103025145</v>
      </c>
      <c r="F97" s="162">
        <f t="shared" si="28"/>
        <v>0.14730898434708029</v>
      </c>
      <c r="G97" s="162">
        <f t="shared" si="28"/>
        <v>0.27410841145233877</v>
      </c>
      <c r="H97" s="162">
        <f t="shared" si="28"/>
        <v>0.29365132946498052</v>
      </c>
      <c r="I97" s="162">
        <f t="shared" si="28"/>
        <v>0.24607558689808745</v>
      </c>
      <c r="J97" s="162">
        <f t="shared" si="28"/>
        <v>0.24130217904961931</v>
      </c>
      <c r="K97" s="162">
        <f t="shared" si="28"/>
        <v>0.27841212358707917</v>
      </c>
      <c r="L97" s="162">
        <f t="shared" si="28"/>
        <v>0.21566033322977352</v>
      </c>
      <c r="M97" s="162">
        <f t="shared" si="28"/>
        <v>0.22803032987279878</v>
      </c>
      <c r="N97" s="162">
        <f t="shared" si="28"/>
        <v>0.21236989449270413</v>
      </c>
      <c r="O97" s="162">
        <f t="shared" si="28"/>
        <v>0.17282116769002753</v>
      </c>
    </row>
    <row r="98" spans="2:15">
      <c r="B98" s="111"/>
      <c r="C98" s="111"/>
      <c r="D98" s="161"/>
      <c r="E98" s="161"/>
      <c r="F98" s="161"/>
      <c r="G98" s="161"/>
      <c r="H98" s="161"/>
      <c r="I98" s="161"/>
      <c r="J98" s="161"/>
      <c r="K98" s="161"/>
      <c r="L98" s="161"/>
      <c r="M98" s="161"/>
      <c r="N98" s="161"/>
      <c r="O98" s="161"/>
    </row>
    <row r="99" spans="2:15">
      <c r="B99" s="153" t="s">
        <v>303</v>
      </c>
      <c r="C99" s="94"/>
      <c r="D99" s="94"/>
      <c r="E99" s="94"/>
      <c r="F99" s="94"/>
      <c r="G99" s="94"/>
      <c r="H99" s="94"/>
      <c r="I99" s="94"/>
      <c r="J99" s="94"/>
      <c r="K99" s="94"/>
      <c r="L99" s="94"/>
      <c r="M99" s="94"/>
      <c r="N99" s="94"/>
      <c r="O99" s="94"/>
    </row>
    <row r="101" spans="2:15">
      <c r="B101" s="90" t="s">
        <v>1127</v>
      </c>
      <c r="D101" s="209">
        <f>(D89/D61)*1000</f>
        <v>13.758227765737901</v>
      </c>
      <c r="E101" s="209">
        <f t="shared" ref="E101:O101" si="29">(E89/E61)*1000</f>
        <v>15.505387835001851</v>
      </c>
      <c r="F101" s="209">
        <f t="shared" si="29"/>
        <v>14.580788951360935</v>
      </c>
      <c r="G101" s="209">
        <f t="shared" si="29"/>
        <v>11.835480296452785</v>
      </c>
      <c r="H101" s="209">
        <f t="shared" si="29"/>
        <v>11.777865223662872</v>
      </c>
      <c r="I101" s="209">
        <f t="shared" si="29"/>
        <v>12.217517038942889</v>
      </c>
      <c r="J101" s="209">
        <f t="shared" si="29"/>
        <v>11.601171082686092</v>
      </c>
      <c r="K101" s="209">
        <f t="shared" si="29"/>
        <v>11.049208119856251</v>
      </c>
      <c r="L101" s="209">
        <f t="shared" si="29"/>
        <v>12.170934501625194</v>
      </c>
      <c r="M101" s="209">
        <f t="shared" si="29"/>
        <v>13.132163946812051</v>
      </c>
      <c r="N101" s="209">
        <f t="shared" si="29"/>
        <v>13.095163183696108</v>
      </c>
      <c r="O101" s="209">
        <f t="shared" si="29"/>
        <v>12.131485887606106</v>
      </c>
    </row>
    <row r="102" spans="2:15">
      <c r="B102" s="90" t="s">
        <v>299</v>
      </c>
      <c r="D102" s="209">
        <f t="shared" ref="D102:O102" si="30">(D87/D61)*1000</f>
        <v>13.758227765737901</v>
      </c>
      <c r="E102" s="209">
        <f t="shared" si="30"/>
        <v>15.505387835001851</v>
      </c>
      <c r="F102" s="209">
        <f t="shared" si="30"/>
        <v>14.580788951360935</v>
      </c>
      <c r="G102" s="209">
        <f t="shared" si="30"/>
        <v>11.835480296452785</v>
      </c>
      <c r="H102" s="209">
        <f t="shared" si="30"/>
        <v>11.777865223662872</v>
      </c>
      <c r="I102" s="209">
        <f t="shared" si="30"/>
        <v>12.217517038942889</v>
      </c>
      <c r="J102" s="209">
        <f t="shared" si="30"/>
        <v>11.601171082686092</v>
      </c>
      <c r="K102" s="209">
        <f t="shared" si="30"/>
        <v>11.049208119856251</v>
      </c>
      <c r="L102" s="209">
        <f t="shared" si="30"/>
        <v>12.170934501625194</v>
      </c>
      <c r="M102" s="209">
        <f t="shared" si="30"/>
        <v>13.132163946812051</v>
      </c>
      <c r="N102" s="209">
        <f t="shared" si="30"/>
        <v>13.095163183696108</v>
      </c>
      <c r="O102" s="209">
        <f t="shared" si="30"/>
        <v>12.131485887606106</v>
      </c>
    </row>
    <row r="103" spans="2:15">
      <c r="B103" s="90" t="s">
        <v>300</v>
      </c>
      <c r="D103" s="209">
        <f t="shared" ref="D103:O103" si="31">(D91/D61)*1000</f>
        <v>9.6845233078096857</v>
      </c>
      <c r="E103" s="209">
        <f t="shared" si="31"/>
        <v>11.837941401345828</v>
      </c>
      <c r="F103" s="209">
        <f t="shared" si="31"/>
        <v>10.812021320957749</v>
      </c>
      <c r="G103" s="209">
        <f t="shared" si="31"/>
        <v>8.5633018792541833</v>
      </c>
      <c r="H103" s="209">
        <f t="shared" si="31"/>
        <v>8.1893081916647823</v>
      </c>
      <c r="I103" s="209">
        <f t="shared" si="31"/>
        <v>8.8868567369021942</v>
      </c>
      <c r="J103" s="209">
        <f t="shared" si="31"/>
        <v>8.5409597030142006</v>
      </c>
      <c r="K103" s="209">
        <f t="shared" si="31"/>
        <v>8.7554987894782705</v>
      </c>
      <c r="L103" s="209">
        <f t="shared" si="31"/>
        <v>9.2152465201198268</v>
      </c>
      <c r="M103" s="209">
        <f t="shared" si="31"/>
        <v>9.8482332787759397</v>
      </c>
      <c r="N103" s="209">
        <f t="shared" si="31"/>
        <v>9.6323126769185841</v>
      </c>
      <c r="O103" s="209">
        <f t="shared" si="31"/>
        <v>9.0143701699977026</v>
      </c>
    </row>
    <row r="104" spans="2:15">
      <c r="B104" s="90" t="s">
        <v>265</v>
      </c>
      <c r="D104" s="210">
        <f t="shared" ref="D104:O104" si="32">D80*1000/D61</f>
        <v>4.7168279159837727</v>
      </c>
      <c r="E104" s="210">
        <f t="shared" si="32"/>
        <v>4.8975006668006555</v>
      </c>
      <c r="F104" s="210">
        <f t="shared" si="32"/>
        <v>2.8904916906930942</v>
      </c>
      <c r="G104" s="210">
        <f t="shared" si="32"/>
        <v>2.3076921724007611</v>
      </c>
      <c r="H104" s="210">
        <f t="shared" si="32"/>
        <v>2.208849640083987</v>
      </c>
      <c r="I104" s="210">
        <f t="shared" si="32"/>
        <v>2.3644162417288164</v>
      </c>
      <c r="J104" s="210">
        <f t="shared" si="32"/>
        <v>2.9459901690033714</v>
      </c>
      <c r="K104" s="210">
        <f t="shared" si="32"/>
        <v>2.7262607020917491</v>
      </c>
      <c r="L104" s="210">
        <f t="shared" si="32"/>
        <v>2.8623950966419369</v>
      </c>
      <c r="M104" s="210">
        <f t="shared" si="32"/>
        <v>3.0481968629347329</v>
      </c>
      <c r="N104" s="210">
        <f t="shared" si="32"/>
        <v>3.0823316170153605</v>
      </c>
      <c r="O104" s="210">
        <f t="shared" si="32"/>
        <v>2.9439808860396015</v>
      </c>
    </row>
    <row r="105" spans="2:15">
      <c r="B105" s="111" t="s">
        <v>1136</v>
      </c>
      <c r="C105" s="111"/>
      <c r="D105" s="159">
        <f t="shared" ref="D105:O105" si="33">D80/D63*1000</f>
        <v>33943.576441649369</v>
      </c>
      <c r="E105" s="159">
        <f t="shared" si="33"/>
        <v>34946.490263076506</v>
      </c>
      <c r="F105" s="159">
        <f t="shared" si="33"/>
        <v>31509.09234947916</v>
      </c>
      <c r="G105" s="159">
        <f t="shared" si="33"/>
        <v>40475.450708022916</v>
      </c>
      <c r="H105" s="159">
        <f t="shared" si="33"/>
        <v>38516.042230233041</v>
      </c>
      <c r="I105" s="159">
        <f t="shared" si="33"/>
        <v>37701.539130917568</v>
      </c>
      <c r="J105" s="159">
        <f t="shared" si="33"/>
        <v>40179.906127272196</v>
      </c>
      <c r="K105" s="159">
        <f t="shared" si="33"/>
        <v>34824.706423268595</v>
      </c>
      <c r="L105" s="159">
        <f t="shared" si="33"/>
        <v>31996.170782704452</v>
      </c>
      <c r="M105" s="159">
        <f t="shared" si="33"/>
        <v>27269.024197041712</v>
      </c>
      <c r="N105" s="159">
        <f t="shared" si="33"/>
        <v>26359.876846947722</v>
      </c>
      <c r="O105" s="159">
        <f t="shared" si="33"/>
        <v>27429.824561403511</v>
      </c>
    </row>
    <row r="106" spans="2:15">
      <c r="B106" s="111"/>
      <c r="C106" s="111"/>
      <c r="D106" s="161"/>
      <c r="E106" s="161"/>
      <c r="F106" s="161"/>
      <c r="G106" s="161"/>
      <c r="H106" s="161"/>
      <c r="I106" s="161"/>
      <c r="J106" s="161"/>
      <c r="K106" s="161"/>
      <c r="L106" s="161"/>
      <c r="M106" s="161"/>
      <c r="N106" s="161"/>
      <c r="O106" s="161"/>
    </row>
    <row r="107" spans="2:15">
      <c r="B107" s="153" t="s">
        <v>163</v>
      </c>
      <c r="C107" s="94"/>
      <c r="D107" s="94"/>
      <c r="E107" s="94"/>
      <c r="F107" s="94"/>
      <c r="G107" s="94"/>
      <c r="H107" s="94"/>
      <c r="I107" s="94"/>
      <c r="J107" s="94"/>
      <c r="K107" s="94"/>
      <c r="L107" s="94"/>
      <c r="M107" s="94"/>
      <c r="N107" s="94"/>
      <c r="O107"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2.xml><?xml version="1.0" encoding="utf-8"?>
<worksheet xmlns="http://schemas.openxmlformats.org/spreadsheetml/2006/main" xmlns:r="http://schemas.openxmlformats.org/officeDocument/2006/relationships">
  <sheetPr>
    <pageSetUpPr autoPageBreaks="0" fitToPage="1"/>
  </sheetPr>
  <dimension ref="A1:O103"/>
  <sheetViews>
    <sheetView showGridLines="0" zoomScale="70" zoomScaleNormal="70" workbookViewId="0">
      <pane xSplit="3" ySplit="15" topLeftCell="D16" activePane="bottomRight" state="frozen"/>
      <selection pane="topRight" activeCell="D1" sqref="D1"/>
      <selection pane="bottomLeft" activeCell="A14" sqref="A14"/>
      <selection pane="bottomRight" activeCell="A176" sqref="A176:XFD176"/>
    </sheetView>
  </sheetViews>
  <sheetFormatPr defaultRowHeight="12.75" outlineLevelRow="2"/>
  <cols>
    <col min="1" max="1" width="3.140625" style="90" customWidth="1"/>
    <col min="2" max="2" width="71.7109375" style="90" customWidth="1"/>
    <col min="3" max="3" width="32.5703125" style="90" customWidth="1"/>
    <col min="4" max="14" width="15.7109375" style="90" customWidth="1"/>
    <col min="15" max="15" width="11.7109375" style="90" customWidth="1"/>
    <col min="16" max="16384" width="9.140625" style="90"/>
  </cols>
  <sheetData>
    <row r="1" spans="1:15" ht="12.75" customHeight="1">
      <c r="A1" s="145"/>
    </row>
    <row r="2" spans="1:15">
      <c r="B2" s="146" t="s">
        <v>134</v>
      </c>
      <c r="C2" s="91"/>
      <c r="D2" s="91"/>
      <c r="E2" s="147" t="str">
        <f>Info!$D$10</f>
        <v>Duncan Kernohan</v>
      </c>
      <c r="F2" s="91"/>
      <c r="G2" s="91"/>
      <c r="H2" s="91"/>
      <c r="I2" s="91"/>
      <c r="J2" s="91"/>
      <c r="K2" s="91"/>
      <c r="L2" s="91"/>
      <c r="M2" s="91"/>
      <c r="N2" s="91"/>
      <c r="O2" s="91"/>
    </row>
    <row r="3" spans="1:15">
      <c r="B3" s="148" t="s">
        <v>137</v>
      </c>
      <c r="C3" s="92"/>
      <c r="D3" s="92"/>
      <c r="E3" s="149" t="str">
        <f>Info!$D$11 &amp; " - " &amp; Info!$D$12</f>
        <v>Airport Opex Benchmarking 2013 - duncan.kernohan@caa.co.uk</v>
      </c>
      <c r="F3" s="92"/>
      <c r="G3" s="92"/>
      <c r="H3" s="92"/>
      <c r="I3" s="92"/>
      <c r="J3" s="92"/>
      <c r="K3" s="92"/>
      <c r="L3" s="92"/>
      <c r="M3" s="92"/>
      <c r="N3" s="92"/>
      <c r="O3" s="92"/>
    </row>
    <row r="4" spans="1:15">
      <c r="B4" s="148" t="s">
        <v>130</v>
      </c>
      <c r="C4" s="92"/>
      <c r="D4" s="92"/>
      <c r="E4" s="150">
        <f>Info!$D$16</f>
        <v>2.8</v>
      </c>
      <c r="F4" s="92"/>
      <c r="G4" s="92"/>
      <c r="H4" s="92"/>
      <c r="I4" s="92"/>
      <c r="J4" s="92"/>
      <c r="K4" s="92"/>
      <c r="L4" s="92"/>
      <c r="M4" s="92"/>
      <c r="N4" s="92"/>
      <c r="O4" s="92"/>
    </row>
    <row r="5" spans="1:15">
      <c r="B5" s="151" t="s">
        <v>138</v>
      </c>
      <c r="C5" s="93"/>
      <c r="D5" s="93"/>
      <c r="E5" s="152" t="str">
        <f ca="1">IF(CELL("filename",D1)="","",MID(CELL("filename",A1),FIND("]",CELL("filename",A1))+1,99))</f>
        <v>STHAM</v>
      </c>
      <c r="F5" s="93"/>
      <c r="G5" s="93"/>
      <c r="H5" s="93"/>
      <c r="I5" s="93"/>
      <c r="J5" s="93"/>
      <c r="K5" s="93"/>
      <c r="L5" s="93"/>
      <c r="M5" s="93"/>
      <c r="N5" s="93"/>
      <c r="O5" s="93"/>
    </row>
    <row r="8" spans="1:15">
      <c r="B8" s="153" t="s">
        <v>1041</v>
      </c>
      <c r="C8" s="94"/>
      <c r="D8" s="94"/>
      <c r="E8" s="94"/>
      <c r="F8" s="94"/>
      <c r="G8" s="94"/>
      <c r="H8" s="94"/>
      <c r="I8" s="94"/>
      <c r="J8" s="94"/>
      <c r="K8" s="94"/>
      <c r="L8" s="94"/>
      <c r="M8" s="94"/>
      <c r="N8" s="94"/>
      <c r="O8" s="94"/>
    </row>
    <row r="10" spans="1:15">
      <c r="B10" s="138" t="s">
        <v>143</v>
      </c>
      <c r="C10" s="138"/>
      <c r="D10" s="90" t="s">
        <v>270</v>
      </c>
    </row>
    <row r="11" spans="1:15">
      <c r="B11" s="138"/>
      <c r="C11" s="138"/>
      <c r="D11" s="138"/>
    </row>
    <row r="12" spans="1:15">
      <c r="B12" s="153" t="s">
        <v>244</v>
      </c>
      <c r="C12" s="94"/>
      <c r="D12" s="94"/>
      <c r="E12" s="94"/>
      <c r="F12" s="94"/>
      <c r="G12" s="94"/>
      <c r="H12" s="94"/>
      <c r="I12" s="94"/>
      <c r="J12" s="94"/>
      <c r="K12" s="94"/>
      <c r="L12" s="94"/>
      <c r="M12" s="94"/>
      <c r="N12" s="94"/>
      <c r="O12" s="94"/>
    </row>
    <row r="13" spans="1:15">
      <c r="B13" s="138"/>
      <c r="C13" s="138"/>
      <c r="D13" s="138"/>
    </row>
    <row r="14" spans="1:15">
      <c r="B14" s="101" t="s">
        <v>167</v>
      </c>
      <c r="C14" s="101"/>
    </row>
    <row r="15" spans="1:15" s="133" customFormat="1">
      <c r="B15" s="138" t="s">
        <v>271</v>
      </c>
      <c r="C15" s="138"/>
      <c r="D15" s="154" t="s">
        <v>109</v>
      </c>
      <c r="E15" s="154" t="s">
        <v>110</v>
      </c>
      <c r="F15" s="154" t="s">
        <v>111</v>
      </c>
      <c r="G15" s="154" t="s">
        <v>22</v>
      </c>
      <c r="H15" s="154" t="s">
        <v>23</v>
      </c>
      <c r="I15" s="154" t="s">
        <v>24</v>
      </c>
      <c r="J15" s="154" t="s">
        <v>295</v>
      </c>
      <c r="K15" s="154">
        <v>2007</v>
      </c>
      <c r="L15" s="154">
        <v>2008</v>
      </c>
      <c r="M15" s="154">
        <v>2009</v>
      </c>
      <c r="N15" s="154">
        <v>2010</v>
      </c>
    </row>
    <row r="16" spans="1:15" s="133" customFormat="1">
      <c r="B16" s="138" t="s">
        <v>157</v>
      </c>
      <c r="C16" s="138"/>
      <c r="D16" s="154">
        <v>2000</v>
      </c>
      <c r="E16" s="154">
        <v>2001</v>
      </c>
      <c r="F16" s="154">
        <v>2002</v>
      </c>
      <c r="G16" s="154">
        <v>2003</v>
      </c>
      <c r="H16" s="154">
        <v>2004</v>
      </c>
      <c r="I16" s="154">
        <v>2005</v>
      </c>
      <c r="J16" s="154">
        <v>2006</v>
      </c>
      <c r="K16" s="154">
        <v>2007</v>
      </c>
      <c r="L16" s="154">
        <v>2008</v>
      </c>
      <c r="M16" s="154">
        <v>2009</v>
      </c>
      <c r="N16" s="154">
        <v>2010</v>
      </c>
    </row>
    <row r="17" spans="2:14" s="133" customFormat="1">
      <c r="B17" s="138" t="s">
        <v>164</v>
      </c>
      <c r="C17" s="138"/>
      <c r="D17" s="154" t="s">
        <v>160</v>
      </c>
      <c r="E17" s="154" t="s">
        <v>160</v>
      </c>
      <c r="F17" s="154" t="s">
        <v>160</v>
      </c>
      <c r="G17" s="154" t="s">
        <v>160</v>
      </c>
      <c r="H17" s="154" t="s">
        <v>160</v>
      </c>
      <c r="I17" s="154" t="s">
        <v>160</v>
      </c>
      <c r="J17" s="154" t="s">
        <v>176</v>
      </c>
      <c r="K17" s="154" t="s">
        <v>174</v>
      </c>
      <c r="L17" s="154" t="s">
        <v>174</v>
      </c>
      <c r="M17" s="154" t="s">
        <v>174</v>
      </c>
      <c r="N17" s="154" t="s">
        <v>174</v>
      </c>
    </row>
    <row r="18" spans="2:14">
      <c r="B18" s="133"/>
      <c r="C18" s="133"/>
      <c r="E18" s="133"/>
      <c r="F18" s="133"/>
      <c r="G18" s="133"/>
      <c r="H18" s="133"/>
      <c r="I18" s="133"/>
      <c r="J18" s="133"/>
      <c r="K18" s="133"/>
      <c r="L18" s="133"/>
      <c r="M18" s="133"/>
      <c r="N18" s="133"/>
    </row>
    <row r="19" spans="2:14">
      <c r="B19" s="106" t="s">
        <v>1314</v>
      </c>
      <c r="C19" s="106" t="s">
        <v>1315</v>
      </c>
      <c r="E19" s="133"/>
      <c r="F19" s="133"/>
      <c r="G19" s="133"/>
      <c r="H19" s="133"/>
      <c r="I19" s="133"/>
      <c r="J19" s="133"/>
      <c r="K19" s="133"/>
      <c r="L19" s="133"/>
      <c r="M19" s="133"/>
      <c r="N19" s="133"/>
    </row>
    <row r="20" spans="2:14" hidden="1" outlineLevel="2">
      <c r="B20" s="90" t="s">
        <v>240</v>
      </c>
      <c r="C20" s="138" t="s">
        <v>165</v>
      </c>
      <c r="D20" s="141"/>
      <c r="E20" s="141"/>
      <c r="F20" s="141"/>
      <c r="G20" s="141"/>
      <c r="H20" s="141"/>
      <c r="I20" s="141"/>
      <c r="J20" s="141">
        <v>4218</v>
      </c>
      <c r="K20" s="141">
        <v>6100</v>
      </c>
      <c r="L20" s="141">
        <v>5782</v>
      </c>
      <c r="M20" s="141">
        <v>5064</v>
      </c>
      <c r="N20" s="141">
        <v>5455</v>
      </c>
    </row>
    <row r="21" spans="2:14" hidden="1" outlineLevel="2">
      <c r="B21" s="90" t="s">
        <v>240</v>
      </c>
      <c r="C21" s="138" t="s">
        <v>166</v>
      </c>
      <c r="D21" s="141"/>
      <c r="E21" s="141"/>
      <c r="F21" s="141"/>
      <c r="G21" s="141"/>
      <c r="H21" s="141"/>
      <c r="I21" s="141"/>
      <c r="J21" s="141">
        <v>353</v>
      </c>
      <c r="K21" s="141">
        <v>454</v>
      </c>
      <c r="L21" s="141">
        <v>446</v>
      </c>
      <c r="M21" s="141">
        <v>389</v>
      </c>
      <c r="N21" s="141">
        <v>435</v>
      </c>
    </row>
    <row r="22" spans="2:14" hidden="1" outlineLevel="2">
      <c r="B22" s="90" t="s">
        <v>240</v>
      </c>
      <c r="C22" s="138" t="s">
        <v>189</v>
      </c>
      <c r="D22" s="141"/>
      <c r="E22" s="141"/>
      <c r="F22" s="141"/>
      <c r="G22" s="141"/>
      <c r="H22" s="141"/>
      <c r="I22" s="141"/>
      <c r="J22" s="141">
        <v>1161</v>
      </c>
      <c r="K22" s="141">
        <v>1267</v>
      </c>
      <c r="L22" s="141">
        <v>752</v>
      </c>
      <c r="M22" s="141">
        <v>583</v>
      </c>
      <c r="N22" s="141">
        <v>699</v>
      </c>
    </row>
    <row r="23" spans="2:14" hidden="1" outlineLevel="2">
      <c r="B23" s="90" t="s">
        <v>240</v>
      </c>
      <c r="C23" s="138" t="s">
        <v>188</v>
      </c>
      <c r="D23" s="141"/>
      <c r="E23" s="141"/>
      <c r="F23" s="141"/>
      <c r="G23" s="141"/>
      <c r="H23" s="141"/>
      <c r="I23" s="141"/>
      <c r="J23" s="141">
        <v>442</v>
      </c>
      <c r="K23" s="141">
        <v>575</v>
      </c>
      <c r="L23" s="141">
        <f>527+92</f>
        <v>619</v>
      </c>
      <c r="M23" s="141">
        <f>291+52</f>
        <v>343</v>
      </c>
      <c r="N23" s="141">
        <f>319+33</f>
        <v>352</v>
      </c>
    </row>
    <row r="24" spans="2:14" outlineLevel="1" collapsed="1">
      <c r="B24" s="173" t="s">
        <v>287</v>
      </c>
      <c r="C24" s="138"/>
      <c r="D24" s="159">
        <f t="shared" ref="D24:N24" si="0">SUBTOTAL(9,D20:D23)</f>
        <v>0</v>
      </c>
      <c r="E24" s="159">
        <f t="shared" si="0"/>
        <v>0</v>
      </c>
      <c r="F24" s="159">
        <f t="shared" si="0"/>
        <v>0</v>
      </c>
      <c r="G24" s="159">
        <f t="shared" si="0"/>
        <v>0</v>
      </c>
      <c r="H24" s="159">
        <f t="shared" si="0"/>
        <v>0</v>
      </c>
      <c r="I24" s="159">
        <f t="shared" si="0"/>
        <v>0</v>
      </c>
      <c r="J24" s="159">
        <f t="shared" si="0"/>
        <v>6174</v>
      </c>
      <c r="K24" s="159">
        <f t="shared" si="0"/>
        <v>8396</v>
      </c>
      <c r="L24" s="159">
        <f t="shared" si="0"/>
        <v>7599</v>
      </c>
      <c r="M24" s="159">
        <f t="shared" si="0"/>
        <v>6379</v>
      </c>
      <c r="N24" s="159">
        <f t="shared" si="0"/>
        <v>6941</v>
      </c>
    </row>
    <row r="25" spans="2:14" s="133" customFormat="1" outlineLevel="1">
      <c r="C25" s="137"/>
      <c r="D25" s="141"/>
      <c r="E25" s="141"/>
      <c r="F25" s="141"/>
      <c r="G25" s="141"/>
      <c r="H25" s="141"/>
      <c r="I25" s="141"/>
      <c r="J25" s="141"/>
      <c r="K25" s="141"/>
      <c r="L25" s="141"/>
      <c r="M25" s="141"/>
      <c r="N25" s="141"/>
    </row>
    <row r="26" spans="2:14" s="133" customFormat="1" hidden="1" outlineLevel="2">
      <c r="B26" s="133" t="s">
        <v>30</v>
      </c>
      <c r="C26" s="138" t="s">
        <v>30</v>
      </c>
      <c r="D26" s="141"/>
      <c r="E26" s="141"/>
      <c r="F26" s="141"/>
      <c r="G26" s="141"/>
      <c r="H26" s="141"/>
      <c r="I26" s="141"/>
      <c r="J26" s="141">
        <v>1435</v>
      </c>
      <c r="K26" s="141">
        <v>1908</v>
      </c>
      <c r="L26" s="141">
        <v>2368</v>
      </c>
      <c r="M26" s="141">
        <v>3193</v>
      </c>
      <c r="N26" s="141">
        <v>3106</v>
      </c>
    </row>
    <row r="27" spans="2:14" s="133" customFormat="1" outlineLevel="1" collapsed="1">
      <c r="B27" s="106" t="s">
        <v>288</v>
      </c>
      <c r="C27" s="138"/>
      <c r="D27" s="159">
        <f t="shared" ref="D27:N27" si="1">SUBTOTAL(9,D26:D26)</f>
        <v>0</v>
      </c>
      <c r="E27" s="159">
        <f t="shared" si="1"/>
        <v>0</v>
      </c>
      <c r="F27" s="159">
        <f t="shared" si="1"/>
        <v>0</v>
      </c>
      <c r="G27" s="159">
        <f t="shared" si="1"/>
        <v>0</v>
      </c>
      <c r="H27" s="159">
        <f t="shared" si="1"/>
        <v>0</v>
      </c>
      <c r="I27" s="159">
        <f t="shared" si="1"/>
        <v>0</v>
      </c>
      <c r="J27" s="159">
        <f t="shared" si="1"/>
        <v>1435</v>
      </c>
      <c r="K27" s="159">
        <f t="shared" si="1"/>
        <v>1908</v>
      </c>
      <c r="L27" s="159">
        <f t="shared" si="1"/>
        <v>2368</v>
      </c>
      <c r="M27" s="159">
        <f t="shared" si="1"/>
        <v>3193</v>
      </c>
      <c r="N27" s="159">
        <f t="shared" si="1"/>
        <v>3106</v>
      </c>
    </row>
    <row r="28" spans="2:14" s="133" customFormat="1" outlineLevel="1">
      <c r="C28" s="138"/>
      <c r="D28" s="141"/>
      <c r="E28" s="141"/>
      <c r="F28" s="141"/>
      <c r="G28" s="141"/>
      <c r="H28" s="141"/>
      <c r="I28" s="141"/>
      <c r="J28" s="141"/>
      <c r="K28" s="141"/>
      <c r="L28" s="141"/>
      <c r="M28" s="141"/>
      <c r="N28" s="141"/>
    </row>
    <row r="29" spans="2:14" s="133" customFormat="1" hidden="1" outlineLevel="2">
      <c r="B29" s="133" t="s">
        <v>266</v>
      </c>
      <c r="C29" s="138" t="s">
        <v>183</v>
      </c>
      <c r="D29" s="155"/>
      <c r="E29" s="155"/>
      <c r="F29" s="155"/>
      <c r="G29" s="155"/>
      <c r="H29" s="155"/>
      <c r="I29" s="155"/>
      <c r="J29" s="155">
        <v>12</v>
      </c>
      <c r="K29" s="155">
        <v>786</v>
      </c>
      <c r="L29" s="155">
        <v>914</v>
      </c>
      <c r="M29" s="155">
        <v>993</v>
      </c>
      <c r="N29" s="155">
        <v>1068</v>
      </c>
    </row>
    <row r="30" spans="2:14" s="133" customFormat="1" hidden="1" outlineLevel="2">
      <c r="B30" s="133" t="s">
        <v>266</v>
      </c>
      <c r="C30" s="138" t="s">
        <v>206</v>
      </c>
      <c r="D30" s="141"/>
      <c r="E30" s="141"/>
      <c r="F30" s="141"/>
      <c r="G30" s="141"/>
      <c r="H30" s="141"/>
      <c r="I30" s="141"/>
      <c r="J30" s="141">
        <v>801</v>
      </c>
      <c r="K30" s="141">
        <v>1207</v>
      </c>
      <c r="L30" s="141">
        <v>1176</v>
      </c>
      <c r="M30" s="141">
        <v>1260</v>
      </c>
      <c r="N30" s="141">
        <v>1158</v>
      </c>
    </row>
    <row r="31" spans="2:14" s="133" customFormat="1" hidden="1" outlineLevel="2">
      <c r="B31" s="133" t="s">
        <v>266</v>
      </c>
      <c r="C31" s="138" t="s">
        <v>184</v>
      </c>
      <c r="D31" s="141"/>
      <c r="E31" s="141"/>
      <c r="F31" s="141"/>
      <c r="G31" s="141"/>
      <c r="H31" s="141"/>
      <c r="I31" s="141"/>
      <c r="J31" s="141">
        <v>590</v>
      </c>
      <c r="K31" s="141">
        <v>826</v>
      </c>
      <c r="L31" s="141">
        <v>903</v>
      </c>
      <c r="M31" s="141">
        <v>945</v>
      </c>
      <c r="N31" s="141">
        <v>1023</v>
      </c>
    </row>
    <row r="32" spans="2:14" s="133" customFormat="1" hidden="1" outlineLevel="2">
      <c r="B32" s="133" t="s">
        <v>266</v>
      </c>
      <c r="C32" s="138" t="s">
        <v>202</v>
      </c>
      <c r="D32" s="141"/>
      <c r="E32" s="141"/>
      <c r="F32" s="141"/>
      <c r="G32" s="141"/>
      <c r="H32" s="141"/>
      <c r="I32" s="141"/>
      <c r="J32" s="141">
        <v>542</v>
      </c>
      <c r="K32" s="141">
        <v>706</v>
      </c>
      <c r="L32" s="141">
        <v>738</v>
      </c>
      <c r="M32" s="141">
        <v>735</v>
      </c>
      <c r="N32" s="141">
        <v>814</v>
      </c>
    </row>
    <row r="33" spans="2:15" s="133" customFormat="1" hidden="1" outlineLevel="2">
      <c r="B33" s="133" t="s">
        <v>266</v>
      </c>
      <c r="C33" s="138" t="s">
        <v>186</v>
      </c>
      <c r="D33" s="141"/>
      <c r="E33" s="141"/>
      <c r="F33" s="141"/>
      <c r="G33" s="141"/>
      <c r="H33" s="141"/>
      <c r="I33" s="141"/>
      <c r="J33" s="141">
        <v>771</v>
      </c>
      <c r="K33" s="141">
        <v>1116</v>
      </c>
      <c r="L33" s="141">
        <v>1204</v>
      </c>
      <c r="M33" s="141">
        <v>1503</v>
      </c>
      <c r="N33" s="141">
        <v>1312</v>
      </c>
    </row>
    <row r="34" spans="2:15" hidden="1" outlineLevel="2">
      <c r="B34" s="133" t="s">
        <v>266</v>
      </c>
      <c r="C34" s="138" t="s">
        <v>207</v>
      </c>
      <c r="D34" s="141"/>
      <c r="E34" s="141"/>
      <c r="F34" s="141"/>
      <c r="G34" s="141"/>
      <c r="H34" s="141"/>
      <c r="I34" s="141"/>
      <c r="J34" s="141">
        <v>706</v>
      </c>
      <c r="K34" s="141">
        <v>2488</v>
      </c>
      <c r="L34" s="141">
        <v>3350</v>
      </c>
      <c r="M34" s="141">
        <v>2078</v>
      </c>
      <c r="N34" s="141">
        <v>1683</v>
      </c>
    </row>
    <row r="35" spans="2:15" hidden="1" outlineLevel="2">
      <c r="B35" s="133" t="s">
        <v>266</v>
      </c>
      <c r="C35" s="138" t="s">
        <v>294</v>
      </c>
      <c r="D35" s="155"/>
      <c r="E35" s="155"/>
      <c r="F35" s="155"/>
      <c r="G35" s="155"/>
      <c r="H35" s="155"/>
      <c r="I35" s="155"/>
      <c r="J35" s="155"/>
      <c r="K35" s="155"/>
      <c r="L35" s="155">
        <v>2400</v>
      </c>
      <c r="M35" s="155">
        <v>3305</v>
      </c>
      <c r="N35" s="155">
        <v>3377</v>
      </c>
    </row>
    <row r="36" spans="2:15" outlineLevel="1" collapsed="1">
      <c r="B36" s="106" t="s">
        <v>293</v>
      </c>
      <c r="C36" s="138"/>
      <c r="D36" s="159">
        <f t="shared" ref="D36:N36" si="2">SUBTOTAL(9,D29:D35)</f>
        <v>0</v>
      </c>
      <c r="E36" s="159">
        <f t="shared" si="2"/>
        <v>0</v>
      </c>
      <c r="F36" s="159">
        <f t="shared" si="2"/>
        <v>0</v>
      </c>
      <c r="G36" s="159">
        <f t="shared" si="2"/>
        <v>0</v>
      </c>
      <c r="H36" s="159">
        <f t="shared" si="2"/>
        <v>0</v>
      </c>
      <c r="I36" s="159">
        <f t="shared" si="2"/>
        <v>0</v>
      </c>
      <c r="J36" s="159">
        <f t="shared" si="2"/>
        <v>3422</v>
      </c>
      <c r="K36" s="159">
        <f t="shared" si="2"/>
        <v>7129</v>
      </c>
      <c r="L36" s="159">
        <f t="shared" si="2"/>
        <v>10685</v>
      </c>
      <c r="M36" s="159">
        <f t="shared" si="2"/>
        <v>10819</v>
      </c>
      <c r="N36" s="159">
        <f t="shared" si="2"/>
        <v>10435</v>
      </c>
    </row>
    <row r="37" spans="2:15" s="133" customFormat="1" outlineLevel="1">
      <c r="C37" s="138"/>
      <c r="D37" s="141"/>
      <c r="E37" s="141"/>
      <c r="F37" s="141"/>
      <c r="G37" s="141"/>
      <c r="H37" s="141"/>
      <c r="I37" s="141"/>
      <c r="J37" s="141"/>
      <c r="K37" s="141"/>
      <c r="L37" s="141"/>
      <c r="M37" s="141"/>
      <c r="N37" s="141"/>
    </row>
    <row r="38" spans="2:15" s="30" customFormat="1" outlineLevel="2">
      <c r="B38" s="90" t="s">
        <v>172</v>
      </c>
      <c r="C38" s="138" t="s">
        <v>172</v>
      </c>
      <c r="D38" s="141"/>
      <c r="E38" s="141"/>
      <c r="F38" s="141"/>
      <c r="G38" s="141"/>
      <c r="H38" s="141"/>
      <c r="I38" s="141"/>
      <c r="J38" s="141">
        <v>0</v>
      </c>
      <c r="K38" s="141">
        <v>849</v>
      </c>
      <c r="L38" s="141">
        <v>88</v>
      </c>
      <c r="M38" s="141">
        <v>4985</v>
      </c>
      <c r="N38" s="141">
        <v>-1995</v>
      </c>
    </row>
    <row r="39" spans="2:15" s="30" customFormat="1" outlineLevel="1">
      <c r="B39" s="30" t="s">
        <v>290</v>
      </c>
      <c r="C39" s="138"/>
      <c r="D39" s="159">
        <f t="shared" ref="D39:N39" si="3">SUBTOTAL(9,D38:D38)</f>
        <v>0</v>
      </c>
      <c r="E39" s="159">
        <f t="shared" si="3"/>
        <v>0</v>
      </c>
      <c r="F39" s="159">
        <f t="shared" si="3"/>
        <v>0</v>
      </c>
      <c r="G39" s="159">
        <f t="shared" si="3"/>
        <v>0</v>
      </c>
      <c r="H39" s="159">
        <f t="shared" si="3"/>
        <v>0</v>
      </c>
      <c r="I39" s="159">
        <f t="shared" si="3"/>
        <v>0</v>
      </c>
      <c r="J39" s="159">
        <f t="shared" si="3"/>
        <v>0</v>
      </c>
      <c r="K39" s="159">
        <f t="shared" si="3"/>
        <v>849</v>
      </c>
      <c r="L39" s="159">
        <f t="shared" si="3"/>
        <v>88</v>
      </c>
      <c r="M39" s="159">
        <f t="shared" si="3"/>
        <v>4985</v>
      </c>
      <c r="N39" s="159">
        <f t="shared" si="3"/>
        <v>-1995</v>
      </c>
    </row>
    <row r="40" spans="2:15" s="106" customFormat="1" outlineLevel="1">
      <c r="C40" s="138"/>
      <c r="D40" s="141"/>
      <c r="E40" s="141"/>
      <c r="F40" s="141"/>
      <c r="G40" s="141"/>
      <c r="H40" s="141"/>
      <c r="I40" s="141"/>
      <c r="J40" s="141"/>
      <c r="K40" s="141"/>
      <c r="L40" s="141"/>
      <c r="M40" s="141"/>
      <c r="N40" s="141"/>
    </row>
    <row r="41" spans="2:15" s="30" customFormat="1">
      <c r="B41" s="30" t="s">
        <v>286</v>
      </c>
      <c r="C41" s="138"/>
      <c r="D41" s="159">
        <f>SUBTOTAL(9,D20:D39)</f>
        <v>0</v>
      </c>
      <c r="E41" s="159">
        <f t="shared" ref="E41:M41" si="4">SUBTOTAL(9,E20:E39)</f>
        <v>0</v>
      </c>
      <c r="F41" s="159">
        <f t="shared" si="4"/>
        <v>0</v>
      </c>
      <c r="G41" s="159">
        <f t="shared" si="4"/>
        <v>0</v>
      </c>
      <c r="H41" s="159">
        <f t="shared" si="4"/>
        <v>0</v>
      </c>
      <c r="I41" s="159">
        <f t="shared" si="4"/>
        <v>0</v>
      </c>
      <c r="J41" s="159">
        <f t="shared" si="4"/>
        <v>11031</v>
      </c>
      <c r="K41" s="159">
        <f t="shared" si="4"/>
        <v>18282</v>
      </c>
      <c r="L41" s="159">
        <f t="shared" si="4"/>
        <v>20740</v>
      </c>
      <c r="M41" s="159">
        <f t="shared" si="4"/>
        <v>25376</v>
      </c>
      <c r="N41" s="159">
        <f>SUBTOTAL(9,N20:N39)</f>
        <v>18487</v>
      </c>
    </row>
    <row r="42" spans="2:15" s="106" customFormat="1">
      <c r="B42" s="138"/>
      <c r="C42" s="138"/>
      <c r="D42" s="141"/>
      <c r="E42" s="141"/>
      <c r="F42" s="141"/>
      <c r="G42" s="141"/>
      <c r="H42" s="141"/>
      <c r="I42" s="141"/>
      <c r="J42" s="141"/>
      <c r="K42" s="141"/>
      <c r="L42" s="141"/>
      <c r="M42" s="141"/>
      <c r="N42" s="141"/>
    </row>
    <row r="43" spans="2:15" s="106" customFormat="1">
      <c r="B43" s="138" t="s">
        <v>1123</v>
      </c>
      <c r="C43" s="138"/>
      <c r="D43" s="159"/>
      <c r="E43" s="159"/>
      <c r="F43" s="159"/>
      <c r="G43" s="159"/>
      <c r="H43" s="159"/>
      <c r="I43" s="159"/>
      <c r="J43" s="159">
        <f>J45-J24-J27-J36</f>
        <v>0</v>
      </c>
      <c r="K43" s="159">
        <f>K45-K24-K27-K36</f>
        <v>0</v>
      </c>
      <c r="L43" s="159">
        <f>L45-L24-L27-L36</f>
        <v>0</v>
      </c>
      <c r="M43" s="159">
        <f>M45-M24-M27-M36</f>
        <v>5</v>
      </c>
      <c r="N43" s="159">
        <f>N45-N24-N27-N36</f>
        <v>0</v>
      </c>
    </row>
    <row r="44" spans="2:15" s="106" customFormat="1">
      <c r="B44" s="138"/>
      <c r="C44" s="138"/>
      <c r="D44" s="141"/>
      <c r="E44" s="141"/>
      <c r="F44" s="141"/>
      <c r="G44" s="141"/>
      <c r="H44" s="141"/>
      <c r="I44" s="141"/>
      <c r="J44" s="141"/>
      <c r="K44" s="141"/>
      <c r="L44" s="141"/>
      <c r="M44" s="141"/>
      <c r="N44" s="141"/>
    </row>
    <row r="45" spans="2:15" s="30" customFormat="1">
      <c r="B45" s="138" t="s">
        <v>1316</v>
      </c>
      <c r="C45" s="138"/>
      <c r="D45" s="141"/>
      <c r="E45" s="141"/>
      <c r="F45" s="141"/>
      <c r="G45" s="141"/>
      <c r="H45" s="141"/>
      <c r="I45" s="141"/>
      <c r="J45" s="141">
        <v>11031</v>
      </c>
      <c r="K45" s="141">
        <v>17433</v>
      </c>
      <c r="L45" s="141">
        <v>20652</v>
      </c>
      <c r="M45" s="141">
        <v>20396</v>
      </c>
      <c r="N45" s="141">
        <v>20482</v>
      </c>
      <c r="O45" s="79"/>
    </row>
    <row r="46" spans="2:15" s="106" customFormat="1">
      <c r="B46" s="138"/>
      <c r="C46" s="138"/>
      <c r="D46" s="141"/>
      <c r="E46" s="141"/>
      <c r="F46" s="141"/>
      <c r="G46" s="141"/>
      <c r="H46" s="141"/>
      <c r="I46" s="141"/>
      <c r="J46" s="141"/>
      <c r="K46" s="141"/>
      <c r="L46" s="141"/>
      <c r="M46" s="141"/>
      <c r="N46" s="141"/>
      <c r="O46" s="114"/>
    </row>
    <row r="47" spans="2:15" s="30" customFormat="1">
      <c r="B47" s="138" t="s">
        <v>1317</v>
      </c>
      <c r="C47" s="138"/>
      <c r="D47" s="159"/>
      <c r="E47" s="159"/>
      <c r="F47" s="159"/>
      <c r="G47" s="159"/>
      <c r="H47" s="159"/>
      <c r="I47" s="159"/>
      <c r="J47" s="159">
        <f>J45+J39</f>
        <v>11031</v>
      </c>
      <c r="K47" s="159">
        <f>K45+K38</f>
        <v>18282</v>
      </c>
      <c r="L47" s="159">
        <f>L45+L38</f>
        <v>20740</v>
      </c>
      <c r="M47" s="159">
        <f>M45+M38</f>
        <v>25381</v>
      </c>
      <c r="N47" s="159">
        <f>N45+N38</f>
        <v>18487</v>
      </c>
      <c r="O47" s="79"/>
    </row>
    <row r="48" spans="2:15" s="106" customFormat="1">
      <c r="B48" s="138"/>
      <c r="C48" s="138"/>
      <c r="D48" s="141"/>
      <c r="E48" s="141"/>
      <c r="F48" s="141"/>
      <c r="G48" s="141"/>
      <c r="H48" s="141"/>
      <c r="I48" s="141"/>
      <c r="J48" s="141"/>
      <c r="K48" s="141"/>
      <c r="L48" s="141"/>
      <c r="M48" s="141"/>
      <c r="N48" s="141"/>
      <c r="O48" s="114"/>
    </row>
    <row r="49" spans="1:15" s="30" customFormat="1">
      <c r="A49" s="122"/>
      <c r="B49" s="138" t="s">
        <v>1131</v>
      </c>
      <c r="C49" s="138"/>
      <c r="D49" s="159"/>
      <c r="E49" s="159"/>
      <c r="F49" s="159"/>
      <c r="G49" s="159"/>
      <c r="H49" s="159"/>
      <c r="I49" s="159"/>
      <c r="J49" s="159">
        <f>J45-J26-J35-J29</f>
        <v>9584</v>
      </c>
      <c r="K49" s="159">
        <f>K45-K26-K35-K29</f>
        <v>14739</v>
      </c>
      <c r="L49" s="159">
        <f>L45-L26-L35-L29</f>
        <v>14970</v>
      </c>
      <c r="M49" s="159">
        <f>M45-M26-M35-M29</f>
        <v>12905</v>
      </c>
      <c r="N49" s="159">
        <f>N45-N26-N35-N29</f>
        <v>12931</v>
      </c>
      <c r="O49" s="79"/>
    </row>
    <row r="50" spans="1:15" s="106" customFormat="1">
      <c r="B50" s="138"/>
      <c r="C50" s="138"/>
      <c r="D50" s="141"/>
      <c r="E50" s="141"/>
      <c r="F50" s="141"/>
      <c r="G50" s="141"/>
      <c r="H50" s="141"/>
      <c r="I50" s="141"/>
      <c r="J50" s="141"/>
      <c r="K50" s="141"/>
      <c r="L50" s="141"/>
      <c r="M50" s="141"/>
      <c r="N50" s="141"/>
    </row>
    <row r="51" spans="1:15" s="133" customFormat="1">
      <c r="B51" s="138" t="s">
        <v>292</v>
      </c>
      <c r="C51" s="138"/>
      <c r="D51" s="141"/>
      <c r="E51" s="141"/>
      <c r="F51" s="141"/>
      <c r="G51" s="141"/>
      <c r="H51" s="141"/>
      <c r="I51" s="141"/>
      <c r="J51" s="141">
        <v>17216</v>
      </c>
      <c r="K51" s="141">
        <v>24063</v>
      </c>
      <c r="L51" s="141">
        <v>26357</v>
      </c>
      <c r="M51" s="141">
        <v>26647</v>
      </c>
      <c r="N51" s="141">
        <v>27283</v>
      </c>
    </row>
    <row r="52" spans="1:15" s="133" customFormat="1">
      <c r="B52" s="138"/>
      <c r="C52" s="138"/>
      <c r="D52" s="141"/>
      <c r="E52" s="141"/>
      <c r="F52" s="141"/>
      <c r="G52" s="141"/>
      <c r="H52" s="141"/>
      <c r="I52" s="141"/>
      <c r="J52" s="141"/>
      <c r="K52" s="141"/>
      <c r="L52" s="141"/>
      <c r="M52" s="141"/>
      <c r="N52" s="141"/>
    </row>
    <row r="53" spans="1:15">
      <c r="B53" s="138" t="s">
        <v>1321</v>
      </c>
      <c r="C53" s="138"/>
      <c r="D53" s="159"/>
      <c r="E53" s="159"/>
      <c r="F53" s="159"/>
      <c r="G53" s="159"/>
      <c r="H53" s="159"/>
      <c r="I53" s="159"/>
      <c r="J53" s="159">
        <f>J51-J45</f>
        <v>6185</v>
      </c>
      <c r="K53" s="159">
        <f>K51-K45</f>
        <v>6630</v>
      </c>
      <c r="L53" s="159">
        <f>L51-L45</f>
        <v>5705</v>
      </c>
      <c r="M53" s="159">
        <f>M51-M45</f>
        <v>6251</v>
      </c>
      <c r="N53" s="159">
        <f>N51-N45</f>
        <v>6801</v>
      </c>
    </row>
    <row r="54" spans="1:15" s="179" customFormat="1">
      <c r="B54" s="176"/>
      <c r="C54" s="176"/>
      <c r="D54" s="160"/>
      <c r="E54" s="160"/>
      <c r="F54" s="160"/>
      <c r="G54" s="160"/>
      <c r="H54" s="160"/>
      <c r="I54" s="160"/>
      <c r="J54" s="160"/>
      <c r="K54" s="160"/>
      <c r="L54" s="160"/>
      <c r="M54" s="160"/>
      <c r="N54" s="160"/>
    </row>
    <row r="55" spans="1:15">
      <c r="B55" s="138" t="s">
        <v>1206</v>
      </c>
      <c r="C55" s="138"/>
      <c r="D55" s="162"/>
      <c r="E55" s="162"/>
      <c r="F55" s="162"/>
      <c r="G55" s="162"/>
      <c r="H55" s="162"/>
      <c r="I55" s="162"/>
      <c r="J55" s="162">
        <f>J53/J51</f>
        <v>0.35925882899628253</v>
      </c>
      <c r="K55" s="162">
        <f>K53/K51</f>
        <v>0.27552674230145868</v>
      </c>
      <c r="L55" s="162">
        <f>L53/L51</f>
        <v>0.21645103767500096</v>
      </c>
      <c r="M55" s="162">
        <f>M53/M51</f>
        <v>0.23458550681127333</v>
      </c>
      <c r="N55" s="162">
        <f>N53/N51</f>
        <v>0.2492761060000733</v>
      </c>
      <c r="O55" s="164"/>
    </row>
    <row r="56" spans="1:15" s="133" customFormat="1">
      <c r="B56" s="138"/>
      <c r="C56" s="138"/>
      <c r="D56" s="198"/>
      <c r="E56" s="198"/>
      <c r="F56" s="198"/>
      <c r="G56" s="198"/>
      <c r="H56" s="198"/>
      <c r="I56" s="198"/>
      <c r="J56" s="198"/>
      <c r="K56" s="198"/>
      <c r="L56" s="198"/>
      <c r="M56" s="198"/>
      <c r="N56" s="198"/>
      <c r="O56" s="215"/>
    </row>
    <row r="57" spans="1:15">
      <c r="B57" s="90" t="s">
        <v>228</v>
      </c>
      <c r="D57" s="95">
        <f>'UK Analysis'!C72</f>
        <v>865005</v>
      </c>
      <c r="E57" s="95">
        <f>'UK Analysis'!D72</f>
        <v>840165</v>
      </c>
      <c r="F57" s="95">
        <f>'UK Analysis'!E72</f>
        <v>792217</v>
      </c>
      <c r="G57" s="95">
        <f>'UK Analysis'!F72</f>
        <v>1371067</v>
      </c>
      <c r="H57" s="95">
        <f>'UK Analysis'!G72</f>
        <v>1547746</v>
      </c>
      <c r="I57" s="95">
        <f>'UK Analysis'!H72</f>
        <v>1859151</v>
      </c>
      <c r="J57" s="95">
        <f>'UK Analysis'!I72</f>
        <v>1548367</v>
      </c>
      <c r="K57" s="95">
        <f>'UK Analysis'!J72</f>
        <v>1965422</v>
      </c>
      <c r="L57" s="95">
        <f>'UK Analysis'!K72</f>
        <v>1945767</v>
      </c>
      <c r="M57" s="95">
        <f>'UK Analysis'!L72</f>
        <v>1789443</v>
      </c>
      <c r="N57" s="95">
        <f>'UK Analysis'!M72</f>
        <v>1733553</v>
      </c>
    </row>
    <row r="58" spans="1:15">
      <c r="B58" s="90" t="s">
        <v>264</v>
      </c>
      <c r="D58" s="95">
        <f>'UK Analysis'!C88</f>
        <v>27940</v>
      </c>
      <c r="E58" s="95">
        <f>'UK Analysis'!D88</f>
        <v>28140</v>
      </c>
      <c r="F58" s="95">
        <f>'UK Analysis'!E88</f>
        <v>27518</v>
      </c>
      <c r="G58" s="95">
        <f>'UK Analysis'!F88</f>
        <v>34745</v>
      </c>
      <c r="H58" s="95">
        <f>'UK Analysis'!G88</f>
        <v>37729</v>
      </c>
      <c r="I58" s="95">
        <f>'UK Analysis'!H88</f>
        <v>45044</v>
      </c>
      <c r="J58" s="95">
        <f>'UK Analysis'!I88</f>
        <v>35972</v>
      </c>
      <c r="K58" s="95">
        <f>'UK Analysis'!J88</f>
        <v>47016</v>
      </c>
      <c r="L58" s="95">
        <f>'UK Analysis'!K88</f>
        <v>44525</v>
      </c>
      <c r="M58" s="95">
        <f>'UK Analysis'!L88</f>
        <v>40520</v>
      </c>
      <c r="N58" s="95">
        <f>'UK Analysis'!M88</f>
        <v>40333</v>
      </c>
    </row>
    <row r="59" spans="1:15">
      <c r="B59" s="111" t="s">
        <v>210</v>
      </c>
      <c r="C59" s="111"/>
      <c r="D59" s="141"/>
      <c r="E59" s="141"/>
      <c r="F59" s="141"/>
      <c r="G59" s="141"/>
      <c r="H59" s="141"/>
      <c r="I59" s="141"/>
      <c r="J59" s="141">
        <v>212</v>
      </c>
      <c r="K59" s="141">
        <v>213</v>
      </c>
      <c r="L59" s="141">
        <v>198</v>
      </c>
      <c r="M59" s="141">
        <v>171</v>
      </c>
      <c r="N59" s="141">
        <v>170</v>
      </c>
    </row>
    <row r="60" spans="1:15" s="133" customFormat="1">
      <c r="B60" s="138"/>
      <c r="C60" s="138"/>
      <c r="D60" s="198"/>
      <c r="E60" s="198"/>
      <c r="F60" s="198"/>
      <c r="G60" s="198"/>
      <c r="H60" s="198"/>
      <c r="I60" s="198"/>
      <c r="J60" s="198"/>
      <c r="K60" s="198"/>
      <c r="L60" s="198"/>
      <c r="M60" s="198"/>
      <c r="N60" s="198"/>
      <c r="O60" s="215"/>
    </row>
    <row r="61" spans="1:15">
      <c r="B61" s="153" t="s">
        <v>302</v>
      </c>
      <c r="C61" s="94"/>
      <c r="D61" s="94"/>
      <c r="E61" s="94"/>
      <c r="F61" s="94"/>
      <c r="G61" s="94"/>
      <c r="H61" s="94"/>
      <c r="I61" s="94"/>
      <c r="J61" s="94"/>
      <c r="K61" s="94"/>
      <c r="L61" s="94"/>
      <c r="M61" s="94"/>
      <c r="N61" s="94"/>
      <c r="O61" s="94"/>
    </row>
    <row r="63" spans="1:15">
      <c r="B63" s="90" t="s">
        <v>1127</v>
      </c>
      <c r="D63" s="209">
        <f t="shared" ref="D63:N63" si="5">(D47/D57)*1000</f>
        <v>0</v>
      </c>
      <c r="E63" s="209">
        <f t="shared" si="5"/>
        <v>0</v>
      </c>
      <c r="F63" s="209">
        <f t="shared" si="5"/>
        <v>0</v>
      </c>
      <c r="G63" s="209">
        <f t="shared" si="5"/>
        <v>0</v>
      </c>
      <c r="H63" s="209">
        <f t="shared" si="5"/>
        <v>0</v>
      </c>
      <c r="I63" s="209">
        <f t="shared" si="5"/>
        <v>0</v>
      </c>
      <c r="J63" s="209">
        <f t="shared" si="5"/>
        <v>7.1242799672170749</v>
      </c>
      <c r="K63" s="209">
        <f t="shared" si="5"/>
        <v>9.3018191513069457</v>
      </c>
      <c r="L63" s="209">
        <f t="shared" si="5"/>
        <v>10.659035742717396</v>
      </c>
      <c r="M63" s="209">
        <f t="shared" si="5"/>
        <v>14.183743209479152</v>
      </c>
      <c r="N63" s="209">
        <f t="shared" si="5"/>
        <v>10.664225437583969</v>
      </c>
    </row>
    <row r="64" spans="1:15">
      <c r="B64" s="90" t="s">
        <v>299</v>
      </c>
      <c r="D64" s="209">
        <f t="shared" ref="D64:N64" si="6">(D45/D57)*1000</f>
        <v>0</v>
      </c>
      <c r="E64" s="209">
        <f t="shared" si="6"/>
        <v>0</v>
      </c>
      <c r="F64" s="209">
        <f t="shared" si="6"/>
        <v>0</v>
      </c>
      <c r="G64" s="209">
        <f t="shared" si="6"/>
        <v>0</v>
      </c>
      <c r="H64" s="209">
        <f t="shared" si="6"/>
        <v>0</v>
      </c>
      <c r="I64" s="209">
        <f t="shared" si="6"/>
        <v>0</v>
      </c>
      <c r="J64" s="209">
        <f t="shared" si="6"/>
        <v>7.1242799672170749</v>
      </c>
      <c r="K64" s="209">
        <f t="shared" si="6"/>
        <v>8.8698508513693248</v>
      </c>
      <c r="L64" s="209">
        <f t="shared" si="6"/>
        <v>10.613809361552541</v>
      </c>
      <c r="M64" s="209">
        <f t="shared" si="6"/>
        <v>11.397960147375468</v>
      </c>
      <c r="N64" s="209">
        <f t="shared" si="6"/>
        <v>11.815041132287273</v>
      </c>
    </row>
    <row r="65" spans="2:15">
      <c r="B65" s="90" t="s">
        <v>300</v>
      </c>
      <c r="D65" s="209">
        <f t="shared" ref="D65:N65" si="7">(D49/D57)*1000</f>
        <v>0</v>
      </c>
      <c r="E65" s="209">
        <f t="shared" si="7"/>
        <v>0</v>
      </c>
      <c r="F65" s="209">
        <f t="shared" si="7"/>
        <v>0</v>
      </c>
      <c r="G65" s="209">
        <f t="shared" si="7"/>
        <v>0</v>
      </c>
      <c r="H65" s="209">
        <f t="shared" si="7"/>
        <v>0</v>
      </c>
      <c r="I65" s="209">
        <f t="shared" si="7"/>
        <v>0</v>
      </c>
      <c r="J65" s="209">
        <f t="shared" si="7"/>
        <v>6.1897470044246621</v>
      </c>
      <c r="K65" s="209">
        <f t="shared" si="7"/>
        <v>7.4991528536874013</v>
      </c>
      <c r="L65" s="209">
        <f t="shared" si="7"/>
        <v>7.6936241595216686</v>
      </c>
      <c r="M65" s="209">
        <f t="shared" si="7"/>
        <v>7.2117413072112377</v>
      </c>
      <c r="N65" s="209">
        <f t="shared" si="7"/>
        <v>7.4592469915831821</v>
      </c>
    </row>
    <row r="66" spans="2:15">
      <c r="B66" s="90" t="s">
        <v>265</v>
      </c>
      <c r="D66" s="209">
        <f t="shared" ref="D66:N66" si="8">D24*1000/D57</f>
        <v>0</v>
      </c>
      <c r="E66" s="209">
        <f t="shared" si="8"/>
        <v>0</v>
      </c>
      <c r="F66" s="209">
        <f t="shared" si="8"/>
        <v>0</v>
      </c>
      <c r="G66" s="209">
        <f t="shared" si="8"/>
        <v>0</v>
      </c>
      <c r="H66" s="209">
        <f t="shared" si="8"/>
        <v>0</v>
      </c>
      <c r="I66" s="209">
        <f t="shared" si="8"/>
        <v>0</v>
      </c>
      <c r="J66" s="209">
        <f t="shared" si="8"/>
        <v>3.9874267534764045</v>
      </c>
      <c r="K66" s="209">
        <f t="shared" si="8"/>
        <v>4.27185612046675</v>
      </c>
      <c r="L66" s="209">
        <f t="shared" si="8"/>
        <v>3.9054008008153085</v>
      </c>
      <c r="M66" s="209">
        <f t="shared" si="8"/>
        <v>3.5647964198915529</v>
      </c>
      <c r="N66" s="209">
        <f t="shared" si="8"/>
        <v>4.0039156576118531</v>
      </c>
    </row>
    <row r="67" spans="2:15">
      <c r="B67" s="111" t="s">
        <v>1136</v>
      </c>
      <c r="C67" s="111"/>
      <c r="D67" s="159" t="e">
        <f>#REF!/D59*1000</f>
        <v>#REF!</v>
      </c>
      <c r="E67" s="159" t="e">
        <f>#REF!/E59*1000</f>
        <v>#REF!</v>
      </c>
      <c r="F67" s="159" t="e">
        <f>#REF!/F59*1000</f>
        <v>#REF!</v>
      </c>
      <c r="G67" s="159" t="e">
        <f>#REF!/G59*1000</f>
        <v>#REF!</v>
      </c>
      <c r="H67" s="159" t="e">
        <f>#REF!/H59*1000</f>
        <v>#REF!</v>
      </c>
      <c r="I67" s="159" t="e">
        <f>#REF!/I59*1000</f>
        <v>#REF!</v>
      </c>
      <c r="J67" s="159">
        <f>J24/J59*1000</f>
        <v>29122.641509433961</v>
      </c>
      <c r="K67" s="159">
        <f>K24/K59*1000</f>
        <v>39417.840375586857</v>
      </c>
      <c r="L67" s="159">
        <f>L24/L59*1000</f>
        <v>38378.787878787873</v>
      </c>
      <c r="M67" s="159">
        <f>M24/M59*1000</f>
        <v>37304.093567251461</v>
      </c>
      <c r="N67" s="159">
        <f>N24/N59*1000</f>
        <v>40829.411764705881</v>
      </c>
    </row>
    <row r="68" spans="2:15">
      <c r="B68" s="111" t="s">
        <v>1135</v>
      </c>
      <c r="C68" s="111"/>
      <c r="D68" s="159" t="e">
        <f t="shared" ref="D68:N68" si="9">D57/D59</f>
        <v>#DIV/0!</v>
      </c>
      <c r="E68" s="159" t="e">
        <f t="shared" si="9"/>
        <v>#DIV/0!</v>
      </c>
      <c r="F68" s="159" t="e">
        <f t="shared" si="9"/>
        <v>#DIV/0!</v>
      </c>
      <c r="G68" s="159" t="e">
        <f t="shared" si="9"/>
        <v>#DIV/0!</v>
      </c>
      <c r="H68" s="159" t="e">
        <f t="shared" si="9"/>
        <v>#DIV/0!</v>
      </c>
      <c r="I68" s="159" t="e">
        <f t="shared" si="9"/>
        <v>#DIV/0!</v>
      </c>
      <c r="J68" s="159">
        <f t="shared" si="9"/>
        <v>7303.617924528302</v>
      </c>
      <c r="K68" s="159">
        <f t="shared" si="9"/>
        <v>9227.3333333333339</v>
      </c>
      <c r="L68" s="159">
        <f t="shared" si="9"/>
        <v>9827.1060606060601</v>
      </c>
      <c r="M68" s="159">
        <f t="shared" si="9"/>
        <v>10464.578947368422</v>
      </c>
      <c r="N68" s="159">
        <f t="shared" si="9"/>
        <v>10197.370588235293</v>
      </c>
    </row>
    <row r="69" spans="2:15" s="134" customFormat="1">
      <c r="B69" s="168"/>
      <c r="C69" s="168"/>
      <c r="D69" s="197"/>
      <c r="E69" s="197"/>
      <c r="F69" s="197"/>
      <c r="G69" s="197"/>
      <c r="H69" s="197"/>
      <c r="I69" s="197"/>
      <c r="J69" s="197"/>
      <c r="K69" s="197"/>
      <c r="L69" s="197"/>
      <c r="M69" s="197"/>
      <c r="N69" s="197"/>
    </row>
    <row r="70" spans="2:15" s="134" customFormat="1">
      <c r="B70" s="153" t="s">
        <v>312</v>
      </c>
      <c r="C70" s="94"/>
      <c r="D70" s="94"/>
      <c r="E70" s="94"/>
      <c r="F70" s="94"/>
      <c r="G70" s="94"/>
      <c r="H70" s="94"/>
      <c r="I70" s="94"/>
      <c r="J70" s="94"/>
      <c r="K70" s="94"/>
      <c r="L70" s="94"/>
      <c r="M70" s="94"/>
      <c r="N70" s="94"/>
      <c r="O70" s="94"/>
    </row>
    <row r="71" spans="2:15" s="134" customFormat="1">
      <c r="B71" s="111"/>
      <c r="C71" s="111"/>
      <c r="D71" s="141"/>
      <c r="E71" s="141"/>
      <c r="F71" s="141"/>
      <c r="G71" s="141"/>
      <c r="H71" s="141"/>
      <c r="I71" s="141"/>
      <c r="J71" s="141"/>
      <c r="K71" s="141"/>
      <c r="L71" s="141"/>
      <c r="M71" s="141"/>
      <c r="N71" s="141"/>
    </row>
    <row r="72" spans="2:15" s="134" customFormat="1">
      <c r="B72" s="138" t="s">
        <v>21</v>
      </c>
      <c r="C72" s="90"/>
      <c r="D72" s="213">
        <f>VLOOKUP(D15,RPI!$B$54:$C$107,2,FALSE)</f>
        <v>171.31666666666663</v>
      </c>
      <c r="E72" s="213">
        <f>VLOOKUP(E15,RPI!$B$54:$C$107,2,FALSE)</f>
        <v>173.875</v>
      </c>
      <c r="F72" s="213">
        <f>VLOOKUP(F15,RPI!$B$54:$C$107,2,FALSE)</f>
        <v>177.51666666666665</v>
      </c>
      <c r="G72" s="213">
        <f>VLOOKUP(G15,RPI!$B$54:$C$107,2,FALSE)</f>
        <v>182.47499999999999</v>
      </c>
      <c r="H72" s="213">
        <f>VLOOKUP(H15,RPI!$B$54:$C$107,2,FALSE)</f>
        <v>188.15</v>
      </c>
      <c r="I72" s="213">
        <f>VLOOKUP(I15,RPI!$B$54:$C$107,2,FALSE)</f>
        <v>193.10833333333332</v>
      </c>
      <c r="J72" s="213">
        <f>VLOOKUP(J15,RPI!$B$54:$C$107,2,FALSE)</f>
        <v>199.41111111111113</v>
      </c>
      <c r="K72" s="213">
        <f>VLOOKUP(K15,RPI!$B$54:$C$107,2,FALSE)</f>
        <v>206.57499999999996</v>
      </c>
      <c r="L72" s="213">
        <f>VLOOKUP(L15,RPI!$B$54:$C$107,2,FALSE)</f>
        <v>214.82500000000002</v>
      </c>
      <c r="M72" s="213">
        <f>VLOOKUP(M15,RPI!$B$54:$C$107,2,FALSE)</f>
        <v>213.68333333333337</v>
      </c>
      <c r="N72" s="213">
        <f>VLOOKUP(N15,RPI!$B$54:$C$107,2,FALSE)</f>
        <v>223.55833333333331</v>
      </c>
    </row>
    <row r="73" spans="2:15" s="134" customFormat="1">
      <c r="B73" s="138" t="s">
        <v>1048</v>
      </c>
      <c r="C73" s="90"/>
      <c r="D73" s="214">
        <f>RPI!$R$44</f>
        <v>237.3416666666667</v>
      </c>
      <c r="E73" s="214">
        <f>RPI!$R$44</f>
        <v>237.3416666666667</v>
      </c>
      <c r="F73" s="214">
        <f>RPI!$R$44</f>
        <v>237.3416666666667</v>
      </c>
      <c r="G73" s="214">
        <f>RPI!$R$44</f>
        <v>237.3416666666667</v>
      </c>
      <c r="H73" s="214">
        <f>RPI!$R$44</f>
        <v>237.3416666666667</v>
      </c>
      <c r="I73" s="214">
        <f>RPI!$R$44</f>
        <v>237.3416666666667</v>
      </c>
      <c r="J73" s="214">
        <f>RPI!$R$44</f>
        <v>237.3416666666667</v>
      </c>
      <c r="K73" s="214">
        <f>RPI!$R$44</f>
        <v>237.3416666666667</v>
      </c>
      <c r="L73" s="214">
        <f>RPI!$R$44</f>
        <v>237.3416666666667</v>
      </c>
      <c r="M73" s="214">
        <f>RPI!$R$44</f>
        <v>237.3416666666667</v>
      </c>
      <c r="N73" s="214">
        <f>RPI!$R$44</f>
        <v>237.3416666666667</v>
      </c>
    </row>
    <row r="74" spans="2:15" s="134" customFormat="1">
      <c r="B74" s="138" t="s">
        <v>304</v>
      </c>
      <c r="C74" s="90"/>
      <c r="D74" s="214">
        <f t="shared" ref="D74:N74" si="10">D73/D72</f>
        <v>1.3853974121996309</v>
      </c>
      <c r="E74" s="214">
        <f t="shared" si="10"/>
        <v>1.3650131799664511</v>
      </c>
      <c r="F74" s="214">
        <f t="shared" si="10"/>
        <v>1.3370106093324574</v>
      </c>
      <c r="G74" s="214">
        <f t="shared" si="10"/>
        <v>1.3006804585102985</v>
      </c>
      <c r="H74" s="214">
        <f t="shared" si="10"/>
        <v>1.2614491983346623</v>
      </c>
      <c r="I74" s="214">
        <f t="shared" si="10"/>
        <v>1.229059681525914</v>
      </c>
      <c r="J74" s="214">
        <f t="shared" si="10"/>
        <v>1.1902128489441133</v>
      </c>
      <c r="K74" s="214">
        <f t="shared" si="10"/>
        <v>1.1489370285207152</v>
      </c>
      <c r="L74" s="214">
        <f t="shared" si="10"/>
        <v>1.104813995888126</v>
      </c>
      <c r="M74" s="214">
        <f t="shared" si="10"/>
        <v>1.1107167927618751</v>
      </c>
      <c r="N74" s="214">
        <f t="shared" si="10"/>
        <v>1.0616543035002053</v>
      </c>
    </row>
    <row r="75" spans="2:15" s="134" customFormat="1">
      <c r="B75" s="111"/>
      <c r="C75" s="111"/>
      <c r="D75" s="141"/>
      <c r="E75" s="141"/>
      <c r="F75" s="141"/>
      <c r="G75" s="141"/>
      <c r="H75" s="141"/>
      <c r="I75" s="141"/>
      <c r="J75" s="141"/>
      <c r="K75" s="141"/>
      <c r="L75" s="141"/>
      <c r="M75" s="141"/>
      <c r="N75" s="141"/>
    </row>
    <row r="76" spans="2:15" s="134" customFormat="1">
      <c r="B76" s="111" t="str">
        <f>B24</f>
        <v>Staff Costs Total</v>
      </c>
      <c r="C76" s="111"/>
      <c r="D76" s="159">
        <f t="shared" ref="D76:N76" si="11">D24*D$74</f>
        <v>0</v>
      </c>
      <c r="E76" s="159">
        <f t="shared" si="11"/>
        <v>0</v>
      </c>
      <c r="F76" s="159">
        <f t="shared" si="11"/>
        <v>0</v>
      </c>
      <c r="G76" s="159">
        <f t="shared" si="11"/>
        <v>0</v>
      </c>
      <c r="H76" s="159">
        <f t="shared" si="11"/>
        <v>0</v>
      </c>
      <c r="I76" s="159">
        <f t="shared" si="11"/>
        <v>0</v>
      </c>
      <c r="J76" s="159">
        <f t="shared" si="11"/>
        <v>7348.3741293809553</v>
      </c>
      <c r="K76" s="159">
        <f t="shared" si="11"/>
        <v>9646.4752914599248</v>
      </c>
      <c r="L76" s="159">
        <f t="shared" si="11"/>
        <v>8395.4815547538692</v>
      </c>
      <c r="M76" s="159">
        <f t="shared" si="11"/>
        <v>7085.262421028001</v>
      </c>
      <c r="N76" s="159">
        <f t="shared" si="11"/>
        <v>7368.9425205949246</v>
      </c>
    </row>
    <row r="77" spans="2:15" s="134" customFormat="1">
      <c r="B77" s="111" t="str">
        <f>B27</f>
        <v>Depreciation Total</v>
      </c>
      <c r="C77" s="111"/>
      <c r="D77" s="159">
        <f t="shared" ref="D77:N77" si="12">D27*D$74</f>
        <v>0</v>
      </c>
      <c r="E77" s="159">
        <f t="shared" si="12"/>
        <v>0</v>
      </c>
      <c r="F77" s="159">
        <f t="shared" si="12"/>
        <v>0</v>
      </c>
      <c r="G77" s="159">
        <f t="shared" si="12"/>
        <v>0</v>
      </c>
      <c r="H77" s="159">
        <f t="shared" si="12"/>
        <v>0</v>
      </c>
      <c r="I77" s="159">
        <f t="shared" si="12"/>
        <v>0</v>
      </c>
      <c r="J77" s="159">
        <f t="shared" si="12"/>
        <v>1707.9554382348026</v>
      </c>
      <c r="K77" s="159">
        <f t="shared" si="12"/>
        <v>2192.1718504175246</v>
      </c>
      <c r="L77" s="159">
        <f t="shared" si="12"/>
        <v>2616.1995422630825</v>
      </c>
      <c r="M77" s="159">
        <f t="shared" si="12"/>
        <v>3546.5187192886669</v>
      </c>
      <c r="N77" s="159">
        <f t="shared" si="12"/>
        <v>3297.4982666716378</v>
      </c>
    </row>
    <row r="78" spans="2:15" s="134" customFormat="1">
      <c r="B78" s="111" t="str">
        <f>B36</f>
        <v>Other Total</v>
      </c>
      <c r="C78" s="111"/>
      <c r="D78" s="159">
        <f t="shared" ref="D78:N78" si="13">D36*D$74</f>
        <v>0</v>
      </c>
      <c r="E78" s="159">
        <f t="shared" si="13"/>
        <v>0</v>
      </c>
      <c r="F78" s="159">
        <f t="shared" si="13"/>
        <v>0</v>
      </c>
      <c r="G78" s="159">
        <f t="shared" si="13"/>
        <v>0</v>
      </c>
      <c r="H78" s="159">
        <f t="shared" si="13"/>
        <v>0</v>
      </c>
      <c r="I78" s="159">
        <f t="shared" si="13"/>
        <v>0</v>
      </c>
      <c r="J78" s="159">
        <f t="shared" si="13"/>
        <v>4072.9083690867556</v>
      </c>
      <c r="K78" s="159">
        <f t="shared" si="13"/>
        <v>8190.7720763241787</v>
      </c>
      <c r="L78" s="159">
        <f t="shared" si="13"/>
        <v>11804.937546064626</v>
      </c>
      <c r="M78" s="159">
        <f t="shared" si="13"/>
        <v>12016.844980890726</v>
      </c>
      <c r="N78" s="159">
        <f t="shared" si="13"/>
        <v>11078.362657024642</v>
      </c>
    </row>
    <row r="79" spans="2:15" s="134" customFormat="1">
      <c r="B79" s="111" t="str">
        <f>B39</f>
        <v>Exceptional Items Total</v>
      </c>
      <c r="C79" s="111"/>
      <c r="D79" s="159">
        <f t="shared" ref="D79:N79" si="14">D39*D$74</f>
        <v>0</v>
      </c>
      <c r="E79" s="159">
        <f t="shared" si="14"/>
        <v>0</v>
      </c>
      <c r="F79" s="159">
        <f t="shared" si="14"/>
        <v>0</v>
      </c>
      <c r="G79" s="159">
        <f t="shared" si="14"/>
        <v>0</v>
      </c>
      <c r="H79" s="159">
        <f t="shared" si="14"/>
        <v>0</v>
      </c>
      <c r="I79" s="159">
        <f t="shared" si="14"/>
        <v>0</v>
      </c>
      <c r="J79" s="159">
        <f t="shared" si="14"/>
        <v>0</v>
      </c>
      <c r="K79" s="159">
        <f t="shared" si="14"/>
        <v>975.44753721408722</v>
      </c>
      <c r="L79" s="159">
        <f t="shared" si="14"/>
        <v>97.223631638155084</v>
      </c>
      <c r="M79" s="159">
        <f t="shared" si="14"/>
        <v>5536.9232119179469</v>
      </c>
      <c r="N79" s="159">
        <f t="shared" si="14"/>
        <v>-2118.0003354829096</v>
      </c>
    </row>
    <row r="80" spans="2:15" s="134" customFormat="1">
      <c r="B80" s="111" t="str">
        <f>B41</f>
        <v>Grand Total</v>
      </c>
      <c r="C80" s="111"/>
      <c r="D80" s="159">
        <f t="shared" ref="D80:N80" si="15">D41*D$74</f>
        <v>0</v>
      </c>
      <c r="E80" s="159">
        <f t="shared" si="15"/>
        <v>0</v>
      </c>
      <c r="F80" s="159">
        <f t="shared" si="15"/>
        <v>0</v>
      </c>
      <c r="G80" s="159">
        <f t="shared" si="15"/>
        <v>0</v>
      </c>
      <c r="H80" s="159">
        <f t="shared" si="15"/>
        <v>0</v>
      </c>
      <c r="I80" s="159">
        <f t="shared" si="15"/>
        <v>0</v>
      </c>
      <c r="J80" s="159">
        <f t="shared" si="15"/>
        <v>13129.237936702513</v>
      </c>
      <c r="K80" s="159">
        <f t="shared" si="15"/>
        <v>21004.866755415715</v>
      </c>
      <c r="L80" s="159">
        <f t="shared" si="15"/>
        <v>22913.842274719733</v>
      </c>
      <c r="M80" s="159">
        <f t="shared" si="15"/>
        <v>28185.549333125342</v>
      </c>
      <c r="N80" s="159">
        <f t="shared" si="15"/>
        <v>19626.803108808293</v>
      </c>
    </row>
    <row r="81" spans="2:15" s="134" customFormat="1">
      <c r="B81" s="111" t="str">
        <f>B43</f>
        <v>Cost Residual (Ordinary Opex - Elements)</v>
      </c>
      <c r="C81" s="111"/>
      <c r="D81" s="159">
        <f t="shared" ref="D81:N81" si="16">D43*D$77</f>
        <v>0</v>
      </c>
      <c r="E81" s="159">
        <f t="shared" si="16"/>
        <v>0</v>
      </c>
      <c r="F81" s="159">
        <f t="shared" si="16"/>
        <v>0</v>
      </c>
      <c r="G81" s="159">
        <f t="shared" si="16"/>
        <v>0</v>
      </c>
      <c r="H81" s="159">
        <f t="shared" si="16"/>
        <v>0</v>
      </c>
      <c r="I81" s="159">
        <f t="shared" si="16"/>
        <v>0</v>
      </c>
      <c r="J81" s="159">
        <f t="shared" si="16"/>
        <v>0</v>
      </c>
      <c r="K81" s="159">
        <f t="shared" si="16"/>
        <v>0</v>
      </c>
      <c r="L81" s="159">
        <f t="shared" si="16"/>
        <v>0</v>
      </c>
      <c r="M81" s="159">
        <f t="shared" si="16"/>
        <v>17732.593596443334</v>
      </c>
      <c r="N81" s="159">
        <f t="shared" si="16"/>
        <v>0</v>
      </c>
    </row>
    <row r="82" spans="2:15" s="134" customFormat="1">
      <c r="B82" s="111"/>
      <c r="C82" s="111"/>
      <c r="D82" s="193"/>
      <c r="E82" s="193"/>
      <c r="F82" s="193"/>
      <c r="G82" s="193"/>
      <c r="H82" s="193"/>
      <c r="I82" s="193"/>
      <c r="J82" s="141"/>
      <c r="K82" s="141"/>
      <c r="L82" s="141"/>
      <c r="M82" s="141"/>
      <c r="N82" s="141"/>
    </row>
    <row r="83" spans="2:15" s="134" customFormat="1">
      <c r="B83" s="111" t="str">
        <f>B45</f>
        <v>Ordinary Opex (per accounts - including staff, depreciation and other, excluding exceptional)</v>
      </c>
      <c r="C83" s="111"/>
      <c r="D83" s="194">
        <f t="shared" ref="D83:N83" si="17">D45*D$74</f>
        <v>0</v>
      </c>
      <c r="E83" s="194">
        <f t="shared" si="17"/>
        <v>0</v>
      </c>
      <c r="F83" s="194">
        <f t="shared" si="17"/>
        <v>0</v>
      </c>
      <c r="G83" s="194">
        <f t="shared" si="17"/>
        <v>0</v>
      </c>
      <c r="H83" s="194">
        <f t="shared" si="17"/>
        <v>0</v>
      </c>
      <c r="I83" s="194">
        <f t="shared" si="17"/>
        <v>0</v>
      </c>
      <c r="J83" s="159">
        <f t="shared" si="17"/>
        <v>13129.237936702513</v>
      </c>
      <c r="K83" s="159">
        <f t="shared" si="17"/>
        <v>20029.419218201627</v>
      </c>
      <c r="L83" s="159">
        <f t="shared" si="17"/>
        <v>22816.61864308158</v>
      </c>
      <c r="M83" s="159">
        <f t="shared" si="17"/>
        <v>22654.179705171206</v>
      </c>
      <c r="N83" s="159">
        <f t="shared" si="17"/>
        <v>21744.803444291203</v>
      </c>
    </row>
    <row r="84" spans="2:15" s="134" customFormat="1">
      <c r="B84" s="111"/>
      <c r="C84" s="111"/>
      <c r="D84" s="193"/>
      <c r="E84" s="193"/>
      <c r="F84" s="193"/>
      <c r="G84" s="193"/>
      <c r="H84" s="193"/>
      <c r="I84" s="193"/>
      <c r="J84" s="141"/>
      <c r="K84" s="141"/>
      <c r="L84" s="141"/>
      <c r="M84" s="141"/>
      <c r="N84" s="141"/>
    </row>
    <row r="85" spans="2:15" s="134" customFormat="1">
      <c r="B85" s="111" t="str">
        <f>B47</f>
        <v>Total Opex (ordinary + exceptional)</v>
      </c>
      <c r="C85" s="111"/>
      <c r="D85" s="194">
        <f t="shared" ref="D85:N85" si="18">D47*D$74</f>
        <v>0</v>
      </c>
      <c r="E85" s="194">
        <f t="shared" si="18"/>
        <v>0</v>
      </c>
      <c r="F85" s="194">
        <f t="shared" si="18"/>
        <v>0</v>
      </c>
      <c r="G85" s="194">
        <f t="shared" si="18"/>
        <v>0</v>
      </c>
      <c r="H85" s="194">
        <f t="shared" si="18"/>
        <v>0</v>
      </c>
      <c r="I85" s="194">
        <f t="shared" si="18"/>
        <v>0</v>
      </c>
      <c r="J85" s="159">
        <f t="shared" si="18"/>
        <v>13129.237936702513</v>
      </c>
      <c r="K85" s="159">
        <f t="shared" si="18"/>
        <v>21004.866755415715</v>
      </c>
      <c r="L85" s="159">
        <f t="shared" si="18"/>
        <v>22913.842274719733</v>
      </c>
      <c r="M85" s="159">
        <f t="shared" si="18"/>
        <v>28191.102917089152</v>
      </c>
      <c r="N85" s="159">
        <f t="shared" si="18"/>
        <v>19626.803108808293</v>
      </c>
    </row>
    <row r="86" spans="2:15" s="134" customFormat="1">
      <c r="B86" s="111"/>
      <c r="C86" s="111"/>
      <c r="D86" s="193"/>
      <c r="E86" s="193"/>
      <c r="F86" s="193"/>
      <c r="G86" s="193"/>
      <c r="H86" s="193"/>
      <c r="I86" s="193"/>
      <c r="J86" s="141"/>
      <c r="K86" s="141"/>
      <c r="L86" s="141"/>
      <c r="M86" s="141"/>
      <c r="N86" s="141"/>
    </row>
    <row r="87" spans="2:15" s="134" customFormat="1">
      <c r="B87" s="111" t="str">
        <f>B49</f>
        <v>Adjusted Ordinary Opex (ordinary opex - depreciation - ANS - retail)</v>
      </c>
      <c r="C87" s="111"/>
      <c r="D87" s="194">
        <f t="shared" ref="D87:N87" si="19">D49*D$74</f>
        <v>0</v>
      </c>
      <c r="E87" s="194">
        <f t="shared" si="19"/>
        <v>0</v>
      </c>
      <c r="F87" s="194">
        <f t="shared" si="19"/>
        <v>0</v>
      </c>
      <c r="G87" s="194">
        <f t="shared" si="19"/>
        <v>0</v>
      </c>
      <c r="H87" s="194">
        <f t="shared" si="19"/>
        <v>0</v>
      </c>
      <c r="I87" s="194">
        <f t="shared" si="19"/>
        <v>0</v>
      </c>
      <c r="J87" s="159">
        <f t="shared" si="19"/>
        <v>11406.999944280382</v>
      </c>
      <c r="K87" s="159">
        <f t="shared" si="19"/>
        <v>16934.182863366823</v>
      </c>
      <c r="L87" s="159">
        <f t="shared" si="19"/>
        <v>16539.065518445248</v>
      </c>
      <c r="M87" s="159">
        <f t="shared" si="19"/>
        <v>14333.800210591999</v>
      </c>
      <c r="N87" s="159">
        <f t="shared" si="19"/>
        <v>13728.251798561154</v>
      </c>
    </row>
    <row r="88" spans="2:15" s="134" customFormat="1">
      <c r="B88" s="111"/>
      <c r="C88" s="111"/>
      <c r="D88" s="193"/>
      <c r="E88" s="193"/>
      <c r="F88" s="193"/>
      <c r="G88" s="193"/>
      <c r="H88" s="193"/>
      <c r="I88" s="193"/>
      <c r="J88" s="141"/>
      <c r="K88" s="141"/>
      <c r="L88" s="141"/>
      <c r="M88" s="141"/>
      <c r="N88" s="141"/>
    </row>
    <row r="89" spans="2:15" s="134" customFormat="1">
      <c r="B89" s="111" t="str">
        <f>B51</f>
        <v>Turnover (per accounts)</v>
      </c>
      <c r="C89" s="111"/>
      <c r="D89" s="194">
        <f t="shared" ref="D89:N89" si="20">D51*D$74</f>
        <v>0</v>
      </c>
      <c r="E89" s="194">
        <f t="shared" si="20"/>
        <v>0</v>
      </c>
      <c r="F89" s="194">
        <f t="shared" si="20"/>
        <v>0</v>
      </c>
      <c r="G89" s="194">
        <f t="shared" si="20"/>
        <v>0</v>
      </c>
      <c r="H89" s="194">
        <f t="shared" si="20"/>
        <v>0</v>
      </c>
      <c r="I89" s="194">
        <f t="shared" si="20"/>
        <v>0</v>
      </c>
      <c r="J89" s="159">
        <f t="shared" si="20"/>
        <v>20490.704407421854</v>
      </c>
      <c r="K89" s="159">
        <f t="shared" si="20"/>
        <v>27646.871717293969</v>
      </c>
      <c r="L89" s="159">
        <f t="shared" si="20"/>
        <v>29119.582489623339</v>
      </c>
      <c r="M89" s="159">
        <f t="shared" si="20"/>
        <v>29597.270376725686</v>
      </c>
      <c r="N89" s="159">
        <f t="shared" si="20"/>
        <v>28965.1143623961</v>
      </c>
    </row>
    <row r="90" spans="2:15" s="134" customFormat="1">
      <c r="B90" s="111"/>
      <c r="C90" s="111"/>
      <c r="D90" s="193"/>
      <c r="E90" s="193"/>
      <c r="F90" s="193"/>
      <c r="G90" s="193"/>
      <c r="H90" s="193"/>
      <c r="I90" s="193"/>
      <c r="J90" s="141"/>
      <c r="K90" s="141"/>
      <c r="L90" s="141"/>
      <c r="M90" s="141"/>
      <c r="N90" s="141"/>
    </row>
    <row r="91" spans="2:15" s="134" customFormat="1">
      <c r="B91" s="111" t="str">
        <f>B53</f>
        <v>Ordinary Profit (pre-exceptional)</v>
      </c>
      <c r="C91" s="111"/>
      <c r="D91" s="194">
        <f t="shared" ref="D91:N91" si="21">D53*D$74</f>
        <v>0</v>
      </c>
      <c r="E91" s="194">
        <f t="shared" si="21"/>
        <v>0</v>
      </c>
      <c r="F91" s="194">
        <f t="shared" si="21"/>
        <v>0</v>
      </c>
      <c r="G91" s="194">
        <f t="shared" si="21"/>
        <v>0</v>
      </c>
      <c r="H91" s="194">
        <f t="shared" si="21"/>
        <v>0</v>
      </c>
      <c r="I91" s="194">
        <f t="shared" si="21"/>
        <v>0</v>
      </c>
      <c r="J91" s="159">
        <f t="shared" si="21"/>
        <v>7361.4664707193406</v>
      </c>
      <c r="K91" s="159">
        <f t="shared" si="21"/>
        <v>7617.4524990923419</v>
      </c>
      <c r="L91" s="159">
        <f t="shared" si="21"/>
        <v>6302.9638465417593</v>
      </c>
      <c r="M91" s="159">
        <f t="shared" si="21"/>
        <v>6943.0906715544807</v>
      </c>
      <c r="N91" s="159">
        <f t="shared" si="21"/>
        <v>7220.3109181048958</v>
      </c>
    </row>
    <row r="92" spans="2:15" s="134" customFormat="1">
      <c r="B92" s="111"/>
      <c r="C92" s="111"/>
      <c r="D92" s="193"/>
      <c r="E92" s="193"/>
      <c r="F92" s="193"/>
      <c r="G92" s="193"/>
      <c r="H92" s="193"/>
      <c r="I92" s="193"/>
      <c r="J92" s="193"/>
      <c r="K92" s="193"/>
      <c r="L92" s="193"/>
      <c r="M92" s="193"/>
      <c r="N92" s="193"/>
    </row>
    <row r="93" spans="2:15" s="134" customFormat="1">
      <c r="B93" s="111" t="str">
        <f>B55</f>
        <v>Ordinary Profit Margin</v>
      </c>
      <c r="C93" s="111"/>
      <c r="D93" s="162" t="e">
        <f>D91/D89</f>
        <v>#DIV/0!</v>
      </c>
      <c r="E93" s="162" t="e">
        <f t="shared" ref="E93:N93" si="22">E91/E89</f>
        <v>#DIV/0!</v>
      </c>
      <c r="F93" s="162" t="e">
        <f t="shared" si="22"/>
        <v>#DIV/0!</v>
      </c>
      <c r="G93" s="162" t="e">
        <f t="shared" si="22"/>
        <v>#DIV/0!</v>
      </c>
      <c r="H93" s="162" t="e">
        <f t="shared" si="22"/>
        <v>#DIV/0!</v>
      </c>
      <c r="I93" s="162" t="e">
        <f t="shared" si="22"/>
        <v>#DIV/0!</v>
      </c>
      <c r="J93" s="162">
        <f t="shared" si="22"/>
        <v>0.35925882899628253</v>
      </c>
      <c r="K93" s="162">
        <f t="shared" si="22"/>
        <v>0.27552674230145868</v>
      </c>
      <c r="L93" s="162">
        <f t="shared" si="22"/>
        <v>0.21645103767500096</v>
      </c>
      <c r="M93" s="162">
        <f t="shared" si="22"/>
        <v>0.2345855068112733</v>
      </c>
      <c r="N93" s="162">
        <f t="shared" si="22"/>
        <v>0.2492761060000733</v>
      </c>
    </row>
    <row r="94" spans="2:15" s="134" customFormat="1">
      <c r="B94" s="168"/>
      <c r="C94" s="168"/>
      <c r="D94" s="197"/>
      <c r="E94" s="197"/>
      <c r="F94" s="197"/>
      <c r="G94" s="197"/>
      <c r="H94" s="197"/>
      <c r="I94" s="197"/>
      <c r="J94" s="197"/>
      <c r="K94" s="197"/>
      <c r="L94" s="197"/>
      <c r="M94" s="197"/>
      <c r="N94" s="197"/>
    </row>
    <row r="95" spans="2:15" s="134" customFormat="1">
      <c r="B95" s="153" t="s">
        <v>303</v>
      </c>
      <c r="C95" s="94"/>
      <c r="D95" s="94"/>
      <c r="E95" s="94"/>
      <c r="F95" s="94"/>
      <c r="G95" s="94"/>
      <c r="H95" s="94"/>
      <c r="I95" s="94"/>
      <c r="J95" s="94"/>
      <c r="K95" s="94"/>
      <c r="L95" s="94"/>
      <c r="M95" s="94"/>
      <c r="N95" s="94"/>
      <c r="O95" s="94"/>
    </row>
    <row r="96" spans="2:15" s="134" customFormat="1">
      <c r="B96" s="90"/>
      <c r="C96" s="90"/>
      <c r="D96" s="90"/>
      <c r="E96" s="90"/>
      <c r="F96" s="90"/>
      <c r="G96" s="90"/>
      <c r="H96" s="90"/>
      <c r="I96" s="90"/>
      <c r="J96" s="90"/>
      <c r="K96" s="90"/>
      <c r="L96" s="90"/>
      <c r="M96" s="90"/>
      <c r="N96" s="90"/>
    </row>
    <row r="97" spans="2:15" s="134" customFormat="1">
      <c r="B97" s="90" t="s">
        <v>1127</v>
      </c>
      <c r="C97" s="90"/>
      <c r="D97" s="209">
        <f>(D85/D57)*1000</f>
        <v>0</v>
      </c>
      <c r="E97" s="209">
        <f t="shared" ref="E97:N97" si="23">(E85/E57)*1000</f>
        <v>0</v>
      </c>
      <c r="F97" s="209">
        <f t="shared" si="23"/>
        <v>0</v>
      </c>
      <c r="G97" s="209">
        <f t="shared" si="23"/>
        <v>0</v>
      </c>
      <c r="H97" s="209">
        <f t="shared" si="23"/>
        <v>0</v>
      </c>
      <c r="I97" s="209">
        <f t="shared" si="23"/>
        <v>0</v>
      </c>
      <c r="J97" s="209">
        <f t="shared" si="23"/>
        <v>8.4794095564569094</v>
      </c>
      <c r="K97" s="209">
        <f t="shared" si="23"/>
        <v>10.687204455539684</v>
      </c>
      <c r="L97" s="209">
        <f t="shared" si="23"/>
        <v>11.776251871225966</v>
      </c>
      <c r="M97" s="209">
        <f t="shared" si="23"/>
        <v>15.754121766990707</v>
      </c>
      <c r="N97" s="209">
        <f t="shared" si="23"/>
        <v>11.321720829307379</v>
      </c>
    </row>
    <row r="98" spans="2:15" s="134" customFormat="1">
      <c r="B98" s="90" t="s">
        <v>299</v>
      </c>
      <c r="C98" s="90"/>
      <c r="D98" s="209">
        <f>(D83/D57)*1000</f>
        <v>0</v>
      </c>
      <c r="E98" s="209">
        <f t="shared" ref="E98:N98" si="24">(E83/E57)*1000</f>
        <v>0</v>
      </c>
      <c r="F98" s="209">
        <f t="shared" si="24"/>
        <v>0</v>
      </c>
      <c r="G98" s="209">
        <f t="shared" si="24"/>
        <v>0</v>
      </c>
      <c r="H98" s="209">
        <f t="shared" si="24"/>
        <v>0</v>
      </c>
      <c r="I98" s="209">
        <f t="shared" si="24"/>
        <v>0</v>
      </c>
      <c r="J98" s="209">
        <f t="shared" si="24"/>
        <v>8.4794095564569094</v>
      </c>
      <c r="K98" s="209">
        <f t="shared" si="24"/>
        <v>10.190900080594206</v>
      </c>
      <c r="L98" s="209">
        <f t="shared" si="24"/>
        <v>11.726285132331661</v>
      </c>
      <c r="M98" s="209">
        <f t="shared" si="24"/>
        <v>12.65990573892055</v>
      </c>
      <c r="N98" s="209">
        <f t="shared" si="24"/>
        <v>12.543489264124721</v>
      </c>
    </row>
    <row r="99" spans="2:15" s="134" customFormat="1">
      <c r="B99" s="90" t="s">
        <v>300</v>
      </c>
      <c r="C99" s="90"/>
      <c r="D99" s="209">
        <f>(D87/D57)*1000</f>
        <v>0</v>
      </c>
      <c r="E99" s="209">
        <f t="shared" ref="E99:N99" si="25">(E87/E57)*1000</f>
        <v>0</v>
      </c>
      <c r="F99" s="209">
        <f t="shared" si="25"/>
        <v>0</v>
      </c>
      <c r="G99" s="209">
        <f t="shared" si="25"/>
        <v>0</v>
      </c>
      <c r="H99" s="209">
        <f t="shared" si="25"/>
        <v>0</v>
      </c>
      <c r="I99" s="209">
        <f t="shared" si="25"/>
        <v>0</v>
      </c>
      <c r="J99" s="209">
        <f t="shared" si="25"/>
        <v>7.3671164163795675</v>
      </c>
      <c r="K99" s="209">
        <f t="shared" si="25"/>
        <v>8.6160543961382459</v>
      </c>
      <c r="L99" s="209">
        <f t="shared" si="25"/>
        <v>8.5000236505425608</v>
      </c>
      <c r="M99" s="209">
        <f t="shared" si="25"/>
        <v>8.0102021749739993</v>
      </c>
      <c r="N99" s="209">
        <f t="shared" si="25"/>
        <v>7.9191416694852448</v>
      </c>
    </row>
    <row r="100" spans="2:15" s="134" customFormat="1">
      <c r="B100" s="90" t="s">
        <v>265</v>
      </c>
      <c r="C100" s="90"/>
      <c r="D100" s="209">
        <f>D76*1000/D57</f>
        <v>0</v>
      </c>
      <c r="E100" s="209">
        <f t="shared" ref="E100:N100" si="26">E76*1000/E57</f>
        <v>0</v>
      </c>
      <c r="F100" s="209">
        <f t="shared" si="26"/>
        <v>0</v>
      </c>
      <c r="G100" s="209">
        <f t="shared" si="26"/>
        <v>0</v>
      </c>
      <c r="H100" s="209">
        <f t="shared" si="26"/>
        <v>0</v>
      </c>
      <c r="I100" s="209">
        <f t="shared" si="26"/>
        <v>0</v>
      </c>
      <c r="J100" s="209">
        <f t="shared" si="26"/>
        <v>4.7458865562111274</v>
      </c>
      <c r="K100" s="209">
        <f t="shared" si="26"/>
        <v>4.9080936773170984</v>
      </c>
      <c r="L100" s="209">
        <f t="shared" si="26"/>
        <v>4.3147414642934478</v>
      </c>
      <c r="M100" s="209">
        <f t="shared" si="26"/>
        <v>3.95947924635096</v>
      </c>
      <c r="N100" s="209">
        <f t="shared" si="26"/>
        <v>4.250774288755478</v>
      </c>
    </row>
    <row r="101" spans="2:15" s="134" customFormat="1">
      <c r="B101" s="111" t="s">
        <v>1136</v>
      </c>
      <c r="C101" s="111"/>
      <c r="D101" s="159" t="e">
        <f>D76/D59*1000</f>
        <v>#DIV/0!</v>
      </c>
      <c r="E101" s="159" t="e">
        <f t="shared" ref="E101:N101" si="27">E76/E59*1000</f>
        <v>#DIV/0!</v>
      </c>
      <c r="F101" s="159" t="e">
        <f t="shared" si="27"/>
        <v>#DIV/0!</v>
      </c>
      <c r="G101" s="159" t="e">
        <f t="shared" si="27"/>
        <v>#DIV/0!</v>
      </c>
      <c r="H101" s="159" t="e">
        <f t="shared" si="27"/>
        <v>#DIV/0!</v>
      </c>
      <c r="I101" s="159" t="e">
        <f t="shared" si="27"/>
        <v>#DIV/0!</v>
      </c>
      <c r="J101" s="159">
        <f t="shared" si="27"/>
        <v>34662.142119721488</v>
      </c>
      <c r="K101" s="159">
        <f t="shared" si="27"/>
        <v>45288.616391830634</v>
      </c>
      <c r="L101" s="159">
        <f t="shared" si="27"/>
        <v>42401.421993706404</v>
      </c>
      <c r="M101" s="159">
        <f t="shared" si="27"/>
        <v>41434.283163906439</v>
      </c>
      <c r="N101" s="159">
        <f t="shared" si="27"/>
        <v>43346.720709381916</v>
      </c>
    </row>
    <row r="102" spans="2:15" s="134" customFormat="1">
      <c r="B102" s="168"/>
      <c r="C102" s="168"/>
      <c r="D102" s="197"/>
      <c r="E102" s="197"/>
      <c r="F102" s="197"/>
      <c r="G102" s="197"/>
      <c r="H102" s="197"/>
      <c r="I102" s="197"/>
      <c r="J102" s="197"/>
      <c r="K102" s="197"/>
      <c r="L102" s="197"/>
      <c r="M102" s="197"/>
      <c r="N102" s="197"/>
    </row>
    <row r="103" spans="2:15">
      <c r="B103" s="153" t="s">
        <v>163</v>
      </c>
      <c r="C103" s="94"/>
      <c r="D103" s="94"/>
      <c r="E103" s="94"/>
      <c r="F103" s="94"/>
      <c r="G103" s="94"/>
      <c r="H103" s="94"/>
      <c r="I103" s="94"/>
      <c r="J103" s="94"/>
      <c r="K103" s="94"/>
      <c r="L103" s="94"/>
      <c r="M103" s="94"/>
      <c r="N103" s="94"/>
      <c r="O103" s="94"/>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3.xml><?xml version="1.0" encoding="utf-8"?>
<worksheet xmlns="http://schemas.openxmlformats.org/spreadsheetml/2006/main" xmlns:r="http://schemas.openxmlformats.org/officeDocument/2006/relationships">
  <sheetPr>
    <pageSetUpPr autoPageBreaks="0" fitToPage="1"/>
  </sheetPr>
  <dimension ref="A1:Y119"/>
  <sheetViews>
    <sheetView showGridLines="0" zoomScale="70" zoomScaleNormal="70" workbookViewId="0">
      <pane xSplit="3" ySplit="16" topLeftCell="D17" activePane="bottomRight" state="frozen"/>
      <selection pane="topRight" activeCell="D1" sqref="D1"/>
      <selection pane="bottomLeft" activeCell="A15" sqref="A15"/>
      <selection pane="bottomRight" activeCell="A189" sqref="A189:XFD189"/>
    </sheetView>
  </sheetViews>
  <sheetFormatPr defaultRowHeight="12.75" outlineLevelRow="2"/>
  <cols>
    <col min="1" max="1" width="7" style="90" customWidth="1"/>
    <col min="2" max="2" width="13.5703125" style="90" customWidth="1"/>
    <col min="3" max="3" width="41.5703125" style="90" customWidth="1"/>
    <col min="4" max="15" width="15.7109375" style="90" customWidth="1"/>
    <col min="16" max="16" width="11.710937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c r="Q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c r="Q3" s="92"/>
    </row>
    <row r="4" spans="1:17">
      <c r="B4" s="148" t="s">
        <v>130</v>
      </c>
      <c r="C4" s="92"/>
      <c r="D4" s="92"/>
      <c r="E4" s="150">
        <f>Info!$D$16</f>
        <v>2.8</v>
      </c>
      <c r="F4" s="92"/>
      <c r="G4" s="92"/>
      <c r="H4" s="92"/>
      <c r="I4" s="92"/>
      <c r="J4" s="92"/>
      <c r="K4" s="92"/>
      <c r="L4" s="92"/>
      <c r="M4" s="92"/>
      <c r="N4" s="92"/>
      <c r="O4" s="92"/>
      <c r="P4" s="92"/>
      <c r="Q4" s="92"/>
    </row>
    <row r="5" spans="1:17">
      <c r="B5" s="151" t="s">
        <v>138</v>
      </c>
      <c r="C5" s="93"/>
      <c r="D5" s="93"/>
      <c r="E5" s="152" t="str">
        <f ca="1">IF(CELL("filename",D1)="","",MID(CELL("filename",A1),FIND("]",CELL("filename",A1))+1,99))</f>
        <v>STAN</v>
      </c>
      <c r="F5" s="93"/>
      <c r="G5" s="93"/>
      <c r="H5" s="93"/>
      <c r="I5" s="93"/>
      <c r="J5" s="93"/>
      <c r="K5" s="93"/>
      <c r="L5" s="93"/>
      <c r="M5" s="93"/>
      <c r="N5" s="93"/>
      <c r="O5" s="93"/>
      <c r="P5" s="93"/>
      <c r="Q5" s="93"/>
    </row>
    <row r="6" spans="1:17">
      <c r="Q6" s="90"/>
    </row>
    <row r="7" spans="1:17">
      <c r="Q7" s="90"/>
    </row>
    <row r="8" spans="1:17">
      <c r="B8" s="153" t="s">
        <v>194</v>
      </c>
      <c r="C8" s="94"/>
      <c r="D8" s="94"/>
      <c r="E8" s="94"/>
      <c r="F8" s="94"/>
      <c r="G8" s="94"/>
      <c r="H8" s="94"/>
      <c r="I8" s="94"/>
      <c r="J8" s="94"/>
      <c r="K8" s="94"/>
      <c r="L8" s="94"/>
      <c r="M8" s="94"/>
      <c r="N8" s="94"/>
      <c r="O8" s="94"/>
      <c r="P8" s="94"/>
      <c r="Q8" s="94"/>
    </row>
    <row r="9" spans="1:17">
      <c r="Q9" s="90"/>
    </row>
    <row r="10" spans="1:17">
      <c r="B10" s="138" t="s">
        <v>143</v>
      </c>
      <c r="C10" s="138"/>
      <c r="D10" s="90" t="s">
        <v>270</v>
      </c>
      <c r="Q10" s="90"/>
    </row>
    <row r="11" spans="1:17">
      <c r="B11" s="138"/>
      <c r="C11" s="138"/>
      <c r="D11" s="138"/>
      <c r="Q11" s="90"/>
    </row>
    <row r="12" spans="1:17">
      <c r="B12" s="153" t="s">
        <v>1042</v>
      </c>
      <c r="C12" s="94"/>
      <c r="D12" s="94"/>
      <c r="E12" s="94"/>
      <c r="F12" s="94"/>
      <c r="G12" s="94"/>
      <c r="H12" s="94"/>
      <c r="I12" s="94"/>
      <c r="J12" s="94"/>
      <c r="K12" s="94"/>
      <c r="L12" s="94"/>
      <c r="M12" s="94"/>
      <c r="N12" s="94"/>
      <c r="O12" s="94"/>
      <c r="P12" s="94"/>
      <c r="Q12" s="94"/>
    </row>
    <row r="13" spans="1:17">
      <c r="B13" s="138"/>
      <c r="C13" s="138"/>
      <c r="D13" s="138"/>
    </row>
    <row r="14" spans="1:17">
      <c r="B14" s="101" t="s">
        <v>167</v>
      </c>
      <c r="C14" s="101"/>
    </row>
    <row r="15" spans="1:17">
      <c r="B15" s="101"/>
      <c r="C15" s="101"/>
    </row>
    <row r="16" spans="1:17">
      <c r="B16" s="138" t="s">
        <v>271</v>
      </c>
      <c r="C16" s="138"/>
      <c r="D16" s="119" t="s">
        <v>108</v>
      </c>
      <c r="E16" s="119" t="s">
        <v>109</v>
      </c>
      <c r="F16" s="119" t="s">
        <v>110</v>
      </c>
      <c r="G16" s="119" t="s">
        <v>111</v>
      </c>
      <c r="H16" s="119" t="s">
        <v>22</v>
      </c>
      <c r="I16" s="119" t="s">
        <v>23</v>
      </c>
      <c r="J16" s="119" t="s">
        <v>24</v>
      </c>
      <c r="K16" s="119" t="s">
        <v>295</v>
      </c>
      <c r="L16" s="119">
        <v>2007</v>
      </c>
      <c r="M16" s="119">
        <v>2008</v>
      </c>
      <c r="N16" s="119">
        <v>2009</v>
      </c>
      <c r="O16" s="119">
        <v>2010</v>
      </c>
      <c r="P16" s="119">
        <v>2011</v>
      </c>
      <c r="Q16" s="360">
        <v>2012</v>
      </c>
    </row>
    <row r="17" spans="1:25">
      <c r="B17" s="138" t="s">
        <v>157</v>
      </c>
      <c r="C17" s="138"/>
      <c r="D17" s="154">
        <v>2000</v>
      </c>
      <c r="E17" s="154">
        <v>2001</v>
      </c>
      <c r="F17" s="154">
        <v>2002</v>
      </c>
      <c r="G17" s="154">
        <v>2003</v>
      </c>
      <c r="H17" s="154">
        <v>2004</v>
      </c>
      <c r="I17" s="154">
        <v>2005</v>
      </c>
      <c r="J17" s="154">
        <v>2006</v>
      </c>
      <c r="K17" s="154">
        <v>2006</v>
      </c>
      <c r="L17" s="154">
        <v>2007</v>
      </c>
      <c r="M17" s="154">
        <v>2008</v>
      </c>
      <c r="N17" s="154">
        <v>2009</v>
      </c>
      <c r="O17" s="154">
        <v>2010</v>
      </c>
      <c r="P17" s="154">
        <v>2011</v>
      </c>
      <c r="Q17" s="361">
        <v>2012</v>
      </c>
    </row>
    <row r="18" spans="1:25">
      <c r="B18" s="138" t="s">
        <v>164</v>
      </c>
      <c r="C18" s="138"/>
      <c r="D18" s="154" t="s">
        <v>160</v>
      </c>
      <c r="E18" s="154" t="s">
        <v>160</v>
      </c>
      <c r="F18" s="154" t="s">
        <v>160</v>
      </c>
      <c r="G18" s="154" t="s">
        <v>160</v>
      </c>
      <c r="H18" s="154" t="s">
        <v>160</v>
      </c>
      <c r="I18" s="154" t="s">
        <v>160</v>
      </c>
      <c r="J18" s="154" t="s">
        <v>160</v>
      </c>
      <c r="K18" s="154" t="s">
        <v>176</v>
      </c>
      <c r="L18" s="154" t="s">
        <v>174</v>
      </c>
      <c r="M18" s="154" t="s">
        <v>174</v>
      </c>
      <c r="N18" s="154" t="s">
        <v>174</v>
      </c>
      <c r="O18" s="154" t="s">
        <v>174</v>
      </c>
      <c r="P18" s="154" t="s">
        <v>174</v>
      </c>
      <c r="Q18" s="154" t="s">
        <v>174</v>
      </c>
    </row>
    <row r="19" spans="1:25">
      <c r="B19" s="133"/>
      <c r="C19" s="133"/>
      <c r="E19" s="133"/>
      <c r="F19" s="133"/>
      <c r="G19" s="133"/>
      <c r="H19" s="133"/>
      <c r="I19" s="133"/>
      <c r="J19" s="133"/>
      <c r="K19" s="133"/>
      <c r="L19" s="133"/>
      <c r="M19" s="133"/>
      <c r="N19" s="133"/>
      <c r="O19" s="133"/>
      <c r="P19" s="133"/>
    </row>
    <row r="20" spans="1:25">
      <c r="B20" s="106" t="s">
        <v>1314</v>
      </c>
      <c r="C20" s="106" t="s">
        <v>1315</v>
      </c>
      <c r="E20" s="133"/>
      <c r="F20" s="133"/>
      <c r="G20" s="133"/>
      <c r="H20" s="133"/>
      <c r="I20" s="133"/>
      <c r="J20" s="133"/>
      <c r="K20" s="133"/>
      <c r="L20" s="133"/>
      <c r="M20" s="133"/>
      <c r="N20" s="133"/>
      <c r="O20" s="133"/>
      <c r="P20" s="133"/>
    </row>
    <row r="21" spans="1:25" hidden="1" outlineLevel="2">
      <c r="B21" s="90" t="s">
        <v>240</v>
      </c>
      <c r="C21" s="138" t="s">
        <v>165</v>
      </c>
      <c r="D21" s="141">
        <v>18827</v>
      </c>
      <c r="E21" s="141">
        <v>20027</v>
      </c>
      <c r="F21" s="141">
        <v>20557</v>
      </c>
      <c r="G21" s="141">
        <v>22700</v>
      </c>
      <c r="H21" s="141">
        <v>26400</v>
      </c>
      <c r="I21" s="141">
        <v>27700</v>
      </c>
      <c r="J21" s="141">
        <v>31200</v>
      </c>
      <c r="K21" s="141">
        <v>26600</v>
      </c>
      <c r="L21" s="141">
        <v>39900</v>
      </c>
      <c r="M21" s="141">
        <v>42400</v>
      </c>
      <c r="N21" s="141">
        <v>38400</v>
      </c>
      <c r="O21" s="141">
        <v>40400</v>
      </c>
      <c r="P21" s="141">
        <v>45100</v>
      </c>
      <c r="Q21" s="141">
        <v>44000</v>
      </c>
      <c r="R21" s="82"/>
      <c r="S21" s="82"/>
      <c r="T21" s="82"/>
      <c r="U21" s="82"/>
      <c r="V21" s="82"/>
    </row>
    <row r="22" spans="1:25" hidden="1" outlineLevel="2">
      <c r="B22" s="90" t="s">
        <v>240</v>
      </c>
      <c r="C22" s="138" t="s">
        <v>166</v>
      </c>
      <c r="D22" s="141">
        <v>1383</v>
      </c>
      <c r="E22" s="141">
        <v>1572</v>
      </c>
      <c r="F22" s="141">
        <v>1591</v>
      </c>
      <c r="G22" s="141">
        <v>1700</v>
      </c>
      <c r="H22" s="141">
        <v>2200</v>
      </c>
      <c r="I22" s="141">
        <v>2200</v>
      </c>
      <c r="J22" s="141">
        <v>2400</v>
      </c>
      <c r="K22" s="141">
        <v>2100</v>
      </c>
      <c r="L22" s="141">
        <v>3100</v>
      </c>
      <c r="M22" s="141">
        <v>3200</v>
      </c>
      <c r="N22" s="141">
        <v>3200</v>
      </c>
      <c r="O22" s="141">
        <v>3100</v>
      </c>
      <c r="P22" s="141">
        <v>3700</v>
      </c>
      <c r="Q22" s="141">
        <v>3900</v>
      </c>
      <c r="R22" s="82"/>
      <c r="S22" s="82"/>
      <c r="T22" s="82"/>
      <c r="U22" s="82"/>
      <c r="V22" s="82"/>
    </row>
    <row r="23" spans="1:25" hidden="1" outlineLevel="2">
      <c r="B23" s="90" t="s">
        <v>240</v>
      </c>
      <c r="C23" s="138" t="s">
        <v>189</v>
      </c>
      <c r="D23" s="141">
        <v>520</v>
      </c>
      <c r="E23" s="141">
        <v>565</v>
      </c>
      <c r="F23" s="141">
        <v>3317</v>
      </c>
      <c r="G23" s="141">
        <v>3400</v>
      </c>
      <c r="H23" s="141">
        <v>4700</v>
      </c>
      <c r="I23" s="141">
        <v>5900</v>
      </c>
      <c r="J23" s="141">
        <v>6300</v>
      </c>
      <c r="K23" s="141">
        <v>6700</v>
      </c>
      <c r="L23" s="141">
        <v>8100</v>
      </c>
      <c r="M23" s="141">
        <v>5100</v>
      </c>
      <c r="N23" s="141">
        <v>3300</v>
      </c>
      <c r="O23" s="141">
        <v>5000</v>
      </c>
      <c r="P23" s="141">
        <v>5000</v>
      </c>
      <c r="Q23" s="141">
        <v>6200</v>
      </c>
      <c r="R23" s="82"/>
      <c r="S23" s="82"/>
      <c r="T23" s="82"/>
      <c r="U23" s="82"/>
      <c r="V23" s="82"/>
    </row>
    <row r="24" spans="1:25" hidden="1" outlineLevel="2">
      <c r="B24" s="90" t="s">
        <v>240</v>
      </c>
      <c r="C24" s="138" t="s">
        <v>188</v>
      </c>
      <c r="D24" s="141">
        <v>0</v>
      </c>
      <c r="E24" s="141">
        <v>0</v>
      </c>
      <c r="F24" s="141">
        <v>-594</v>
      </c>
      <c r="G24" s="141">
        <v>1400</v>
      </c>
      <c r="H24" s="141">
        <v>1800</v>
      </c>
      <c r="I24" s="141">
        <v>1500</v>
      </c>
      <c r="J24" s="141">
        <f>1600+800</f>
        <v>2400</v>
      </c>
      <c r="K24" s="141">
        <f>1700+200</f>
        <v>1900</v>
      </c>
      <c r="L24" s="141">
        <f>2100+200</f>
        <v>2300</v>
      </c>
      <c r="M24" s="141">
        <v>2000</v>
      </c>
      <c r="N24" s="141">
        <f>1500+400</f>
        <v>1900</v>
      </c>
      <c r="O24" s="141">
        <f>1400+400</f>
        <v>1800</v>
      </c>
      <c r="P24" s="141">
        <v>1700</v>
      </c>
      <c r="Q24" s="141">
        <v>1500</v>
      </c>
      <c r="R24" s="82"/>
      <c r="S24" s="82"/>
      <c r="T24" s="82"/>
      <c r="U24" s="82"/>
      <c r="V24" s="82"/>
    </row>
    <row r="25" spans="1:25" outlineLevel="1" collapsed="1">
      <c r="B25" s="173" t="s">
        <v>287</v>
      </c>
      <c r="C25" s="138"/>
      <c r="D25" s="159">
        <f t="shared" ref="D25:P25" si="0">SUBTOTAL(9,D21:D24)</f>
        <v>20730</v>
      </c>
      <c r="E25" s="159">
        <f t="shared" si="0"/>
        <v>22164</v>
      </c>
      <c r="F25" s="159">
        <f t="shared" si="0"/>
        <v>24871</v>
      </c>
      <c r="G25" s="159">
        <f t="shared" si="0"/>
        <v>29200</v>
      </c>
      <c r="H25" s="159">
        <f t="shared" si="0"/>
        <v>35100</v>
      </c>
      <c r="I25" s="159">
        <f t="shared" si="0"/>
        <v>37300</v>
      </c>
      <c r="J25" s="159">
        <f t="shared" si="0"/>
        <v>42300</v>
      </c>
      <c r="K25" s="159">
        <f t="shared" si="0"/>
        <v>37300</v>
      </c>
      <c r="L25" s="159">
        <f t="shared" si="0"/>
        <v>53400</v>
      </c>
      <c r="M25" s="159">
        <f t="shared" si="0"/>
        <v>52700</v>
      </c>
      <c r="N25" s="159">
        <f t="shared" si="0"/>
        <v>46800</v>
      </c>
      <c r="O25" s="159">
        <f t="shared" si="0"/>
        <v>50300</v>
      </c>
      <c r="P25" s="159">
        <f t="shared" si="0"/>
        <v>55500</v>
      </c>
      <c r="Q25" s="159">
        <f t="shared" ref="Q25" si="1">SUBTOTAL(9,Q21:Q24)</f>
        <v>55600</v>
      </c>
      <c r="R25" s="82"/>
      <c r="S25" s="82"/>
      <c r="T25" s="82"/>
      <c r="U25" s="82"/>
      <c r="V25" s="82"/>
    </row>
    <row r="26" spans="1:25" s="133" customFormat="1" outlineLevel="1">
      <c r="C26" s="138"/>
      <c r="D26" s="141"/>
      <c r="E26" s="141"/>
      <c r="F26" s="141"/>
      <c r="G26" s="141"/>
      <c r="H26" s="141"/>
      <c r="I26" s="141"/>
      <c r="J26" s="141"/>
      <c r="K26" s="141"/>
      <c r="L26" s="141"/>
      <c r="M26" s="141"/>
      <c r="N26" s="141"/>
      <c r="O26" s="141"/>
      <c r="P26" s="141"/>
      <c r="Q26" s="142"/>
      <c r="R26" s="142"/>
      <c r="S26" s="142"/>
      <c r="T26" s="142"/>
      <c r="U26" s="142"/>
      <c r="V26" s="142"/>
    </row>
    <row r="27" spans="1:25" s="133" customFormat="1" hidden="1" outlineLevel="2">
      <c r="B27" s="133" t="s">
        <v>30</v>
      </c>
      <c r="C27" s="138" t="s">
        <v>30</v>
      </c>
      <c r="D27" s="141">
        <v>15538</v>
      </c>
      <c r="E27" s="141">
        <v>18104</v>
      </c>
      <c r="F27" s="141">
        <v>19906</v>
      </c>
      <c r="G27" s="141">
        <v>24700</v>
      </c>
      <c r="H27" s="141">
        <v>27700</v>
      </c>
      <c r="I27" s="141">
        <v>28100</v>
      </c>
      <c r="J27" s="141">
        <v>28900</v>
      </c>
      <c r="K27" s="141">
        <v>21900</v>
      </c>
      <c r="L27" s="141">
        <v>29100</v>
      </c>
      <c r="M27" s="141">
        <v>33100</v>
      </c>
      <c r="N27" s="141">
        <v>38600</v>
      </c>
      <c r="O27" s="141">
        <v>40300</v>
      </c>
      <c r="P27" s="141">
        <v>40500</v>
      </c>
      <c r="Q27" s="141">
        <v>40500</v>
      </c>
      <c r="R27" s="142"/>
      <c r="S27" s="142"/>
      <c r="T27" s="142"/>
      <c r="U27" s="142"/>
      <c r="V27" s="142"/>
    </row>
    <row r="28" spans="1:25" s="133" customFormat="1" outlineLevel="1" collapsed="1">
      <c r="B28" s="106" t="s">
        <v>288</v>
      </c>
      <c r="C28" s="138"/>
      <c r="D28" s="159">
        <f t="shared" ref="D28:P28" si="2">SUBTOTAL(9,D27:D27)</f>
        <v>15538</v>
      </c>
      <c r="E28" s="159">
        <f t="shared" si="2"/>
        <v>18104</v>
      </c>
      <c r="F28" s="159">
        <f t="shared" si="2"/>
        <v>19906</v>
      </c>
      <c r="G28" s="159">
        <f t="shared" si="2"/>
        <v>24700</v>
      </c>
      <c r="H28" s="159">
        <f t="shared" si="2"/>
        <v>27700</v>
      </c>
      <c r="I28" s="159">
        <f t="shared" si="2"/>
        <v>28100</v>
      </c>
      <c r="J28" s="159">
        <f t="shared" si="2"/>
        <v>28900</v>
      </c>
      <c r="K28" s="159">
        <f t="shared" si="2"/>
        <v>21900</v>
      </c>
      <c r="L28" s="159">
        <f t="shared" si="2"/>
        <v>29100</v>
      </c>
      <c r="M28" s="159">
        <f t="shared" si="2"/>
        <v>33100</v>
      </c>
      <c r="N28" s="159">
        <f t="shared" si="2"/>
        <v>38600</v>
      </c>
      <c r="O28" s="159">
        <f t="shared" si="2"/>
        <v>40300</v>
      </c>
      <c r="P28" s="159">
        <f t="shared" si="2"/>
        <v>40500</v>
      </c>
      <c r="Q28" s="159">
        <f t="shared" ref="Q28" si="3">SUBTOTAL(9,Q27:Q27)</f>
        <v>40500</v>
      </c>
      <c r="R28" s="142"/>
      <c r="S28" s="142"/>
      <c r="T28" s="142"/>
      <c r="U28" s="142"/>
      <c r="V28" s="142"/>
    </row>
    <row r="29" spans="1:25" s="133" customFormat="1" outlineLevel="1">
      <c r="C29" s="138"/>
      <c r="D29" s="141"/>
      <c r="E29" s="141"/>
      <c r="F29" s="141"/>
      <c r="G29" s="141"/>
      <c r="H29" s="141"/>
      <c r="I29" s="141"/>
      <c r="J29" s="141"/>
      <c r="K29" s="141"/>
      <c r="L29" s="141"/>
      <c r="M29" s="141"/>
      <c r="N29" s="141"/>
      <c r="O29" s="141"/>
      <c r="P29" s="141"/>
      <c r="Q29" s="142"/>
      <c r="R29" s="142"/>
      <c r="S29" s="142"/>
      <c r="T29" s="142"/>
      <c r="U29" s="142"/>
      <c r="V29" s="142"/>
    </row>
    <row r="30" spans="1:25" s="133" customFormat="1" hidden="1" outlineLevel="2">
      <c r="A30" s="138"/>
      <c r="B30" s="133" t="s">
        <v>256</v>
      </c>
      <c r="C30" s="138" t="s">
        <v>183</v>
      </c>
      <c r="D30" s="155">
        <v>173</v>
      </c>
      <c r="E30" s="155">
        <v>399</v>
      </c>
      <c r="F30" s="155">
        <v>365</v>
      </c>
      <c r="G30" s="155">
        <v>-100</v>
      </c>
      <c r="H30" s="155">
        <v>200</v>
      </c>
      <c r="I30" s="155">
        <v>200</v>
      </c>
      <c r="J30" s="155">
        <v>700</v>
      </c>
      <c r="K30" s="155">
        <v>1300</v>
      </c>
      <c r="L30" s="155">
        <v>1900</v>
      </c>
      <c r="M30" s="155">
        <v>3200</v>
      </c>
      <c r="N30" s="155">
        <v>8200</v>
      </c>
      <c r="O30" s="155">
        <v>8500</v>
      </c>
      <c r="P30" s="155">
        <v>8200</v>
      </c>
      <c r="Q30" s="155">
        <v>7000</v>
      </c>
      <c r="R30" s="142"/>
      <c r="S30" s="142"/>
      <c r="T30" s="142"/>
      <c r="U30" s="142"/>
      <c r="V30" s="142"/>
    </row>
    <row r="31" spans="1:25" s="133" customFormat="1" hidden="1" outlineLevel="2">
      <c r="A31" s="138"/>
      <c r="B31" s="133" t="s">
        <v>256</v>
      </c>
      <c r="C31" s="138" t="s">
        <v>201</v>
      </c>
      <c r="D31" s="141">
        <v>6767</v>
      </c>
      <c r="E31" s="141">
        <v>8677</v>
      </c>
      <c r="F31" s="141">
        <v>9764</v>
      </c>
      <c r="G31" s="141">
        <v>9500</v>
      </c>
      <c r="H31" s="141">
        <v>10800</v>
      </c>
      <c r="I31" s="141">
        <v>12200</v>
      </c>
      <c r="J31" s="141">
        <v>11700</v>
      </c>
      <c r="K31" s="141">
        <v>8200</v>
      </c>
      <c r="L31" s="141">
        <v>12000</v>
      </c>
      <c r="M31" s="141">
        <v>8900</v>
      </c>
      <c r="N31" s="141">
        <v>9700</v>
      </c>
      <c r="O31" s="141">
        <v>10100</v>
      </c>
      <c r="P31" s="141">
        <v>9900</v>
      </c>
      <c r="Q31" s="141">
        <v>12100</v>
      </c>
      <c r="R31" s="131"/>
      <c r="S31" s="131"/>
      <c r="V31" s="156"/>
      <c r="Y31" s="131"/>
    </row>
    <row r="32" spans="1:25" s="133" customFormat="1" hidden="1" outlineLevel="2">
      <c r="A32" s="138"/>
      <c r="B32" s="133" t="s">
        <v>256</v>
      </c>
      <c r="C32" s="138" t="s">
        <v>184</v>
      </c>
      <c r="D32" s="141">
        <v>4776</v>
      </c>
      <c r="E32" s="141">
        <v>6161</v>
      </c>
      <c r="F32" s="141">
        <v>3836</v>
      </c>
      <c r="G32" s="141">
        <v>5500</v>
      </c>
      <c r="H32" s="141">
        <v>6600</v>
      </c>
      <c r="I32" s="141">
        <v>6900</v>
      </c>
      <c r="J32" s="141">
        <v>7000</v>
      </c>
      <c r="K32" s="141">
        <v>6900</v>
      </c>
      <c r="L32" s="141">
        <v>10000</v>
      </c>
      <c r="M32" s="141">
        <v>11300</v>
      </c>
      <c r="N32" s="141">
        <v>12200</v>
      </c>
      <c r="O32" s="141">
        <v>13000</v>
      </c>
      <c r="P32" s="141">
        <v>14800</v>
      </c>
      <c r="Q32" s="141">
        <v>15600</v>
      </c>
      <c r="R32" s="131"/>
      <c r="T32" s="131"/>
      <c r="V32" s="156"/>
      <c r="W32" s="156"/>
    </row>
    <row r="33" spans="1:23" s="133" customFormat="1" hidden="1" outlineLevel="2">
      <c r="A33" s="138"/>
      <c r="B33" s="133" t="s">
        <v>256</v>
      </c>
      <c r="C33" s="138" t="s">
        <v>202</v>
      </c>
      <c r="D33" s="141">
        <v>6693</v>
      </c>
      <c r="E33" s="141">
        <v>4241</v>
      </c>
      <c r="F33" s="141">
        <v>4706</v>
      </c>
      <c r="G33" s="141">
        <v>5000</v>
      </c>
      <c r="H33" s="141">
        <v>5200</v>
      </c>
      <c r="I33" s="141">
        <v>6100</v>
      </c>
      <c r="J33" s="141">
        <v>7300</v>
      </c>
      <c r="K33" s="141">
        <v>6300</v>
      </c>
      <c r="L33" s="141">
        <v>8600</v>
      </c>
      <c r="M33" s="141">
        <v>9900</v>
      </c>
      <c r="N33" s="141">
        <v>21200</v>
      </c>
      <c r="O33" s="141">
        <v>19600</v>
      </c>
      <c r="P33" s="141">
        <v>20100</v>
      </c>
      <c r="Q33" s="141">
        <v>19500</v>
      </c>
      <c r="R33" s="131"/>
      <c r="T33" s="131"/>
      <c r="V33" s="156"/>
    </row>
    <row r="34" spans="1:23" s="133" customFormat="1" hidden="1" outlineLevel="2">
      <c r="A34" s="138"/>
      <c r="B34" s="133" t="s">
        <v>256</v>
      </c>
      <c r="C34" s="138" t="s">
        <v>187</v>
      </c>
      <c r="D34" s="141">
        <v>0</v>
      </c>
      <c r="E34" s="141">
        <v>1380</v>
      </c>
      <c r="F34" s="141">
        <v>1547</v>
      </c>
      <c r="G34" s="141">
        <v>1900</v>
      </c>
      <c r="H34" s="141">
        <v>2200</v>
      </c>
      <c r="I34" s="141">
        <v>2600</v>
      </c>
      <c r="J34" s="141">
        <v>2300</v>
      </c>
      <c r="K34" s="141">
        <v>2100</v>
      </c>
      <c r="L34" s="141">
        <v>3100</v>
      </c>
      <c r="M34" s="141">
        <v>3000</v>
      </c>
      <c r="N34" s="141">
        <v>0</v>
      </c>
      <c r="O34" s="141">
        <v>0</v>
      </c>
      <c r="P34" s="141">
        <v>0</v>
      </c>
      <c r="Q34" s="141">
        <v>0</v>
      </c>
      <c r="R34" s="131"/>
      <c r="T34" s="131"/>
      <c r="V34" s="156"/>
    </row>
    <row r="35" spans="1:23" s="133" customFormat="1" hidden="1" outlineLevel="2">
      <c r="A35" s="138"/>
      <c r="B35" s="133" t="s">
        <v>256</v>
      </c>
      <c r="C35" s="138" t="s">
        <v>185</v>
      </c>
      <c r="D35" s="141">
        <v>3771</v>
      </c>
      <c r="E35" s="141">
        <v>3875</v>
      </c>
      <c r="F35" s="141">
        <v>4225</v>
      </c>
      <c r="G35" s="141">
        <v>4600</v>
      </c>
      <c r="H35" s="141">
        <v>5200</v>
      </c>
      <c r="I35" s="141">
        <v>6600</v>
      </c>
      <c r="J35" s="141">
        <v>6500</v>
      </c>
      <c r="K35" s="141">
        <v>5000</v>
      </c>
      <c r="L35" s="141">
        <v>6800</v>
      </c>
      <c r="M35" s="141">
        <v>6800</v>
      </c>
      <c r="N35" s="141">
        <v>6300</v>
      </c>
      <c r="O35" s="141">
        <v>7000</v>
      </c>
      <c r="P35" s="141">
        <v>6800</v>
      </c>
      <c r="Q35" s="141">
        <v>6600</v>
      </c>
      <c r="R35" s="131"/>
      <c r="T35" s="131"/>
      <c r="V35" s="156"/>
    </row>
    <row r="36" spans="1:23" s="133" customFormat="1" hidden="1" outlineLevel="2">
      <c r="A36" s="138"/>
      <c r="B36" s="133" t="s">
        <v>256</v>
      </c>
      <c r="C36" s="138" t="s">
        <v>186</v>
      </c>
      <c r="D36" s="141">
        <v>12831</v>
      </c>
      <c r="E36" s="141">
        <v>19457</v>
      </c>
      <c r="F36" s="141">
        <v>23691</v>
      </c>
      <c r="G36" s="141">
        <v>5500</v>
      </c>
      <c r="H36" s="141">
        <v>7500</v>
      </c>
      <c r="I36" s="141">
        <v>8000</v>
      </c>
      <c r="J36" s="141">
        <v>8500</v>
      </c>
      <c r="K36" s="141">
        <v>7700</v>
      </c>
      <c r="L36" s="141">
        <v>6100</v>
      </c>
      <c r="M36" s="141">
        <v>13600</v>
      </c>
      <c r="N36" s="141">
        <v>10400</v>
      </c>
      <c r="O36" s="141">
        <v>11100</v>
      </c>
      <c r="P36" s="141">
        <v>11900</v>
      </c>
      <c r="Q36" s="141">
        <v>11800</v>
      </c>
      <c r="R36" s="131"/>
      <c r="T36" s="131"/>
    </row>
    <row r="37" spans="1:23" s="133" customFormat="1" hidden="1" outlineLevel="2">
      <c r="A37" s="138"/>
      <c r="B37" s="133" t="s">
        <v>256</v>
      </c>
      <c r="C37" s="138" t="s">
        <v>191</v>
      </c>
      <c r="D37" s="141">
        <v>3271</v>
      </c>
      <c r="E37" s="141">
        <v>5218</v>
      </c>
      <c r="F37" s="141">
        <v>7312</v>
      </c>
      <c r="G37" s="141">
        <v>8100</v>
      </c>
      <c r="H37" s="141">
        <v>9000</v>
      </c>
      <c r="I37" s="141">
        <v>11000</v>
      </c>
      <c r="J37" s="141">
        <v>11700</v>
      </c>
      <c r="K37" s="141">
        <v>11100</v>
      </c>
      <c r="L37" s="141">
        <v>25200</v>
      </c>
      <c r="M37" s="141">
        <v>23300</v>
      </c>
      <c r="N37" s="141">
        <v>13400</v>
      </c>
      <c r="O37" s="141">
        <v>10900</v>
      </c>
      <c r="P37" s="141">
        <v>9900</v>
      </c>
      <c r="Q37" s="141">
        <v>7300</v>
      </c>
      <c r="R37" s="131"/>
      <c r="T37" s="131"/>
      <c r="V37" s="156"/>
    </row>
    <row r="38" spans="1:23" s="133" customFormat="1" hidden="1" outlineLevel="2">
      <c r="A38" s="138"/>
      <c r="B38" s="133" t="s">
        <v>256</v>
      </c>
      <c r="C38" s="138" t="s">
        <v>294</v>
      </c>
      <c r="D38" s="155">
        <v>0</v>
      </c>
      <c r="E38" s="155">
        <v>0</v>
      </c>
      <c r="F38" s="155">
        <v>0</v>
      </c>
      <c r="G38" s="155">
        <v>0</v>
      </c>
      <c r="H38" s="155">
        <v>0</v>
      </c>
      <c r="I38" s="155">
        <v>0</v>
      </c>
      <c r="J38" s="155">
        <v>0</v>
      </c>
      <c r="K38" s="155">
        <v>0</v>
      </c>
      <c r="L38" s="155">
        <v>0</v>
      </c>
      <c r="M38" s="155">
        <v>8700</v>
      </c>
      <c r="N38" s="155">
        <v>12400</v>
      </c>
      <c r="O38" s="155">
        <v>12900</v>
      </c>
      <c r="P38" s="155">
        <v>10800</v>
      </c>
      <c r="Q38" s="155">
        <v>11700</v>
      </c>
      <c r="R38" s="131"/>
      <c r="T38" s="131"/>
      <c r="V38" s="156"/>
    </row>
    <row r="39" spans="1:23" s="133" customFormat="1" hidden="1" outlineLevel="2">
      <c r="A39" s="138"/>
      <c r="B39" s="133" t="s">
        <v>256</v>
      </c>
      <c r="C39" s="138" t="s">
        <v>178</v>
      </c>
      <c r="D39" s="155">
        <v>-125</v>
      </c>
      <c r="E39" s="155">
        <v>662</v>
      </c>
      <c r="F39" s="155">
        <v>1326</v>
      </c>
      <c r="G39" s="155">
        <v>-100</v>
      </c>
      <c r="H39" s="155">
        <v>100</v>
      </c>
      <c r="I39" s="155">
        <v>500</v>
      </c>
      <c r="J39" s="155">
        <v>200</v>
      </c>
      <c r="K39" s="155">
        <v>-200</v>
      </c>
      <c r="L39" s="155">
        <v>-100</v>
      </c>
      <c r="M39" s="155">
        <v>0</v>
      </c>
      <c r="N39" s="155">
        <v>0</v>
      </c>
      <c r="O39" s="155">
        <v>0</v>
      </c>
      <c r="P39" s="155">
        <v>-100</v>
      </c>
      <c r="Q39" s="155">
        <v>100</v>
      </c>
      <c r="R39" s="131"/>
      <c r="T39" s="131"/>
      <c r="V39" s="156"/>
    </row>
    <row r="40" spans="1:23" s="133" customFormat="1" outlineLevel="1" collapsed="1">
      <c r="A40" s="138"/>
      <c r="B40" s="106" t="s">
        <v>289</v>
      </c>
      <c r="C40" s="138"/>
      <c r="D40" s="159">
        <f t="shared" ref="D40:P40" si="4">SUBTOTAL(9,D30:D39)</f>
        <v>38157</v>
      </c>
      <c r="E40" s="159">
        <f t="shared" si="4"/>
        <v>50070</v>
      </c>
      <c r="F40" s="159">
        <f t="shared" si="4"/>
        <v>56772</v>
      </c>
      <c r="G40" s="159">
        <f t="shared" si="4"/>
        <v>39900</v>
      </c>
      <c r="H40" s="159">
        <f t="shared" si="4"/>
        <v>46800</v>
      </c>
      <c r="I40" s="159">
        <f t="shared" si="4"/>
        <v>54100</v>
      </c>
      <c r="J40" s="159">
        <f t="shared" si="4"/>
        <v>55900</v>
      </c>
      <c r="K40" s="159">
        <f t="shared" si="4"/>
        <v>48400</v>
      </c>
      <c r="L40" s="159">
        <f t="shared" si="4"/>
        <v>73600</v>
      </c>
      <c r="M40" s="159">
        <f t="shared" si="4"/>
        <v>88700</v>
      </c>
      <c r="N40" s="159">
        <f t="shared" si="4"/>
        <v>93800</v>
      </c>
      <c r="O40" s="159">
        <f t="shared" si="4"/>
        <v>93100</v>
      </c>
      <c r="P40" s="159">
        <f t="shared" si="4"/>
        <v>92300</v>
      </c>
      <c r="Q40" s="159">
        <f t="shared" ref="Q40" si="5">SUBTOTAL(9,Q30:Q39)</f>
        <v>91700</v>
      </c>
      <c r="R40" s="131"/>
      <c r="T40" s="131"/>
      <c r="V40" s="156"/>
    </row>
    <row r="41" spans="1:23" outlineLevel="1">
      <c r="C41" s="138"/>
      <c r="D41" s="141"/>
      <c r="E41" s="141"/>
      <c r="F41" s="141"/>
      <c r="G41" s="141"/>
      <c r="H41" s="141"/>
      <c r="I41" s="141"/>
      <c r="J41" s="141"/>
      <c r="K41" s="141"/>
      <c r="L41" s="141"/>
      <c r="M41" s="141"/>
      <c r="N41" s="141"/>
      <c r="O41" s="141"/>
      <c r="P41" s="141"/>
      <c r="Q41" s="90"/>
      <c r="R41" s="126"/>
      <c r="S41" s="126"/>
      <c r="V41" s="156"/>
      <c r="W41" s="133"/>
    </row>
    <row r="42" spans="1:23" s="30" customFormat="1" hidden="1" outlineLevel="2">
      <c r="B42" s="90" t="s">
        <v>172</v>
      </c>
      <c r="C42" s="157" t="s">
        <v>172</v>
      </c>
      <c r="D42" s="141">
        <v>0</v>
      </c>
      <c r="E42" s="141">
        <v>0</v>
      </c>
      <c r="F42" s="141">
        <v>0</v>
      </c>
      <c r="G42" s="141">
        <v>0</v>
      </c>
      <c r="H42" s="141">
        <v>0</v>
      </c>
      <c r="I42" s="141">
        <v>200</v>
      </c>
      <c r="J42" s="141">
        <v>3400</v>
      </c>
      <c r="K42" s="141">
        <v>3500</v>
      </c>
      <c r="L42" s="141">
        <v>9100</v>
      </c>
      <c r="M42" s="141">
        <v>3100</v>
      </c>
      <c r="N42" s="141">
        <v>36400</v>
      </c>
      <c r="O42" s="141">
        <v>-15100</v>
      </c>
      <c r="P42" s="141">
        <v>7100</v>
      </c>
      <c r="Q42" s="141">
        <v>30700</v>
      </c>
      <c r="R42" s="123"/>
    </row>
    <row r="43" spans="1:23" s="30" customFormat="1" outlineLevel="1" collapsed="1">
      <c r="B43" s="30" t="s">
        <v>290</v>
      </c>
      <c r="C43" s="157"/>
      <c r="D43" s="159">
        <f t="shared" ref="D43:P43" si="6">SUBTOTAL(9,D42:D42)</f>
        <v>0</v>
      </c>
      <c r="E43" s="159">
        <f t="shared" si="6"/>
        <v>0</v>
      </c>
      <c r="F43" s="159">
        <f t="shared" si="6"/>
        <v>0</v>
      </c>
      <c r="G43" s="159">
        <f t="shared" si="6"/>
        <v>0</v>
      </c>
      <c r="H43" s="159">
        <f t="shared" si="6"/>
        <v>0</v>
      </c>
      <c r="I43" s="159">
        <f t="shared" si="6"/>
        <v>200</v>
      </c>
      <c r="J43" s="159">
        <f t="shared" si="6"/>
        <v>3400</v>
      </c>
      <c r="K43" s="159">
        <f t="shared" si="6"/>
        <v>3500</v>
      </c>
      <c r="L43" s="159">
        <f t="shared" si="6"/>
        <v>9100</v>
      </c>
      <c r="M43" s="159">
        <f t="shared" si="6"/>
        <v>3100</v>
      </c>
      <c r="N43" s="159">
        <f t="shared" si="6"/>
        <v>36400</v>
      </c>
      <c r="O43" s="159">
        <f t="shared" si="6"/>
        <v>-15100</v>
      </c>
      <c r="P43" s="159">
        <f t="shared" si="6"/>
        <v>7100</v>
      </c>
      <c r="Q43" s="159">
        <f t="shared" ref="Q43" si="7">SUBTOTAL(9,Q42:Q42)</f>
        <v>30700</v>
      </c>
      <c r="R43" s="123"/>
    </row>
    <row r="44" spans="1:23" s="106" customFormat="1" outlineLevel="1">
      <c r="C44" s="186"/>
      <c r="D44" s="141"/>
      <c r="E44" s="141"/>
      <c r="F44" s="141"/>
      <c r="G44" s="141"/>
      <c r="H44" s="141"/>
      <c r="I44" s="141"/>
      <c r="J44" s="141"/>
      <c r="K44" s="141"/>
      <c r="L44" s="141"/>
      <c r="M44" s="141"/>
      <c r="N44" s="141"/>
      <c r="O44" s="141"/>
      <c r="P44" s="141"/>
      <c r="Q44" s="125"/>
      <c r="R44" s="125"/>
    </row>
    <row r="45" spans="1:23" s="30" customFormat="1">
      <c r="B45" s="30" t="s">
        <v>286</v>
      </c>
      <c r="C45" s="157"/>
      <c r="D45" s="159">
        <f>SUBTOTAL(9,D21:D43)</f>
        <v>74425</v>
      </c>
      <c r="E45" s="159">
        <f>SUBTOTAL(9,E21:E43)</f>
        <v>90338</v>
      </c>
      <c r="F45" s="159">
        <f>SUBTOTAL(9,F21:F43)</f>
        <v>101549</v>
      </c>
      <c r="G45" s="159">
        <f>SUBTOTAL(9,G21:G43)</f>
        <v>93800</v>
      </c>
      <c r="H45" s="159">
        <f>SUBTOTAL(9,H21:H43)</f>
        <v>109600</v>
      </c>
      <c r="I45" s="159">
        <f t="shared" ref="I45:Q45" si="8">SUBTOTAL(9,I21:I43)</f>
        <v>119700</v>
      </c>
      <c r="J45" s="159">
        <f t="shared" si="8"/>
        <v>130500</v>
      </c>
      <c r="K45" s="159">
        <f t="shared" si="8"/>
        <v>111100</v>
      </c>
      <c r="L45" s="159">
        <f t="shared" si="8"/>
        <v>165200</v>
      </c>
      <c r="M45" s="159">
        <f t="shared" si="8"/>
        <v>177600</v>
      </c>
      <c r="N45" s="159">
        <f t="shared" si="8"/>
        <v>215600</v>
      </c>
      <c r="O45" s="159">
        <f t="shared" si="8"/>
        <v>168600</v>
      </c>
      <c r="P45" s="159">
        <f t="shared" si="8"/>
        <v>195400</v>
      </c>
      <c r="Q45" s="159">
        <f t="shared" si="8"/>
        <v>218500</v>
      </c>
      <c r="R45" s="123"/>
    </row>
    <row r="46" spans="1:23" s="30" customFormat="1">
      <c r="B46" s="138"/>
      <c r="C46" s="138"/>
      <c r="D46" s="141"/>
      <c r="E46" s="141"/>
      <c r="F46" s="141"/>
      <c r="G46" s="141"/>
      <c r="H46" s="141"/>
      <c r="I46" s="141"/>
      <c r="J46" s="141"/>
      <c r="K46" s="141"/>
      <c r="L46" s="141"/>
      <c r="M46" s="141"/>
      <c r="N46" s="141"/>
      <c r="O46" s="141"/>
      <c r="P46" s="141"/>
      <c r="Q46" s="123"/>
      <c r="R46" s="123"/>
    </row>
    <row r="47" spans="1:23" s="106" customFormat="1">
      <c r="B47" s="138" t="s">
        <v>1123</v>
      </c>
      <c r="C47" s="138"/>
      <c r="D47" s="159">
        <f>D49-D40-D28-D25</f>
        <v>0</v>
      </c>
      <c r="E47" s="159">
        <f t="shared" ref="E47:O47" si="9">E49-E40-E28-E25</f>
        <v>0</v>
      </c>
      <c r="F47" s="159">
        <f t="shared" si="9"/>
        <v>0</v>
      </c>
      <c r="G47" s="159">
        <f t="shared" si="9"/>
        <v>0</v>
      </c>
      <c r="H47" s="159">
        <f t="shared" si="9"/>
        <v>0</v>
      </c>
      <c r="I47" s="159">
        <f t="shared" si="9"/>
        <v>0</v>
      </c>
      <c r="J47" s="159">
        <f t="shared" si="9"/>
        <v>0</v>
      </c>
      <c r="K47" s="159">
        <f t="shared" si="9"/>
        <v>0</v>
      </c>
      <c r="L47" s="159">
        <f t="shared" si="9"/>
        <v>0</v>
      </c>
      <c r="M47" s="159">
        <f t="shared" si="9"/>
        <v>0</v>
      </c>
      <c r="N47" s="159">
        <f t="shared" si="9"/>
        <v>0</v>
      </c>
      <c r="O47" s="159">
        <f t="shared" si="9"/>
        <v>0</v>
      </c>
      <c r="P47" s="159">
        <f>P49-P40-P28-P25</f>
        <v>0</v>
      </c>
      <c r="Q47" s="159">
        <f>Q49-Q40-Q28-Q25</f>
        <v>0</v>
      </c>
    </row>
    <row r="48" spans="1:23" s="106" customFormat="1">
      <c r="B48" s="138"/>
      <c r="C48" s="138"/>
      <c r="D48" s="141"/>
      <c r="E48" s="141"/>
      <c r="F48" s="141"/>
      <c r="G48" s="141"/>
      <c r="H48" s="141"/>
      <c r="I48" s="141"/>
      <c r="J48" s="141"/>
      <c r="K48" s="141"/>
      <c r="L48" s="141"/>
      <c r="M48" s="141"/>
      <c r="N48" s="141"/>
      <c r="O48" s="141"/>
      <c r="P48" s="141"/>
      <c r="Q48" s="125"/>
    </row>
    <row r="49" spans="1:22" s="106" customFormat="1">
      <c r="B49" s="138" t="s">
        <v>1316</v>
      </c>
      <c r="C49" s="138"/>
      <c r="D49" s="141">
        <v>74425</v>
      </c>
      <c r="E49" s="141">
        <v>90338</v>
      </c>
      <c r="F49" s="141">
        <v>101549</v>
      </c>
      <c r="G49" s="141">
        <v>93800</v>
      </c>
      <c r="H49" s="141">
        <v>109600</v>
      </c>
      <c r="I49" s="141">
        <v>119500</v>
      </c>
      <c r="J49" s="141">
        <v>127100</v>
      </c>
      <c r="K49" s="141">
        <v>107600</v>
      </c>
      <c r="L49" s="141">
        <v>156100</v>
      </c>
      <c r="M49" s="141">
        <v>174500</v>
      </c>
      <c r="N49" s="141">
        <v>179200</v>
      </c>
      <c r="O49" s="141">
        <v>183700</v>
      </c>
      <c r="P49" s="141">
        <v>188300</v>
      </c>
      <c r="Q49" s="141">
        <v>187800</v>
      </c>
      <c r="R49" s="125"/>
      <c r="S49" s="125"/>
      <c r="T49" s="125"/>
      <c r="U49" s="131"/>
      <c r="V49" s="132"/>
    </row>
    <row r="50" spans="1:22" s="30" customFormat="1">
      <c r="B50" s="138"/>
      <c r="C50" s="133"/>
      <c r="D50" s="141"/>
      <c r="E50" s="141"/>
      <c r="F50" s="141"/>
      <c r="G50" s="141"/>
      <c r="H50" s="141"/>
      <c r="I50" s="141"/>
      <c r="J50" s="141"/>
      <c r="K50" s="141"/>
      <c r="L50" s="141"/>
      <c r="M50" s="141"/>
      <c r="N50" s="141"/>
      <c r="O50" s="141"/>
      <c r="P50" s="141"/>
      <c r="Q50" s="123"/>
      <c r="R50" s="124"/>
      <c r="S50" s="79"/>
    </row>
    <row r="51" spans="1:22" s="122" customFormat="1">
      <c r="B51" s="138" t="s">
        <v>1317</v>
      </c>
      <c r="C51" s="138"/>
      <c r="D51" s="97">
        <f>D49+D42</f>
        <v>74425</v>
      </c>
      <c r="E51" s="97">
        <f>E49+E42</f>
        <v>90338</v>
      </c>
      <c r="F51" s="97">
        <f>F49+F42</f>
        <v>101549</v>
      </c>
      <c r="G51" s="97">
        <f t="shared" ref="G51:Q51" si="10">G49+G42</f>
        <v>93800</v>
      </c>
      <c r="H51" s="97">
        <f t="shared" si="10"/>
        <v>109600</v>
      </c>
      <c r="I51" s="97">
        <f t="shared" si="10"/>
        <v>119700</v>
      </c>
      <c r="J51" s="97">
        <f>J49+J42</f>
        <v>130500</v>
      </c>
      <c r="K51" s="97">
        <f t="shared" si="10"/>
        <v>111100</v>
      </c>
      <c r="L51" s="97">
        <f>L49+L42</f>
        <v>165200</v>
      </c>
      <c r="M51" s="97">
        <f>M49+M42</f>
        <v>177600</v>
      </c>
      <c r="N51" s="97">
        <f>N49+N42</f>
        <v>215600</v>
      </c>
      <c r="O51" s="97">
        <f>O49+O42</f>
        <v>168600</v>
      </c>
      <c r="P51" s="97">
        <f t="shared" si="10"/>
        <v>195400</v>
      </c>
      <c r="Q51" s="97">
        <f t="shared" si="10"/>
        <v>218500</v>
      </c>
      <c r="R51" s="128"/>
      <c r="S51" s="128"/>
      <c r="T51" s="128"/>
      <c r="U51" s="129"/>
      <c r="V51" s="130"/>
    </row>
    <row r="52" spans="1:22" s="122" customFormat="1">
      <c r="B52" s="168"/>
      <c r="C52" s="168"/>
      <c r="D52" s="185"/>
      <c r="E52" s="185"/>
      <c r="F52" s="185"/>
      <c r="G52" s="185"/>
      <c r="H52" s="185"/>
      <c r="I52" s="185"/>
      <c r="J52" s="185"/>
      <c r="K52" s="185"/>
      <c r="L52" s="185"/>
      <c r="M52" s="185"/>
      <c r="N52" s="185"/>
      <c r="O52" s="185"/>
      <c r="P52" s="185"/>
      <c r="Q52" s="128"/>
      <c r="R52" s="128"/>
      <c r="S52" s="128"/>
      <c r="T52" s="128"/>
      <c r="U52" s="129"/>
      <c r="V52" s="130"/>
    </row>
    <row r="53" spans="1:22" s="133" customFormat="1">
      <c r="A53" s="134"/>
      <c r="B53" s="138" t="s">
        <v>1131</v>
      </c>
      <c r="C53" s="138"/>
      <c r="D53" s="159">
        <f>D49-D28-D38-D39-D30</f>
        <v>58839</v>
      </c>
      <c r="E53" s="159">
        <f t="shared" ref="E53:O53" si="11">E49-E28-E38-E39-E30</f>
        <v>71173</v>
      </c>
      <c r="F53" s="159">
        <f t="shared" si="11"/>
        <v>79952</v>
      </c>
      <c r="G53" s="159">
        <f t="shared" si="11"/>
        <v>69300</v>
      </c>
      <c r="H53" s="159">
        <f t="shared" si="11"/>
        <v>81600</v>
      </c>
      <c r="I53" s="159">
        <f t="shared" si="11"/>
        <v>90700</v>
      </c>
      <c r="J53" s="159">
        <f t="shared" si="11"/>
        <v>97300</v>
      </c>
      <c r="K53" s="159">
        <f t="shared" si="11"/>
        <v>84600</v>
      </c>
      <c r="L53" s="159">
        <f t="shared" si="11"/>
        <v>125200</v>
      </c>
      <c r="M53" s="159">
        <f t="shared" si="11"/>
        <v>129500</v>
      </c>
      <c r="N53" s="159">
        <f t="shared" si="11"/>
        <v>120000</v>
      </c>
      <c r="O53" s="159">
        <f t="shared" si="11"/>
        <v>122000</v>
      </c>
      <c r="P53" s="159">
        <f>P49-P28-P38-P39-P30</f>
        <v>128900</v>
      </c>
      <c r="Q53" s="159">
        <f>Q49-Q28-Q38-Q39-Q30</f>
        <v>128500</v>
      </c>
      <c r="S53" s="131"/>
    </row>
    <row r="54" spans="1:22" s="122" customFormat="1">
      <c r="B54" s="168"/>
      <c r="C54" s="168"/>
      <c r="D54" s="185"/>
      <c r="E54" s="185"/>
      <c r="F54" s="185"/>
      <c r="G54" s="185"/>
      <c r="H54" s="185"/>
      <c r="I54" s="185"/>
      <c r="J54" s="185"/>
      <c r="K54" s="185"/>
      <c r="L54" s="185"/>
      <c r="M54" s="185"/>
      <c r="N54" s="185"/>
      <c r="O54" s="185"/>
      <c r="P54" s="185"/>
      <c r="Q54" s="128"/>
      <c r="R54" s="128"/>
      <c r="S54" s="128"/>
      <c r="T54" s="128"/>
      <c r="U54" s="129"/>
      <c r="V54" s="130"/>
    </row>
    <row r="55" spans="1:22" s="133" customFormat="1">
      <c r="B55" s="138" t="s">
        <v>292</v>
      </c>
      <c r="C55" s="138"/>
      <c r="D55" s="141">
        <v>95500</v>
      </c>
      <c r="E55" s="141">
        <v>118387</v>
      </c>
      <c r="F55" s="141">
        <v>137897</v>
      </c>
      <c r="G55" s="141">
        <v>137000</v>
      </c>
      <c r="H55" s="141">
        <v>148200</v>
      </c>
      <c r="I55" s="141">
        <v>164500</v>
      </c>
      <c r="J55" s="141">
        <v>176500</v>
      </c>
      <c r="K55" s="141">
        <v>149700</v>
      </c>
      <c r="L55" s="141">
        <v>241800</v>
      </c>
      <c r="M55" s="141">
        <v>258800</v>
      </c>
      <c r="N55" s="141">
        <v>243000</v>
      </c>
      <c r="O55" s="141">
        <v>229600</v>
      </c>
      <c r="P55" s="141">
        <v>234400</v>
      </c>
      <c r="Q55" s="141">
        <v>241500</v>
      </c>
    </row>
    <row r="56" spans="1:22" s="133" customFormat="1">
      <c r="B56" s="138"/>
      <c r="C56" s="138"/>
      <c r="D56" s="141"/>
      <c r="E56" s="141"/>
      <c r="F56" s="141"/>
      <c r="G56" s="141"/>
      <c r="H56" s="141"/>
      <c r="I56" s="141"/>
      <c r="J56" s="141"/>
      <c r="K56" s="141"/>
      <c r="L56" s="141"/>
      <c r="M56" s="141"/>
      <c r="N56" s="141"/>
      <c r="O56" s="141"/>
      <c r="P56" s="141"/>
      <c r="Q56" s="123"/>
      <c r="R56" s="131"/>
    </row>
    <row r="57" spans="1:22" s="133" customFormat="1">
      <c r="B57" s="138" t="s">
        <v>1321</v>
      </c>
      <c r="C57" s="138"/>
      <c r="D57" s="159">
        <f t="shared" ref="D57:P57" si="12">D55-D49</f>
        <v>21075</v>
      </c>
      <c r="E57" s="159">
        <f t="shared" si="12"/>
        <v>28049</v>
      </c>
      <c r="F57" s="159">
        <f t="shared" si="12"/>
        <v>36348</v>
      </c>
      <c r="G57" s="159">
        <f t="shared" si="12"/>
        <v>43200</v>
      </c>
      <c r="H57" s="159">
        <f t="shared" si="12"/>
        <v>38600</v>
      </c>
      <c r="I57" s="159">
        <f t="shared" si="12"/>
        <v>45000</v>
      </c>
      <c r="J57" s="159">
        <f t="shared" si="12"/>
        <v>49400</v>
      </c>
      <c r="K57" s="159">
        <f t="shared" si="12"/>
        <v>42100</v>
      </c>
      <c r="L57" s="159">
        <f t="shared" si="12"/>
        <v>85700</v>
      </c>
      <c r="M57" s="159">
        <f t="shared" si="12"/>
        <v>84300</v>
      </c>
      <c r="N57" s="159">
        <f t="shared" si="12"/>
        <v>63800</v>
      </c>
      <c r="O57" s="159">
        <f t="shared" si="12"/>
        <v>45900</v>
      </c>
      <c r="P57" s="159">
        <f t="shared" si="12"/>
        <v>46100</v>
      </c>
      <c r="Q57" s="159">
        <f>Q55-Q49</f>
        <v>53700</v>
      </c>
      <c r="R57" s="143"/>
    </row>
    <row r="58" spans="1:22" s="179" customFormat="1">
      <c r="B58" s="176"/>
      <c r="C58" s="176"/>
      <c r="D58" s="175"/>
      <c r="E58" s="175"/>
      <c r="F58" s="175"/>
      <c r="G58" s="175"/>
      <c r="H58" s="175"/>
      <c r="I58" s="175"/>
      <c r="J58" s="175"/>
      <c r="K58" s="175"/>
      <c r="L58" s="175"/>
      <c r="M58" s="175"/>
      <c r="N58" s="175"/>
      <c r="O58" s="175"/>
      <c r="P58" s="175"/>
      <c r="Q58" s="183"/>
      <c r="R58" s="184"/>
    </row>
    <row r="59" spans="1:22">
      <c r="B59" s="138" t="s">
        <v>1206</v>
      </c>
      <c r="C59" s="138"/>
      <c r="D59" s="162">
        <f>D57/D55</f>
        <v>0.22068062827225132</v>
      </c>
      <c r="E59" s="162">
        <f t="shared" ref="E59:Q59" si="13">E57/E55</f>
        <v>0.2369263517109142</v>
      </c>
      <c r="F59" s="162">
        <f t="shared" si="13"/>
        <v>0.26358804034895611</v>
      </c>
      <c r="G59" s="162">
        <f t="shared" si="13"/>
        <v>0.31532846715328466</v>
      </c>
      <c r="H59" s="162">
        <f t="shared" si="13"/>
        <v>0.26045883940620784</v>
      </c>
      <c r="I59" s="162">
        <f t="shared" si="13"/>
        <v>0.2735562310030395</v>
      </c>
      <c r="J59" s="162">
        <f t="shared" si="13"/>
        <v>0.27988668555240792</v>
      </c>
      <c r="K59" s="162">
        <f t="shared" si="13"/>
        <v>0.28122912491649965</v>
      </c>
      <c r="L59" s="162">
        <f t="shared" si="13"/>
        <v>0.35442514474772541</v>
      </c>
      <c r="M59" s="162">
        <f t="shared" si="13"/>
        <v>0.32573415765069552</v>
      </c>
      <c r="N59" s="162">
        <f t="shared" si="13"/>
        <v>0.26255144032921812</v>
      </c>
      <c r="O59" s="162">
        <f t="shared" si="13"/>
        <v>0.19991289198606271</v>
      </c>
      <c r="P59" s="162">
        <f t="shared" si="13"/>
        <v>0.19667235494880547</v>
      </c>
      <c r="Q59" s="162">
        <f t="shared" si="13"/>
        <v>0.22236024844720498</v>
      </c>
      <c r="R59" s="144"/>
    </row>
    <row r="60" spans="1:22">
      <c r="B60" s="154"/>
      <c r="C60" s="154"/>
      <c r="D60" s="141"/>
      <c r="E60" s="141"/>
      <c r="F60" s="141"/>
      <c r="G60" s="141"/>
      <c r="H60" s="141"/>
      <c r="I60" s="141"/>
      <c r="J60" s="141"/>
      <c r="K60" s="141"/>
      <c r="L60" s="141"/>
      <c r="M60" s="141"/>
      <c r="N60" s="141"/>
      <c r="O60" s="141"/>
      <c r="P60" s="141"/>
      <c r="Q60" s="127"/>
      <c r="R60" s="127"/>
      <c r="S60" s="127"/>
    </row>
    <row r="61" spans="1:22">
      <c r="B61" s="90" t="s">
        <v>228</v>
      </c>
      <c r="D61" s="191">
        <f>SUM('Data Conversion'!C174:C182)+SUM('Data Conversion'!D171:D173)</f>
        <v>9892967</v>
      </c>
      <c r="E61" s="163">
        <f>'UK Analysis'!C73</f>
        <v>12264092</v>
      </c>
      <c r="F61" s="163">
        <f>'UK Analysis'!D73</f>
        <v>14088383</v>
      </c>
      <c r="G61" s="163">
        <f>'UK Analysis'!E73</f>
        <v>16750604</v>
      </c>
      <c r="H61" s="163">
        <f>'UK Analysis'!F73</f>
        <v>19412575</v>
      </c>
      <c r="I61" s="163">
        <f>'UK Analysis'!G73</f>
        <v>21171015</v>
      </c>
      <c r="J61" s="163">
        <f>'UK Analysis'!H73</f>
        <v>22213307</v>
      </c>
      <c r="K61" s="163">
        <f>'UK Analysis'!I73</f>
        <v>18805061</v>
      </c>
      <c r="L61" s="163">
        <f>'UK Analysis'!J73</f>
        <v>23759250</v>
      </c>
      <c r="M61" s="163">
        <f>'UK Analysis'!K73</f>
        <v>22340375</v>
      </c>
      <c r="N61" s="163">
        <f>'UK Analysis'!L73</f>
        <v>19949689</v>
      </c>
      <c r="O61" s="163">
        <f>'UK Analysis'!M73</f>
        <v>18561598</v>
      </c>
      <c r="P61" s="163">
        <f>'UK Analysis'!N73</f>
        <v>18047403</v>
      </c>
      <c r="Q61" s="163">
        <f>'UK Analysis'!O73</f>
        <v>17464792</v>
      </c>
      <c r="R61" s="127"/>
      <c r="S61" s="127"/>
    </row>
    <row r="62" spans="1:22">
      <c r="B62" s="90" t="s">
        <v>264</v>
      </c>
      <c r="D62" s="191">
        <f>SUM('Data Conversion'!V174:V182)+SUM('Data Conversion'!W171:W173)</f>
        <v>136079</v>
      </c>
      <c r="E62" s="163">
        <f>'UK Analysis'!C89</f>
        <v>144914</v>
      </c>
      <c r="F62" s="163">
        <f>'UK Analysis'!D89</f>
        <v>148281</v>
      </c>
      <c r="G62" s="163">
        <f>'UK Analysis'!E89</f>
        <v>159739</v>
      </c>
      <c r="H62" s="163">
        <f>'UK Analysis'!F89</f>
        <v>171492</v>
      </c>
      <c r="I62" s="163">
        <f>'UK Analysis'!G89</f>
        <v>176319</v>
      </c>
      <c r="J62" s="163">
        <f>'UK Analysis'!H89</f>
        <v>180332</v>
      </c>
      <c r="K62" s="163">
        <f>'UK Analysis'!I89</f>
        <v>147271</v>
      </c>
      <c r="L62" s="163">
        <f>'UK Analysis'!J89</f>
        <v>191522</v>
      </c>
      <c r="M62" s="163">
        <f>'UK Analysis'!K89</f>
        <v>177285</v>
      </c>
      <c r="N62" s="163">
        <f>'UK Analysis'!L89</f>
        <v>155985</v>
      </c>
      <c r="O62" s="163">
        <f>'UK Analysis'!M89</f>
        <v>142993</v>
      </c>
      <c r="P62" s="163">
        <f>'UK Analysis'!N89</f>
        <v>137026</v>
      </c>
      <c r="Q62" s="163">
        <f>'UK Analysis'!O89</f>
        <v>132092</v>
      </c>
      <c r="R62" s="127"/>
      <c r="S62" s="127"/>
    </row>
    <row r="63" spans="1:22">
      <c r="B63" s="111" t="s">
        <v>210</v>
      </c>
      <c r="C63" s="111"/>
      <c r="D63" s="141">
        <v>656</v>
      </c>
      <c r="E63" s="141">
        <v>676</v>
      </c>
      <c r="F63" s="141">
        <v>705</v>
      </c>
      <c r="G63" s="141">
        <v>855</v>
      </c>
      <c r="H63" s="141">
        <v>988</v>
      </c>
      <c r="I63" s="141">
        <v>1036</v>
      </c>
      <c r="J63" s="141">
        <v>1060</v>
      </c>
      <c r="K63" s="141">
        <v>1180</v>
      </c>
      <c r="L63" s="141">
        <v>1373</v>
      </c>
      <c r="M63" s="141">
        <v>1232</v>
      </c>
      <c r="N63" s="141">
        <v>1151</v>
      </c>
      <c r="O63" s="141">
        <v>1121</v>
      </c>
      <c r="P63" s="141">
        <v>1138</v>
      </c>
      <c r="Q63" s="141">
        <v>1116</v>
      </c>
      <c r="R63" s="127"/>
      <c r="S63" s="127"/>
    </row>
    <row r="64" spans="1:22" s="133" customFormat="1">
      <c r="B64" s="138"/>
      <c r="C64" s="138"/>
      <c r="D64" s="141"/>
      <c r="E64" s="141"/>
      <c r="F64" s="141"/>
      <c r="G64" s="141"/>
      <c r="H64" s="141"/>
      <c r="I64" s="141"/>
      <c r="J64" s="141"/>
      <c r="K64" s="141"/>
      <c r="L64" s="141"/>
      <c r="M64" s="141"/>
      <c r="N64" s="141"/>
      <c r="O64" s="141"/>
      <c r="P64" s="141"/>
      <c r="Q64" s="217"/>
      <c r="R64" s="217"/>
      <c r="S64" s="217"/>
    </row>
    <row r="65" spans="2:19" s="133" customFormat="1">
      <c r="B65" s="153" t="s">
        <v>1322</v>
      </c>
      <c r="C65" s="94"/>
      <c r="D65" s="94"/>
      <c r="E65" s="94"/>
      <c r="F65" s="94"/>
      <c r="G65" s="94"/>
      <c r="H65" s="94"/>
      <c r="I65" s="94"/>
      <c r="J65" s="94"/>
      <c r="K65" s="94"/>
      <c r="L65" s="94"/>
      <c r="M65" s="94"/>
      <c r="N65" s="94"/>
      <c r="O65" s="94"/>
      <c r="P65" s="94"/>
      <c r="Q65" s="94"/>
      <c r="R65" s="217"/>
      <c r="S65" s="217"/>
    </row>
    <row r="66" spans="2:19" s="133" customFormat="1">
      <c r="B66" s="138"/>
      <c r="C66" s="138"/>
      <c r="D66" s="141"/>
      <c r="E66" s="141"/>
      <c r="F66" s="141"/>
      <c r="G66" s="141"/>
      <c r="H66" s="141"/>
      <c r="I66" s="141"/>
      <c r="J66" s="141"/>
      <c r="K66" s="141"/>
      <c r="L66" s="141"/>
      <c r="M66" s="141"/>
      <c r="N66" s="141"/>
      <c r="O66" s="141"/>
      <c r="P66" s="141"/>
      <c r="Q66" s="217"/>
      <c r="R66" s="217"/>
      <c r="S66" s="217"/>
    </row>
    <row r="67" spans="2:19" s="133" customFormat="1">
      <c r="B67" s="216" t="s">
        <v>919</v>
      </c>
      <c r="C67" s="138"/>
      <c r="F67" s="141"/>
      <c r="G67" s="141"/>
      <c r="H67" s="141"/>
      <c r="I67" s="141"/>
      <c r="J67" s="141"/>
      <c r="K67" s="141"/>
      <c r="L67" s="141"/>
      <c r="M67" s="141"/>
      <c r="N67" s="141"/>
      <c r="O67" s="141"/>
      <c r="P67" s="141"/>
      <c r="Q67" s="217"/>
      <c r="R67" s="217"/>
      <c r="S67" s="217"/>
    </row>
    <row r="68" spans="2:19" s="133" customFormat="1">
      <c r="B68" s="166" t="s">
        <v>912</v>
      </c>
      <c r="C68" s="138"/>
      <c r="D68" s="141">
        <f>220936/1000</f>
        <v>220.93600000000001</v>
      </c>
      <c r="E68" s="141">
        <f>285980/1000</f>
        <v>285.98</v>
      </c>
      <c r="F68" s="141">
        <v>383.8</v>
      </c>
      <c r="G68" s="141">
        <v>434.3</v>
      </c>
      <c r="H68" s="141">
        <v>459.9</v>
      </c>
      <c r="I68" s="141">
        <v>440.9</v>
      </c>
      <c r="J68" s="141">
        <v>500.7</v>
      </c>
      <c r="K68" s="141">
        <v>524.5</v>
      </c>
      <c r="L68" s="141">
        <v>558.1</v>
      </c>
      <c r="M68" s="141">
        <v>499.4</v>
      </c>
      <c r="N68" s="141">
        <v>468</v>
      </c>
      <c r="O68" s="141">
        <v>544.5</v>
      </c>
      <c r="P68" s="141">
        <v>543.1</v>
      </c>
      <c r="Q68" s="141">
        <v>535.6</v>
      </c>
      <c r="R68" s="217"/>
      <c r="S68" s="217"/>
    </row>
    <row r="69" spans="2:19" s="133" customFormat="1">
      <c r="B69" s="166" t="s">
        <v>913</v>
      </c>
      <c r="C69" s="138"/>
      <c r="D69" s="141">
        <f>55306/1000</f>
        <v>55.305999999999997</v>
      </c>
      <c r="E69" s="141">
        <f>49196/1000</f>
        <v>49.195999999999998</v>
      </c>
      <c r="F69" s="141">
        <v>57.7</v>
      </c>
      <c r="G69" s="141">
        <v>63.1</v>
      </c>
      <c r="H69" s="141">
        <v>68.900000000000006</v>
      </c>
      <c r="I69" s="141">
        <v>68.900000000000006</v>
      </c>
      <c r="J69" s="141">
        <v>80.8</v>
      </c>
      <c r="K69" s="141">
        <v>82.9</v>
      </c>
      <c r="L69" s="141">
        <v>82</v>
      </c>
      <c r="M69" s="141">
        <v>54.9</v>
      </c>
      <c r="N69" s="141">
        <v>50.3</v>
      </c>
      <c r="O69" s="141">
        <v>45.7</v>
      </c>
      <c r="P69" s="141">
        <v>45.7</v>
      </c>
      <c r="Q69" s="141">
        <v>41.4</v>
      </c>
      <c r="R69" s="217"/>
      <c r="S69" s="217"/>
    </row>
    <row r="70" spans="2:19" s="133" customFormat="1">
      <c r="B70" s="166" t="s">
        <v>914</v>
      </c>
      <c r="C70" s="138"/>
      <c r="D70" s="141">
        <f>317372/1000</f>
        <v>317.37200000000001</v>
      </c>
      <c r="E70" s="141">
        <f>321872/1000</f>
        <v>321.87200000000001</v>
      </c>
      <c r="F70" s="141">
        <v>396.2</v>
      </c>
      <c r="G70" s="141">
        <v>449.2</v>
      </c>
      <c r="H70" s="141">
        <v>443</v>
      </c>
      <c r="I70" s="141">
        <v>431.5</v>
      </c>
      <c r="J70" s="141">
        <v>417.5</v>
      </c>
      <c r="K70" s="141">
        <v>418.3</v>
      </c>
      <c r="L70" s="141">
        <v>413.9</v>
      </c>
      <c r="M70" s="141">
        <v>485.7</v>
      </c>
      <c r="N70" s="141">
        <v>463.9</v>
      </c>
      <c r="O70" s="141">
        <v>455.7</v>
      </c>
      <c r="P70" s="141">
        <v>448.7</v>
      </c>
      <c r="Q70" s="141">
        <v>432.1</v>
      </c>
      <c r="R70" s="217"/>
      <c r="S70" s="217"/>
    </row>
    <row r="71" spans="2:19" s="133" customFormat="1">
      <c r="B71" s="166" t="s">
        <v>915</v>
      </c>
      <c r="C71" s="138"/>
      <c r="D71" s="141">
        <f>105092/1000</f>
        <v>105.092</v>
      </c>
      <c r="E71" s="141">
        <f>116108/1000</f>
        <v>116.108</v>
      </c>
      <c r="F71" s="141">
        <v>111.3</v>
      </c>
      <c r="G71" s="141">
        <v>113.5</v>
      </c>
      <c r="H71" s="141">
        <v>120.9</v>
      </c>
      <c r="I71" s="141">
        <v>120.6</v>
      </c>
      <c r="J71" s="141">
        <v>118.1</v>
      </c>
      <c r="K71" s="141">
        <v>115.6</v>
      </c>
      <c r="L71" s="141">
        <v>141.1</v>
      </c>
      <c r="M71" s="141">
        <v>141</v>
      </c>
      <c r="N71" s="141">
        <v>134.69999999999999</v>
      </c>
      <c r="O71" s="141">
        <v>126.2</v>
      </c>
      <c r="P71" s="141">
        <v>120.4</v>
      </c>
      <c r="Q71" s="141">
        <v>115.9</v>
      </c>
      <c r="R71" s="217"/>
      <c r="S71" s="217"/>
    </row>
    <row r="72" spans="2:19" s="133" customFormat="1">
      <c r="B72" s="166" t="s">
        <v>922</v>
      </c>
      <c r="C72" s="138"/>
      <c r="D72" s="141">
        <f>748/1000</f>
        <v>0.748</v>
      </c>
      <c r="E72" s="141">
        <f>741/1000</f>
        <v>0.74099999999999999</v>
      </c>
      <c r="F72" s="141">
        <v>1.6</v>
      </c>
      <c r="G72" s="141">
        <v>1.8</v>
      </c>
      <c r="H72" s="141">
        <v>2</v>
      </c>
      <c r="I72" s="141">
        <v>2.4</v>
      </c>
      <c r="J72" s="141">
        <v>2.2999999999999998</v>
      </c>
      <c r="K72" s="141">
        <v>1.8</v>
      </c>
      <c r="L72" s="141">
        <v>2.6</v>
      </c>
      <c r="M72" s="141">
        <v>12.8</v>
      </c>
      <c r="N72" s="141">
        <v>12.6</v>
      </c>
      <c r="O72" s="141">
        <v>12.7</v>
      </c>
      <c r="P72" s="141">
        <v>13.3</v>
      </c>
      <c r="Q72" s="141">
        <v>13.7</v>
      </c>
      <c r="R72" s="217"/>
      <c r="S72" s="217"/>
    </row>
    <row r="73" spans="2:19" s="133" customFormat="1">
      <c r="B73" s="166" t="s">
        <v>1323</v>
      </c>
      <c r="C73" s="138"/>
      <c r="D73" s="141">
        <f>6197/1000</f>
        <v>6.1970000000000001</v>
      </c>
      <c r="E73" s="141">
        <f>6325/1000</f>
        <v>6.3250000000000002</v>
      </c>
      <c r="F73" s="141">
        <v>23.9</v>
      </c>
      <c r="G73" s="141">
        <v>22.1</v>
      </c>
      <c r="H73" s="141">
        <v>21.6</v>
      </c>
      <c r="I73" s="141">
        <v>22.2</v>
      </c>
      <c r="J73" s="141">
        <v>21.2</v>
      </c>
      <c r="K73" s="141">
        <v>20.5</v>
      </c>
      <c r="L73" s="141">
        <v>21.1</v>
      </c>
      <c r="M73" s="141">
        <v>32.5</v>
      </c>
      <c r="N73" s="141">
        <v>30.5</v>
      </c>
      <c r="O73" s="141">
        <v>30.3</v>
      </c>
      <c r="P73" s="141">
        <v>26.2</v>
      </c>
      <c r="Q73" s="141">
        <v>27.5</v>
      </c>
      <c r="R73" s="217"/>
      <c r="S73" s="217"/>
    </row>
    <row r="74" spans="2:19" s="133" customFormat="1">
      <c r="B74" s="166" t="s">
        <v>918</v>
      </c>
      <c r="C74" s="138"/>
      <c r="D74" s="141">
        <f>47791/1000</f>
        <v>47.790999999999997</v>
      </c>
      <c r="E74" s="141">
        <f>114062/1000</f>
        <v>114.062</v>
      </c>
      <c r="F74" s="141">
        <v>76.599999999999994</v>
      </c>
      <c r="G74" s="141">
        <v>30</v>
      </c>
      <c r="H74" s="141">
        <v>21.3</v>
      </c>
      <c r="I74" s="141">
        <v>54.2</v>
      </c>
      <c r="J74" s="141">
        <v>108.3</v>
      </c>
      <c r="K74" s="141">
        <v>174.6</v>
      </c>
      <c r="L74" s="141">
        <v>231.9</v>
      </c>
      <c r="M74" s="141">
        <v>207.3</v>
      </c>
      <c r="N74" s="141">
        <v>246.8</v>
      </c>
      <c r="O74" s="141">
        <v>48</v>
      </c>
      <c r="P74" s="141">
        <v>42.7</v>
      </c>
      <c r="Q74" s="141">
        <v>43.4</v>
      </c>
      <c r="R74" s="217"/>
      <c r="S74" s="217"/>
    </row>
    <row r="75" spans="2:19">
      <c r="B75" s="166" t="s">
        <v>106</v>
      </c>
      <c r="C75" s="154"/>
      <c r="D75" s="141">
        <f>753442/1000</f>
        <v>753.44200000000001</v>
      </c>
      <c r="E75" s="141">
        <f>894284/1000</f>
        <v>894.28399999999999</v>
      </c>
      <c r="F75" s="141">
        <v>1051.0999999999999</v>
      </c>
      <c r="G75" s="141">
        <v>1114</v>
      </c>
      <c r="H75" s="141">
        <v>1137.5999999999999</v>
      </c>
      <c r="I75" s="141">
        <v>1140.7</v>
      </c>
      <c r="J75" s="141">
        <v>1248.9000000000001</v>
      </c>
      <c r="K75" s="141">
        <v>1338.2</v>
      </c>
      <c r="L75" s="141">
        <v>1450.7</v>
      </c>
      <c r="M75" s="141">
        <v>1433.6</v>
      </c>
      <c r="N75" s="141">
        <v>1406.8</v>
      </c>
      <c r="O75" s="141">
        <v>1263.0999999999999</v>
      </c>
      <c r="P75" s="141">
        <v>1240.0999999999999</v>
      </c>
      <c r="Q75" s="141">
        <v>1209.5999999999999</v>
      </c>
      <c r="R75" s="127"/>
      <c r="S75" s="127"/>
    </row>
    <row r="76" spans="2:19">
      <c r="B76" s="166"/>
      <c r="C76" s="154"/>
      <c r="D76" s="141"/>
      <c r="E76" s="141"/>
      <c r="F76" s="141"/>
      <c r="G76" s="141"/>
      <c r="H76" s="141"/>
      <c r="I76" s="141"/>
      <c r="J76" s="141"/>
      <c r="K76" s="141"/>
      <c r="L76" s="141"/>
      <c r="M76" s="141"/>
      <c r="N76" s="141"/>
      <c r="O76" s="141"/>
      <c r="P76" s="141"/>
      <c r="Q76" s="127"/>
      <c r="R76" s="127"/>
      <c r="S76" s="127"/>
    </row>
    <row r="77" spans="2:19">
      <c r="B77" s="153" t="s">
        <v>302</v>
      </c>
      <c r="C77" s="94"/>
      <c r="D77" s="94"/>
      <c r="E77" s="94"/>
      <c r="F77" s="94"/>
      <c r="G77" s="94"/>
      <c r="H77" s="94"/>
      <c r="I77" s="94"/>
      <c r="J77" s="94"/>
      <c r="K77" s="94"/>
      <c r="L77" s="94"/>
      <c r="M77" s="94"/>
      <c r="N77" s="94"/>
      <c r="O77" s="94"/>
      <c r="P77" s="94"/>
      <c r="Q77" s="94"/>
    </row>
    <row r="78" spans="2:19">
      <c r="B78" s="136"/>
      <c r="C78" s="136"/>
      <c r="D78" s="136"/>
      <c r="E78" s="136"/>
      <c r="F78" s="136"/>
      <c r="G78" s="136"/>
      <c r="H78" s="136"/>
      <c r="I78" s="136"/>
      <c r="J78" s="136"/>
      <c r="K78" s="136"/>
      <c r="L78" s="136"/>
      <c r="M78" s="136"/>
      <c r="N78" s="136"/>
      <c r="O78" s="136"/>
      <c r="P78" s="136"/>
      <c r="Q78" s="200"/>
    </row>
    <row r="79" spans="2:19">
      <c r="B79" s="90" t="s">
        <v>1127</v>
      </c>
      <c r="C79" s="136"/>
      <c r="D79" s="345">
        <f t="shared" ref="D79:P79" si="14">(D51/D61)*1000</f>
        <v>7.5230211522994059</v>
      </c>
      <c r="E79" s="345">
        <f t="shared" si="14"/>
        <v>7.3660569408644356</v>
      </c>
      <c r="F79" s="345">
        <f t="shared" si="14"/>
        <v>7.2079954101191026</v>
      </c>
      <c r="G79" s="345">
        <f t="shared" si="14"/>
        <v>5.599798072953071</v>
      </c>
      <c r="H79" s="345">
        <f t="shared" si="14"/>
        <v>5.6458249356409436</v>
      </c>
      <c r="I79" s="345">
        <f t="shared" si="14"/>
        <v>5.6539566005692219</v>
      </c>
      <c r="J79" s="345">
        <f t="shared" si="14"/>
        <v>5.8748569044672188</v>
      </c>
      <c r="K79" s="345">
        <f t="shared" si="14"/>
        <v>5.9079840262150709</v>
      </c>
      <c r="L79" s="345">
        <f t="shared" si="14"/>
        <v>6.9530814314424907</v>
      </c>
      <c r="M79" s="345">
        <f t="shared" si="14"/>
        <v>7.9497322672515569</v>
      </c>
      <c r="N79" s="345">
        <f t="shared" si="14"/>
        <v>10.807186016784522</v>
      </c>
      <c r="O79" s="345">
        <f t="shared" si="14"/>
        <v>9.0832696624503981</v>
      </c>
      <c r="P79" s="345">
        <f t="shared" si="14"/>
        <v>10.827042539029023</v>
      </c>
      <c r="Q79" s="345">
        <f t="shared" ref="Q79" si="15">(Q51/Q61)*1000</f>
        <v>12.510884756028013</v>
      </c>
    </row>
    <row r="80" spans="2:19">
      <c r="B80" s="90" t="s">
        <v>299</v>
      </c>
      <c r="D80" s="345">
        <f t="shared" ref="D80:P80" si="16">(D49/D61)*1000</f>
        <v>7.5230211522994059</v>
      </c>
      <c r="E80" s="345">
        <f t="shared" si="16"/>
        <v>7.3660569408644356</v>
      </c>
      <c r="F80" s="345">
        <f t="shared" si="16"/>
        <v>7.2079954101191026</v>
      </c>
      <c r="G80" s="345">
        <f t="shared" si="16"/>
        <v>5.599798072953071</v>
      </c>
      <c r="H80" s="345">
        <f t="shared" si="16"/>
        <v>5.6458249356409436</v>
      </c>
      <c r="I80" s="345">
        <f t="shared" si="16"/>
        <v>5.6445097223727823</v>
      </c>
      <c r="J80" s="345">
        <f t="shared" si="16"/>
        <v>5.7217954985270767</v>
      </c>
      <c r="K80" s="345">
        <f t="shared" si="16"/>
        <v>5.7218639173784114</v>
      </c>
      <c r="L80" s="345">
        <f t="shared" si="16"/>
        <v>6.570072708524048</v>
      </c>
      <c r="M80" s="345">
        <f t="shared" si="16"/>
        <v>7.8109700486227283</v>
      </c>
      <c r="N80" s="345">
        <f t="shared" si="16"/>
        <v>8.9825961697949275</v>
      </c>
      <c r="O80" s="345">
        <f t="shared" si="16"/>
        <v>9.8967772063590651</v>
      </c>
      <c r="P80" s="345">
        <f t="shared" si="16"/>
        <v>10.43363413561497</v>
      </c>
      <c r="Q80" s="345">
        <f t="shared" ref="Q80" si="17">(Q49/Q61)*1000</f>
        <v>10.753062504265726</v>
      </c>
    </row>
    <row r="81" spans="2:18">
      <c r="B81" s="90" t="s">
        <v>300</v>
      </c>
      <c r="D81" s="345">
        <f t="shared" ref="D81:P81" si="18">(D53/D61)*1000</f>
        <v>5.9475585029243501</v>
      </c>
      <c r="E81" s="345">
        <f t="shared" si="18"/>
        <v>5.8033648149410491</v>
      </c>
      <c r="F81" s="345">
        <f t="shared" si="18"/>
        <v>5.6750302713945242</v>
      </c>
      <c r="G81" s="345">
        <f t="shared" si="18"/>
        <v>4.1371642479280153</v>
      </c>
      <c r="H81" s="345">
        <f t="shared" si="18"/>
        <v>4.2034609009881478</v>
      </c>
      <c r="I81" s="345">
        <f t="shared" si="18"/>
        <v>4.2841592620854509</v>
      </c>
      <c r="J81" s="345">
        <f t="shared" si="18"/>
        <v>4.380257293522301</v>
      </c>
      <c r="K81" s="345">
        <f t="shared" si="18"/>
        <v>4.4987889164518</v>
      </c>
      <c r="L81" s="345">
        <f t="shared" si="18"/>
        <v>5.2695266054273606</v>
      </c>
      <c r="M81" s="345">
        <f t="shared" si="18"/>
        <v>5.7966797782042603</v>
      </c>
      <c r="N81" s="345">
        <f t="shared" si="18"/>
        <v>6.0151313637019612</v>
      </c>
      <c r="O81" s="345">
        <f t="shared" si="18"/>
        <v>6.5727099574077616</v>
      </c>
      <c r="P81" s="345">
        <f t="shared" si="18"/>
        <v>7.1423018591649994</v>
      </c>
      <c r="Q81" s="345">
        <f t="shared" ref="Q81" si="19">(Q53/Q61)*1000</f>
        <v>7.3576599137281455</v>
      </c>
      <c r="R81" s="325"/>
    </row>
    <row r="82" spans="2:18">
      <c r="B82" s="90" t="s">
        <v>265</v>
      </c>
      <c r="D82" s="345">
        <f t="shared" ref="D82:P82" si="20">D25*1000/D61</f>
        <v>2.0954279944530292</v>
      </c>
      <c r="E82" s="345">
        <f t="shared" si="20"/>
        <v>1.8072271473501667</v>
      </c>
      <c r="F82" s="345">
        <f t="shared" si="20"/>
        <v>1.7653551866101311</v>
      </c>
      <c r="G82" s="345">
        <f t="shared" si="20"/>
        <v>1.7432207220706788</v>
      </c>
      <c r="H82" s="345">
        <f t="shared" si="20"/>
        <v>1.8081063434397548</v>
      </c>
      <c r="I82" s="345">
        <f t="shared" si="20"/>
        <v>1.7618427836360231</v>
      </c>
      <c r="J82" s="345">
        <f t="shared" si="20"/>
        <v>1.9042639621376503</v>
      </c>
      <c r="K82" s="345">
        <f t="shared" si="20"/>
        <v>1.9835085884592452</v>
      </c>
      <c r="L82" s="345">
        <f t="shared" si="20"/>
        <v>2.2475456927302</v>
      </c>
      <c r="M82" s="345">
        <f t="shared" si="20"/>
        <v>2.3589577166900733</v>
      </c>
      <c r="N82" s="345">
        <f t="shared" si="20"/>
        <v>2.3459012318437646</v>
      </c>
      <c r="O82" s="345">
        <f t="shared" si="20"/>
        <v>2.7098959906361508</v>
      </c>
      <c r="P82" s="345">
        <f t="shared" si="20"/>
        <v>3.075234702743658</v>
      </c>
      <c r="Q82" s="345">
        <f t="shared" ref="Q82" si="21">Q25*1000/Q61</f>
        <v>3.1835477914652519</v>
      </c>
    </row>
    <row r="83" spans="2:18">
      <c r="B83" s="111" t="s">
        <v>1136</v>
      </c>
      <c r="C83" s="111"/>
      <c r="D83" s="159">
        <f t="shared" ref="D83:P83" si="22">(D25/D63)*1000</f>
        <v>31600.609756097561</v>
      </c>
      <c r="E83" s="159">
        <f t="shared" si="22"/>
        <v>32786.982248520711</v>
      </c>
      <c r="F83" s="159">
        <f t="shared" si="22"/>
        <v>35278.014184397165</v>
      </c>
      <c r="G83" s="159">
        <f t="shared" si="22"/>
        <v>34152.04678362573</v>
      </c>
      <c r="H83" s="159">
        <f t="shared" si="22"/>
        <v>35526.315789473687</v>
      </c>
      <c r="I83" s="159">
        <f t="shared" si="22"/>
        <v>36003.861003861006</v>
      </c>
      <c r="J83" s="159">
        <f t="shared" si="22"/>
        <v>39905.660377358494</v>
      </c>
      <c r="K83" s="159">
        <f t="shared" si="22"/>
        <v>31610.169491525423</v>
      </c>
      <c r="L83" s="159">
        <f t="shared" si="22"/>
        <v>38892.935178441367</v>
      </c>
      <c r="M83" s="159">
        <f t="shared" si="22"/>
        <v>42775.974025974021</v>
      </c>
      <c r="N83" s="159">
        <f t="shared" si="22"/>
        <v>40660.295395308429</v>
      </c>
      <c r="O83" s="159">
        <f t="shared" si="22"/>
        <v>44870.651204281894</v>
      </c>
      <c r="P83" s="159">
        <f t="shared" si="22"/>
        <v>48769.771528998244</v>
      </c>
      <c r="Q83" s="159">
        <f t="shared" ref="Q83" si="23">(Q25/Q63)*1000</f>
        <v>49820.78853046595</v>
      </c>
    </row>
    <row r="84" spans="2:18">
      <c r="B84" s="111" t="s">
        <v>1135</v>
      </c>
      <c r="C84" s="111"/>
      <c r="D84" s="159">
        <f t="shared" ref="D84:P84" si="24">D61/D63</f>
        <v>15080.742378048781</v>
      </c>
      <c r="E84" s="159">
        <f t="shared" si="24"/>
        <v>18142.147928994083</v>
      </c>
      <c r="F84" s="159">
        <f t="shared" si="24"/>
        <v>19983.521985815602</v>
      </c>
      <c r="G84" s="159">
        <f t="shared" si="24"/>
        <v>19591.349707602338</v>
      </c>
      <c r="H84" s="159">
        <f t="shared" si="24"/>
        <v>19648.355263157893</v>
      </c>
      <c r="I84" s="159">
        <f t="shared" si="24"/>
        <v>20435.342664092663</v>
      </c>
      <c r="J84" s="159">
        <f t="shared" si="24"/>
        <v>20955.95</v>
      </c>
      <c r="K84" s="159">
        <f t="shared" si="24"/>
        <v>15936.492372881356</v>
      </c>
      <c r="L84" s="159">
        <f t="shared" si="24"/>
        <v>17304.624908958485</v>
      </c>
      <c r="M84" s="159">
        <f t="shared" si="24"/>
        <v>18133.421266233767</v>
      </c>
      <c r="N84" s="159">
        <f t="shared" si="24"/>
        <v>17332.483927019981</v>
      </c>
      <c r="O84" s="159">
        <f t="shared" si="24"/>
        <v>16558.071364852811</v>
      </c>
      <c r="P84" s="159">
        <f t="shared" si="24"/>
        <v>15858.877855887522</v>
      </c>
      <c r="Q84" s="159">
        <f t="shared" ref="Q84" si="25">Q61/Q63</f>
        <v>15649.455197132616</v>
      </c>
    </row>
    <row r="85" spans="2:18" s="133" customFormat="1">
      <c r="B85" s="138"/>
      <c r="C85" s="138"/>
      <c r="D85" s="141"/>
      <c r="E85" s="141"/>
      <c r="F85" s="141"/>
      <c r="G85" s="141"/>
      <c r="H85" s="141"/>
      <c r="I85" s="141"/>
      <c r="J85" s="141"/>
      <c r="K85" s="141"/>
      <c r="L85" s="141"/>
      <c r="M85" s="141"/>
      <c r="N85" s="141"/>
      <c r="O85" s="141"/>
      <c r="P85" s="141"/>
      <c r="Q85" s="131"/>
    </row>
    <row r="86" spans="2:18">
      <c r="B86" s="153" t="s">
        <v>313</v>
      </c>
      <c r="C86" s="94"/>
      <c r="D86" s="94"/>
      <c r="E86" s="94"/>
      <c r="F86" s="94"/>
      <c r="G86" s="94"/>
      <c r="H86" s="94"/>
      <c r="I86" s="94"/>
      <c r="J86" s="94"/>
      <c r="K86" s="94"/>
      <c r="L86" s="94"/>
      <c r="M86" s="94"/>
      <c r="N86" s="94"/>
      <c r="O86" s="94"/>
      <c r="P86" s="94"/>
      <c r="Q86" s="94"/>
    </row>
    <row r="87" spans="2:18">
      <c r="B87" s="111"/>
      <c r="C87" s="111"/>
      <c r="D87" s="141"/>
      <c r="E87" s="141"/>
      <c r="F87" s="141"/>
      <c r="G87" s="141"/>
      <c r="H87" s="141"/>
      <c r="I87" s="141"/>
      <c r="J87" s="141"/>
      <c r="K87" s="141"/>
      <c r="L87" s="141"/>
      <c r="M87" s="141"/>
      <c r="N87" s="141"/>
      <c r="O87" s="141"/>
      <c r="P87" s="141"/>
    </row>
    <row r="88" spans="2:18">
      <c r="B88" s="138" t="s">
        <v>21</v>
      </c>
      <c r="D88" s="213">
        <f>VLOOKUP(D16,RPI!$B$54:$C$107,2,FALSE)</f>
        <v>166.35</v>
      </c>
      <c r="E88" s="213">
        <f>VLOOKUP(E16,RPI!$B$54:$C$107,2,FALSE)</f>
        <v>171.31666666666663</v>
      </c>
      <c r="F88" s="213">
        <f>VLOOKUP(F16,RPI!$B$54:$C$107,2,FALSE)</f>
        <v>173.875</v>
      </c>
      <c r="G88" s="213">
        <f>VLOOKUP(G16,RPI!$B$54:$C$107,2,FALSE)</f>
        <v>177.51666666666665</v>
      </c>
      <c r="H88" s="213">
        <f>VLOOKUP(H16,RPI!$B$54:$C$107,2,FALSE)</f>
        <v>182.47499999999999</v>
      </c>
      <c r="I88" s="213">
        <f>VLOOKUP(I16,RPI!$B$54:$C$107,2,FALSE)</f>
        <v>188.15</v>
      </c>
      <c r="J88" s="213">
        <f>VLOOKUP(J16,RPI!$B$54:$C$107,2,FALSE)</f>
        <v>193.10833333333332</v>
      </c>
      <c r="K88" s="213">
        <f>VLOOKUP(K16,RPI!$B$54:$C$107,2,FALSE)</f>
        <v>199.41111111111113</v>
      </c>
      <c r="L88" s="213">
        <f>VLOOKUP(L16,RPI!$B$54:$C$107,2,FALSE)</f>
        <v>206.57499999999996</v>
      </c>
      <c r="M88" s="213">
        <f>VLOOKUP(M16,RPI!$B$54:$C$107,2,FALSE)</f>
        <v>214.82500000000002</v>
      </c>
      <c r="N88" s="213">
        <f>VLOOKUP(N16,RPI!$B$54:$C$107,2,FALSE)</f>
        <v>213.68333333333337</v>
      </c>
      <c r="O88" s="213">
        <f>VLOOKUP(O16,RPI!$B$54:$C$107,2,FALSE)</f>
        <v>223.55833333333331</v>
      </c>
      <c r="P88" s="213">
        <f>VLOOKUP(P16,RPI!$B$54:$C$107,2,FALSE)</f>
        <v>235.18333333333331</v>
      </c>
      <c r="Q88" s="213">
        <f>VLOOKUP(Q16,RPI!$B$54:$C$107,2,FALSE)</f>
        <v>242.72499999999999</v>
      </c>
    </row>
    <row r="89" spans="2:18">
      <c r="B89" s="138" t="s">
        <v>1048</v>
      </c>
      <c r="C89" s="138"/>
      <c r="D89" s="214">
        <f>RPI!$R$44</f>
        <v>237.3416666666667</v>
      </c>
      <c r="E89" s="214">
        <f>RPI!$R$44</f>
        <v>237.3416666666667</v>
      </c>
      <c r="F89" s="214">
        <f>RPI!$R$44</f>
        <v>237.3416666666667</v>
      </c>
      <c r="G89" s="214">
        <f>RPI!$R$44</f>
        <v>237.3416666666667</v>
      </c>
      <c r="H89" s="214">
        <f>RPI!$R$44</f>
        <v>237.3416666666667</v>
      </c>
      <c r="I89" s="214">
        <f>RPI!$R$44</f>
        <v>237.3416666666667</v>
      </c>
      <c r="J89" s="214">
        <f>RPI!$R$44</f>
        <v>237.3416666666667</v>
      </c>
      <c r="K89" s="214">
        <f>RPI!$R$44</f>
        <v>237.3416666666667</v>
      </c>
      <c r="L89" s="214">
        <f>RPI!$R$44</f>
        <v>237.3416666666667</v>
      </c>
      <c r="M89" s="214">
        <f>RPI!$R$44</f>
        <v>237.3416666666667</v>
      </c>
      <c r="N89" s="214">
        <f>RPI!$R$44</f>
        <v>237.3416666666667</v>
      </c>
      <c r="O89" s="214">
        <f>RPI!$R$44</f>
        <v>237.3416666666667</v>
      </c>
      <c r="P89" s="214">
        <f>RPI!$R$44</f>
        <v>237.3416666666667</v>
      </c>
      <c r="Q89" s="214">
        <f>RPI!$R$44</f>
        <v>237.3416666666667</v>
      </c>
    </row>
    <row r="90" spans="2:18">
      <c r="B90" s="138" t="s">
        <v>304</v>
      </c>
      <c r="D90" s="214">
        <f t="shared" ref="D90:P90" si="26">D89/D88</f>
        <v>1.4267608456066529</v>
      </c>
      <c r="E90" s="214">
        <f t="shared" si="26"/>
        <v>1.3853974121996309</v>
      </c>
      <c r="F90" s="214">
        <f t="shared" si="26"/>
        <v>1.3650131799664511</v>
      </c>
      <c r="G90" s="214">
        <f t="shared" si="26"/>
        <v>1.3370106093324574</v>
      </c>
      <c r="H90" s="214">
        <f t="shared" si="26"/>
        <v>1.3006804585102985</v>
      </c>
      <c r="I90" s="214">
        <f t="shared" si="26"/>
        <v>1.2614491983346623</v>
      </c>
      <c r="J90" s="214">
        <f t="shared" si="26"/>
        <v>1.229059681525914</v>
      </c>
      <c r="K90" s="214">
        <f t="shared" si="26"/>
        <v>1.1902128489441133</v>
      </c>
      <c r="L90" s="214">
        <f t="shared" si="26"/>
        <v>1.1489370285207152</v>
      </c>
      <c r="M90" s="214">
        <f t="shared" si="26"/>
        <v>1.104813995888126</v>
      </c>
      <c r="N90" s="214">
        <f t="shared" si="26"/>
        <v>1.1107167927618751</v>
      </c>
      <c r="O90" s="214">
        <f t="shared" si="26"/>
        <v>1.0616543035002053</v>
      </c>
      <c r="P90" s="214">
        <f t="shared" si="26"/>
        <v>1.0091772376160444</v>
      </c>
      <c r="Q90" s="214">
        <f t="shared" ref="Q90" si="27">Q89/Q88</f>
        <v>0.97782126549249848</v>
      </c>
    </row>
    <row r="91" spans="2:18">
      <c r="B91" s="111"/>
      <c r="C91" s="111"/>
      <c r="D91" s="141"/>
      <c r="E91" s="141"/>
      <c r="F91" s="141"/>
      <c r="G91" s="141"/>
      <c r="H91" s="141"/>
      <c r="I91" s="141"/>
      <c r="J91" s="141"/>
      <c r="K91" s="141"/>
      <c r="L91" s="141"/>
      <c r="M91" s="141"/>
      <c r="N91" s="141"/>
      <c r="O91" s="141"/>
      <c r="P91" s="141"/>
    </row>
    <row r="92" spans="2:18">
      <c r="B92" s="111" t="str">
        <f>B25</f>
        <v>Staff Costs Total</v>
      </c>
      <c r="C92" s="111"/>
      <c r="D92" s="159">
        <f>D25*D$90</f>
        <v>29576.752329425915</v>
      </c>
      <c r="E92" s="159">
        <f t="shared" ref="E92:O92" si="28">E25*E$90</f>
        <v>30705.948243992618</v>
      </c>
      <c r="F92" s="159">
        <f t="shared" si="28"/>
        <v>33949.242798945605</v>
      </c>
      <c r="G92" s="159">
        <f t="shared" si="28"/>
        <v>39040.709792507754</v>
      </c>
      <c r="H92" s="159">
        <f t="shared" si="28"/>
        <v>45653.884093711473</v>
      </c>
      <c r="I92" s="159">
        <f t="shared" si="28"/>
        <v>47052.055097882905</v>
      </c>
      <c r="J92" s="159">
        <f t="shared" si="28"/>
        <v>51989.224528546161</v>
      </c>
      <c r="K92" s="159">
        <f t="shared" si="28"/>
        <v>44394.939265615423</v>
      </c>
      <c r="L92" s="159">
        <f t="shared" si="28"/>
        <v>61353.237323006193</v>
      </c>
      <c r="M92" s="159">
        <f t="shared" si="28"/>
        <v>58223.697583304238</v>
      </c>
      <c r="N92" s="159">
        <f t="shared" si="28"/>
        <v>51981.545901255755</v>
      </c>
      <c r="O92" s="159">
        <f t="shared" si="28"/>
        <v>53401.211466060326</v>
      </c>
      <c r="P92" s="159">
        <f>P25*P$90</f>
        <v>56009.336687690462</v>
      </c>
      <c r="Q92" s="159">
        <f>Q25*Q$90</f>
        <v>54366.862361382919</v>
      </c>
    </row>
    <row r="93" spans="2:18">
      <c r="B93" s="111" t="str">
        <f>B28</f>
        <v>Depreciation Total</v>
      </c>
      <c r="C93" s="111"/>
      <c r="D93" s="159">
        <f t="shared" ref="D93:P93" si="29">D28*D$90</f>
        <v>22169.010019036174</v>
      </c>
      <c r="E93" s="159">
        <f t="shared" si="29"/>
        <v>25081.234750462118</v>
      </c>
      <c r="F93" s="159">
        <f t="shared" si="29"/>
        <v>27171.952360412175</v>
      </c>
      <c r="G93" s="159">
        <f t="shared" si="29"/>
        <v>33024.162050511695</v>
      </c>
      <c r="H93" s="159">
        <f t="shared" si="29"/>
        <v>36028.848700735267</v>
      </c>
      <c r="I93" s="159">
        <f t="shared" si="29"/>
        <v>35446.722473204012</v>
      </c>
      <c r="J93" s="159">
        <f t="shared" si="29"/>
        <v>35519.824796098917</v>
      </c>
      <c r="K93" s="159">
        <f t="shared" si="29"/>
        <v>26065.661391876081</v>
      </c>
      <c r="L93" s="159">
        <f t="shared" si="29"/>
        <v>33434.067529952816</v>
      </c>
      <c r="M93" s="159">
        <f t="shared" si="29"/>
        <v>36569.343263896968</v>
      </c>
      <c r="N93" s="159">
        <f t="shared" si="29"/>
        <v>42873.668200608379</v>
      </c>
      <c r="O93" s="159">
        <f t="shared" si="29"/>
        <v>42784.668431058271</v>
      </c>
      <c r="P93" s="159">
        <f t="shared" si="29"/>
        <v>40871.678123449798</v>
      </c>
      <c r="Q93" s="159">
        <f t="shared" ref="Q93" si="30">Q28*Q$90</f>
        <v>39601.761252446187</v>
      </c>
    </row>
    <row r="94" spans="2:18">
      <c r="B94" s="111" t="str">
        <f>B40</f>
        <v>Other Costs Total</v>
      </c>
      <c r="C94" s="111"/>
      <c r="D94" s="159">
        <f t="shared" ref="D94:P94" si="31">D40*D$90</f>
        <v>54440.913585813054</v>
      </c>
      <c r="E94" s="159">
        <f t="shared" si="31"/>
        <v>69366.84842883551</v>
      </c>
      <c r="F94" s="159">
        <f t="shared" si="31"/>
        <v>77494.528253055367</v>
      </c>
      <c r="G94" s="159">
        <f t="shared" si="31"/>
        <v>53346.723312365051</v>
      </c>
      <c r="H94" s="159">
        <f t="shared" si="31"/>
        <v>60871.845458281969</v>
      </c>
      <c r="I94" s="159">
        <f t="shared" si="31"/>
        <v>68244.401629905231</v>
      </c>
      <c r="J94" s="159">
        <f t="shared" si="31"/>
        <v>68704.436197298593</v>
      </c>
      <c r="K94" s="159">
        <f t="shared" si="31"/>
        <v>57606.301888895083</v>
      </c>
      <c r="L94" s="159">
        <f t="shared" si="31"/>
        <v>84561.765299124643</v>
      </c>
      <c r="M94" s="159">
        <f t="shared" si="31"/>
        <v>97997.001435276776</v>
      </c>
      <c r="N94" s="159">
        <f t="shared" si="31"/>
        <v>104185.23516106389</v>
      </c>
      <c r="O94" s="159">
        <f t="shared" si="31"/>
        <v>98840.015655869109</v>
      </c>
      <c r="P94" s="159">
        <f t="shared" si="31"/>
        <v>93147.059031960904</v>
      </c>
      <c r="Q94" s="159">
        <f t="shared" ref="Q94" si="32">Q40*Q$90</f>
        <v>89666.210045662112</v>
      </c>
    </row>
    <row r="95" spans="2:18">
      <c r="B95" s="111" t="str">
        <f>B43</f>
        <v>Exceptional Items Total</v>
      </c>
      <c r="C95" s="111"/>
      <c r="D95" s="159">
        <f t="shared" ref="D95:P95" si="33">D43*D$90</f>
        <v>0</v>
      </c>
      <c r="E95" s="159">
        <f t="shared" si="33"/>
        <v>0</v>
      </c>
      <c r="F95" s="159">
        <f t="shared" si="33"/>
        <v>0</v>
      </c>
      <c r="G95" s="159">
        <f t="shared" si="33"/>
        <v>0</v>
      </c>
      <c r="H95" s="159">
        <f t="shared" si="33"/>
        <v>0</v>
      </c>
      <c r="I95" s="159">
        <f t="shared" si="33"/>
        <v>252.28983966693247</v>
      </c>
      <c r="J95" s="159">
        <f t="shared" si="33"/>
        <v>4178.802917188108</v>
      </c>
      <c r="K95" s="159">
        <f t="shared" si="33"/>
        <v>4165.7449713043961</v>
      </c>
      <c r="L95" s="159">
        <f t="shared" si="33"/>
        <v>10455.326959538508</v>
      </c>
      <c r="M95" s="159">
        <f t="shared" si="33"/>
        <v>3424.9233872531904</v>
      </c>
      <c r="N95" s="159">
        <f t="shared" si="33"/>
        <v>40430.091256532251</v>
      </c>
      <c r="O95" s="159">
        <f t="shared" si="33"/>
        <v>-16030.9799828531</v>
      </c>
      <c r="P95" s="159">
        <f t="shared" si="33"/>
        <v>7165.158387073915</v>
      </c>
      <c r="Q95" s="159">
        <f t="shared" ref="Q95" si="34">Q43*Q$90</f>
        <v>30019.112850619702</v>
      </c>
    </row>
    <row r="96" spans="2:18">
      <c r="B96" s="111" t="str">
        <f>B45</f>
        <v>Grand Total</v>
      </c>
      <c r="C96" s="111"/>
      <c r="D96" s="159">
        <f t="shared" ref="D96:P96" si="35">D45*D$90</f>
        <v>106186.67593427515</v>
      </c>
      <c r="E96" s="159">
        <f t="shared" si="35"/>
        <v>125154.03142329025</v>
      </c>
      <c r="F96" s="159">
        <f t="shared" si="35"/>
        <v>138615.72341241315</v>
      </c>
      <c r="G96" s="159">
        <f t="shared" si="35"/>
        <v>125411.59515538451</v>
      </c>
      <c r="H96" s="159">
        <f t="shared" si="35"/>
        <v>142554.57825272871</v>
      </c>
      <c r="I96" s="159">
        <f t="shared" si="35"/>
        <v>150995.46904065908</v>
      </c>
      <c r="J96" s="159">
        <f t="shared" si="35"/>
        <v>160392.28843913178</v>
      </c>
      <c r="K96" s="159">
        <f t="shared" si="35"/>
        <v>132232.64751769099</v>
      </c>
      <c r="L96" s="159">
        <f t="shared" si="35"/>
        <v>189804.39711162215</v>
      </c>
      <c r="M96" s="159">
        <f t="shared" si="35"/>
        <v>196214.96566973117</v>
      </c>
      <c r="N96" s="159">
        <f t="shared" si="35"/>
        <v>239470.54051946028</v>
      </c>
      <c r="O96" s="159">
        <f t="shared" si="35"/>
        <v>178994.91557013462</v>
      </c>
      <c r="P96" s="159">
        <f t="shared" si="35"/>
        <v>197193.23223017508</v>
      </c>
      <c r="Q96" s="159">
        <f t="shared" ref="Q96" si="36">Q45*Q$90</f>
        <v>213653.94651011092</v>
      </c>
    </row>
    <row r="97" spans="1:17">
      <c r="B97" s="111" t="str">
        <f>B47</f>
        <v>Cost Residual (Ordinary Opex - Elements)</v>
      </c>
      <c r="C97" s="111"/>
      <c r="D97" s="159">
        <f t="shared" ref="D97:P97" si="37">D47*D$90</f>
        <v>0</v>
      </c>
      <c r="E97" s="159">
        <f t="shared" si="37"/>
        <v>0</v>
      </c>
      <c r="F97" s="159">
        <f t="shared" si="37"/>
        <v>0</v>
      </c>
      <c r="G97" s="159">
        <f t="shared" si="37"/>
        <v>0</v>
      </c>
      <c r="H97" s="159">
        <f t="shared" si="37"/>
        <v>0</v>
      </c>
      <c r="I97" s="159">
        <f t="shared" si="37"/>
        <v>0</v>
      </c>
      <c r="J97" s="159">
        <f t="shared" si="37"/>
        <v>0</v>
      </c>
      <c r="K97" s="159">
        <f t="shared" si="37"/>
        <v>0</v>
      </c>
      <c r="L97" s="159">
        <f t="shared" si="37"/>
        <v>0</v>
      </c>
      <c r="M97" s="159">
        <f t="shared" si="37"/>
        <v>0</v>
      </c>
      <c r="N97" s="159">
        <f t="shared" si="37"/>
        <v>0</v>
      </c>
      <c r="O97" s="159">
        <f t="shared" si="37"/>
        <v>0</v>
      </c>
      <c r="P97" s="159">
        <f t="shared" si="37"/>
        <v>0</v>
      </c>
      <c r="Q97" s="159">
        <f t="shared" ref="Q97" si="38">Q47*Q$90</f>
        <v>0</v>
      </c>
    </row>
    <row r="98" spans="1:17">
      <c r="B98" s="111"/>
      <c r="C98" s="111"/>
      <c r="D98" s="193"/>
      <c r="E98" s="193"/>
      <c r="F98" s="193"/>
      <c r="G98" s="193"/>
      <c r="H98" s="193"/>
      <c r="I98" s="193"/>
      <c r="J98" s="193"/>
      <c r="K98" s="193"/>
      <c r="L98" s="193"/>
      <c r="M98" s="193"/>
      <c r="N98" s="193"/>
      <c r="O98" s="193"/>
      <c r="P98" s="193"/>
    </row>
    <row r="99" spans="1:17">
      <c r="B99" s="111" t="str">
        <f>B49</f>
        <v>Ordinary Opex (per accounts - including staff, depreciation and other, excluding exceptional)</v>
      </c>
      <c r="C99" s="111"/>
      <c r="D99" s="159">
        <f t="shared" ref="D99:P99" si="39">D49*D$90</f>
        <v>106186.67593427515</v>
      </c>
      <c r="E99" s="159">
        <f t="shared" si="39"/>
        <v>125154.03142329025</v>
      </c>
      <c r="F99" s="159">
        <f t="shared" si="39"/>
        <v>138615.72341241315</v>
      </c>
      <c r="G99" s="159">
        <f t="shared" si="39"/>
        <v>125411.59515538451</v>
      </c>
      <c r="H99" s="159">
        <f t="shared" si="39"/>
        <v>142554.57825272871</v>
      </c>
      <c r="I99" s="159">
        <f t="shared" si="39"/>
        <v>150743.17920099213</v>
      </c>
      <c r="J99" s="159">
        <f t="shared" si="39"/>
        <v>156213.48552194369</v>
      </c>
      <c r="K99" s="159">
        <f t="shared" si="39"/>
        <v>128066.90254638658</v>
      </c>
      <c r="L99" s="159">
        <f t="shared" si="39"/>
        <v>179349.07015208364</v>
      </c>
      <c r="M99" s="159">
        <f t="shared" si="39"/>
        <v>192790.04228247798</v>
      </c>
      <c r="N99" s="159">
        <f t="shared" si="39"/>
        <v>199040.44926292801</v>
      </c>
      <c r="O99" s="159">
        <f t="shared" si="39"/>
        <v>195025.8955529877</v>
      </c>
      <c r="P99" s="159">
        <f t="shared" si="39"/>
        <v>190028.07384310116</v>
      </c>
      <c r="Q99" s="159">
        <f t="shared" ref="Q99" si="40">Q49*Q$90</f>
        <v>183634.83365949121</v>
      </c>
    </row>
    <row r="100" spans="1:17">
      <c r="B100" s="111"/>
      <c r="C100" s="111"/>
      <c r="D100" s="141"/>
      <c r="E100" s="141"/>
      <c r="F100" s="141"/>
      <c r="G100" s="141"/>
      <c r="H100" s="141"/>
      <c r="I100" s="141"/>
      <c r="J100" s="141"/>
      <c r="K100" s="141"/>
      <c r="L100" s="141"/>
      <c r="M100" s="141"/>
      <c r="N100" s="141"/>
      <c r="O100" s="141"/>
      <c r="P100" s="141"/>
      <c r="Q100" s="141"/>
    </row>
    <row r="101" spans="1:17">
      <c r="B101" s="111" t="str">
        <f>B51</f>
        <v>Total Opex (ordinary + exceptional)</v>
      </c>
      <c r="C101" s="111"/>
      <c r="D101" s="159">
        <f t="shared" ref="D101:P101" si="41">D51*D$90</f>
        <v>106186.67593427515</v>
      </c>
      <c r="E101" s="159">
        <f t="shared" si="41"/>
        <v>125154.03142329025</v>
      </c>
      <c r="F101" s="159">
        <f t="shared" si="41"/>
        <v>138615.72341241315</v>
      </c>
      <c r="G101" s="159">
        <f t="shared" si="41"/>
        <v>125411.59515538451</v>
      </c>
      <c r="H101" s="159">
        <f t="shared" si="41"/>
        <v>142554.57825272871</v>
      </c>
      <c r="I101" s="159">
        <f t="shared" si="41"/>
        <v>150995.46904065908</v>
      </c>
      <c r="J101" s="159">
        <f t="shared" si="41"/>
        <v>160392.28843913178</v>
      </c>
      <c r="K101" s="159">
        <f t="shared" si="41"/>
        <v>132232.64751769099</v>
      </c>
      <c r="L101" s="159">
        <f t="shared" si="41"/>
        <v>189804.39711162215</v>
      </c>
      <c r="M101" s="159">
        <f t="shared" si="41"/>
        <v>196214.96566973117</v>
      </c>
      <c r="N101" s="159">
        <f t="shared" si="41"/>
        <v>239470.54051946028</v>
      </c>
      <c r="O101" s="159">
        <f t="shared" si="41"/>
        <v>178994.91557013462</v>
      </c>
      <c r="P101" s="159">
        <f t="shared" si="41"/>
        <v>197193.23223017508</v>
      </c>
      <c r="Q101" s="159">
        <f t="shared" ref="Q101" si="42">Q51*Q$90</f>
        <v>213653.94651011092</v>
      </c>
    </row>
    <row r="102" spans="1:17">
      <c r="B102" s="111"/>
      <c r="C102" s="111"/>
      <c r="D102" s="141"/>
      <c r="E102" s="141"/>
      <c r="F102" s="141"/>
      <c r="G102" s="141"/>
      <c r="H102" s="141"/>
      <c r="I102" s="141"/>
      <c r="J102" s="141"/>
      <c r="K102" s="141"/>
      <c r="L102" s="141"/>
      <c r="M102" s="141"/>
      <c r="N102" s="141"/>
      <c r="O102" s="141"/>
      <c r="P102" s="141"/>
      <c r="Q102" s="141"/>
    </row>
    <row r="103" spans="1:17">
      <c r="A103" s="134"/>
      <c r="B103" s="111" t="str">
        <f>B53</f>
        <v>Adjusted Ordinary Opex (ordinary opex - depreciation - ANS - retail)</v>
      </c>
      <c r="C103" s="111"/>
      <c r="D103" s="159">
        <f t="shared" ref="D103:P103" si="43">D53*D$90</f>
        <v>83949.181394649859</v>
      </c>
      <c r="E103" s="159">
        <f t="shared" si="43"/>
        <v>98602.890018484322</v>
      </c>
      <c r="F103" s="159">
        <f t="shared" si="43"/>
        <v>109135.5337646777</v>
      </c>
      <c r="G103" s="159">
        <f t="shared" si="43"/>
        <v>92654.835226739306</v>
      </c>
      <c r="H103" s="159">
        <f t="shared" si="43"/>
        <v>106135.52541444036</v>
      </c>
      <c r="I103" s="159">
        <f t="shared" si="43"/>
        <v>114413.44228895387</v>
      </c>
      <c r="J103" s="159">
        <f t="shared" si="43"/>
        <v>119587.50701247144</v>
      </c>
      <c r="K103" s="159">
        <f t="shared" si="43"/>
        <v>100692.00702067198</v>
      </c>
      <c r="L103" s="159">
        <f t="shared" si="43"/>
        <v>143846.91597079355</v>
      </c>
      <c r="M103" s="159">
        <f t="shared" si="43"/>
        <v>143073.41246751233</v>
      </c>
      <c r="N103" s="159">
        <f t="shared" si="43"/>
        <v>133286.015131425</v>
      </c>
      <c r="O103" s="159">
        <f t="shared" si="43"/>
        <v>129521.82502702504</v>
      </c>
      <c r="P103" s="159">
        <f t="shared" si="43"/>
        <v>130082.94592870813</v>
      </c>
      <c r="Q103" s="159">
        <f t="shared" ref="Q103" si="44">Q53*Q$90</f>
        <v>125650.03261578605</v>
      </c>
    </row>
    <row r="104" spans="1:17">
      <c r="B104" s="111"/>
      <c r="C104" s="111"/>
      <c r="D104" s="141"/>
      <c r="E104" s="141"/>
      <c r="F104" s="141"/>
      <c r="G104" s="141"/>
      <c r="H104" s="141"/>
      <c r="I104" s="141"/>
      <c r="J104" s="141"/>
      <c r="K104" s="141"/>
      <c r="L104" s="141"/>
      <c r="M104" s="141"/>
      <c r="N104" s="141"/>
      <c r="O104" s="141"/>
      <c r="P104" s="141"/>
      <c r="Q104" s="141"/>
    </row>
    <row r="105" spans="1:17">
      <c r="B105" s="111" t="str">
        <f>B55</f>
        <v>Turnover (per accounts)</v>
      </c>
      <c r="C105" s="111"/>
      <c r="D105" s="159">
        <f t="shared" ref="D105:P105" si="45">D55*D$90</f>
        <v>136255.66075543535</v>
      </c>
      <c r="E105" s="159">
        <f t="shared" si="45"/>
        <v>164013.0434380777</v>
      </c>
      <c r="F105" s="159">
        <f t="shared" si="45"/>
        <v>188231.22247783371</v>
      </c>
      <c r="G105" s="159">
        <f t="shared" si="45"/>
        <v>183170.45347854667</v>
      </c>
      <c r="H105" s="159">
        <f t="shared" si="45"/>
        <v>192760.84395122624</v>
      </c>
      <c r="I105" s="159">
        <f t="shared" si="45"/>
        <v>207508.39312605196</v>
      </c>
      <c r="J105" s="159">
        <f t="shared" si="45"/>
        <v>216929.03378932382</v>
      </c>
      <c r="K105" s="159">
        <f t="shared" si="45"/>
        <v>178174.86348693375</v>
      </c>
      <c r="L105" s="159">
        <f t="shared" si="45"/>
        <v>277812.97349630896</v>
      </c>
      <c r="M105" s="159">
        <f t="shared" si="45"/>
        <v>285925.86213584698</v>
      </c>
      <c r="N105" s="159">
        <f t="shared" si="45"/>
        <v>269904.18064113567</v>
      </c>
      <c r="O105" s="159">
        <f t="shared" si="45"/>
        <v>243755.82808364712</v>
      </c>
      <c r="P105" s="159">
        <f t="shared" si="45"/>
        <v>236551.14449720082</v>
      </c>
      <c r="Q105" s="159">
        <f t="shared" ref="Q105" si="46">Q55*Q$90</f>
        <v>236143.83561643839</v>
      </c>
    </row>
    <row r="106" spans="1:17">
      <c r="B106" s="111"/>
      <c r="C106" s="111"/>
      <c r="D106" s="141"/>
      <c r="E106" s="141"/>
      <c r="F106" s="141"/>
      <c r="G106" s="141"/>
      <c r="H106" s="141"/>
      <c r="I106" s="141"/>
      <c r="J106" s="141"/>
      <c r="K106" s="141"/>
      <c r="L106" s="141"/>
      <c r="M106" s="141"/>
      <c r="N106" s="141"/>
      <c r="O106" s="141"/>
      <c r="P106" s="141"/>
      <c r="Q106" s="141"/>
    </row>
    <row r="107" spans="1:17">
      <c r="B107" s="138" t="s">
        <v>1321</v>
      </c>
      <c r="C107" s="111"/>
      <c r="D107" s="159">
        <f t="shared" ref="D107:P107" si="47">D57*D$90</f>
        <v>30068.984821160211</v>
      </c>
      <c r="E107" s="159">
        <f t="shared" si="47"/>
        <v>38859.012014787448</v>
      </c>
      <c r="F107" s="159">
        <f t="shared" si="47"/>
        <v>49615.499065420561</v>
      </c>
      <c r="G107" s="159">
        <f t="shared" si="47"/>
        <v>57758.85832316216</v>
      </c>
      <c r="H107" s="159">
        <f t="shared" si="47"/>
        <v>50206.265698497518</v>
      </c>
      <c r="I107" s="159">
        <f t="shared" si="47"/>
        <v>56765.213925059805</v>
      </c>
      <c r="J107" s="159">
        <f t="shared" si="47"/>
        <v>60715.548267380153</v>
      </c>
      <c r="K107" s="159">
        <f t="shared" si="47"/>
        <v>50107.960940547171</v>
      </c>
      <c r="L107" s="159">
        <f t="shared" si="47"/>
        <v>98463.903344225298</v>
      </c>
      <c r="M107" s="159">
        <f t="shared" si="47"/>
        <v>93135.819853369016</v>
      </c>
      <c r="N107" s="159">
        <f t="shared" si="47"/>
        <v>70863.731378207623</v>
      </c>
      <c r="O107" s="159">
        <f t="shared" si="47"/>
        <v>48729.932530659426</v>
      </c>
      <c r="P107" s="159">
        <f t="shared" si="47"/>
        <v>46523.070654099647</v>
      </c>
      <c r="Q107" s="159">
        <f t="shared" ref="Q107" si="48">Q57*Q$90</f>
        <v>52509.00195694717</v>
      </c>
    </row>
    <row r="108" spans="1:17">
      <c r="B108" s="176"/>
      <c r="C108" s="111"/>
      <c r="D108" s="193"/>
      <c r="E108" s="193"/>
      <c r="F108" s="193"/>
      <c r="G108" s="193"/>
      <c r="H108" s="193"/>
      <c r="I108" s="193"/>
      <c r="J108" s="193"/>
      <c r="K108" s="193"/>
      <c r="L108" s="193"/>
      <c r="M108" s="193"/>
      <c r="N108" s="193"/>
      <c r="O108" s="193"/>
      <c r="P108" s="193"/>
      <c r="Q108" s="193"/>
    </row>
    <row r="109" spans="1:17">
      <c r="B109" s="138" t="s">
        <v>1206</v>
      </c>
      <c r="C109" s="111"/>
      <c r="D109" s="162">
        <f>D107/D105</f>
        <v>0.22068062827225132</v>
      </c>
      <c r="E109" s="162">
        <f t="shared" ref="E109:P109" si="49">E107/E105</f>
        <v>0.23692635171091422</v>
      </c>
      <c r="F109" s="162">
        <f t="shared" si="49"/>
        <v>0.26358804034895605</v>
      </c>
      <c r="G109" s="162">
        <f t="shared" si="49"/>
        <v>0.31532846715328466</v>
      </c>
      <c r="H109" s="162">
        <f t="shared" si="49"/>
        <v>0.26045883940620779</v>
      </c>
      <c r="I109" s="162">
        <f t="shared" si="49"/>
        <v>0.2735562310030395</v>
      </c>
      <c r="J109" s="162">
        <f t="shared" si="49"/>
        <v>0.27988668555240792</v>
      </c>
      <c r="K109" s="162">
        <f t="shared" si="49"/>
        <v>0.28122912491649971</v>
      </c>
      <c r="L109" s="162">
        <f t="shared" si="49"/>
        <v>0.35442514474772541</v>
      </c>
      <c r="M109" s="162">
        <f t="shared" si="49"/>
        <v>0.32573415765069552</v>
      </c>
      <c r="N109" s="162">
        <f t="shared" si="49"/>
        <v>0.26255144032921807</v>
      </c>
      <c r="O109" s="162">
        <f t="shared" si="49"/>
        <v>0.19991289198606274</v>
      </c>
      <c r="P109" s="162">
        <f t="shared" si="49"/>
        <v>0.19667235494880544</v>
      </c>
      <c r="Q109" s="162">
        <f t="shared" ref="Q109" si="50">Q107/Q105</f>
        <v>0.22236024844720498</v>
      </c>
    </row>
    <row r="110" spans="1:17" s="133" customFormat="1">
      <c r="B110" s="138"/>
      <c r="C110" s="138"/>
      <c r="D110" s="141"/>
      <c r="E110" s="141"/>
      <c r="F110" s="141"/>
      <c r="G110" s="141"/>
      <c r="H110" s="141"/>
      <c r="I110" s="141"/>
      <c r="J110" s="141"/>
      <c r="K110" s="141"/>
      <c r="L110" s="141"/>
      <c r="M110" s="141"/>
      <c r="N110" s="141"/>
      <c r="O110" s="141"/>
      <c r="P110" s="141"/>
      <c r="Q110" s="131"/>
    </row>
    <row r="111" spans="1:17" s="133" customFormat="1">
      <c r="B111" s="153" t="s">
        <v>303</v>
      </c>
      <c r="C111" s="94"/>
      <c r="D111" s="94"/>
      <c r="E111" s="94"/>
      <c r="F111" s="94"/>
      <c r="G111" s="94"/>
      <c r="H111" s="94"/>
      <c r="I111" s="94"/>
      <c r="J111" s="94"/>
      <c r="K111" s="94"/>
      <c r="L111" s="94"/>
      <c r="M111" s="94"/>
      <c r="N111" s="94"/>
      <c r="O111" s="94"/>
      <c r="P111" s="94"/>
      <c r="Q111" s="94"/>
    </row>
    <row r="112" spans="1:17" s="133" customFormat="1">
      <c r="D112" s="135"/>
      <c r="E112" s="135"/>
      <c r="F112" s="135"/>
      <c r="G112" s="135"/>
      <c r="H112" s="135"/>
      <c r="I112" s="135"/>
      <c r="J112" s="135"/>
      <c r="K112" s="135"/>
      <c r="L112" s="135"/>
      <c r="M112" s="135"/>
      <c r="N112" s="135"/>
      <c r="O112" s="135"/>
      <c r="P112" s="135"/>
      <c r="Q112" s="131"/>
    </row>
    <row r="113" spans="2:17" s="133" customFormat="1">
      <c r="B113" s="90" t="s">
        <v>1127</v>
      </c>
      <c r="D113" s="209">
        <f>(D101/D61)*1000</f>
        <v>10.733552020771437</v>
      </c>
      <c r="E113" s="209">
        <f t="shared" ref="E113:P113" si="51">(E101/E61)*1000</f>
        <v>10.204916223988718</v>
      </c>
      <c r="F113" s="209">
        <f t="shared" si="51"/>
        <v>9.8390087359502605</v>
      </c>
      <c r="G113" s="209">
        <f t="shared" si="51"/>
        <v>7.4869894336577065</v>
      </c>
      <c r="H113" s="209">
        <f t="shared" si="51"/>
        <v>7.3434141659583396</v>
      </c>
      <c r="I113" s="209">
        <f t="shared" si="51"/>
        <v>7.1321790212070173</v>
      </c>
      <c r="J113" s="209">
        <f t="shared" si="51"/>
        <v>7.2205497560147966</v>
      </c>
      <c r="K113" s="209">
        <f t="shared" si="51"/>
        <v>7.0317584993577524</v>
      </c>
      <c r="L113" s="209">
        <f t="shared" si="51"/>
        <v>7.9886527189040963</v>
      </c>
      <c r="M113" s="209">
        <f t="shared" si="51"/>
        <v>8.7829754724229634</v>
      </c>
      <c r="N113" s="209">
        <f t="shared" si="51"/>
        <v>12.003722991343889</v>
      </c>
      <c r="O113" s="209">
        <f t="shared" si="51"/>
        <v>9.643292326993322</v>
      </c>
      <c r="P113" s="209">
        <f t="shared" si="51"/>
        <v>10.926404881088713</v>
      </c>
      <c r="Q113" s="209">
        <f t="shared" ref="Q113" si="52">(Q101/Q61)*1000</f>
        <v>12.233409164570121</v>
      </c>
    </row>
    <row r="114" spans="2:17" s="133" customFormat="1">
      <c r="B114" s="90" t="s">
        <v>299</v>
      </c>
      <c r="C114" s="90"/>
      <c r="D114" s="209">
        <f>(D99/D61)*1000</f>
        <v>10.733552020771437</v>
      </c>
      <c r="E114" s="209">
        <f>(E99/E61)*1000</f>
        <v>10.204916223988718</v>
      </c>
      <c r="F114" s="209">
        <f t="shared" ref="F114:P114" si="53">(F99/F61)*1000</f>
        <v>9.8390087359502605</v>
      </c>
      <c r="G114" s="209">
        <f t="shared" si="53"/>
        <v>7.4869894336577065</v>
      </c>
      <c r="H114" s="209">
        <f t="shared" si="53"/>
        <v>7.3434141659583396</v>
      </c>
      <c r="I114" s="209">
        <f t="shared" si="53"/>
        <v>7.1202622642793525</v>
      </c>
      <c r="J114" s="209">
        <f t="shared" si="53"/>
        <v>7.0324281531760979</v>
      </c>
      <c r="K114" s="209">
        <f t="shared" si="53"/>
        <v>6.8102359543734847</v>
      </c>
      <c r="L114" s="209">
        <f t="shared" si="53"/>
        <v>7.5485998148966669</v>
      </c>
      <c r="M114" s="209">
        <f t="shared" si="53"/>
        <v>8.6296690311813471</v>
      </c>
      <c r="N114" s="209">
        <f t="shared" si="53"/>
        <v>9.9771204083897249</v>
      </c>
      <c r="O114" s="209">
        <f t="shared" si="53"/>
        <v>10.506956111913839</v>
      </c>
      <c r="P114" s="209">
        <f t="shared" si="53"/>
        <v>10.529386075276379</v>
      </c>
      <c r="Q114" s="209">
        <f t="shared" ref="Q114" si="54">(Q99/Q61)*1000</f>
        <v>10.514573185841046</v>
      </c>
    </row>
    <row r="115" spans="2:17" s="133" customFormat="1">
      <c r="B115" s="90" t="s">
        <v>300</v>
      </c>
      <c r="C115" s="90"/>
      <c r="D115" s="209">
        <f>(D103/D61)*1000</f>
        <v>8.4857435989273853</v>
      </c>
      <c r="E115" s="209">
        <f>(E103/E61)*1000</f>
        <v>8.0399665966697178</v>
      </c>
      <c r="F115" s="209">
        <f t="shared" ref="F115:P115" si="55">(F103/F61)*1000</f>
        <v>7.7464911171621118</v>
      </c>
      <c r="G115" s="209">
        <f t="shared" si="55"/>
        <v>5.5314324920306932</v>
      </c>
      <c r="H115" s="209">
        <f t="shared" si="55"/>
        <v>5.4673594520273774</v>
      </c>
      <c r="I115" s="209">
        <f t="shared" si="55"/>
        <v>5.40424926669571</v>
      </c>
      <c r="J115" s="209">
        <f t="shared" si="55"/>
        <v>5.3835976341780825</v>
      </c>
      <c r="K115" s="209">
        <f t="shared" si="55"/>
        <v>5.3545163730482974</v>
      </c>
      <c r="L115" s="209">
        <f t="shared" si="55"/>
        <v>6.0543542397505616</v>
      </c>
      <c r="M115" s="209">
        <f t="shared" si="55"/>
        <v>6.4042529486417452</v>
      </c>
      <c r="N115" s="209">
        <f t="shared" si="55"/>
        <v>6.6811074163324049</v>
      </c>
      <c r="O115" s="209">
        <f t="shared" si="55"/>
        <v>6.9779458119406019</v>
      </c>
      <c r="P115" s="209">
        <f t="shared" si="55"/>
        <v>7.2078484604520732</v>
      </c>
      <c r="Q115" s="209">
        <f t="shared" ref="Q115" si="56">(Q103/Q61)*1000</f>
        <v>7.1944763279050825</v>
      </c>
    </row>
    <row r="116" spans="2:17" s="133" customFormat="1">
      <c r="B116" s="90" t="s">
        <v>265</v>
      </c>
      <c r="C116" s="90"/>
      <c r="D116" s="209">
        <f>D92*1000/D61</f>
        <v>2.9896746172736566</v>
      </c>
      <c r="E116" s="209">
        <f>E92*1000/E61</f>
        <v>2.5037278131958418</v>
      </c>
      <c r="F116" s="209">
        <f t="shared" ref="F116:P116" si="57">F92*1000/F61</f>
        <v>2.4097330970449629</v>
      </c>
      <c r="G116" s="209">
        <f t="shared" si="57"/>
        <v>2.3307045998166842</v>
      </c>
      <c r="H116" s="209">
        <f t="shared" si="57"/>
        <v>2.3517685878205996</v>
      </c>
      <c r="I116" s="209">
        <f t="shared" si="57"/>
        <v>2.2224751670093714</v>
      </c>
      <c r="J116" s="209">
        <f t="shared" si="57"/>
        <v>2.3404540588461753</v>
      </c>
      <c r="K116" s="209">
        <f t="shared" si="57"/>
        <v>2.3607974079751948</v>
      </c>
      <c r="L116" s="209">
        <f t="shared" si="57"/>
        <v>2.5822884696699679</v>
      </c>
      <c r="M116" s="209">
        <f t="shared" si="57"/>
        <v>2.6062095011074899</v>
      </c>
      <c r="N116" s="209">
        <f t="shared" si="57"/>
        <v>2.6056318923696384</v>
      </c>
      <c r="O116" s="209">
        <f t="shared" si="57"/>
        <v>2.8769727404968219</v>
      </c>
      <c r="P116" s="209">
        <f t="shared" si="57"/>
        <v>3.1034568623358418</v>
      </c>
      <c r="Q116" s="209">
        <f t="shared" ref="Q116" si="58">Q92*1000/Q61</f>
        <v>3.1129407302064012</v>
      </c>
    </row>
    <row r="117" spans="2:17" s="133" customFormat="1">
      <c r="B117" s="111" t="s">
        <v>1136</v>
      </c>
      <c r="C117" s="111"/>
      <c r="D117" s="159">
        <f>D92/D63*1000</f>
        <v>45086.512697295606</v>
      </c>
      <c r="E117" s="159">
        <f>E92/E63*1000</f>
        <v>45423.000360935825</v>
      </c>
      <c r="F117" s="159">
        <f t="shared" ref="F117:P117" si="59">F92/F63*1000</f>
        <v>48154.954324745537</v>
      </c>
      <c r="G117" s="159">
        <f t="shared" si="59"/>
        <v>45661.648880126028</v>
      </c>
      <c r="H117" s="159">
        <f t="shared" si="59"/>
        <v>46208.384710234284</v>
      </c>
      <c r="I117" s="159">
        <f t="shared" si="59"/>
        <v>45417.041600273071</v>
      </c>
      <c r="J117" s="159">
        <f t="shared" si="59"/>
        <v>49046.438234477515</v>
      </c>
      <c r="K117" s="159">
        <f t="shared" si="59"/>
        <v>37622.829886114763</v>
      </c>
      <c r="L117" s="159">
        <f t="shared" si="59"/>
        <v>44685.533374367216</v>
      </c>
      <c r="M117" s="159">
        <f t="shared" si="59"/>
        <v>47259.494791643046</v>
      </c>
      <c r="N117" s="159">
        <f t="shared" si="59"/>
        <v>45162.072894227415</v>
      </c>
      <c r="O117" s="159">
        <f t="shared" si="59"/>
        <v>47637.119951882538</v>
      </c>
      <c r="P117" s="159">
        <f t="shared" si="59"/>
        <v>49217.343310800054</v>
      </c>
      <c r="Q117" s="159">
        <f t="shared" ref="Q117" si="60">Q92/Q63*1000</f>
        <v>48715.826488694365</v>
      </c>
    </row>
    <row r="118" spans="2:17" s="133" customFormat="1">
      <c r="B118" s="138"/>
      <c r="C118" s="138"/>
      <c r="D118" s="141"/>
      <c r="E118" s="141"/>
      <c r="F118" s="141"/>
      <c r="G118" s="141"/>
      <c r="H118" s="141"/>
      <c r="I118" s="141"/>
      <c r="J118" s="141"/>
      <c r="K118" s="141"/>
      <c r="L118" s="141"/>
      <c r="M118" s="141"/>
      <c r="N118" s="141"/>
      <c r="O118" s="141"/>
      <c r="P118" s="141"/>
      <c r="Q118" s="131"/>
    </row>
    <row r="119" spans="2:17">
      <c r="B119" s="153" t="s">
        <v>163</v>
      </c>
      <c r="C119" s="94"/>
      <c r="D119" s="94"/>
      <c r="E119" s="94"/>
      <c r="F119" s="94"/>
      <c r="G119" s="94"/>
      <c r="H119" s="94"/>
      <c r="I119" s="94"/>
      <c r="J119" s="94"/>
      <c r="K119" s="94"/>
      <c r="L119" s="94"/>
      <c r="M119" s="94"/>
      <c r="N119" s="94"/>
      <c r="O119" s="94"/>
      <c r="P119" s="94"/>
      <c r="Q119" s="94"/>
    </row>
  </sheetData>
  <sortState ref="B205:G227">
    <sortCondition descending="1" ref="E205:E227"/>
  </sortState>
  <pageMargins left="0.75" right="0.75" top="1" bottom="1" header="0.5" footer="0.5"/>
  <pageSetup paperSize="9" scale="83" orientation="landscape" r:id="rId1"/>
  <headerFooter alignWithMargins="0">
    <oddFooter>&amp;L&amp;F \ &amp;A&amp;R&amp;T  &amp;D</oddFooter>
  </headerFooter>
  <legacyDrawing r:id="rId2"/>
</worksheet>
</file>

<file path=xl/worksheets/sheet24.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zoomScale="85" workbookViewId="0">
      <selection activeCell="R28" sqref="R28"/>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Non-UK&gt;&gt;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25.xml><?xml version="1.0" encoding="utf-8"?>
<worksheet xmlns="http://schemas.openxmlformats.org/spreadsheetml/2006/main" xmlns:r="http://schemas.openxmlformats.org/officeDocument/2006/relationships">
  <sheetPr>
    <pageSetUpPr autoPageBreaks="0" fitToPage="1"/>
  </sheetPr>
  <dimension ref="A1:Y239"/>
  <sheetViews>
    <sheetView showGridLines="0" zoomScale="70" zoomScaleNormal="70" workbookViewId="0">
      <pane xSplit="3" ySplit="16" topLeftCell="F160" activePane="bottomRight" state="frozen"/>
      <selection pane="topRight" activeCell="D1" sqref="D1"/>
      <selection pane="bottomLeft" activeCell="A15" sqref="A15"/>
      <selection pane="bottomRight" activeCell="B170" sqref="B170"/>
    </sheetView>
  </sheetViews>
  <sheetFormatPr defaultRowHeight="12.75" outlineLevelRow="2"/>
  <cols>
    <col min="1" max="1" width="7" style="90" customWidth="1"/>
    <col min="2" max="2" width="23.5703125" style="90" customWidth="1"/>
    <col min="3" max="3" width="41.5703125" style="90" customWidth="1"/>
    <col min="4" max="15" width="15.7109375" style="90" customWidth="1"/>
    <col min="16" max="16" width="11.710937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row>
    <row r="4" spans="1:17">
      <c r="B4" s="148" t="s">
        <v>130</v>
      </c>
      <c r="C4" s="92"/>
      <c r="D4" s="92"/>
      <c r="E4" s="150">
        <f>Info!$D$16</f>
        <v>2.8</v>
      </c>
      <c r="F4" s="92"/>
      <c r="G4" s="92"/>
      <c r="H4" s="92"/>
      <c r="I4" s="92"/>
      <c r="J4" s="92"/>
      <c r="K4" s="92"/>
      <c r="L4" s="92"/>
      <c r="M4" s="92"/>
      <c r="N4" s="92"/>
      <c r="O4" s="92"/>
      <c r="P4" s="92"/>
    </row>
    <row r="5" spans="1:17">
      <c r="B5" s="151" t="s">
        <v>138</v>
      </c>
      <c r="C5" s="93"/>
      <c r="D5" s="93"/>
      <c r="E5" s="152" t="str">
        <f ca="1">IF(CELL("filename",D1)="","",MID(CELL("filename",A1),FIND("]",CELL("filename",A1))+1,99))</f>
        <v>Amsterdam</v>
      </c>
      <c r="F5" s="93"/>
      <c r="G5" s="93"/>
      <c r="H5" s="93"/>
      <c r="I5" s="93"/>
      <c r="J5" s="93"/>
      <c r="K5" s="93"/>
      <c r="L5" s="93"/>
      <c r="M5" s="93"/>
      <c r="N5" s="93"/>
      <c r="O5" s="93"/>
      <c r="P5" s="93"/>
    </row>
    <row r="8" spans="1:17">
      <c r="B8" s="153" t="s">
        <v>1046</v>
      </c>
      <c r="C8" s="94"/>
      <c r="D8" s="94"/>
      <c r="E8" s="94"/>
      <c r="F8" s="94"/>
      <c r="G8" s="94"/>
      <c r="H8" s="94"/>
      <c r="I8" s="94"/>
      <c r="J8" s="94"/>
      <c r="K8" s="94"/>
      <c r="L8" s="94"/>
      <c r="M8" s="94"/>
      <c r="N8" s="94"/>
      <c r="O8" s="94"/>
      <c r="P8" s="94"/>
    </row>
    <row r="10" spans="1:17">
      <c r="B10" s="138" t="s">
        <v>143</v>
      </c>
      <c r="C10" s="138"/>
      <c r="D10" s="90" t="s">
        <v>270</v>
      </c>
    </row>
    <row r="11" spans="1:17">
      <c r="B11" s="138"/>
      <c r="C11" s="138"/>
      <c r="D11" s="138"/>
    </row>
    <row r="12" spans="1:17">
      <c r="B12" s="153" t="s">
        <v>1175</v>
      </c>
      <c r="C12" s="94"/>
      <c r="D12" s="94"/>
      <c r="E12" s="94"/>
      <c r="F12" s="94"/>
      <c r="G12" s="94"/>
      <c r="H12" s="94"/>
      <c r="I12" s="94"/>
      <c r="J12" s="94"/>
      <c r="K12" s="94"/>
      <c r="L12" s="94"/>
      <c r="M12" s="94"/>
      <c r="N12" s="94"/>
      <c r="O12" s="94"/>
      <c r="P12" s="94"/>
    </row>
    <row r="13" spans="1:17">
      <c r="B13" s="138"/>
      <c r="C13" s="138"/>
      <c r="D13" s="138"/>
    </row>
    <row r="14" spans="1:17">
      <c r="B14" s="101" t="s">
        <v>1164</v>
      </c>
      <c r="C14" s="101"/>
    </row>
    <row r="15" spans="1:17">
      <c r="B15" s="101"/>
      <c r="C15" s="101"/>
    </row>
    <row r="16" spans="1:17">
      <c r="B16" s="138" t="s">
        <v>271</v>
      </c>
      <c r="C16" s="138"/>
      <c r="D16" s="119">
        <v>2000</v>
      </c>
      <c r="E16" s="119">
        <v>2001</v>
      </c>
      <c r="F16" s="119">
        <v>2002</v>
      </c>
      <c r="G16" s="119">
        <v>2003</v>
      </c>
      <c r="H16" s="119">
        <v>2004</v>
      </c>
      <c r="I16" s="119">
        <v>2005</v>
      </c>
      <c r="J16" s="119">
        <v>2006</v>
      </c>
      <c r="K16" s="119">
        <v>2007</v>
      </c>
      <c r="L16" s="119">
        <v>2008</v>
      </c>
      <c r="M16" s="119">
        <v>2009</v>
      </c>
      <c r="N16" s="119">
        <v>2010</v>
      </c>
      <c r="O16" s="119">
        <v>2011</v>
      </c>
      <c r="P16" s="119">
        <v>2012</v>
      </c>
      <c r="Q16" s="90"/>
    </row>
    <row r="17" spans="2:21">
      <c r="B17" s="138" t="s">
        <v>157</v>
      </c>
      <c r="C17" s="138"/>
      <c r="D17" s="154">
        <v>2001</v>
      </c>
      <c r="E17" s="154">
        <v>2002</v>
      </c>
      <c r="F17" s="154">
        <v>2003</v>
      </c>
      <c r="G17" s="154">
        <v>2004</v>
      </c>
      <c r="H17" s="154">
        <v>2005</v>
      </c>
      <c r="I17" s="154">
        <v>2006</v>
      </c>
      <c r="J17" s="154">
        <v>2006</v>
      </c>
      <c r="K17" s="154">
        <v>2007</v>
      </c>
      <c r="L17" s="154">
        <v>2008</v>
      </c>
      <c r="M17" s="154">
        <v>2009</v>
      </c>
      <c r="N17" s="154">
        <v>2010</v>
      </c>
      <c r="O17" s="154">
        <v>2011</v>
      </c>
      <c r="P17" s="154">
        <v>2012</v>
      </c>
      <c r="Q17" s="90"/>
    </row>
    <row r="18" spans="2:21">
      <c r="B18" s="138" t="s">
        <v>164</v>
      </c>
      <c r="C18" s="138"/>
      <c r="D18" s="154" t="s">
        <v>174</v>
      </c>
      <c r="E18" s="154" t="s">
        <v>174</v>
      </c>
      <c r="F18" s="154" t="s">
        <v>174</v>
      </c>
      <c r="G18" s="154" t="s">
        <v>174</v>
      </c>
      <c r="H18" s="154" t="s">
        <v>174</v>
      </c>
      <c r="I18" s="154" t="s">
        <v>174</v>
      </c>
      <c r="J18" s="154" t="s">
        <v>174</v>
      </c>
      <c r="K18" s="154" t="s">
        <v>174</v>
      </c>
      <c r="L18" s="154" t="s">
        <v>174</v>
      </c>
      <c r="M18" s="154" t="s">
        <v>174</v>
      </c>
      <c r="N18" s="154" t="s">
        <v>174</v>
      </c>
      <c r="O18" s="154" t="s">
        <v>174</v>
      </c>
      <c r="P18" s="154" t="s">
        <v>174</v>
      </c>
      <c r="Q18" s="90"/>
    </row>
    <row r="19" spans="2:21">
      <c r="B19" s="138" t="s">
        <v>378</v>
      </c>
      <c r="C19" s="138"/>
      <c r="D19" s="154" t="s">
        <v>382</v>
      </c>
      <c r="E19" s="154" t="s">
        <v>382</v>
      </c>
      <c r="F19" s="154" t="s">
        <v>382</v>
      </c>
      <c r="G19" s="154" t="s">
        <v>382</v>
      </c>
      <c r="H19" s="154" t="s">
        <v>382</v>
      </c>
      <c r="I19" s="154" t="s">
        <v>382</v>
      </c>
      <c r="J19" s="154" t="s">
        <v>382</v>
      </c>
      <c r="K19" s="154" t="s">
        <v>382</v>
      </c>
      <c r="L19" s="154" t="s">
        <v>382</v>
      </c>
      <c r="M19" s="154" t="s">
        <v>382</v>
      </c>
      <c r="N19" s="154" t="s">
        <v>382</v>
      </c>
      <c r="O19" s="154" t="s">
        <v>382</v>
      </c>
      <c r="P19" s="154" t="s">
        <v>382</v>
      </c>
      <c r="Q19" s="90"/>
    </row>
    <row r="20" spans="2:21" ht="15" customHeight="1">
      <c r="B20" s="133"/>
      <c r="C20" s="133"/>
      <c r="D20" s="133"/>
      <c r="E20" s="133"/>
      <c r="F20" s="133"/>
      <c r="G20" s="133"/>
      <c r="H20" s="133"/>
      <c r="I20" s="133"/>
      <c r="J20" s="133"/>
      <c r="K20" s="133"/>
      <c r="L20" s="133"/>
      <c r="M20" s="133"/>
      <c r="N20" s="133"/>
      <c r="O20" s="133"/>
      <c r="P20" s="126"/>
      <c r="Q20" s="90"/>
    </row>
    <row r="21" spans="2:21">
      <c r="B21" s="106" t="s">
        <v>1314</v>
      </c>
      <c r="C21" s="106" t="s">
        <v>1315</v>
      </c>
      <c r="D21" s="133"/>
      <c r="E21" s="133"/>
      <c r="F21" s="133"/>
      <c r="G21" s="133"/>
      <c r="H21" s="133"/>
      <c r="I21" s="133"/>
      <c r="J21" s="133"/>
      <c r="K21" s="133"/>
      <c r="L21" s="133"/>
      <c r="M21" s="133"/>
      <c r="N21" s="133"/>
      <c r="O21" s="133"/>
      <c r="P21" s="126"/>
      <c r="Q21" s="90"/>
    </row>
    <row r="22" spans="2:21">
      <c r="B22" s="90" t="s">
        <v>240</v>
      </c>
      <c r="C22" s="138" t="s">
        <v>165</v>
      </c>
      <c r="D22" s="141">
        <v>83717</v>
      </c>
      <c r="E22" s="141">
        <v>95786</v>
      </c>
      <c r="F22" s="141">
        <v>105058</v>
      </c>
      <c r="G22" s="141">
        <v>112056</v>
      </c>
      <c r="H22" s="141">
        <v>116241</v>
      </c>
      <c r="I22" s="141">
        <v>115357</v>
      </c>
      <c r="J22" s="367">
        <v>120875</v>
      </c>
      <c r="K22" s="367">
        <v>137005</v>
      </c>
      <c r="L22" s="141">
        <v>146708</v>
      </c>
      <c r="M22" s="141">
        <v>150527</v>
      </c>
      <c r="N22" s="141">
        <v>146585</v>
      </c>
      <c r="O22" s="141">
        <v>140551</v>
      </c>
      <c r="P22" s="141">
        <v>143208</v>
      </c>
      <c r="Q22" s="82"/>
      <c r="R22" s="82"/>
      <c r="S22" s="82"/>
      <c r="T22" s="82"/>
      <c r="U22" s="82"/>
    </row>
    <row r="23" spans="2:21" hidden="1" outlineLevel="2">
      <c r="B23" s="90" t="s">
        <v>240</v>
      </c>
      <c r="C23" s="138" t="s">
        <v>357</v>
      </c>
      <c r="D23" s="141">
        <v>7144</v>
      </c>
      <c r="E23" s="141">
        <v>8830</v>
      </c>
      <c r="F23" s="141">
        <v>10373</v>
      </c>
      <c r="G23" s="141">
        <v>13502</v>
      </c>
      <c r="H23" s="141">
        <v>8542</v>
      </c>
      <c r="I23" s="141">
        <v>20201</v>
      </c>
      <c r="J23" s="367">
        <v>18343</v>
      </c>
      <c r="K23" s="367">
        <v>13726</v>
      </c>
      <c r="L23" s="141">
        <v>21495</v>
      </c>
      <c r="M23" s="141">
        <v>21612</v>
      </c>
      <c r="N23" s="141">
        <v>21971</v>
      </c>
      <c r="O23" s="141">
        <v>22473</v>
      </c>
      <c r="P23" s="141">
        <v>20540</v>
      </c>
      <c r="Q23" s="82"/>
      <c r="R23" s="82"/>
      <c r="S23" s="82"/>
      <c r="T23" s="82"/>
      <c r="U23" s="82"/>
    </row>
    <row r="24" spans="2:21" hidden="1" outlineLevel="2">
      <c r="B24" s="90" t="s">
        <v>240</v>
      </c>
      <c r="C24" s="138" t="s">
        <v>1244</v>
      </c>
      <c r="D24" s="141">
        <v>9014</v>
      </c>
      <c r="E24" s="141">
        <v>9987</v>
      </c>
      <c r="F24" s="141">
        <v>12155</v>
      </c>
      <c r="G24" s="141">
        <v>13518</v>
      </c>
      <c r="H24" s="141">
        <v>13452</v>
      </c>
      <c r="I24" s="141">
        <v>9943</v>
      </c>
      <c r="J24" s="367">
        <v>12134</v>
      </c>
      <c r="K24" s="367">
        <v>11968</v>
      </c>
      <c r="L24" s="141">
        <v>11949</v>
      </c>
      <c r="M24" s="141">
        <v>12431</v>
      </c>
      <c r="N24" s="141">
        <v>12547</v>
      </c>
      <c r="O24" s="141">
        <v>11511</v>
      </c>
      <c r="P24" s="141">
        <v>13012</v>
      </c>
      <c r="Q24" s="369"/>
      <c r="R24" s="82"/>
      <c r="S24" s="82"/>
      <c r="T24" s="82"/>
      <c r="U24" s="82"/>
    </row>
    <row r="25" spans="2:21" hidden="1" outlineLevel="2">
      <c r="B25" s="90" t="s">
        <v>240</v>
      </c>
      <c r="C25" s="138" t="s">
        <v>266</v>
      </c>
      <c r="D25" s="141">
        <v>0</v>
      </c>
      <c r="E25" s="141">
        <v>0</v>
      </c>
      <c r="F25" s="141">
        <v>0</v>
      </c>
      <c r="G25" s="141">
        <v>0</v>
      </c>
      <c r="H25" s="141">
        <v>10175</v>
      </c>
      <c r="I25" s="141">
        <v>10732</v>
      </c>
      <c r="J25" s="82">
        <v>12331</v>
      </c>
      <c r="K25" s="82">
        <v>13372</v>
      </c>
      <c r="L25" s="141">
        <v>1729</v>
      </c>
      <c r="M25" s="141">
        <v>2082</v>
      </c>
      <c r="N25" s="141">
        <v>11664</v>
      </c>
      <c r="O25" s="141">
        <v>12102</v>
      </c>
      <c r="P25" s="141">
        <v>12336</v>
      </c>
      <c r="Q25" s="82"/>
      <c r="R25" s="82"/>
      <c r="S25" s="82"/>
      <c r="T25" s="82"/>
      <c r="U25" s="82"/>
    </row>
    <row r="26" spans="2:21" hidden="1" outlineLevel="2">
      <c r="B26" s="90" t="s">
        <v>240</v>
      </c>
      <c r="C26" s="138" t="s">
        <v>1245</v>
      </c>
      <c r="D26" s="141">
        <v>0</v>
      </c>
      <c r="E26" s="141">
        <v>0</v>
      </c>
      <c r="F26" s="141">
        <v>0</v>
      </c>
      <c r="G26" s="141">
        <v>0</v>
      </c>
      <c r="H26" s="141">
        <v>-13533</v>
      </c>
      <c r="I26" s="141">
        <v>-11581</v>
      </c>
      <c r="J26" s="82">
        <v>-11605</v>
      </c>
      <c r="K26" s="82">
        <v>-12552</v>
      </c>
      <c r="L26" s="141">
        <v>-14099</v>
      </c>
      <c r="M26" s="141">
        <v>-13371</v>
      </c>
      <c r="N26" s="141">
        <v>-11055</v>
      </c>
      <c r="O26" s="141">
        <v>-12167</v>
      </c>
      <c r="P26" s="141">
        <v>-10780</v>
      </c>
      <c r="Q26" s="82"/>
      <c r="R26" s="82"/>
      <c r="S26" s="82"/>
      <c r="T26" s="82"/>
      <c r="U26" s="82"/>
    </row>
    <row r="27" spans="2:21" outlineLevel="1" collapsed="1">
      <c r="B27" s="173" t="s">
        <v>287</v>
      </c>
      <c r="C27" s="138"/>
      <c r="D27" s="159">
        <f t="shared" ref="D27:O27" si="0">SUBTOTAL(9,D22:D26)</f>
        <v>99875</v>
      </c>
      <c r="E27" s="159">
        <f t="shared" si="0"/>
        <v>114603</v>
      </c>
      <c r="F27" s="159">
        <f t="shared" si="0"/>
        <v>127586</v>
      </c>
      <c r="G27" s="159">
        <f t="shared" si="0"/>
        <v>139076</v>
      </c>
      <c r="H27" s="159">
        <f t="shared" si="0"/>
        <v>134877</v>
      </c>
      <c r="I27" s="159">
        <f t="shared" si="0"/>
        <v>144652</v>
      </c>
      <c r="J27" s="159">
        <f t="shared" si="0"/>
        <v>152078</v>
      </c>
      <c r="K27" s="159">
        <f t="shared" si="0"/>
        <v>163519</v>
      </c>
      <c r="L27" s="159">
        <f t="shared" si="0"/>
        <v>167782</v>
      </c>
      <c r="M27" s="159">
        <f t="shared" si="0"/>
        <v>173281</v>
      </c>
      <c r="N27" s="159">
        <f t="shared" si="0"/>
        <v>181712</v>
      </c>
      <c r="O27" s="159">
        <f t="shared" si="0"/>
        <v>174470</v>
      </c>
      <c r="P27" s="159">
        <f>SUBTOTAL(9,P22:P26)</f>
        <v>178316</v>
      </c>
      <c r="Q27" s="82"/>
      <c r="R27" s="82"/>
      <c r="S27" s="82"/>
      <c r="T27" s="82"/>
      <c r="U27" s="82"/>
    </row>
    <row r="28" spans="2:21" s="133" customFormat="1" outlineLevel="1">
      <c r="C28" s="138"/>
      <c r="D28" s="141"/>
      <c r="E28" s="141"/>
      <c r="F28" s="141"/>
      <c r="G28" s="141"/>
      <c r="H28" s="141"/>
      <c r="I28" s="141"/>
      <c r="J28" s="141"/>
      <c r="K28" s="141"/>
      <c r="L28" s="141"/>
      <c r="M28" s="141"/>
      <c r="N28" s="141"/>
      <c r="O28" s="141"/>
      <c r="P28" s="142"/>
      <c r="Q28" s="142"/>
      <c r="R28" s="142"/>
      <c r="S28" s="142"/>
      <c r="T28" s="142"/>
      <c r="U28" s="142"/>
    </row>
    <row r="29" spans="2:21" s="133" customFormat="1" hidden="1" outlineLevel="2">
      <c r="B29" s="133" t="s">
        <v>30</v>
      </c>
      <c r="C29" s="138" t="s">
        <v>30</v>
      </c>
      <c r="D29" s="141">
        <v>103529</v>
      </c>
      <c r="E29" s="141">
        <v>103035</v>
      </c>
      <c r="F29" s="141">
        <v>105622</v>
      </c>
      <c r="G29" s="141">
        <v>130592</v>
      </c>
      <c r="H29" s="141">
        <v>144185</v>
      </c>
      <c r="I29" s="141">
        <v>161803</v>
      </c>
      <c r="J29" s="141">
        <v>160771</v>
      </c>
      <c r="K29" s="141">
        <v>170763</v>
      </c>
      <c r="L29" s="141">
        <v>172022</v>
      </c>
      <c r="M29" s="141">
        <v>182863</v>
      </c>
      <c r="N29" s="141">
        <v>185829</v>
      </c>
      <c r="O29" s="141">
        <v>206134</v>
      </c>
      <c r="P29" s="141">
        <v>214897</v>
      </c>
      <c r="Q29" s="142"/>
      <c r="R29" s="142"/>
      <c r="S29" s="142"/>
      <c r="T29" s="142"/>
      <c r="U29" s="142"/>
    </row>
    <row r="30" spans="2:21" s="133" customFormat="1" outlineLevel="1" collapsed="1">
      <c r="B30" s="106" t="s">
        <v>288</v>
      </c>
      <c r="C30" s="138"/>
      <c r="D30" s="159">
        <f t="shared" ref="D30:P30" si="1">SUBTOTAL(9,D29:D29)</f>
        <v>103529</v>
      </c>
      <c r="E30" s="159">
        <f t="shared" si="1"/>
        <v>103035</v>
      </c>
      <c r="F30" s="159">
        <f t="shared" si="1"/>
        <v>105622</v>
      </c>
      <c r="G30" s="159">
        <f t="shared" si="1"/>
        <v>130592</v>
      </c>
      <c r="H30" s="159">
        <f t="shared" si="1"/>
        <v>144185</v>
      </c>
      <c r="I30" s="159">
        <f t="shared" si="1"/>
        <v>161803</v>
      </c>
      <c r="J30" s="159">
        <f t="shared" si="1"/>
        <v>160771</v>
      </c>
      <c r="K30" s="159">
        <f t="shared" si="1"/>
        <v>170763</v>
      </c>
      <c r="L30" s="159">
        <f t="shared" si="1"/>
        <v>172022</v>
      </c>
      <c r="M30" s="159">
        <f t="shared" si="1"/>
        <v>182863</v>
      </c>
      <c r="N30" s="159">
        <f t="shared" si="1"/>
        <v>185829</v>
      </c>
      <c r="O30" s="159">
        <f t="shared" si="1"/>
        <v>206134</v>
      </c>
      <c r="P30" s="159">
        <f t="shared" si="1"/>
        <v>214897</v>
      </c>
      <c r="Q30" s="142"/>
      <c r="R30" s="142"/>
      <c r="S30" s="142"/>
      <c r="T30" s="142"/>
      <c r="U30" s="142"/>
    </row>
    <row r="31" spans="2:21" s="133" customFormat="1" outlineLevel="1">
      <c r="B31" s="106"/>
      <c r="C31" s="138"/>
      <c r="D31" s="141"/>
      <c r="E31" s="141"/>
      <c r="F31" s="141"/>
      <c r="G31" s="141"/>
      <c r="H31" s="141"/>
      <c r="I31" s="141"/>
      <c r="J31" s="141"/>
      <c r="K31" s="141"/>
      <c r="L31" s="141"/>
      <c r="M31" s="141"/>
      <c r="N31" s="141"/>
      <c r="O31" s="141"/>
      <c r="P31" s="141"/>
      <c r="Q31" s="142"/>
      <c r="R31" s="142"/>
      <c r="S31" s="142"/>
      <c r="T31" s="142"/>
      <c r="U31" s="142"/>
    </row>
    <row r="32" spans="2:21" s="133" customFormat="1" outlineLevel="1">
      <c r="B32" s="106"/>
      <c r="C32" s="138"/>
      <c r="D32" s="141"/>
      <c r="E32" s="141"/>
      <c r="F32" s="141"/>
      <c r="G32" s="141"/>
      <c r="H32" s="141"/>
      <c r="I32" s="141"/>
      <c r="J32" s="141"/>
      <c r="K32" s="141"/>
      <c r="L32" s="141"/>
      <c r="M32" s="141"/>
      <c r="N32" s="141"/>
      <c r="O32" s="141"/>
      <c r="P32" s="141"/>
      <c r="Q32" s="142"/>
      <c r="R32" s="142"/>
      <c r="S32" s="142"/>
      <c r="T32" s="142"/>
      <c r="U32" s="142"/>
    </row>
    <row r="33" spans="1:24" s="133" customFormat="1" hidden="1" outlineLevel="2">
      <c r="B33" s="133" t="s">
        <v>1241</v>
      </c>
      <c r="C33" s="90" t="s">
        <v>1216</v>
      </c>
      <c r="D33" s="90">
        <v>0</v>
      </c>
      <c r="E33" s="90">
        <v>0</v>
      </c>
      <c r="F33" s="90">
        <v>0</v>
      </c>
      <c r="G33" s="90">
        <v>0</v>
      </c>
      <c r="H33" s="90">
        <v>0</v>
      </c>
      <c r="I33" s="90">
        <v>0</v>
      </c>
      <c r="J33" s="90">
        <v>0</v>
      </c>
      <c r="K33" s="90">
        <v>0</v>
      </c>
      <c r="L33" s="90">
        <v>0</v>
      </c>
      <c r="M33" s="126">
        <v>28056</v>
      </c>
      <c r="N33" s="126">
        <v>26722</v>
      </c>
      <c r="O33" s="82">
        <v>29481</v>
      </c>
      <c r="P33" s="82">
        <v>30344</v>
      </c>
      <c r="Q33" s="142"/>
      <c r="R33" s="142"/>
      <c r="S33" s="142"/>
      <c r="T33" s="142"/>
      <c r="U33" s="142"/>
    </row>
    <row r="34" spans="1:24" s="133" customFormat="1" hidden="1" outlineLevel="2">
      <c r="B34" s="133" t="s">
        <v>1241</v>
      </c>
      <c r="C34" s="90" t="s">
        <v>1217</v>
      </c>
      <c r="D34" s="90">
        <v>0</v>
      </c>
      <c r="E34" s="90">
        <v>0</v>
      </c>
      <c r="F34" s="90">
        <v>0</v>
      </c>
      <c r="G34" s="90">
        <v>0</v>
      </c>
      <c r="H34" s="90">
        <v>0</v>
      </c>
      <c r="I34" s="90">
        <v>0</v>
      </c>
      <c r="J34" s="90">
        <v>0</v>
      </c>
      <c r="K34" s="90">
        <v>0</v>
      </c>
      <c r="L34" s="90">
        <v>0</v>
      </c>
      <c r="M34" s="126">
        <v>167989</v>
      </c>
      <c r="N34" s="126">
        <v>165025</v>
      </c>
      <c r="O34" s="82">
        <v>177803</v>
      </c>
      <c r="P34" s="82">
        <v>186684</v>
      </c>
      <c r="Q34" s="142"/>
      <c r="R34" s="142"/>
      <c r="S34" s="142"/>
      <c r="T34" s="142"/>
      <c r="U34" s="142"/>
    </row>
    <row r="35" spans="1:24" s="133" customFormat="1" hidden="1" outlineLevel="2">
      <c r="B35" s="133" t="s">
        <v>1241</v>
      </c>
      <c r="C35" s="90" t="s">
        <v>1188</v>
      </c>
      <c r="D35" s="82">
        <v>31274</v>
      </c>
      <c r="E35" s="82">
        <v>42726</v>
      </c>
      <c r="F35" s="82">
        <v>49573</v>
      </c>
      <c r="G35" s="82">
        <v>45933</v>
      </c>
      <c r="H35" s="82">
        <v>57401</v>
      </c>
      <c r="I35" s="82">
        <v>52657</v>
      </c>
      <c r="J35" s="82">
        <v>54200</v>
      </c>
      <c r="K35" s="82">
        <v>57780</v>
      </c>
      <c r="L35" s="82">
        <v>65367</v>
      </c>
      <c r="M35" s="126">
        <v>67854</v>
      </c>
      <c r="N35" s="126">
        <v>79527</v>
      </c>
      <c r="O35" s="82">
        <v>79052</v>
      </c>
      <c r="P35" s="82">
        <v>89566</v>
      </c>
      <c r="Q35" s="142"/>
      <c r="R35" s="142"/>
      <c r="S35" s="142"/>
      <c r="T35" s="142"/>
      <c r="U35" s="142"/>
    </row>
    <row r="36" spans="1:24" s="133" customFormat="1" hidden="1" outlineLevel="2">
      <c r="B36" s="133" t="s">
        <v>1241</v>
      </c>
      <c r="C36" s="90" t="s">
        <v>1218</v>
      </c>
      <c r="D36" s="82">
        <v>70589</v>
      </c>
      <c r="E36" s="82">
        <v>79456</v>
      </c>
      <c r="F36" s="82">
        <v>85336</v>
      </c>
      <c r="G36" s="82">
        <v>131933</v>
      </c>
      <c r="H36" s="82">
        <v>151155</v>
      </c>
      <c r="I36" s="82">
        <v>185153</v>
      </c>
      <c r="J36" s="82">
        <v>219986</v>
      </c>
      <c r="K36" s="82">
        <v>237015</v>
      </c>
      <c r="L36" s="82">
        <v>257905</v>
      </c>
      <c r="M36" s="126">
        <v>69963</v>
      </c>
      <c r="N36" s="126">
        <v>75482</v>
      </c>
      <c r="O36" s="82">
        <v>83829</v>
      </c>
      <c r="P36" s="82">
        <v>93041</v>
      </c>
      <c r="Q36" s="142"/>
      <c r="R36" s="142"/>
      <c r="S36" s="142"/>
      <c r="T36" s="142"/>
      <c r="U36" s="142"/>
    </row>
    <row r="37" spans="1:24" s="133" customFormat="1" hidden="1" outlineLevel="2">
      <c r="B37" s="133" t="s">
        <v>1241</v>
      </c>
      <c r="C37" s="90" t="s">
        <v>1219</v>
      </c>
      <c r="D37" s="82">
        <v>17234</v>
      </c>
      <c r="E37" s="82">
        <v>20910</v>
      </c>
      <c r="F37" s="82">
        <v>21260</v>
      </c>
      <c r="G37" s="82">
        <v>24205</v>
      </c>
      <c r="H37" s="82">
        <v>14487</v>
      </c>
      <c r="I37" s="82">
        <v>13955</v>
      </c>
      <c r="J37" s="82">
        <v>23626</v>
      </c>
      <c r="K37" s="82">
        <v>22506</v>
      </c>
      <c r="L37" s="82">
        <v>25095</v>
      </c>
      <c r="M37" s="126">
        <v>28453</v>
      </c>
      <c r="N37" s="126">
        <v>26100</v>
      </c>
      <c r="O37" s="82">
        <v>25168</v>
      </c>
      <c r="P37" s="82">
        <v>24525</v>
      </c>
      <c r="Q37" s="142"/>
      <c r="R37" s="142"/>
      <c r="S37" s="142"/>
      <c r="T37" s="142"/>
      <c r="U37" s="142"/>
    </row>
    <row r="38" spans="1:24" s="133" customFormat="1" hidden="1" outlineLevel="2">
      <c r="B38" s="133" t="s">
        <v>1241</v>
      </c>
      <c r="C38" s="90" t="s">
        <v>1220</v>
      </c>
      <c r="D38" s="304">
        <v>0</v>
      </c>
      <c r="E38" s="304">
        <v>0</v>
      </c>
      <c r="F38" s="304">
        <v>0</v>
      </c>
      <c r="G38" s="304">
        <v>0</v>
      </c>
      <c r="H38" s="304">
        <v>0</v>
      </c>
      <c r="I38" s="304">
        <v>0</v>
      </c>
      <c r="J38" s="304">
        <v>0</v>
      </c>
      <c r="K38" s="304">
        <v>38089</v>
      </c>
      <c r="L38" s="304">
        <v>35985</v>
      </c>
      <c r="M38" s="366">
        <v>27822</v>
      </c>
      <c r="N38" s="366">
        <v>30215</v>
      </c>
      <c r="O38" s="304">
        <v>39444</v>
      </c>
      <c r="P38" s="304">
        <v>43742</v>
      </c>
      <c r="Q38" s="142"/>
      <c r="R38" s="142"/>
      <c r="S38" s="142"/>
      <c r="T38" s="142"/>
      <c r="U38" s="142"/>
    </row>
    <row r="39" spans="1:24" s="133" customFormat="1" hidden="1" outlineLevel="2">
      <c r="B39" s="133" t="s">
        <v>1241</v>
      </c>
      <c r="C39" s="90" t="s">
        <v>1221</v>
      </c>
      <c r="D39" s="82">
        <v>0</v>
      </c>
      <c r="E39" s="82">
        <v>0</v>
      </c>
      <c r="F39" s="82">
        <v>0</v>
      </c>
      <c r="G39" s="82">
        <v>0</v>
      </c>
      <c r="H39" s="82">
        <v>0</v>
      </c>
      <c r="I39" s="82">
        <v>0</v>
      </c>
      <c r="J39" s="82">
        <v>0</v>
      </c>
      <c r="K39" s="82">
        <v>0</v>
      </c>
      <c r="L39" s="82">
        <v>0</v>
      </c>
      <c r="M39" s="126">
        <v>21704</v>
      </c>
      <c r="N39" s="126">
        <v>24067</v>
      </c>
      <c r="O39" s="82">
        <v>24302</v>
      </c>
      <c r="P39" s="82">
        <v>22631</v>
      </c>
      <c r="Q39" s="142"/>
      <c r="R39" s="142"/>
      <c r="S39" s="142"/>
      <c r="T39" s="142"/>
      <c r="U39" s="142"/>
    </row>
    <row r="40" spans="1:24" s="133" customFormat="1" hidden="1" outlineLevel="2">
      <c r="B40" s="133" t="s">
        <v>1241</v>
      </c>
      <c r="C40" s="90" t="s">
        <v>1222</v>
      </c>
      <c r="D40" s="82">
        <v>0</v>
      </c>
      <c r="E40" s="82">
        <v>0</v>
      </c>
      <c r="F40" s="82">
        <v>0</v>
      </c>
      <c r="G40" s="82">
        <v>0</v>
      </c>
      <c r="H40" s="82">
        <v>0</v>
      </c>
      <c r="I40" s="82">
        <v>0</v>
      </c>
      <c r="J40" s="82">
        <v>0</v>
      </c>
      <c r="K40" s="82">
        <v>0</v>
      </c>
      <c r="L40" s="82">
        <v>0</v>
      </c>
      <c r="M40" s="126">
        <v>23754</v>
      </c>
      <c r="N40" s="126">
        <v>23802</v>
      </c>
      <c r="O40" s="82">
        <v>33069</v>
      </c>
      <c r="P40" s="82">
        <v>28136</v>
      </c>
      <c r="Q40" s="142"/>
      <c r="R40" s="142"/>
      <c r="S40" s="142"/>
      <c r="T40" s="142"/>
      <c r="U40" s="142"/>
    </row>
    <row r="41" spans="1:24" s="133" customFormat="1" hidden="1" outlineLevel="2">
      <c r="B41" s="133" t="s">
        <v>1241</v>
      </c>
      <c r="C41" s="90" t="s">
        <v>344</v>
      </c>
      <c r="D41" s="82">
        <v>0</v>
      </c>
      <c r="E41" s="82">
        <v>0</v>
      </c>
      <c r="F41" s="82">
        <v>0</v>
      </c>
      <c r="G41" s="82">
        <v>0</v>
      </c>
      <c r="H41" s="82">
        <v>0</v>
      </c>
      <c r="I41" s="82">
        <v>16586</v>
      </c>
      <c r="J41" s="82">
        <v>22764</v>
      </c>
      <c r="K41" s="82">
        <v>22487</v>
      </c>
      <c r="L41" s="82">
        <v>22890</v>
      </c>
      <c r="M41" s="126">
        <v>22705</v>
      </c>
      <c r="N41" s="126">
        <v>19551</v>
      </c>
      <c r="O41" s="82">
        <v>18465</v>
      </c>
      <c r="P41" s="82">
        <v>19004</v>
      </c>
      <c r="Q41" s="142"/>
      <c r="R41" s="142"/>
      <c r="S41" s="142"/>
      <c r="T41" s="142"/>
      <c r="U41" s="142"/>
    </row>
    <row r="42" spans="1:24" s="133" customFormat="1" hidden="1" outlineLevel="2">
      <c r="B42" s="133" t="s">
        <v>1241</v>
      </c>
      <c r="C42" s="90" t="s">
        <v>1223</v>
      </c>
      <c r="D42" s="82">
        <v>0</v>
      </c>
      <c r="E42" s="82">
        <v>0</v>
      </c>
      <c r="F42" s="82">
        <v>0</v>
      </c>
      <c r="G42" s="82">
        <v>0</v>
      </c>
      <c r="H42" s="82">
        <v>0</v>
      </c>
      <c r="I42" s="82">
        <v>0</v>
      </c>
      <c r="J42" s="82">
        <v>0</v>
      </c>
      <c r="K42" s="82">
        <v>0</v>
      </c>
      <c r="L42" s="82">
        <v>0</v>
      </c>
      <c r="M42" s="82">
        <v>0</v>
      </c>
      <c r="N42" s="82">
        <v>0</v>
      </c>
      <c r="O42" s="82">
        <v>16770</v>
      </c>
      <c r="P42" s="82">
        <v>13816</v>
      </c>
      <c r="Q42" s="142"/>
      <c r="R42" s="142"/>
      <c r="S42" s="142"/>
      <c r="T42" s="142"/>
      <c r="U42" s="142"/>
    </row>
    <row r="43" spans="1:24" s="133" customFormat="1" hidden="1" outlineLevel="2">
      <c r="B43" s="133" t="s">
        <v>1241</v>
      </c>
      <c r="C43" s="90" t="s">
        <v>1224</v>
      </c>
      <c r="D43" s="304">
        <v>0</v>
      </c>
      <c r="E43" s="304">
        <v>0</v>
      </c>
      <c r="F43" s="304">
        <v>0</v>
      </c>
      <c r="G43" s="304">
        <v>0</v>
      </c>
      <c r="H43" s="304">
        <v>0</v>
      </c>
      <c r="I43" s="304">
        <v>0</v>
      </c>
      <c r="J43" s="304">
        <v>0</v>
      </c>
      <c r="K43" s="304">
        <v>0</v>
      </c>
      <c r="L43" s="304">
        <v>0</v>
      </c>
      <c r="M43" s="304">
        <v>0</v>
      </c>
      <c r="N43" s="304">
        <v>0</v>
      </c>
      <c r="O43" s="304">
        <v>10638</v>
      </c>
      <c r="P43" s="304">
        <v>9360</v>
      </c>
      <c r="Q43" s="142"/>
      <c r="R43" s="142"/>
      <c r="S43" s="142"/>
      <c r="T43" s="142"/>
      <c r="U43" s="142"/>
    </row>
    <row r="44" spans="1:24" s="133" customFormat="1" hidden="1" outlineLevel="2">
      <c r="B44" s="133" t="s">
        <v>1241</v>
      </c>
      <c r="C44" s="90" t="s">
        <v>1225</v>
      </c>
      <c r="D44" s="82">
        <v>85680</v>
      </c>
      <c r="E44" s="82">
        <v>98002</v>
      </c>
      <c r="F44" s="82">
        <v>98737</v>
      </c>
      <c r="G44" s="82">
        <v>96181</v>
      </c>
      <c r="H44" s="82">
        <v>87278</v>
      </c>
      <c r="I44" s="82">
        <v>83658</v>
      </c>
      <c r="J44" s="82">
        <v>92137</v>
      </c>
      <c r="K44" s="82">
        <v>108634</v>
      </c>
      <c r="L44" s="82">
        <v>107994</v>
      </c>
      <c r="M44" s="126">
        <v>50754</v>
      </c>
      <c r="N44" s="126">
        <v>51581</v>
      </c>
      <c r="O44" s="82">
        <v>41813</v>
      </c>
      <c r="P44" s="82">
        <v>45002</v>
      </c>
      <c r="Q44" s="142"/>
      <c r="R44" s="142"/>
      <c r="S44" s="142"/>
      <c r="T44" s="142"/>
      <c r="U44" s="142"/>
    </row>
    <row r="45" spans="1:24" s="133" customFormat="1" outlineLevel="1" collapsed="1">
      <c r="B45" s="106" t="s">
        <v>1242</v>
      </c>
      <c r="C45" s="90"/>
      <c r="D45" s="305">
        <f t="shared" ref="D45:P45" si="2">SUBTOTAL(9,D33:D44)</f>
        <v>204777</v>
      </c>
      <c r="E45" s="305">
        <f t="shared" si="2"/>
        <v>241094</v>
      </c>
      <c r="F45" s="305">
        <f t="shared" si="2"/>
        <v>254906</v>
      </c>
      <c r="G45" s="305">
        <f t="shared" si="2"/>
        <v>298252</v>
      </c>
      <c r="H45" s="305">
        <f t="shared" si="2"/>
        <v>310321</v>
      </c>
      <c r="I45" s="305">
        <f t="shared" si="2"/>
        <v>352009</v>
      </c>
      <c r="J45" s="305">
        <f t="shared" si="2"/>
        <v>412713</v>
      </c>
      <c r="K45" s="305">
        <f t="shared" si="2"/>
        <v>486511</v>
      </c>
      <c r="L45" s="305">
        <f t="shared" si="2"/>
        <v>515236</v>
      </c>
      <c r="M45" s="368">
        <f t="shared" si="2"/>
        <v>509054</v>
      </c>
      <c r="N45" s="368">
        <f t="shared" si="2"/>
        <v>522072</v>
      </c>
      <c r="O45" s="305">
        <f t="shared" si="2"/>
        <v>579834</v>
      </c>
      <c r="P45" s="305">
        <f t="shared" si="2"/>
        <v>605851</v>
      </c>
      <c r="Q45" s="142"/>
      <c r="R45" s="142"/>
      <c r="S45" s="142"/>
      <c r="T45" s="142"/>
      <c r="U45" s="142"/>
    </row>
    <row r="46" spans="1:24" s="133" customFormat="1" outlineLevel="1">
      <c r="B46" s="90"/>
      <c r="C46" s="90"/>
      <c r="D46" s="82"/>
      <c r="E46" s="82"/>
      <c r="F46" s="82"/>
      <c r="G46" s="82"/>
      <c r="H46" s="82"/>
      <c r="I46" s="82"/>
      <c r="J46" s="82"/>
      <c r="K46" s="82"/>
      <c r="L46" s="82"/>
      <c r="M46" s="126"/>
      <c r="N46" s="126"/>
      <c r="O46" s="82"/>
      <c r="P46" s="82"/>
      <c r="Q46" s="142"/>
      <c r="R46" s="142"/>
      <c r="S46" s="142"/>
      <c r="T46" s="142"/>
      <c r="U46" s="142"/>
    </row>
    <row r="47" spans="1:24" s="133" customFormat="1" hidden="1" outlineLevel="2">
      <c r="A47" s="138"/>
      <c r="B47" s="133" t="s">
        <v>256</v>
      </c>
      <c r="C47" s="138" t="s">
        <v>1319</v>
      </c>
      <c r="D47" s="141">
        <v>0</v>
      </c>
      <c r="E47" s="141">
        <v>0</v>
      </c>
      <c r="F47" s="141">
        <v>0</v>
      </c>
      <c r="G47" s="141">
        <v>0</v>
      </c>
      <c r="H47" s="141">
        <v>15365</v>
      </c>
      <c r="I47" s="141">
        <v>4903</v>
      </c>
      <c r="J47" s="141">
        <v>982</v>
      </c>
      <c r="K47" s="141">
        <v>3935</v>
      </c>
      <c r="L47" s="141">
        <v>298</v>
      </c>
      <c r="M47" s="141">
        <v>13235</v>
      </c>
      <c r="N47" s="141">
        <v>467</v>
      </c>
      <c r="O47" s="141">
        <v>1473</v>
      </c>
      <c r="P47" s="141">
        <v>22741</v>
      </c>
      <c r="Q47" s="131"/>
      <c r="R47" s="131"/>
      <c r="U47" s="156"/>
      <c r="X47" s="131"/>
    </row>
    <row r="48" spans="1:24" s="133" customFormat="1" hidden="1" outlineLevel="2">
      <c r="A48" s="138"/>
      <c r="B48" s="133" t="s">
        <v>256</v>
      </c>
      <c r="C48" s="138" t="s">
        <v>1166</v>
      </c>
      <c r="D48" s="141">
        <v>0</v>
      </c>
      <c r="E48" s="141">
        <v>0</v>
      </c>
      <c r="F48" s="141">
        <v>46757</v>
      </c>
      <c r="G48" s="141">
        <v>26878</v>
      </c>
      <c r="H48" s="141">
        <v>0</v>
      </c>
      <c r="I48" s="141">
        <v>0</v>
      </c>
      <c r="J48" s="141">
        <v>0</v>
      </c>
      <c r="K48" s="141">
        <v>0</v>
      </c>
      <c r="L48" s="141">
        <v>0</v>
      </c>
      <c r="M48" s="141">
        <v>0</v>
      </c>
      <c r="N48" s="141">
        <v>0</v>
      </c>
      <c r="O48" s="141">
        <v>0</v>
      </c>
      <c r="P48" s="141">
        <v>0</v>
      </c>
      <c r="Q48" s="131"/>
      <c r="R48" s="131"/>
      <c r="U48" s="156"/>
      <c r="X48" s="131"/>
    </row>
    <row r="49" spans="1:24" s="133" customFormat="1" outlineLevel="1" collapsed="1">
      <c r="A49" s="138"/>
      <c r="B49" s="106" t="s">
        <v>289</v>
      </c>
      <c r="C49" s="138"/>
      <c r="D49" s="159">
        <f t="shared" ref="D49:P49" si="3">SUBTOTAL(9,D47:D48)</f>
        <v>0</v>
      </c>
      <c r="E49" s="159">
        <f t="shared" si="3"/>
        <v>0</v>
      </c>
      <c r="F49" s="159">
        <f t="shared" si="3"/>
        <v>46757</v>
      </c>
      <c r="G49" s="159">
        <f t="shared" si="3"/>
        <v>26878</v>
      </c>
      <c r="H49" s="159">
        <f t="shared" si="3"/>
        <v>15365</v>
      </c>
      <c r="I49" s="159">
        <f t="shared" si="3"/>
        <v>4903</v>
      </c>
      <c r="J49" s="159">
        <f t="shared" si="3"/>
        <v>982</v>
      </c>
      <c r="K49" s="159">
        <f t="shared" si="3"/>
        <v>3935</v>
      </c>
      <c r="L49" s="159">
        <f t="shared" si="3"/>
        <v>298</v>
      </c>
      <c r="M49" s="159">
        <f t="shared" si="3"/>
        <v>13235</v>
      </c>
      <c r="N49" s="159">
        <f t="shared" si="3"/>
        <v>467</v>
      </c>
      <c r="O49" s="159">
        <f t="shared" si="3"/>
        <v>1473</v>
      </c>
      <c r="P49" s="159">
        <f t="shared" si="3"/>
        <v>22741</v>
      </c>
      <c r="Q49" s="131"/>
      <c r="R49" s="131"/>
      <c r="U49" s="156"/>
      <c r="X49" s="131"/>
    </row>
    <row r="50" spans="1:24" s="133" customFormat="1" hidden="1" outlineLevel="2">
      <c r="A50" s="138"/>
      <c r="B50" s="133" t="s">
        <v>1240</v>
      </c>
      <c r="C50" s="138" t="s">
        <v>256</v>
      </c>
      <c r="D50" s="141">
        <v>50043</v>
      </c>
      <c r="E50" s="141">
        <v>36064</v>
      </c>
      <c r="F50" s="141">
        <v>23051</v>
      </c>
      <c r="G50" s="141">
        <v>23417</v>
      </c>
      <c r="H50" s="141">
        <v>17548</v>
      </c>
      <c r="I50" s="141">
        <v>6938</v>
      </c>
      <c r="J50" s="141">
        <v>32026</v>
      </c>
      <c r="K50" s="141">
        <v>11846</v>
      </c>
      <c r="L50" s="141">
        <v>6030</v>
      </c>
      <c r="M50" s="141">
        <v>3803</v>
      </c>
      <c r="N50" s="141">
        <v>4229</v>
      </c>
      <c r="O50" s="141">
        <v>9114</v>
      </c>
      <c r="P50" s="141">
        <v>17690</v>
      </c>
      <c r="Q50" s="131"/>
      <c r="R50" s="131"/>
      <c r="U50" s="156"/>
      <c r="X50" s="131"/>
    </row>
    <row r="51" spans="1:24" s="133" customFormat="1" outlineLevel="1" collapsed="1">
      <c r="A51" s="138"/>
      <c r="B51" s="106" t="s">
        <v>1243</v>
      </c>
      <c r="C51" s="138"/>
      <c r="D51" s="159">
        <f t="shared" ref="D51:P51" si="4">SUBTOTAL(9,D50:D50)</f>
        <v>50043</v>
      </c>
      <c r="E51" s="159">
        <f t="shared" si="4"/>
        <v>36064</v>
      </c>
      <c r="F51" s="159">
        <f t="shared" si="4"/>
        <v>23051</v>
      </c>
      <c r="G51" s="159">
        <f t="shared" si="4"/>
        <v>23417</v>
      </c>
      <c r="H51" s="159">
        <f t="shared" si="4"/>
        <v>17548</v>
      </c>
      <c r="I51" s="159">
        <f t="shared" si="4"/>
        <v>6938</v>
      </c>
      <c r="J51" s="159">
        <f t="shared" si="4"/>
        <v>32026</v>
      </c>
      <c r="K51" s="159">
        <f t="shared" si="4"/>
        <v>11846</v>
      </c>
      <c r="L51" s="159">
        <f t="shared" si="4"/>
        <v>6030</v>
      </c>
      <c r="M51" s="159">
        <f t="shared" si="4"/>
        <v>3803</v>
      </c>
      <c r="N51" s="159">
        <f t="shared" si="4"/>
        <v>4229</v>
      </c>
      <c r="O51" s="159">
        <f t="shared" si="4"/>
        <v>9114</v>
      </c>
      <c r="P51" s="159">
        <f t="shared" si="4"/>
        <v>17690</v>
      </c>
      <c r="Q51" s="131"/>
      <c r="R51" s="131"/>
      <c r="U51" s="156"/>
      <c r="X51" s="131"/>
    </row>
    <row r="52" spans="1:24" outlineLevel="1">
      <c r="C52" s="138"/>
      <c r="D52" s="141"/>
      <c r="E52" s="141"/>
      <c r="F52" s="141"/>
      <c r="G52" s="141"/>
      <c r="H52" s="141"/>
      <c r="I52" s="141"/>
      <c r="J52" s="141"/>
      <c r="K52" s="141"/>
      <c r="L52" s="141"/>
      <c r="M52" s="141"/>
      <c r="N52" s="141"/>
      <c r="O52" s="141"/>
      <c r="R52" s="126"/>
      <c r="U52" s="156"/>
      <c r="V52" s="133"/>
    </row>
    <row r="53" spans="1:24" s="30" customFormat="1" hidden="1" outlineLevel="2">
      <c r="B53" s="90" t="s">
        <v>172</v>
      </c>
      <c r="C53" s="157" t="s">
        <v>1165</v>
      </c>
      <c r="D53" s="141">
        <v>0</v>
      </c>
      <c r="E53" s="141">
        <v>0</v>
      </c>
      <c r="F53" s="141">
        <v>0</v>
      </c>
      <c r="G53" s="141">
        <v>0</v>
      </c>
      <c r="H53" s="141">
        <v>0</v>
      </c>
      <c r="I53" s="141">
        <v>0</v>
      </c>
      <c r="J53" s="141">
        <v>0</v>
      </c>
      <c r="K53" s="141">
        <v>0</v>
      </c>
      <c r="L53" s="141">
        <v>0</v>
      </c>
      <c r="M53" s="141">
        <v>31278</v>
      </c>
      <c r="N53" s="141">
        <v>9135</v>
      </c>
      <c r="O53" s="141">
        <v>0</v>
      </c>
      <c r="P53" s="141">
        <v>0</v>
      </c>
      <c r="Q53" s="123"/>
    </row>
    <row r="54" spans="1:24" s="30" customFormat="1" outlineLevel="1" collapsed="1">
      <c r="B54" s="30" t="s">
        <v>290</v>
      </c>
      <c r="C54" s="157"/>
      <c r="D54" s="159">
        <f t="shared" ref="D54:P54" si="5">SUBTOTAL(9,D53:D53)</f>
        <v>0</v>
      </c>
      <c r="E54" s="159">
        <f t="shared" si="5"/>
        <v>0</v>
      </c>
      <c r="F54" s="159">
        <f t="shared" si="5"/>
        <v>0</v>
      </c>
      <c r="G54" s="159">
        <f t="shared" si="5"/>
        <v>0</v>
      </c>
      <c r="H54" s="159">
        <f t="shared" si="5"/>
        <v>0</v>
      </c>
      <c r="I54" s="159">
        <f t="shared" si="5"/>
        <v>0</v>
      </c>
      <c r="J54" s="159">
        <f t="shared" si="5"/>
        <v>0</v>
      </c>
      <c r="K54" s="159">
        <f t="shared" si="5"/>
        <v>0</v>
      </c>
      <c r="L54" s="159">
        <f t="shared" si="5"/>
        <v>0</v>
      </c>
      <c r="M54" s="159">
        <f t="shared" si="5"/>
        <v>31278</v>
      </c>
      <c r="N54" s="159">
        <f t="shared" si="5"/>
        <v>9135</v>
      </c>
      <c r="O54" s="159">
        <f t="shared" si="5"/>
        <v>0</v>
      </c>
      <c r="P54" s="159">
        <f t="shared" si="5"/>
        <v>0</v>
      </c>
      <c r="Q54" s="123"/>
    </row>
    <row r="55" spans="1:24" s="106" customFormat="1" outlineLevel="1">
      <c r="C55" s="186"/>
      <c r="D55" s="141"/>
      <c r="E55" s="141"/>
      <c r="F55" s="141"/>
      <c r="G55" s="141"/>
      <c r="H55" s="141"/>
      <c r="I55" s="141"/>
      <c r="J55" s="141"/>
      <c r="K55" s="141"/>
      <c r="L55" s="141"/>
      <c r="M55" s="141"/>
      <c r="N55" s="141"/>
      <c r="O55" s="141"/>
      <c r="P55" s="125"/>
      <c r="Q55" s="125"/>
    </row>
    <row r="56" spans="1:24" s="30" customFormat="1">
      <c r="B56" s="30" t="s">
        <v>1215</v>
      </c>
      <c r="C56" s="157"/>
      <c r="D56" s="159">
        <f t="shared" ref="D56:P56" si="6">SUBTOTAL(9,D22:D54)</f>
        <v>458224</v>
      </c>
      <c r="E56" s="159">
        <f t="shared" si="6"/>
        <v>494796</v>
      </c>
      <c r="F56" s="159">
        <f t="shared" si="6"/>
        <v>557922</v>
      </c>
      <c r="G56" s="159">
        <f t="shared" si="6"/>
        <v>618215</v>
      </c>
      <c r="H56" s="159">
        <f t="shared" si="6"/>
        <v>622296</v>
      </c>
      <c r="I56" s="159">
        <f t="shared" si="6"/>
        <v>670305</v>
      </c>
      <c r="J56" s="159">
        <f t="shared" si="6"/>
        <v>758570</v>
      </c>
      <c r="K56" s="159">
        <f t="shared" si="6"/>
        <v>836574</v>
      </c>
      <c r="L56" s="159">
        <f t="shared" si="6"/>
        <v>861368</v>
      </c>
      <c r="M56" s="159">
        <f t="shared" si="6"/>
        <v>913514</v>
      </c>
      <c r="N56" s="159">
        <f t="shared" si="6"/>
        <v>903444</v>
      </c>
      <c r="O56" s="159">
        <f t="shared" si="6"/>
        <v>971025</v>
      </c>
      <c r="P56" s="159">
        <f t="shared" si="6"/>
        <v>1039495</v>
      </c>
      <c r="Q56" s="123"/>
    </row>
    <row r="57" spans="1:24" s="30" customFormat="1">
      <c r="B57" s="138"/>
      <c r="C57" s="138"/>
      <c r="D57" s="141"/>
      <c r="E57" s="141"/>
      <c r="F57" s="141"/>
      <c r="G57" s="141"/>
      <c r="H57" s="141"/>
      <c r="I57" s="141"/>
      <c r="J57" s="141"/>
      <c r="K57" s="141"/>
      <c r="L57" s="141"/>
      <c r="M57" s="141"/>
      <c r="N57" s="141"/>
      <c r="O57" s="141"/>
      <c r="P57" s="123"/>
      <c r="Q57" s="123"/>
    </row>
    <row r="58" spans="1:24" s="106" customFormat="1">
      <c r="B58" s="138" t="s">
        <v>1123</v>
      </c>
      <c r="C58" s="138"/>
      <c r="D58" s="158">
        <f t="shared" ref="D58:O58" si="7">D60-((D27+D30+D45+D49+D51))</f>
        <v>0</v>
      </c>
      <c r="E58" s="158">
        <f t="shared" si="7"/>
        <v>-12505</v>
      </c>
      <c r="F58" s="159">
        <f t="shared" si="7"/>
        <v>-20731</v>
      </c>
      <c r="G58" s="159">
        <f t="shared" si="7"/>
        <v>0</v>
      </c>
      <c r="H58" s="159">
        <f t="shared" si="7"/>
        <v>28965</v>
      </c>
      <c r="I58" s="159">
        <f t="shared" si="7"/>
        <v>-11152</v>
      </c>
      <c r="J58" s="159">
        <f t="shared" si="7"/>
        <v>746</v>
      </c>
      <c r="K58" s="159">
        <f t="shared" si="7"/>
        <v>4441</v>
      </c>
      <c r="L58" s="159">
        <f t="shared" si="7"/>
        <v>19979</v>
      </c>
      <c r="M58" s="159">
        <f t="shared" si="7"/>
        <v>13223</v>
      </c>
      <c r="N58" s="159">
        <f t="shared" si="7"/>
        <v>2025</v>
      </c>
      <c r="O58" s="159">
        <f t="shared" si="7"/>
        <v>3000</v>
      </c>
      <c r="P58" s="159">
        <f>P60-((P27+P30+P45+P49+P51))</f>
        <v>4043</v>
      </c>
      <c r="Q58" s="114"/>
    </row>
    <row r="59" spans="1:24" s="106" customFormat="1">
      <c r="B59" s="138"/>
      <c r="C59" s="138"/>
      <c r="D59" s="141"/>
      <c r="E59" s="141"/>
      <c r="F59" s="141"/>
      <c r="G59" s="141"/>
      <c r="H59" s="141"/>
      <c r="I59" s="141"/>
      <c r="J59" s="141"/>
      <c r="K59" s="141"/>
      <c r="L59" s="141"/>
      <c r="M59" s="141"/>
      <c r="N59" s="141"/>
      <c r="O59" s="141"/>
      <c r="P59" s="125"/>
    </row>
    <row r="60" spans="1:24" s="106" customFormat="1">
      <c r="A60" s="133"/>
      <c r="B60" s="138" t="s">
        <v>1316</v>
      </c>
      <c r="C60" s="138"/>
      <c r="D60" s="159">
        <f>D62-D53</f>
        <v>458224</v>
      </c>
      <c r="E60" s="159">
        <f t="shared" ref="E60:N60" si="8">E62-E53</f>
        <v>482291</v>
      </c>
      <c r="F60" s="159">
        <f t="shared" si="8"/>
        <v>537191</v>
      </c>
      <c r="G60" s="159">
        <f t="shared" si="8"/>
        <v>618215</v>
      </c>
      <c r="H60" s="159">
        <f t="shared" si="8"/>
        <v>651261</v>
      </c>
      <c r="I60" s="159">
        <f t="shared" si="8"/>
        <v>659153</v>
      </c>
      <c r="J60" s="159">
        <f t="shared" si="8"/>
        <v>759316</v>
      </c>
      <c r="K60" s="159">
        <f t="shared" si="8"/>
        <v>841015</v>
      </c>
      <c r="L60" s="159">
        <f t="shared" si="8"/>
        <v>881347</v>
      </c>
      <c r="M60" s="159">
        <f>M62-M53</f>
        <v>895459</v>
      </c>
      <c r="N60" s="159">
        <f t="shared" si="8"/>
        <v>896334</v>
      </c>
      <c r="O60" s="159">
        <f>O62-O53</f>
        <v>974025</v>
      </c>
      <c r="P60" s="159">
        <f>P62-P53</f>
        <v>1043538</v>
      </c>
      <c r="Q60" s="125"/>
      <c r="R60" s="125"/>
      <c r="S60" s="125"/>
      <c r="T60" s="131"/>
      <c r="U60" s="132"/>
    </row>
    <row r="61" spans="1:24" s="30" customFormat="1">
      <c r="A61" s="90"/>
      <c r="B61" s="138"/>
      <c r="C61" s="133"/>
      <c r="D61" s="141"/>
      <c r="E61" s="141"/>
      <c r="F61" s="141"/>
      <c r="G61" s="141"/>
      <c r="H61" s="141"/>
      <c r="I61" s="141"/>
      <c r="J61" s="141"/>
      <c r="K61" s="141"/>
      <c r="L61" s="141"/>
      <c r="M61" s="141"/>
      <c r="N61" s="141"/>
      <c r="O61" s="141"/>
      <c r="P61" s="141"/>
      <c r="Q61" s="124"/>
      <c r="R61" s="79"/>
    </row>
    <row r="62" spans="1:24" s="122" customFormat="1">
      <c r="A62" s="134"/>
      <c r="B62" s="138" t="s">
        <v>1317</v>
      </c>
      <c r="C62" s="138"/>
      <c r="D62" s="97">
        <v>458224</v>
      </c>
      <c r="E62" s="97">
        <v>482291</v>
      </c>
      <c r="F62" s="97">
        <v>537191</v>
      </c>
      <c r="G62" s="97">
        <v>618215</v>
      </c>
      <c r="H62" s="97">
        <v>651261</v>
      </c>
      <c r="I62" s="97">
        <v>659153</v>
      </c>
      <c r="J62" s="97">
        <v>759316</v>
      </c>
      <c r="K62" s="97">
        <v>841015</v>
      </c>
      <c r="L62" s="97">
        <v>881347</v>
      </c>
      <c r="M62" s="97">
        <v>926737</v>
      </c>
      <c r="N62" s="97">
        <v>905469</v>
      </c>
      <c r="O62" s="97">
        <v>974025</v>
      </c>
      <c r="P62" s="97">
        <v>1043538</v>
      </c>
      <c r="Q62" s="128"/>
      <c r="R62" s="128"/>
      <c r="S62" s="128"/>
      <c r="T62" s="129"/>
      <c r="U62" s="130"/>
    </row>
    <row r="63" spans="1:24" s="122" customFormat="1">
      <c r="B63" s="168"/>
      <c r="C63" s="168"/>
      <c r="D63" s="185"/>
      <c r="E63" s="185"/>
      <c r="F63" s="185"/>
      <c r="G63" s="185"/>
      <c r="H63" s="185"/>
      <c r="I63" s="185"/>
      <c r="J63" s="185"/>
      <c r="K63" s="185"/>
      <c r="L63" s="185"/>
      <c r="M63" s="185"/>
      <c r="N63" s="185"/>
      <c r="O63" s="185"/>
      <c r="P63" s="185"/>
      <c r="Q63" s="128"/>
      <c r="R63" s="128"/>
      <c r="S63" s="128"/>
      <c r="T63" s="129"/>
      <c r="U63" s="130"/>
    </row>
    <row r="64" spans="1:24" s="122" customFormat="1">
      <c r="B64" s="168" t="s">
        <v>1246</v>
      </c>
      <c r="C64" s="168"/>
      <c r="D64" s="95">
        <f t="shared" ref="D64:O64" si="9">D38+D43</f>
        <v>0</v>
      </c>
      <c r="E64" s="95">
        <f t="shared" si="9"/>
        <v>0</v>
      </c>
      <c r="F64" s="95">
        <f t="shared" si="9"/>
        <v>0</v>
      </c>
      <c r="G64" s="95">
        <f t="shared" si="9"/>
        <v>0</v>
      </c>
      <c r="H64" s="95">
        <f t="shared" si="9"/>
        <v>0</v>
      </c>
      <c r="I64" s="95">
        <f t="shared" si="9"/>
        <v>0</v>
      </c>
      <c r="J64" s="95">
        <f t="shared" si="9"/>
        <v>0</v>
      </c>
      <c r="K64" s="95">
        <f t="shared" si="9"/>
        <v>38089</v>
      </c>
      <c r="L64" s="95">
        <f t="shared" si="9"/>
        <v>35985</v>
      </c>
      <c r="M64" s="95">
        <f t="shared" si="9"/>
        <v>27822</v>
      </c>
      <c r="N64" s="95">
        <f t="shared" si="9"/>
        <v>30215</v>
      </c>
      <c r="O64" s="95">
        <f t="shared" si="9"/>
        <v>50082</v>
      </c>
      <c r="P64" s="95">
        <f>P38+P43</f>
        <v>53102</v>
      </c>
      <c r="Q64" s="128"/>
      <c r="R64" s="128"/>
      <c r="S64" s="128"/>
      <c r="T64" s="129"/>
      <c r="U64" s="130"/>
    </row>
    <row r="65" spans="1:21" s="122" customFormat="1">
      <c r="B65" s="168"/>
      <c r="C65" s="168"/>
      <c r="D65" s="185"/>
      <c r="E65" s="185"/>
      <c r="F65" s="185"/>
      <c r="G65" s="185"/>
      <c r="H65" s="185"/>
      <c r="I65" s="185"/>
      <c r="J65" s="185"/>
      <c r="K65" s="185"/>
      <c r="L65" s="185"/>
      <c r="M65" s="185"/>
      <c r="N65" s="185"/>
      <c r="O65" s="185"/>
      <c r="P65" s="128"/>
      <c r="Q65" s="128"/>
      <c r="R65" s="128"/>
      <c r="S65" s="128"/>
      <c r="T65" s="129"/>
      <c r="U65" s="130"/>
    </row>
    <row r="66" spans="1:21" s="133" customFormat="1">
      <c r="A66" s="134" t="s">
        <v>1176</v>
      </c>
      <c r="B66" s="138" t="s">
        <v>1131</v>
      </c>
      <c r="C66" s="138"/>
      <c r="D66" s="159">
        <f t="shared" ref="D66:O66" si="10">D60-D30-D64</f>
        <v>354695</v>
      </c>
      <c r="E66" s="159">
        <f t="shared" si="10"/>
        <v>379256</v>
      </c>
      <c r="F66" s="159">
        <f t="shared" si="10"/>
        <v>431569</v>
      </c>
      <c r="G66" s="159">
        <f t="shared" si="10"/>
        <v>487623</v>
      </c>
      <c r="H66" s="159">
        <f t="shared" si="10"/>
        <v>507076</v>
      </c>
      <c r="I66" s="159">
        <f t="shared" si="10"/>
        <v>497350</v>
      </c>
      <c r="J66" s="159">
        <f t="shared" si="10"/>
        <v>598545</v>
      </c>
      <c r="K66" s="159">
        <f t="shared" si="10"/>
        <v>632163</v>
      </c>
      <c r="L66" s="159">
        <f t="shared" si="10"/>
        <v>673340</v>
      </c>
      <c r="M66" s="159">
        <f t="shared" si="10"/>
        <v>684774</v>
      </c>
      <c r="N66" s="159">
        <f>N60-N30-N64</f>
        <v>680290</v>
      </c>
      <c r="O66" s="159">
        <f t="shared" si="10"/>
        <v>717809</v>
      </c>
      <c r="P66" s="159">
        <f>P60-P30-P64</f>
        <v>775539</v>
      </c>
    </row>
    <row r="67" spans="1:21" s="133" customFormat="1">
      <c r="B67" s="138"/>
      <c r="C67" s="138"/>
      <c r="D67" s="141"/>
      <c r="E67" s="141"/>
      <c r="F67" s="141"/>
      <c r="G67" s="141"/>
      <c r="H67" s="141"/>
      <c r="I67" s="141"/>
      <c r="J67" s="141"/>
      <c r="K67" s="141"/>
      <c r="L67" s="135"/>
      <c r="M67" s="135"/>
      <c r="N67" s="135"/>
      <c r="O67" s="135"/>
      <c r="P67" s="123"/>
    </row>
    <row r="68" spans="1:21" s="133" customFormat="1">
      <c r="B68" s="138" t="s">
        <v>292</v>
      </c>
      <c r="C68" s="138"/>
      <c r="D68" s="141">
        <f>(694599)*D76</f>
        <v>676535.05965618161</v>
      </c>
      <c r="E68" s="141">
        <v>637306</v>
      </c>
      <c r="F68" s="141">
        <v>774187</v>
      </c>
      <c r="G68" s="141">
        <v>859707</v>
      </c>
      <c r="H68" s="141">
        <v>876326</v>
      </c>
      <c r="I68" s="141">
        <v>948000</v>
      </c>
      <c r="J68" s="141">
        <v>1036705</v>
      </c>
      <c r="K68" s="141">
        <v>1146219</v>
      </c>
      <c r="L68" s="141">
        <v>1153951</v>
      </c>
      <c r="M68" s="141">
        <v>1153846</v>
      </c>
      <c r="N68" s="141">
        <v>1180148</v>
      </c>
      <c r="O68" s="141">
        <v>1278300</v>
      </c>
      <c r="P68" s="141">
        <v>1352540</v>
      </c>
    </row>
    <row r="69" spans="1:21" s="133" customFormat="1">
      <c r="B69" s="138"/>
      <c r="C69" s="138"/>
      <c r="D69" s="141"/>
      <c r="E69" s="141"/>
      <c r="F69" s="141"/>
      <c r="G69" s="141"/>
      <c r="H69" s="141"/>
      <c r="I69" s="141"/>
      <c r="J69" s="141"/>
      <c r="K69" s="141"/>
      <c r="L69" s="141"/>
      <c r="M69" s="141"/>
      <c r="N69" s="141"/>
      <c r="O69" s="141"/>
      <c r="P69" s="123"/>
      <c r="Q69" s="131"/>
    </row>
    <row r="70" spans="1:21" s="133" customFormat="1">
      <c r="B70" s="138" t="s">
        <v>1318</v>
      </c>
      <c r="C70" s="138"/>
      <c r="D70" s="159">
        <f>D68-D60</f>
        <v>218311.05965618161</v>
      </c>
      <c r="E70" s="159">
        <f t="shared" ref="E70:O70" si="11">E68-E60</f>
        <v>155015</v>
      </c>
      <c r="F70" s="159">
        <f t="shared" si="11"/>
        <v>236996</v>
      </c>
      <c r="G70" s="159">
        <f t="shared" si="11"/>
        <v>241492</v>
      </c>
      <c r="H70" s="159">
        <f t="shared" si="11"/>
        <v>225065</v>
      </c>
      <c r="I70" s="159">
        <f t="shared" si="11"/>
        <v>288847</v>
      </c>
      <c r="J70" s="159">
        <f t="shared" si="11"/>
        <v>277389</v>
      </c>
      <c r="K70" s="159">
        <f t="shared" si="11"/>
        <v>305204</v>
      </c>
      <c r="L70" s="159">
        <f t="shared" si="11"/>
        <v>272604</v>
      </c>
      <c r="M70" s="159">
        <f t="shared" si="11"/>
        <v>258387</v>
      </c>
      <c r="N70" s="159">
        <f t="shared" si="11"/>
        <v>283814</v>
      </c>
      <c r="O70" s="159">
        <f t="shared" si="11"/>
        <v>304275</v>
      </c>
      <c r="P70" s="159">
        <f>P68-P60</f>
        <v>309002</v>
      </c>
      <c r="Q70" s="143"/>
    </row>
    <row r="71" spans="1:21" s="179" customFormat="1">
      <c r="B71" s="176"/>
      <c r="C71" s="176"/>
      <c r="D71" s="175"/>
      <c r="E71" s="175"/>
      <c r="F71" s="175"/>
      <c r="G71" s="175"/>
      <c r="H71" s="175"/>
      <c r="I71" s="175"/>
      <c r="J71" s="175"/>
      <c r="K71" s="175"/>
      <c r="L71" s="175"/>
      <c r="M71" s="175"/>
      <c r="N71" s="175"/>
      <c r="O71" s="175"/>
      <c r="P71" s="183"/>
      <c r="Q71" s="184"/>
    </row>
    <row r="72" spans="1:21">
      <c r="B72" s="138" t="s">
        <v>253</v>
      </c>
      <c r="C72" s="138"/>
      <c r="D72" s="162">
        <f t="shared" ref="D72:O72" si="12">D70/D68</f>
        <v>0.32268994273131735</v>
      </c>
      <c r="E72" s="162">
        <f t="shared" si="12"/>
        <v>0.24323480400310055</v>
      </c>
      <c r="F72" s="162">
        <f t="shared" si="12"/>
        <v>0.30612242261882466</v>
      </c>
      <c r="G72" s="162">
        <f t="shared" si="12"/>
        <v>0.28090035325988971</v>
      </c>
      <c r="H72" s="162">
        <f t="shared" si="12"/>
        <v>0.25682793846125757</v>
      </c>
      <c r="I72" s="162">
        <f t="shared" si="12"/>
        <v>0.30469092827004218</v>
      </c>
      <c r="J72" s="162">
        <f t="shared" si="12"/>
        <v>0.2675679195142302</v>
      </c>
      <c r="K72" s="162">
        <f t="shared" si="12"/>
        <v>0.26627023282636214</v>
      </c>
      <c r="L72" s="162">
        <f t="shared" si="12"/>
        <v>0.23623533408264302</v>
      </c>
      <c r="M72" s="162">
        <f t="shared" si="12"/>
        <v>0.22393542985805731</v>
      </c>
      <c r="N72" s="162">
        <f t="shared" si="12"/>
        <v>0.24049017580845791</v>
      </c>
      <c r="O72" s="162">
        <f t="shared" si="12"/>
        <v>0.23803097864351092</v>
      </c>
      <c r="P72" s="162">
        <f>P70/P68</f>
        <v>0.22846052612122378</v>
      </c>
      <c r="Q72" s="144"/>
    </row>
    <row r="73" spans="1:21">
      <c r="B73" s="154"/>
      <c r="C73" s="154"/>
      <c r="D73" s="141"/>
      <c r="E73" s="141"/>
      <c r="F73" s="141"/>
      <c r="G73" s="141"/>
      <c r="H73" s="141"/>
      <c r="I73" s="141"/>
      <c r="J73" s="141"/>
      <c r="K73" s="141"/>
      <c r="L73" s="141"/>
      <c r="M73" s="141"/>
      <c r="N73" s="141"/>
      <c r="O73" s="141"/>
      <c r="P73" s="127"/>
      <c r="Q73" s="127"/>
      <c r="R73" s="127"/>
    </row>
    <row r="74" spans="1:21">
      <c r="B74" s="264" t="s">
        <v>1163</v>
      </c>
      <c r="C74" s="154"/>
      <c r="D74" s="141">
        <v>40645000</v>
      </c>
      <c r="E74" s="141">
        <v>40557000</v>
      </c>
      <c r="F74" s="141">
        <v>41711000</v>
      </c>
      <c r="G74" s="141">
        <v>41000000</v>
      </c>
      <c r="H74" s="141">
        <v>44370000</v>
      </c>
      <c r="I74" s="141">
        <v>46152000</v>
      </c>
      <c r="J74" s="141">
        <v>48287000</v>
      </c>
      <c r="K74" s="141">
        <v>50432000</v>
      </c>
      <c r="L74" s="141">
        <v>50074000</v>
      </c>
      <c r="M74" s="141">
        <v>46246000</v>
      </c>
      <c r="N74" s="141">
        <v>48324000</v>
      </c>
      <c r="O74" s="346">
        <v>53522000</v>
      </c>
      <c r="P74" s="346">
        <v>55284000</v>
      </c>
      <c r="Q74" s="127"/>
      <c r="R74" s="127"/>
    </row>
    <row r="75" spans="1:21">
      <c r="B75" s="90" t="s">
        <v>1162</v>
      </c>
      <c r="D75" s="163">
        <f>'[2]Airport non-UK passengers'!H13*1000000</f>
        <v>39587974.5</v>
      </c>
      <c r="E75" s="163">
        <f>'[2]Airport non-UK passengers'!I13*1000000</f>
        <v>39832344.5</v>
      </c>
      <c r="F75" s="163">
        <f>'[2]Airport non-UK passengers'!J13*1000000</f>
        <v>40542106.75</v>
      </c>
      <c r="G75" s="163">
        <f>'[2]Airport non-UK passengers'!K13*1000000</f>
        <v>40605595</v>
      </c>
      <c r="H75" s="163">
        <f>'[2]Airport non-UK passengers'!L13*1000000</f>
        <v>42946659.5</v>
      </c>
      <c r="I75" s="163">
        <f>'[2]Airport non-UK passengers'!M13*1000000</f>
        <v>44638836</v>
      </c>
      <c r="J75" s="163">
        <f>'[2]Airport non-UK passengers'!N13*1000000</f>
        <v>46498286</v>
      </c>
      <c r="K75" s="163">
        <f>'[2]Airport non-UK passengers'!O13*1000000</f>
        <v>47703750.25</v>
      </c>
      <c r="L75" s="163">
        <f>'[2]Airport non-UK passengers'!P13*1000000</f>
        <v>46465106.75</v>
      </c>
      <c r="M75" s="163">
        <f>'[2]Airport non-UK passengers'!Q13*1000000</f>
        <v>43980714.75</v>
      </c>
      <c r="N75" s="163">
        <f>'[2]Airport non-UK passengers'!R13*1000000</f>
        <v>46347624.75</v>
      </c>
      <c r="O75" s="163">
        <f>'[2]Airport non-UK passengers'!S13*1000000</f>
        <v>50891127.75</v>
      </c>
      <c r="P75" s="163">
        <v>50976000</v>
      </c>
      <c r="Q75" s="90"/>
    </row>
    <row r="76" spans="1:21">
      <c r="B76" s="90" t="s">
        <v>1171</v>
      </c>
      <c r="D76" s="265">
        <f>D75/D74</f>
        <v>0.97399371386394396</v>
      </c>
      <c r="E76" s="265">
        <f t="shared" ref="E76:P76" si="13">E75/E74</f>
        <v>0.98213241857139333</v>
      </c>
      <c r="F76" s="265">
        <f t="shared" si="13"/>
        <v>0.97197637913260293</v>
      </c>
      <c r="G76" s="265">
        <f t="shared" si="13"/>
        <v>0.99038036585365852</v>
      </c>
      <c r="H76" s="265">
        <f t="shared" si="13"/>
        <v>0.96792110660356101</v>
      </c>
      <c r="I76" s="265">
        <f t="shared" si="13"/>
        <v>0.96721346853874157</v>
      </c>
      <c r="J76" s="265">
        <f t="shared" si="13"/>
        <v>0.96295661358129514</v>
      </c>
      <c r="K76" s="265">
        <f t="shared" si="13"/>
        <v>0.9459024081932107</v>
      </c>
      <c r="L76" s="265">
        <f t="shared" si="13"/>
        <v>0.92792880037544434</v>
      </c>
      <c r="M76" s="265">
        <f t="shared" si="13"/>
        <v>0.95101662305929158</v>
      </c>
      <c r="N76" s="265">
        <f t="shared" si="13"/>
        <v>0.95910157996026824</v>
      </c>
      <c r="O76" s="265">
        <f t="shared" si="13"/>
        <v>0.95084503101528339</v>
      </c>
      <c r="P76" s="265">
        <f t="shared" si="13"/>
        <v>0.92207510310397223</v>
      </c>
      <c r="Q76" s="90"/>
    </row>
    <row r="77" spans="1:21">
      <c r="B77" s="90" t="s">
        <v>1167</v>
      </c>
      <c r="D77" s="195">
        <v>455925</v>
      </c>
      <c r="E77" s="195">
        <v>447742</v>
      </c>
      <c r="F77" s="195">
        <v>430134</v>
      </c>
      <c r="G77" s="195">
        <v>393000</v>
      </c>
      <c r="H77" s="195">
        <v>402700</v>
      </c>
      <c r="I77" s="195">
        <v>404600</v>
      </c>
      <c r="J77" s="195">
        <v>423100</v>
      </c>
      <c r="K77" s="195">
        <v>436000</v>
      </c>
      <c r="L77" s="195">
        <v>428300</v>
      </c>
      <c r="M77" s="195">
        <v>391300</v>
      </c>
      <c r="N77" s="195">
        <v>386300</v>
      </c>
      <c r="O77" s="195">
        <v>420200</v>
      </c>
      <c r="P77" s="195">
        <v>459967</v>
      </c>
      <c r="Q77" s="90"/>
    </row>
    <row r="78" spans="1:21">
      <c r="B78" s="111" t="s">
        <v>1168</v>
      </c>
      <c r="C78" s="111"/>
      <c r="D78" s="141">
        <v>1864</v>
      </c>
      <c r="E78" s="141">
        <v>2038</v>
      </c>
      <c r="F78" s="141">
        <v>2134</v>
      </c>
      <c r="G78" s="141">
        <v>2231</v>
      </c>
      <c r="H78" s="141">
        <v>2216</v>
      </c>
      <c r="I78" s="141">
        <v>2179</v>
      </c>
      <c r="J78" s="141">
        <v>2293</v>
      </c>
      <c r="K78" s="141">
        <v>2459</v>
      </c>
      <c r="L78" s="141">
        <v>2506</v>
      </c>
      <c r="M78" s="141">
        <v>2496</v>
      </c>
      <c r="N78" s="141">
        <v>2328</v>
      </c>
      <c r="O78" s="141">
        <v>2115</v>
      </c>
      <c r="P78" s="141">
        <v>2087</v>
      </c>
      <c r="Q78" s="90"/>
    </row>
    <row r="79" spans="1:21">
      <c r="B79" s="154"/>
      <c r="C79" s="154"/>
      <c r="D79" s="141"/>
      <c r="E79" s="141"/>
      <c r="F79" s="141"/>
      <c r="G79" s="141"/>
      <c r="H79" s="141"/>
      <c r="I79" s="141"/>
      <c r="J79" s="141"/>
      <c r="K79" s="141"/>
      <c r="L79" s="141"/>
      <c r="M79" s="141"/>
      <c r="N79" s="141"/>
      <c r="O79" s="141"/>
      <c r="P79" s="127"/>
      <c r="Q79" s="127"/>
      <c r="R79" s="127"/>
    </row>
    <row r="80" spans="1:21">
      <c r="B80" s="153" t="s">
        <v>1170</v>
      </c>
      <c r="C80" s="94"/>
      <c r="D80" s="94"/>
      <c r="E80" s="94"/>
      <c r="F80" s="94"/>
      <c r="G80" s="94"/>
      <c r="H80" s="94"/>
      <c r="I80" s="94"/>
      <c r="J80" s="94"/>
      <c r="K80" s="94"/>
      <c r="L80" s="94"/>
      <c r="M80" s="94"/>
      <c r="N80" s="94"/>
      <c r="O80" s="94"/>
      <c r="P80" s="94"/>
      <c r="Q80" s="90"/>
    </row>
    <row r="81" spans="2:17">
      <c r="B81" s="136"/>
      <c r="C81" s="136"/>
      <c r="D81" s="136"/>
      <c r="E81" s="136"/>
      <c r="F81" s="136"/>
      <c r="G81" s="136"/>
      <c r="H81" s="136"/>
      <c r="I81" s="136"/>
      <c r="J81" s="136"/>
      <c r="K81" s="136"/>
      <c r="L81" s="136"/>
      <c r="M81" s="136"/>
      <c r="N81" s="136"/>
      <c r="O81" s="136"/>
      <c r="P81" s="200"/>
      <c r="Q81" s="90"/>
    </row>
    <row r="82" spans="2:17">
      <c r="B82" s="90" t="s">
        <v>1127</v>
      </c>
      <c r="C82" s="136"/>
      <c r="D82" s="345">
        <f>((D62)/D74)*1000</f>
        <v>11.273809816705622</v>
      </c>
      <c r="E82" s="345">
        <f t="shared" ref="E82:N82" si="14">((E62)/E74)*1000</f>
        <v>11.89168330990951</v>
      </c>
      <c r="F82" s="345">
        <f t="shared" si="14"/>
        <v>12.878880870753518</v>
      </c>
      <c r="G82" s="345">
        <f t="shared" si="14"/>
        <v>15.078414634146341</v>
      </c>
      <c r="H82" s="345">
        <f t="shared" si="14"/>
        <v>14.677958079783638</v>
      </c>
      <c r="I82" s="345">
        <f t="shared" si="14"/>
        <v>14.282219622118218</v>
      </c>
      <c r="J82" s="345">
        <f t="shared" si="14"/>
        <v>15.725060575310126</v>
      </c>
      <c r="K82" s="345">
        <f t="shared" si="14"/>
        <v>16.676217480964468</v>
      </c>
      <c r="L82" s="345">
        <f t="shared" si="14"/>
        <v>17.600890681790951</v>
      </c>
      <c r="M82" s="345">
        <f t="shared" si="14"/>
        <v>20.039289884530554</v>
      </c>
      <c r="N82" s="345">
        <f t="shared" si="14"/>
        <v>18.737459647380181</v>
      </c>
      <c r="O82" s="345">
        <f>((O62)/O74)*1000</f>
        <v>18.198591233511454</v>
      </c>
      <c r="P82" s="345">
        <f>((P62)/P74)*1000</f>
        <v>18.87594964184936</v>
      </c>
      <c r="Q82" s="90"/>
    </row>
    <row r="83" spans="2:17">
      <c r="B83" s="90" t="s">
        <v>299</v>
      </c>
      <c r="D83" s="345">
        <f t="shared" ref="D83:N83" si="15">((D60)/D74)*1000</f>
        <v>11.273809816705622</v>
      </c>
      <c r="E83" s="345">
        <f t="shared" si="15"/>
        <v>11.89168330990951</v>
      </c>
      <c r="F83" s="345">
        <f t="shared" si="15"/>
        <v>12.878880870753518</v>
      </c>
      <c r="G83" s="345">
        <f t="shared" si="15"/>
        <v>15.078414634146341</v>
      </c>
      <c r="H83" s="345">
        <f t="shared" si="15"/>
        <v>14.677958079783638</v>
      </c>
      <c r="I83" s="345">
        <f t="shared" si="15"/>
        <v>14.282219622118218</v>
      </c>
      <c r="J83" s="345">
        <f t="shared" si="15"/>
        <v>15.725060575310126</v>
      </c>
      <c r="K83" s="345">
        <f t="shared" si="15"/>
        <v>16.676217480964468</v>
      </c>
      <c r="L83" s="345">
        <f t="shared" si="15"/>
        <v>17.600890681790951</v>
      </c>
      <c r="M83" s="345">
        <f t="shared" si="15"/>
        <v>19.362950309215933</v>
      </c>
      <c r="N83" s="345">
        <f t="shared" si="15"/>
        <v>18.548423143779491</v>
      </c>
      <c r="O83" s="345">
        <f>((O60)/O74)*1000</f>
        <v>18.198591233511454</v>
      </c>
      <c r="P83" s="345">
        <f>((P60)/P74)*1000</f>
        <v>18.87594964184936</v>
      </c>
      <c r="Q83" s="90"/>
    </row>
    <row r="84" spans="2:17">
      <c r="B84" s="90" t="s">
        <v>300</v>
      </c>
      <c r="D84" s="345">
        <f t="shared" ref="D84:O84" si="16">((D66)/D74)*1000</f>
        <v>8.7266576454668474</v>
      </c>
      <c r="E84" s="345">
        <f t="shared" si="16"/>
        <v>9.3511847523238885</v>
      </c>
      <c r="F84" s="345">
        <f t="shared" si="16"/>
        <v>10.346647167413872</v>
      </c>
      <c r="G84" s="345">
        <f t="shared" si="16"/>
        <v>11.893243902439025</v>
      </c>
      <c r="H84" s="345">
        <f t="shared" si="16"/>
        <v>11.428352490421457</v>
      </c>
      <c r="I84" s="345">
        <f t="shared" si="16"/>
        <v>10.77634772057549</v>
      </c>
      <c r="J84" s="345">
        <f t="shared" si="16"/>
        <v>12.395572307246256</v>
      </c>
      <c r="K84" s="345">
        <f t="shared" si="16"/>
        <v>12.53495796319797</v>
      </c>
      <c r="L84" s="345">
        <f t="shared" si="16"/>
        <v>13.44689859008667</v>
      </c>
      <c r="M84" s="345">
        <f t="shared" si="16"/>
        <v>14.807204947454915</v>
      </c>
      <c r="N84" s="345">
        <f t="shared" si="16"/>
        <v>14.077683966559059</v>
      </c>
      <c r="O84" s="345">
        <f t="shared" si="16"/>
        <v>13.411475654870895</v>
      </c>
      <c r="P84" s="345">
        <f>((P66)/P74)*1000</f>
        <v>14.02827219448665</v>
      </c>
      <c r="Q84" s="90"/>
    </row>
    <row r="85" spans="2:17">
      <c r="B85" s="90" t="s">
        <v>265</v>
      </c>
      <c r="D85" s="345">
        <f t="shared" ref="D85:O85" si="17">((D27)/D74)*1000</f>
        <v>2.4572518144913276</v>
      </c>
      <c r="E85" s="345">
        <f t="shared" si="17"/>
        <v>2.8257267549374956</v>
      </c>
      <c r="F85" s="345">
        <f t="shared" si="17"/>
        <v>3.0588094267699169</v>
      </c>
      <c r="G85" s="345">
        <f t="shared" si="17"/>
        <v>3.3920975609756097</v>
      </c>
      <c r="H85" s="345">
        <f t="shared" si="17"/>
        <v>3.0398242055442868</v>
      </c>
      <c r="I85" s="345">
        <f t="shared" si="17"/>
        <v>3.1342520367481366</v>
      </c>
      <c r="J85" s="345">
        <f t="shared" si="17"/>
        <v>3.1494605173235031</v>
      </c>
      <c r="K85" s="345">
        <f t="shared" si="17"/>
        <v>3.2423659581218276</v>
      </c>
      <c r="L85" s="345">
        <f t="shared" si="17"/>
        <v>3.3506809921316449</v>
      </c>
      <c r="M85" s="345">
        <f t="shared" si="17"/>
        <v>3.7469402759157551</v>
      </c>
      <c r="N85" s="345">
        <f t="shared" si="17"/>
        <v>3.760284744640344</v>
      </c>
      <c r="O85" s="345">
        <f t="shared" si="17"/>
        <v>3.2597810246253878</v>
      </c>
      <c r="P85" s="345">
        <f>((P27)/P74)*1000</f>
        <v>3.225454019246075</v>
      </c>
      <c r="Q85" s="90"/>
    </row>
    <row r="86" spans="2:17">
      <c r="B86" s="111" t="s">
        <v>1136</v>
      </c>
      <c r="C86" s="111"/>
      <c r="D86" s="159">
        <f t="shared" ref="D86:O86" si="18">D27/D78</f>
        <v>53.581008583690988</v>
      </c>
      <c r="E86" s="159">
        <f t="shared" si="18"/>
        <v>56.233071638861631</v>
      </c>
      <c r="F86" s="159">
        <f t="shared" si="18"/>
        <v>59.78725398313027</v>
      </c>
      <c r="G86" s="159">
        <f t="shared" si="18"/>
        <v>62.337965038099505</v>
      </c>
      <c r="H86" s="159">
        <f t="shared" si="18"/>
        <v>60.865072202166068</v>
      </c>
      <c r="I86" s="159">
        <f t="shared" si="18"/>
        <v>66.384580082606703</v>
      </c>
      <c r="J86" s="159">
        <f t="shared" si="18"/>
        <v>66.322721325774097</v>
      </c>
      <c r="K86" s="159">
        <f t="shared" si="18"/>
        <v>66.498169987799912</v>
      </c>
      <c r="L86" s="159">
        <f t="shared" si="18"/>
        <v>66.95211492418197</v>
      </c>
      <c r="M86" s="159">
        <f t="shared" si="18"/>
        <v>69.423477564102569</v>
      </c>
      <c r="N86" s="159">
        <f t="shared" si="18"/>
        <v>78.054982817869416</v>
      </c>
      <c r="O86" s="159">
        <f t="shared" si="18"/>
        <v>82.491725768321515</v>
      </c>
      <c r="P86" s="159">
        <f>P27/P78</f>
        <v>85.441303306181126</v>
      </c>
      <c r="Q86" s="90"/>
    </row>
    <row r="87" spans="2:17">
      <c r="B87" s="111" t="s">
        <v>1135</v>
      </c>
      <c r="C87" s="111"/>
      <c r="D87" s="159">
        <f>D74/D78</f>
        <v>21805.257510729614</v>
      </c>
      <c r="E87" s="159">
        <f t="shared" ref="E87:O87" si="19">E74/E78</f>
        <v>19900.392541707555</v>
      </c>
      <c r="F87" s="159">
        <f t="shared" si="19"/>
        <v>19545.923149015933</v>
      </c>
      <c r="G87" s="159">
        <f t="shared" si="19"/>
        <v>18377.409233527567</v>
      </c>
      <c r="H87" s="159">
        <f t="shared" si="19"/>
        <v>20022.563176895306</v>
      </c>
      <c r="I87" s="159">
        <f t="shared" si="19"/>
        <v>21180.35796236806</v>
      </c>
      <c r="J87" s="159">
        <f t="shared" si="19"/>
        <v>21058.438726559092</v>
      </c>
      <c r="K87" s="159">
        <f t="shared" si="19"/>
        <v>20509.150061000408</v>
      </c>
      <c r="L87" s="159">
        <f t="shared" si="19"/>
        <v>19981.644054269753</v>
      </c>
      <c r="M87" s="159">
        <f t="shared" si="19"/>
        <v>18528.044871794871</v>
      </c>
      <c r="N87" s="159">
        <f t="shared" si="19"/>
        <v>20757.731958762888</v>
      </c>
      <c r="O87" s="159">
        <f t="shared" si="19"/>
        <v>25305.910165484634</v>
      </c>
      <c r="P87" s="159">
        <f>P74/P78</f>
        <v>26489.698131288933</v>
      </c>
      <c r="Q87" s="90"/>
    </row>
    <row r="88" spans="2:17" s="133" customFormat="1">
      <c r="B88" s="138"/>
      <c r="C88" s="138"/>
      <c r="D88" s="141"/>
      <c r="E88" s="141"/>
      <c r="F88" s="141"/>
      <c r="G88" s="141"/>
      <c r="H88" s="141"/>
      <c r="I88" s="141"/>
      <c r="J88" s="141"/>
      <c r="K88" s="141"/>
      <c r="L88" s="141"/>
      <c r="M88" s="141"/>
      <c r="N88" s="141"/>
      <c r="O88" s="141"/>
      <c r="P88" s="131"/>
    </row>
    <row r="89" spans="2:17">
      <c r="B89" s="153" t="s">
        <v>1169</v>
      </c>
      <c r="C89" s="94"/>
      <c r="D89" s="94"/>
      <c r="E89" s="94"/>
      <c r="F89" s="94"/>
      <c r="G89" s="94"/>
      <c r="H89" s="94"/>
      <c r="I89" s="94"/>
      <c r="J89" s="94"/>
      <c r="K89" s="94"/>
      <c r="L89" s="94"/>
      <c r="M89" s="94"/>
      <c r="N89" s="94"/>
      <c r="O89" s="94"/>
      <c r="P89" s="94"/>
      <c r="Q89" s="90"/>
    </row>
    <row r="90" spans="2:17" s="133" customFormat="1">
      <c r="B90" s="138"/>
      <c r="D90" s="214"/>
      <c r="E90" s="214"/>
      <c r="F90" s="214"/>
      <c r="G90" s="214"/>
      <c r="H90" s="214"/>
      <c r="I90" s="214"/>
      <c r="J90" s="214"/>
      <c r="K90" s="214"/>
      <c r="L90" s="214"/>
      <c r="M90" s="214"/>
      <c r="N90" s="214"/>
      <c r="O90" s="214"/>
      <c r="P90" s="131"/>
    </row>
    <row r="91" spans="2:17">
      <c r="B91" s="138" t="s">
        <v>1095</v>
      </c>
      <c r="D91" s="214">
        <f>FX!$C$28</f>
        <v>0.81117272727272727</v>
      </c>
      <c r="E91" s="214">
        <f>FX!$C$28</f>
        <v>0.81117272727272727</v>
      </c>
      <c r="F91" s="214">
        <f>FX!$C$28</f>
        <v>0.81117272727272727</v>
      </c>
      <c r="G91" s="214">
        <f>FX!$C$28</f>
        <v>0.81117272727272727</v>
      </c>
      <c r="H91" s="214">
        <f>FX!$C$28</f>
        <v>0.81117272727272727</v>
      </c>
      <c r="I91" s="214">
        <f>FX!$C$28</f>
        <v>0.81117272727272727</v>
      </c>
      <c r="J91" s="214">
        <f>FX!$C$28</f>
        <v>0.81117272727272727</v>
      </c>
      <c r="K91" s="214">
        <f>FX!$C$28</f>
        <v>0.81117272727272727</v>
      </c>
      <c r="L91" s="214">
        <f>FX!$C$28</f>
        <v>0.81117272727272727</v>
      </c>
      <c r="M91" s="214">
        <f>FX!$C$28</f>
        <v>0.81117272727272727</v>
      </c>
      <c r="N91" s="214">
        <f>FX!$C$28</f>
        <v>0.81117272727272727</v>
      </c>
      <c r="O91" s="214">
        <f>FX!$C$28</f>
        <v>0.81117272727272727</v>
      </c>
      <c r="P91" s="214">
        <f>FX!$C$28</f>
        <v>0.81117272727272727</v>
      </c>
      <c r="Q91" s="90"/>
    </row>
    <row r="92" spans="2:17" s="133" customFormat="1">
      <c r="B92" s="138"/>
      <c r="D92" s="214"/>
      <c r="E92" s="214"/>
      <c r="F92" s="214"/>
      <c r="G92" s="214"/>
      <c r="H92" s="214"/>
      <c r="I92" s="214"/>
      <c r="J92" s="214"/>
      <c r="K92" s="214"/>
      <c r="L92" s="214"/>
      <c r="M92" s="214"/>
      <c r="N92" s="214"/>
      <c r="O92" s="214"/>
      <c r="P92" s="131"/>
    </row>
    <row r="93" spans="2:17">
      <c r="B93" s="138" t="s">
        <v>1133</v>
      </c>
      <c r="D93" s="213">
        <f>RPI!$C$33</f>
        <v>170.25</v>
      </c>
      <c r="E93" s="213">
        <f>RPI!$C$34</f>
        <v>173.35</v>
      </c>
      <c r="F93" s="213">
        <f>RPI!$C$35</f>
        <v>176.18333333333337</v>
      </c>
      <c r="G93" s="213">
        <f>RPI!$C$36</f>
        <v>181.31666666666663</v>
      </c>
      <c r="H93" s="213">
        <f>RPI!$C$37</f>
        <v>186.69166666666663</v>
      </c>
      <c r="I93" s="213">
        <f>RPI!$C$38</f>
        <v>191.97499999999999</v>
      </c>
      <c r="J93" s="213">
        <f>RPI!$C$39</f>
        <v>198.10833333333332</v>
      </c>
      <c r="K93" s="213">
        <f>RPI!$C$40</f>
        <v>206.57499999999996</v>
      </c>
      <c r="L93" s="213">
        <f>RPI!$C$41</f>
        <v>214.82500000000002</v>
      </c>
      <c r="M93" s="213">
        <f>RPI!$C$42</f>
        <v>213.68333333333337</v>
      </c>
      <c r="N93" s="213">
        <f>RPI!$C$43</f>
        <v>223.55833333333331</v>
      </c>
      <c r="O93" s="213">
        <f>RPI!$C$44</f>
        <v>235.18333333333331</v>
      </c>
      <c r="P93" s="213">
        <f>RPI!$C$45</f>
        <v>242.72499999999999</v>
      </c>
      <c r="Q93" s="90"/>
    </row>
    <row r="94" spans="2:17">
      <c r="B94" s="138" t="s">
        <v>1132</v>
      </c>
      <c r="D94" s="214">
        <f>RPI!$R$44</f>
        <v>237.3416666666667</v>
      </c>
      <c r="E94" s="214">
        <f>RPI!$R$44</f>
        <v>237.3416666666667</v>
      </c>
      <c r="F94" s="214">
        <f>RPI!$R$44</f>
        <v>237.3416666666667</v>
      </c>
      <c r="G94" s="214">
        <f>RPI!$R$44</f>
        <v>237.3416666666667</v>
      </c>
      <c r="H94" s="214">
        <f>RPI!$R$44</f>
        <v>237.3416666666667</v>
      </c>
      <c r="I94" s="214">
        <f>RPI!$R$44</f>
        <v>237.3416666666667</v>
      </c>
      <c r="J94" s="214">
        <f>RPI!$R$44</f>
        <v>237.3416666666667</v>
      </c>
      <c r="K94" s="214">
        <f>RPI!$R$44</f>
        <v>237.3416666666667</v>
      </c>
      <c r="L94" s="214">
        <f>RPI!$R$44</f>
        <v>237.3416666666667</v>
      </c>
      <c r="M94" s="214">
        <f>RPI!$R$44</f>
        <v>237.3416666666667</v>
      </c>
      <c r="N94" s="214">
        <f>RPI!$R$44</f>
        <v>237.3416666666667</v>
      </c>
      <c r="O94" s="214">
        <f>RPI!$R$44</f>
        <v>237.3416666666667</v>
      </c>
      <c r="P94" s="214">
        <f>RPI!$R$44</f>
        <v>237.3416666666667</v>
      </c>
      <c r="Q94" s="90"/>
    </row>
    <row r="95" spans="2:17">
      <c r="B95" s="138" t="s">
        <v>304</v>
      </c>
      <c r="D95" s="214">
        <f t="shared" ref="D95:O95" si="20">D94/D93</f>
        <v>1.3940773372491435</v>
      </c>
      <c r="E95" s="214">
        <f t="shared" si="20"/>
        <v>1.369147197384867</v>
      </c>
      <c r="F95" s="214">
        <f t="shared" si="20"/>
        <v>1.3471289376596347</v>
      </c>
      <c r="G95" s="214">
        <f t="shared" si="20"/>
        <v>1.3089897968563291</v>
      </c>
      <c r="H95" s="214">
        <f t="shared" si="20"/>
        <v>1.2713029504977016</v>
      </c>
      <c r="I95" s="214">
        <f t="shared" si="20"/>
        <v>1.2363154924686377</v>
      </c>
      <c r="J95" s="214">
        <f t="shared" si="20"/>
        <v>1.1980397930425275</v>
      </c>
      <c r="K95" s="214">
        <f t="shared" si="20"/>
        <v>1.1489370285207152</v>
      </c>
      <c r="L95" s="214">
        <f t="shared" si="20"/>
        <v>1.104813995888126</v>
      </c>
      <c r="M95" s="214">
        <f t="shared" si="20"/>
        <v>1.1107167927618751</v>
      </c>
      <c r="N95" s="214">
        <f t="shared" si="20"/>
        <v>1.0616543035002053</v>
      </c>
      <c r="O95" s="214">
        <f t="shared" si="20"/>
        <v>1.0091772376160444</v>
      </c>
      <c r="P95" s="214">
        <f t="shared" ref="P95" si="21">P94/P93</f>
        <v>0.97782126549249848</v>
      </c>
      <c r="Q95" s="90"/>
    </row>
    <row r="96" spans="2:17" s="133" customFormat="1">
      <c r="B96" s="138"/>
      <c r="D96" s="214"/>
      <c r="E96" s="214"/>
      <c r="F96" s="214"/>
      <c r="G96" s="214"/>
      <c r="H96" s="214"/>
      <c r="I96" s="214"/>
      <c r="J96" s="214"/>
      <c r="K96" s="214"/>
      <c r="L96" s="214"/>
      <c r="M96" s="214"/>
      <c r="N96" s="214"/>
      <c r="O96" s="214"/>
      <c r="P96" s="131"/>
    </row>
    <row r="97" spans="1:24">
      <c r="B97" s="111" t="str">
        <f>B27</f>
        <v>Staff Costs Total</v>
      </c>
      <c r="C97" s="111"/>
      <c r="D97" s="159">
        <f>D27*D91*D95</f>
        <v>112942.39687908824</v>
      </c>
      <c r="E97" s="159">
        <f t="shared" ref="E97:P97" si="22">E27*E91*E95</f>
        <v>127279.79550429899</v>
      </c>
      <c r="F97" s="159">
        <f t="shared" si="22"/>
        <v>139420.14429541968</v>
      </c>
      <c r="G97" s="159">
        <f t="shared" si="22"/>
        <v>147673.23654343403</v>
      </c>
      <c r="H97" s="159">
        <f t="shared" si="22"/>
        <v>139091.40471595651</v>
      </c>
      <c r="I97" s="159">
        <f t="shared" si="22"/>
        <v>145066.48725771115</v>
      </c>
      <c r="J97" s="159">
        <f t="shared" si="22"/>
        <v>147792.01710023292</v>
      </c>
      <c r="K97" s="159">
        <f t="shared" si="22"/>
        <v>152397.48134375262</v>
      </c>
      <c r="L97" s="159">
        <f t="shared" si="22"/>
        <v>150365.3864990595</v>
      </c>
      <c r="M97" s="159">
        <f t="shared" si="22"/>
        <v>156123.26468289559</v>
      </c>
      <c r="N97" s="159">
        <f t="shared" si="22"/>
        <v>156487.65177114241</v>
      </c>
      <c r="O97" s="159">
        <f t="shared" si="22"/>
        <v>142824.11708661524</v>
      </c>
      <c r="P97" s="159">
        <f t="shared" si="22"/>
        <v>141437.03129713575</v>
      </c>
      <c r="Q97" s="90"/>
    </row>
    <row r="98" spans="1:24" s="126" customFormat="1">
      <c r="A98" s="90"/>
      <c r="B98" s="111" t="str">
        <f>B30</f>
        <v>Depreciation Total</v>
      </c>
      <c r="C98" s="111"/>
      <c r="D98" s="159">
        <f>D30*D91*D95</f>
        <v>117074.47716140302</v>
      </c>
      <c r="E98" s="159">
        <f t="shared" ref="E98:P98" si="23">E30*E91*E95</f>
        <v>114432.20273278575</v>
      </c>
      <c r="F98" s="159">
        <f t="shared" si="23"/>
        <v>115418.88985288997</v>
      </c>
      <c r="G98" s="159">
        <f t="shared" si="23"/>
        <v>138664.78261296079</v>
      </c>
      <c r="H98" s="159">
        <f t="shared" si="23"/>
        <v>148690.24510457818</v>
      </c>
      <c r="I98" s="159">
        <f t="shared" si="23"/>
        <v>162266.63190111052</v>
      </c>
      <c r="J98" s="159">
        <f t="shared" si="23"/>
        <v>156240.02407462976</v>
      </c>
      <c r="K98" s="159">
        <f t="shared" si="23"/>
        <v>159148.79070140611</v>
      </c>
      <c r="L98" s="159">
        <f t="shared" si="23"/>
        <v>154165.25322347577</v>
      </c>
      <c r="M98" s="159">
        <f t="shared" si="23"/>
        <v>164756.48541795314</v>
      </c>
      <c r="N98" s="159">
        <f t="shared" si="23"/>
        <v>160033.15048527133</v>
      </c>
      <c r="O98" s="159">
        <f t="shared" si="23"/>
        <v>168744.80742553074</v>
      </c>
      <c r="P98" s="159">
        <f t="shared" si="23"/>
        <v>170452.41994358654</v>
      </c>
      <c r="Q98" s="90"/>
      <c r="R98" s="90"/>
      <c r="S98" s="90"/>
      <c r="T98" s="90"/>
      <c r="U98" s="90"/>
      <c r="V98" s="90"/>
      <c r="W98" s="90"/>
      <c r="X98" s="90"/>
    </row>
    <row r="99" spans="1:24" s="126" customFormat="1">
      <c r="A99" s="90"/>
      <c r="B99" s="111" t="str">
        <f>B45</f>
        <v>Core Costs Total</v>
      </c>
      <c r="C99" s="111"/>
      <c r="D99" s="159">
        <f>D45*D91*D95</f>
        <v>231569.51394952743</v>
      </c>
      <c r="E99" s="159">
        <f t="shared" ref="E99:P99" si="24">E45*E91*E95</f>
        <v>267762.58053727617</v>
      </c>
      <c r="F99" s="159">
        <f t="shared" si="24"/>
        <v>278549.6159591825</v>
      </c>
      <c r="G99" s="159">
        <f t="shared" si="24"/>
        <v>316688.99123897927</v>
      </c>
      <c r="H99" s="159">
        <f t="shared" si="24"/>
        <v>320017.37733535247</v>
      </c>
      <c r="I99" s="159">
        <f t="shared" si="24"/>
        <v>353017.65003663721</v>
      </c>
      <c r="J99" s="159">
        <f t="shared" si="24"/>
        <v>401081.59466516145</v>
      </c>
      <c r="K99" s="159">
        <f t="shared" si="24"/>
        <v>453421.62712608575</v>
      </c>
      <c r="L99" s="159">
        <f t="shared" si="24"/>
        <v>461751.91783522314</v>
      </c>
      <c r="M99" s="159">
        <f t="shared" si="24"/>
        <v>458649.08662742446</v>
      </c>
      <c r="N99" s="159">
        <f t="shared" si="24"/>
        <v>449600.5840861575</v>
      </c>
      <c r="O99" s="159">
        <f t="shared" si="24"/>
        <v>474661.99980971206</v>
      </c>
      <c r="P99" s="159">
        <f t="shared" si="24"/>
        <v>480550.0731757161</v>
      </c>
      <c r="Q99" s="90"/>
      <c r="R99" s="90"/>
      <c r="S99" s="90"/>
      <c r="T99" s="90"/>
      <c r="U99" s="90"/>
      <c r="V99" s="90"/>
      <c r="W99" s="90"/>
      <c r="X99" s="90"/>
    </row>
    <row r="100" spans="1:24" s="126" customFormat="1">
      <c r="A100" s="90"/>
      <c r="B100" s="111" t="str">
        <f>B49</f>
        <v>Other Costs Total</v>
      </c>
      <c r="C100" s="111"/>
      <c r="D100" s="159">
        <f>D49*D91*D95</f>
        <v>0</v>
      </c>
      <c r="E100" s="159">
        <f t="shared" ref="E100:P100" si="25">E49*E91*E95</f>
        <v>0</v>
      </c>
      <c r="F100" s="159">
        <f t="shared" si="25"/>
        <v>51093.910670613848</v>
      </c>
      <c r="G100" s="159">
        <f t="shared" si="25"/>
        <v>28539.512581713738</v>
      </c>
      <c r="H100" s="159">
        <f t="shared" si="25"/>
        <v>15845.099115940238</v>
      </c>
      <c r="I100" s="159">
        <f t="shared" si="25"/>
        <v>4917.0491042264039</v>
      </c>
      <c r="J100" s="159">
        <f t="shared" si="25"/>
        <v>954.32449659009671</v>
      </c>
      <c r="K100" s="159">
        <f t="shared" si="25"/>
        <v>3667.366416671252</v>
      </c>
      <c r="L100" s="159">
        <f t="shared" si="25"/>
        <v>267.06610468774795</v>
      </c>
      <c r="M100" s="159">
        <f t="shared" si="25"/>
        <v>11924.512255112351</v>
      </c>
      <c r="N100" s="159">
        <f t="shared" si="25"/>
        <v>402.1734028414387</v>
      </c>
      <c r="O100" s="159">
        <f t="shared" si="25"/>
        <v>1205.8229178001047</v>
      </c>
      <c r="P100" s="159">
        <f t="shared" si="25"/>
        <v>18037.750559277712</v>
      </c>
      <c r="Q100" s="90"/>
      <c r="R100" s="90"/>
      <c r="S100" s="90"/>
      <c r="T100" s="90"/>
      <c r="U100" s="90"/>
      <c r="V100" s="90"/>
      <c r="W100" s="90"/>
      <c r="X100" s="90"/>
    </row>
    <row r="101" spans="1:24" s="126" customFormat="1">
      <c r="A101" s="90"/>
      <c r="B101" s="111" t="str">
        <f>B51</f>
        <v>Other Charges Total</v>
      </c>
      <c r="C101" s="111"/>
      <c r="D101" s="159">
        <f>D51*D91*D95</f>
        <v>56590.501797448938</v>
      </c>
      <c r="E101" s="159">
        <f t="shared" ref="E101:O101" si="26">E51*E91*E95</f>
        <v>40053.214532490761</v>
      </c>
      <c r="F101" s="159">
        <f t="shared" si="26"/>
        <v>25189.078317007508</v>
      </c>
      <c r="G101" s="159">
        <f t="shared" si="26"/>
        <v>24864.564555621346</v>
      </c>
      <c r="H101" s="159">
        <f t="shared" si="26"/>
        <v>18096.309748553162</v>
      </c>
      <c r="I101" s="159">
        <f t="shared" si="26"/>
        <v>6957.8802131598586</v>
      </c>
      <c r="J101" s="159">
        <f t="shared" si="26"/>
        <v>31123.417849077839</v>
      </c>
      <c r="K101" s="159">
        <f t="shared" si="26"/>
        <v>11040.310691712237</v>
      </c>
      <c r="L101" s="159">
        <f t="shared" si="26"/>
        <v>5404.0557425071147</v>
      </c>
      <c r="M101" s="159">
        <f t="shared" si="26"/>
        <v>3426.4389955566508</v>
      </c>
      <c r="N101" s="159">
        <f t="shared" si="26"/>
        <v>3641.9514360095168</v>
      </c>
      <c r="O101" s="159">
        <f t="shared" si="26"/>
        <v>7460.8758131908708</v>
      </c>
      <c r="P101" s="159">
        <f>P51*P91*P95</f>
        <v>14031.388566625157</v>
      </c>
      <c r="Q101" s="90"/>
      <c r="R101" s="90"/>
      <c r="S101" s="90"/>
      <c r="T101" s="90"/>
      <c r="U101" s="90"/>
      <c r="V101" s="90"/>
      <c r="W101" s="90"/>
      <c r="X101" s="90"/>
    </row>
    <row r="102" spans="1:24" s="126" customFormat="1">
      <c r="A102" s="90"/>
      <c r="B102" s="111" t="s">
        <v>1320</v>
      </c>
      <c r="C102" s="111"/>
      <c r="D102" s="159">
        <f t="shared" ref="D102:O102" si="27">D53*D95*D91</f>
        <v>0</v>
      </c>
      <c r="E102" s="159">
        <f t="shared" si="27"/>
        <v>0</v>
      </c>
      <c r="F102" s="159">
        <f t="shared" si="27"/>
        <v>0</v>
      </c>
      <c r="G102" s="159">
        <f t="shared" si="27"/>
        <v>0</v>
      </c>
      <c r="H102" s="159">
        <f t="shared" si="27"/>
        <v>0</v>
      </c>
      <c r="I102" s="159">
        <f t="shared" si="27"/>
        <v>0</v>
      </c>
      <c r="J102" s="159">
        <f t="shared" si="27"/>
        <v>0</v>
      </c>
      <c r="K102" s="159">
        <f t="shared" si="27"/>
        <v>0</v>
      </c>
      <c r="L102" s="159">
        <f t="shared" si="27"/>
        <v>0</v>
      </c>
      <c r="M102" s="159">
        <f t="shared" si="27"/>
        <v>28180.951591643679</v>
      </c>
      <c r="N102" s="159">
        <f t="shared" si="27"/>
        <v>7866.9251283865997</v>
      </c>
      <c r="O102" s="159">
        <f t="shared" si="27"/>
        <v>0</v>
      </c>
      <c r="P102" s="159">
        <f>P53*P95*P91</f>
        <v>0</v>
      </c>
      <c r="Q102" s="90"/>
      <c r="R102" s="90"/>
      <c r="S102" s="90"/>
      <c r="T102" s="90"/>
      <c r="U102" s="90"/>
      <c r="V102" s="90"/>
      <c r="W102" s="90"/>
      <c r="X102" s="90"/>
    </row>
    <row r="103" spans="1:24" s="131" customFormat="1">
      <c r="A103" s="133"/>
      <c r="B103" s="138"/>
      <c r="C103" s="138"/>
      <c r="D103" s="141"/>
      <c r="E103" s="141"/>
      <c r="F103" s="141"/>
      <c r="G103" s="141"/>
      <c r="H103" s="141"/>
      <c r="I103" s="141"/>
      <c r="J103" s="141"/>
      <c r="K103" s="141"/>
      <c r="L103" s="141"/>
      <c r="M103" s="141"/>
      <c r="N103" s="141"/>
      <c r="O103" s="141"/>
      <c r="P103" s="141"/>
      <c r="Q103" s="133"/>
      <c r="R103" s="133"/>
      <c r="S103" s="133"/>
      <c r="T103" s="133"/>
      <c r="U103" s="133"/>
      <c r="V103" s="133"/>
      <c r="W103" s="133"/>
      <c r="X103" s="133"/>
    </row>
    <row r="104" spans="1:24" s="126" customFormat="1">
      <c r="A104" s="90"/>
      <c r="B104" s="111" t="str">
        <f>B58</f>
        <v>Cost Residual (Ordinary Opex - Elements)</v>
      </c>
      <c r="C104" s="111"/>
      <c r="D104" s="159">
        <f t="shared" ref="D104:P104" si="28">D58*D91*D95</f>
        <v>0</v>
      </c>
      <c r="E104" s="159">
        <f t="shared" si="28"/>
        <v>-13888.238901086872</v>
      </c>
      <c r="F104" s="159">
        <f t="shared" si="28"/>
        <v>-22653.88844691695</v>
      </c>
      <c r="G104" s="159">
        <f t="shared" si="28"/>
        <v>0</v>
      </c>
      <c r="H104" s="159">
        <f t="shared" si="28"/>
        <v>29870.048544953406</v>
      </c>
      <c r="I104" s="159">
        <f t="shared" si="28"/>
        <v>-11183.955050037293</v>
      </c>
      <c r="J104" s="159">
        <f t="shared" si="28"/>
        <v>724.97563590245636</v>
      </c>
      <c r="K104" s="159">
        <f t="shared" si="28"/>
        <v>4138.9515264134761</v>
      </c>
      <c r="L104" s="159">
        <f t="shared" si="28"/>
        <v>17905.07954884737</v>
      </c>
      <c r="M104" s="159">
        <f t="shared" si="28"/>
        <v>11913.700457072204</v>
      </c>
      <c r="N104" s="159">
        <f t="shared" si="28"/>
        <v>1743.8996590019558</v>
      </c>
      <c r="O104" s="159">
        <f t="shared" si="28"/>
        <v>2455.8511564156915</v>
      </c>
      <c r="P104" s="159">
        <f t="shared" si="28"/>
        <v>3206.8345943960153</v>
      </c>
      <c r="Q104" s="90"/>
      <c r="R104" s="90"/>
      <c r="S104" s="90"/>
      <c r="T104" s="90"/>
      <c r="U104" s="90"/>
      <c r="V104" s="90"/>
      <c r="W104" s="90"/>
      <c r="X104" s="90"/>
    </row>
    <row r="105" spans="1:24" s="131" customFormat="1">
      <c r="A105" s="133"/>
      <c r="B105" s="138"/>
      <c r="C105" s="138"/>
      <c r="D105" s="141"/>
      <c r="E105" s="141"/>
      <c r="F105" s="141"/>
      <c r="G105" s="141"/>
      <c r="H105" s="141"/>
      <c r="I105" s="141"/>
      <c r="J105" s="141"/>
      <c r="K105" s="141"/>
      <c r="L105" s="141"/>
      <c r="M105" s="141"/>
      <c r="N105" s="141"/>
      <c r="O105" s="141"/>
      <c r="P105" s="141"/>
      <c r="Q105" s="133"/>
      <c r="R105" s="133"/>
      <c r="S105" s="133"/>
      <c r="T105" s="133"/>
      <c r="U105" s="133"/>
      <c r="V105" s="133"/>
      <c r="W105" s="133"/>
      <c r="X105" s="133"/>
    </row>
    <row r="106" spans="1:24" s="126" customFormat="1">
      <c r="A106" s="90"/>
      <c r="B106" s="111" t="str">
        <f>B56</f>
        <v>Grand Total - Group Opex</v>
      </c>
      <c r="C106" s="111"/>
      <c r="D106" s="159">
        <f t="shared" ref="D106:P106" si="29">D56*D91*D95</f>
        <v>518176.88978746766</v>
      </c>
      <c r="E106" s="159">
        <f t="shared" si="29"/>
        <v>549527.79330685164</v>
      </c>
      <c r="F106" s="159">
        <f t="shared" si="29"/>
        <v>609671.6390951135</v>
      </c>
      <c r="G106" s="159">
        <f t="shared" si="29"/>
        <v>656431.08753270912</v>
      </c>
      <c r="H106" s="159">
        <f t="shared" si="29"/>
        <v>641740.43602038058</v>
      </c>
      <c r="I106" s="159">
        <f t="shared" si="29"/>
        <v>672225.69851284509</v>
      </c>
      <c r="J106" s="159">
        <f t="shared" si="29"/>
        <v>737191.37818569213</v>
      </c>
      <c r="K106" s="159">
        <f t="shared" si="29"/>
        <v>779675.57627962797</v>
      </c>
      <c r="L106" s="159">
        <f t="shared" si="29"/>
        <v>771953.67940495326</v>
      </c>
      <c r="M106" s="159">
        <f t="shared" si="29"/>
        <v>823060.73957058589</v>
      </c>
      <c r="N106" s="159">
        <f t="shared" si="29"/>
        <v>778032.43630980887</v>
      </c>
      <c r="O106" s="159">
        <f t="shared" si="29"/>
        <v>794897.62305284897</v>
      </c>
      <c r="P106" s="159">
        <f t="shared" si="29"/>
        <v>824508.66354234132</v>
      </c>
      <c r="Q106" s="90"/>
      <c r="R106" s="90"/>
      <c r="S106" s="90"/>
      <c r="T106" s="90"/>
      <c r="U106" s="90"/>
      <c r="V106" s="90"/>
      <c r="W106" s="90"/>
      <c r="X106" s="90"/>
    </row>
    <row r="107" spans="1:24" s="131" customFormat="1">
      <c r="A107" s="133"/>
      <c r="B107" s="138"/>
      <c r="C107" s="138"/>
      <c r="D107" s="141"/>
      <c r="E107" s="141"/>
      <c r="F107" s="141"/>
      <c r="G107" s="141"/>
      <c r="H107" s="141"/>
      <c r="I107" s="141"/>
      <c r="J107" s="141"/>
      <c r="K107" s="141"/>
      <c r="L107" s="141"/>
      <c r="M107" s="141"/>
      <c r="N107" s="141"/>
      <c r="O107" s="141"/>
      <c r="P107" s="141"/>
      <c r="Q107" s="133"/>
      <c r="R107" s="133"/>
      <c r="S107" s="133"/>
      <c r="T107" s="133"/>
      <c r="U107" s="133"/>
      <c r="V107" s="133"/>
      <c r="W107" s="133"/>
      <c r="X107" s="133"/>
    </row>
    <row r="108" spans="1:24" s="126" customFormat="1">
      <c r="A108" s="90"/>
      <c r="B108" s="111" t="str">
        <f>B60</f>
        <v>Ordinary Opex (per accounts - including staff, depreciation and other, excluding exceptional)</v>
      </c>
      <c r="C108" s="111"/>
      <c r="D108" s="159">
        <f>D60*D91*D95</f>
        <v>518176.88978746766</v>
      </c>
      <c r="E108" s="159">
        <f t="shared" ref="E108:O108" si="30">E60*E91*E95</f>
        <v>535639.55440576479</v>
      </c>
      <c r="F108" s="159">
        <f t="shared" si="30"/>
        <v>587017.75064819655</v>
      </c>
      <c r="G108" s="159">
        <f t="shared" si="30"/>
        <v>656431.08753270912</v>
      </c>
      <c r="H108" s="159">
        <f t="shared" si="30"/>
        <v>671610.48456533405</v>
      </c>
      <c r="I108" s="159">
        <f t="shared" si="30"/>
        <v>661041.74346280773</v>
      </c>
      <c r="J108" s="159">
        <f t="shared" si="30"/>
        <v>737916.35382159462</v>
      </c>
      <c r="K108" s="159">
        <f t="shared" si="30"/>
        <v>783814.52780604141</v>
      </c>
      <c r="L108" s="159">
        <f t="shared" si="30"/>
        <v>789858.75895380066</v>
      </c>
      <c r="M108" s="159">
        <f t="shared" si="30"/>
        <v>806793.48843601451</v>
      </c>
      <c r="N108" s="159">
        <f t="shared" si="30"/>
        <v>771909.41084042424</v>
      </c>
      <c r="O108" s="159">
        <f t="shared" si="30"/>
        <v>797353.47420926462</v>
      </c>
      <c r="P108" s="159">
        <f>P60*P91*P95</f>
        <v>827715.49813673738</v>
      </c>
      <c r="Q108" s="90"/>
      <c r="R108" s="90"/>
      <c r="S108" s="90"/>
      <c r="T108" s="90"/>
      <c r="U108" s="90"/>
      <c r="V108" s="90"/>
      <c r="W108" s="90"/>
      <c r="X108" s="90"/>
    </row>
    <row r="109" spans="1:24" s="126" customFormat="1">
      <c r="A109" s="90"/>
      <c r="B109" s="111"/>
      <c r="C109" s="111"/>
      <c r="D109" s="141"/>
      <c r="E109" s="141"/>
      <c r="F109" s="141"/>
      <c r="G109" s="141"/>
      <c r="H109" s="141"/>
      <c r="I109" s="141"/>
      <c r="J109" s="141"/>
      <c r="K109" s="141"/>
      <c r="L109" s="141"/>
      <c r="M109" s="141"/>
      <c r="N109" s="141"/>
      <c r="O109" s="141"/>
      <c r="P109" s="141"/>
      <c r="Q109" s="90"/>
      <c r="R109" s="90"/>
      <c r="S109" s="90"/>
      <c r="T109" s="90"/>
      <c r="U109" s="90"/>
      <c r="V109" s="90"/>
      <c r="W109" s="90"/>
      <c r="X109" s="90"/>
    </row>
    <row r="110" spans="1:24" s="126" customFormat="1">
      <c r="A110" s="90"/>
      <c r="B110" s="111" t="str">
        <f>B62</f>
        <v>Total Opex (ordinary + exceptional)</v>
      </c>
      <c r="C110" s="111"/>
      <c r="D110" s="159">
        <f>D62*D91*D95</f>
        <v>518176.88978746766</v>
      </c>
      <c r="E110" s="159">
        <f t="shared" ref="E110:O110" si="31">E62*E91*E95</f>
        <v>535639.55440576479</v>
      </c>
      <c r="F110" s="159">
        <f t="shared" si="31"/>
        <v>587017.75064819655</v>
      </c>
      <c r="G110" s="159">
        <f t="shared" si="31"/>
        <v>656431.08753270912</v>
      </c>
      <c r="H110" s="159">
        <f t="shared" si="31"/>
        <v>671610.48456533405</v>
      </c>
      <c r="I110" s="159">
        <f t="shared" si="31"/>
        <v>661041.74346280773</v>
      </c>
      <c r="J110" s="159">
        <f t="shared" si="31"/>
        <v>737916.35382159462</v>
      </c>
      <c r="K110" s="159">
        <f t="shared" si="31"/>
        <v>783814.52780604141</v>
      </c>
      <c r="L110" s="159">
        <f t="shared" si="31"/>
        <v>789858.75895380066</v>
      </c>
      <c r="M110" s="159">
        <f t="shared" si="31"/>
        <v>834974.44002765813</v>
      </c>
      <c r="N110" s="159">
        <f t="shared" si="31"/>
        <v>779776.33596881072</v>
      </c>
      <c r="O110" s="159">
        <f t="shared" si="31"/>
        <v>797353.47420926462</v>
      </c>
      <c r="P110" s="159">
        <f>P62*P91*P95</f>
        <v>827715.49813673738</v>
      </c>
      <c r="Q110" s="90"/>
      <c r="R110" s="90"/>
      <c r="S110" s="90"/>
      <c r="T110" s="90"/>
      <c r="U110" s="90"/>
      <c r="V110" s="90"/>
      <c r="W110" s="90"/>
      <c r="X110" s="90"/>
    </row>
    <row r="111" spans="1:24" s="126" customFormat="1">
      <c r="A111" s="90"/>
      <c r="B111" s="111"/>
      <c r="C111" s="111"/>
      <c r="D111" s="141"/>
      <c r="E111" s="141"/>
      <c r="F111" s="141"/>
      <c r="G111" s="141"/>
      <c r="H111" s="141"/>
      <c r="I111" s="141"/>
      <c r="J111" s="141"/>
      <c r="K111" s="141"/>
      <c r="L111" s="141"/>
      <c r="M111" s="141"/>
      <c r="N111" s="141"/>
      <c r="O111" s="141"/>
      <c r="P111" s="141"/>
      <c r="Q111" s="90"/>
      <c r="R111" s="90"/>
      <c r="S111" s="90"/>
      <c r="T111" s="90"/>
      <c r="U111" s="90"/>
      <c r="V111" s="90"/>
      <c r="W111" s="90"/>
      <c r="X111" s="90"/>
    </row>
    <row r="112" spans="1:24" s="126" customFormat="1">
      <c r="A112" s="90"/>
      <c r="B112" s="111" t="str">
        <f>B64</f>
        <v>Excluded costs</v>
      </c>
      <c r="C112" s="111"/>
      <c r="D112" s="159">
        <f>D64*D91*D95</f>
        <v>0</v>
      </c>
      <c r="E112" s="159">
        <f t="shared" ref="E112:O112" si="32">E64*E91*E95</f>
        <v>0</v>
      </c>
      <c r="F112" s="159">
        <f t="shared" si="32"/>
        <v>0</v>
      </c>
      <c r="G112" s="159">
        <f t="shared" si="32"/>
        <v>0</v>
      </c>
      <c r="H112" s="159">
        <f t="shared" si="32"/>
        <v>0</v>
      </c>
      <c r="I112" s="159">
        <f t="shared" si="32"/>
        <v>0</v>
      </c>
      <c r="J112" s="159">
        <f t="shared" si="32"/>
        <v>0</v>
      </c>
      <c r="K112" s="159">
        <f t="shared" si="32"/>
        <v>35498.42933788852</v>
      </c>
      <c r="L112" s="159">
        <f t="shared" si="32"/>
        <v>32249.576433518825</v>
      </c>
      <c r="M112" s="159">
        <f t="shared" si="32"/>
        <v>25067.153756081287</v>
      </c>
      <c r="N112" s="159">
        <f t="shared" si="32"/>
        <v>26020.705282342762</v>
      </c>
      <c r="O112" s="159">
        <f t="shared" si="32"/>
        <v>40997.979205203555</v>
      </c>
      <c r="P112" s="159">
        <f>P64*P91*P95</f>
        <v>42119.54752204234</v>
      </c>
      <c r="Q112" s="90"/>
      <c r="R112" s="90"/>
      <c r="S112" s="90"/>
      <c r="T112" s="90"/>
      <c r="U112" s="90"/>
      <c r="V112" s="90"/>
      <c r="W112" s="90"/>
      <c r="X112" s="90"/>
    </row>
    <row r="113" spans="1:24" s="126" customFormat="1">
      <c r="A113" s="90"/>
      <c r="B113" s="111"/>
      <c r="C113" s="111"/>
      <c r="D113" s="141"/>
      <c r="E113" s="141"/>
      <c r="F113" s="141"/>
      <c r="G113" s="141"/>
      <c r="H113" s="141"/>
      <c r="I113" s="141"/>
      <c r="J113" s="141"/>
      <c r="K113" s="141"/>
      <c r="L113" s="141"/>
      <c r="M113" s="141"/>
      <c r="N113" s="141"/>
      <c r="O113" s="141"/>
      <c r="P113" s="141"/>
      <c r="Q113" s="90"/>
      <c r="R113" s="90"/>
      <c r="S113" s="90"/>
      <c r="T113" s="90"/>
      <c r="U113" s="90"/>
      <c r="V113" s="90"/>
      <c r="W113" s="90"/>
      <c r="X113" s="90"/>
    </row>
    <row r="114" spans="1:24" s="126" customFormat="1">
      <c r="A114" s="134"/>
      <c r="B114" s="111" t="str">
        <f>B66</f>
        <v>Adjusted Ordinary Opex (ordinary opex - depreciation - ANS - retail)</v>
      </c>
      <c r="C114" s="111"/>
      <c r="D114" s="159">
        <f>D66*D91*D95</f>
        <v>401102.41262606462</v>
      </c>
      <c r="E114" s="159">
        <f t="shared" ref="E114:O114" si="33">E66*E91*E95</f>
        <v>421207.35167297907</v>
      </c>
      <c r="F114" s="159">
        <f t="shared" si="33"/>
        <v>471598.86079530657</v>
      </c>
      <c r="G114" s="159">
        <f t="shared" si="33"/>
        <v>517766.30491974839</v>
      </c>
      <c r="H114" s="159">
        <f t="shared" si="33"/>
        <v>522920.23946075584</v>
      </c>
      <c r="I114" s="159">
        <f t="shared" si="33"/>
        <v>498775.11156169733</v>
      </c>
      <c r="J114" s="159">
        <f t="shared" si="33"/>
        <v>581676.32974696474</v>
      </c>
      <c r="K114" s="159">
        <f t="shared" si="33"/>
        <v>589167.30776674673</v>
      </c>
      <c r="L114" s="159">
        <f t="shared" si="33"/>
        <v>603443.92929680599</v>
      </c>
      <c r="M114" s="159">
        <f t="shared" si="33"/>
        <v>616969.84926198004</v>
      </c>
      <c r="N114" s="159">
        <f t="shared" si="33"/>
        <v>585855.55507281015</v>
      </c>
      <c r="O114" s="159">
        <f t="shared" si="33"/>
        <v>587610.6875785304</v>
      </c>
      <c r="P114" s="159">
        <f>P66*P91*P95</f>
        <v>615143.5306711084</v>
      </c>
      <c r="Q114" s="90"/>
      <c r="R114" s="90"/>
      <c r="S114" s="90"/>
      <c r="T114" s="90"/>
      <c r="U114" s="90"/>
      <c r="V114" s="90"/>
      <c r="W114" s="90"/>
      <c r="X114" s="90"/>
    </row>
    <row r="115" spans="1:24" s="126" customFormat="1">
      <c r="A115" s="90"/>
      <c r="B115" s="111"/>
      <c r="C115" s="111"/>
      <c r="D115" s="141"/>
      <c r="E115" s="141"/>
      <c r="F115" s="141"/>
      <c r="G115" s="141"/>
      <c r="H115" s="141"/>
      <c r="I115" s="141"/>
      <c r="J115" s="141"/>
      <c r="K115" s="141"/>
      <c r="L115" s="141"/>
      <c r="M115" s="141"/>
      <c r="N115" s="141"/>
      <c r="O115" s="141"/>
      <c r="P115" s="141"/>
      <c r="Q115" s="90"/>
      <c r="R115" s="90"/>
      <c r="S115" s="90"/>
      <c r="T115" s="90"/>
      <c r="U115" s="90"/>
      <c r="V115" s="90"/>
      <c r="W115" s="90"/>
      <c r="X115" s="90"/>
    </row>
    <row r="116" spans="1:24" s="126" customFormat="1">
      <c r="A116" s="90"/>
      <c r="B116" s="111" t="str">
        <f>B68</f>
        <v>Turnover (per accounts)</v>
      </c>
      <c r="C116" s="111"/>
      <c r="D116" s="159">
        <f>D68*D91*D95</f>
        <v>765051.22613573074</v>
      </c>
      <c r="E116" s="159">
        <f t="shared" ref="E116:O116" si="34">E68*E91*E95</f>
        <v>707801.51788053347</v>
      </c>
      <c r="F116" s="159">
        <f t="shared" si="34"/>
        <v>845996.13791198167</v>
      </c>
      <c r="G116" s="159">
        <f t="shared" si="34"/>
        <v>912851.35587050265</v>
      </c>
      <c r="H116" s="159">
        <f t="shared" si="34"/>
        <v>903707.92892127857</v>
      </c>
      <c r="I116" s="159">
        <f t="shared" si="34"/>
        <v>950716.4084859537</v>
      </c>
      <c r="J116" s="159">
        <f t="shared" si="34"/>
        <v>1007487.7568609329</v>
      </c>
      <c r="K116" s="159">
        <f t="shared" si="34"/>
        <v>1068260.4998095313</v>
      </c>
      <c r="L116" s="159">
        <f t="shared" si="34"/>
        <v>1034165.0958742666</v>
      </c>
      <c r="M116" s="159">
        <f t="shared" si="34"/>
        <v>1039595.8267859741</v>
      </c>
      <c r="N116" s="159">
        <f t="shared" si="34"/>
        <v>1016325.7751959703</v>
      </c>
      <c r="O116" s="159">
        <f t="shared" si="34"/>
        <v>1046438.1777487262</v>
      </c>
      <c r="P116" s="159">
        <f>P68*P91*P95</f>
        <v>1072810.304799502</v>
      </c>
      <c r="Q116" s="90"/>
      <c r="R116" s="90"/>
      <c r="S116" s="90"/>
      <c r="T116" s="90"/>
      <c r="U116" s="90"/>
      <c r="V116" s="90"/>
      <c r="W116" s="90"/>
      <c r="X116" s="90"/>
    </row>
    <row r="117" spans="1:24" s="126" customFormat="1">
      <c r="A117" s="90"/>
      <c r="B117" s="111"/>
      <c r="C117" s="111"/>
      <c r="D117" s="141"/>
      <c r="E117" s="141"/>
      <c r="F117" s="141"/>
      <c r="G117" s="141"/>
      <c r="H117" s="141"/>
      <c r="I117" s="141"/>
      <c r="J117" s="141"/>
      <c r="K117" s="141"/>
      <c r="L117" s="141"/>
      <c r="M117" s="141"/>
      <c r="N117" s="141"/>
      <c r="O117" s="141"/>
      <c r="P117" s="141"/>
      <c r="Q117" s="90"/>
      <c r="R117" s="90"/>
      <c r="S117" s="90"/>
      <c r="T117" s="90"/>
      <c r="U117" s="90"/>
      <c r="V117" s="90"/>
      <c r="W117" s="90"/>
      <c r="X117" s="90"/>
    </row>
    <row r="118" spans="1:24">
      <c r="B118" s="111" t="str">
        <f>B70</f>
        <v>Operating Profit (pre-exceptional)</v>
      </c>
      <c r="C118" s="111"/>
      <c r="D118" s="159">
        <f>D70*D91*D95</f>
        <v>246874.33634826305</v>
      </c>
      <c r="E118" s="159">
        <f t="shared" ref="E118:O118" si="35">E70*E91*E95</f>
        <v>172161.96347476862</v>
      </c>
      <c r="F118" s="159">
        <f t="shared" si="35"/>
        <v>258978.38726378509</v>
      </c>
      <c r="G118" s="159">
        <f t="shared" si="35"/>
        <v>256420.2683377935</v>
      </c>
      <c r="H118" s="159">
        <f t="shared" si="35"/>
        <v>232097.44435594467</v>
      </c>
      <c r="I118" s="159">
        <f t="shared" si="35"/>
        <v>289674.66502314585</v>
      </c>
      <c r="J118" s="159">
        <f t="shared" si="35"/>
        <v>269571.40303933842</v>
      </c>
      <c r="K118" s="159">
        <f t="shared" si="35"/>
        <v>284445.97200348991</v>
      </c>
      <c r="L118" s="159">
        <f t="shared" si="35"/>
        <v>244306.3369204659</v>
      </c>
      <c r="M118" s="159">
        <f t="shared" si="35"/>
        <v>232802.33834995958</v>
      </c>
      <c r="N118" s="159">
        <f t="shared" si="35"/>
        <v>244416.36435554622</v>
      </c>
      <c r="O118" s="159">
        <f t="shared" si="35"/>
        <v>249084.70353946154</v>
      </c>
      <c r="P118" s="159">
        <f t="shared" ref="P118" si="36">P70*P91*P95</f>
        <v>245094.80666276466</v>
      </c>
      <c r="Q118" s="90"/>
    </row>
    <row r="119" spans="1:24">
      <c r="B119" s="111"/>
      <c r="C119" s="111"/>
      <c r="D119" s="193"/>
      <c r="E119" s="193"/>
      <c r="F119" s="193"/>
      <c r="G119" s="193"/>
      <c r="H119" s="193"/>
      <c r="I119" s="193"/>
      <c r="J119" s="193"/>
      <c r="K119" s="193"/>
      <c r="L119" s="193"/>
      <c r="M119" s="193"/>
      <c r="N119" s="193"/>
      <c r="O119" s="193"/>
      <c r="P119" s="193"/>
      <c r="Q119" s="90"/>
    </row>
    <row r="120" spans="1:24">
      <c r="B120" s="111" t="str">
        <f>B72</f>
        <v>Profit Margin</v>
      </c>
      <c r="C120" s="111"/>
      <c r="D120" s="162">
        <f t="shared" ref="D120:O120" si="37">D118/D116</f>
        <v>0.32268994273131735</v>
      </c>
      <c r="E120" s="162">
        <f t="shared" si="37"/>
        <v>0.24323480400310055</v>
      </c>
      <c r="F120" s="162">
        <f t="shared" si="37"/>
        <v>0.30612242261882461</v>
      </c>
      <c r="G120" s="162">
        <f t="shared" si="37"/>
        <v>0.28090035325988971</v>
      </c>
      <c r="H120" s="162">
        <f t="shared" si="37"/>
        <v>0.25682793846125757</v>
      </c>
      <c r="I120" s="162">
        <f t="shared" si="37"/>
        <v>0.30469092827004218</v>
      </c>
      <c r="J120" s="162">
        <f t="shared" si="37"/>
        <v>0.2675679195142302</v>
      </c>
      <c r="K120" s="162">
        <f t="shared" si="37"/>
        <v>0.26627023282636214</v>
      </c>
      <c r="L120" s="162">
        <f t="shared" si="37"/>
        <v>0.23623533408264299</v>
      </c>
      <c r="M120" s="162">
        <f t="shared" si="37"/>
        <v>0.22393542985805728</v>
      </c>
      <c r="N120" s="162">
        <f t="shared" si="37"/>
        <v>0.24049017580845797</v>
      </c>
      <c r="O120" s="162">
        <f t="shared" si="37"/>
        <v>0.23803097864351092</v>
      </c>
      <c r="P120" s="162">
        <f t="shared" ref="P120" si="38">P118/P116</f>
        <v>0.22846052612122378</v>
      </c>
      <c r="Q120" s="90"/>
    </row>
    <row r="121" spans="1:24" s="133" customFormat="1">
      <c r="B121" s="138"/>
      <c r="C121" s="138"/>
      <c r="D121" s="141"/>
      <c r="E121" s="141"/>
      <c r="F121" s="141"/>
      <c r="G121" s="141"/>
      <c r="H121" s="141"/>
      <c r="I121" s="141"/>
      <c r="J121" s="141"/>
      <c r="K121" s="141"/>
      <c r="L121" s="141"/>
      <c r="M121" s="141"/>
      <c r="N121" s="141"/>
      <c r="O121" s="141"/>
      <c r="P121" s="131"/>
    </row>
    <row r="122" spans="1:24" s="133" customFormat="1">
      <c r="B122" s="153" t="s">
        <v>1153</v>
      </c>
      <c r="C122" s="94"/>
      <c r="D122" s="94"/>
      <c r="E122" s="94"/>
      <c r="F122" s="94"/>
      <c r="G122" s="94"/>
      <c r="H122" s="94"/>
      <c r="I122" s="94"/>
      <c r="J122" s="94"/>
      <c r="K122" s="94"/>
      <c r="L122" s="94"/>
      <c r="M122" s="94"/>
      <c r="N122" s="94"/>
      <c r="O122" s="94"/>
      <c r="P122" s="94"/>
    </row>
    <row r="123" spans="1:24" s="133" customFormat="1">
      <c r="B123" s="90"/>
      <c r="C123" s="90"/>
      <c r="D123" s="90"/>
      <c r="E123" s="90"/>
      <c r="F123" s="90"/>
      <c r="G123" s="90"/>
      <c r="H123" s="90"/>
      <c r="I123" s="90"/>
      <c r="J123" s="90"/>
      <c r="K123" s="90"/>
      <c r="L123" s="90"/>
      <c r="M123" s="90"/>
      <c r="N123" s="90"/>
      <c r="O123" s="90"/>
      <c r="P123" s="131"/>
    </row>
    <row r="124" spans="1:24" s="133" customFormat="1">
      <c r="B124" s="90" t="s">
        <v>1127</v>
      </c>
      <c r="C124" s="90"/>
      <c r="D124" s="209">
        <f>D82*D$91*D$95</f>
        <v>12.748847085434068</v>
      </c>
      <c r="E124" s="209">
        <f t="shared" ref="E124:O124" si="39">E82*E$91*E$95</f>
        <v>13.207080267420293</v>
      </c>
      <c r="F124" s="209">
        <f t="shared" si="39"/>
        <v>14.073451862774725</v>
      </c>
      <c r="G124" s="209">
        <f t="shared" si="39"/>
        <v>16.010514330066076</v>
      </c>
      <c r="H124" s="209">
        <f t="shared" si="39"/>
        <v>15.136589690451521</v>
      </c>
      <c r="I124" s="209">
        <f t="shared" si="39"/>
        <v>14.323144034122201</v>
      </c>
      <c r="J124" s="209">
        <f t="shared" si="39"/>
        <v>15.281884437252153</v>
      </c>
      <c r="K124" s="209">
        <f t="shared" si="39"/>
        <v>15.542007610367257</v>
      </c>
      <c r="L124" s="209">
        <f t="shared" si="39"/>
        <v>15.773829910808018</v>
      </c>
      <c r="M124" s="209">
        <f t="shared" si="39"/>
        <v>18.055062924959088</v>
      </c>
      <c r="N124" s="209">
        <f t="shared" si="39"/>
        <v>16.13641950105146</v>
      </c>
      <c r="O124" s="209">
        <f t="shared" si="39"/>
        <v>14.897677108651857</v>
      </c>
      <c r="P124" s="209">
        <f>P82*P$91*P$95</f>
        <v>14.972062407509178</v>
      </c>
    </row>
    <row r="125" spans="1:24" s="133" customFormat="1">
      <c r="B125" s="90" t="s">
        <v>299</v>
      </c>
      <c r="C125" s="90"/>
      <c r="D125" s="209">
        <f>D83*D$91*D$95</f>
        <v>12.748847085434068</v>
      </c>
      <c r="E125" s="209">
        <f t="shared" ref="E125:O125" si="40">E83*E$91*E$95</f>
        <v>13.207080267420293</v>
      </c>
      <c r="F125" s="209">
        <f t="shared" si="40"/>
        <v>14.073451862774725</v>
      </c>
      <c r="G125" s="209">
        <f t="shared" si="40"/>
        <v>16.010514330066076</v>
      </c>
      <c r="H125" s="209">
        <f t="shared" si="40"/>
        <v>15.136589690451521</v>
      </c>
      <c r="I125" s="209">
        <f t="shared" si="40"/>
        <v>14.323144034122201</v>
      </c>
      <c r="J125" s="209">
        <f t="shared" si="40"/>
        <v>15.281884437252153</v>
      </c>
      <c r="K125" s="209">
        <f t="shared" si="40"/>
        <v>15.542007610367257</v>
      </c>
      <c r="L125" s="209">
        <f t="shared" si="40"/>
        <v>15.773829910808018</v>
      </c>
      <c r="M125" s="209">
        <f t="shared" si="40"/>
        <v>17.445692350387372</v>
      </c>
      <c r="N125" s="209">
        <f t="shared" si="40"/>
        <v>15.973624096523968</v>
      </c>
      <c r="O125" s="209">
        <f t="shared" si="40"/>
        <v>14.897677108651857</v>
      </c>
      <c r="P125" s="209">
        <f>P83*P$91*P$95</f>
        <v>14.972062407509178</v>
      </c>
    </row>
    <row r="126" spans="1:24" s="133" customFormat="1">
      <c r="B126" s="90" t="s">
        <v>300</v>
      </c>
      <c r="C126" s="90"/>
      <c r="D126" s="209">
        <f t="shared" ref="D126:O128" si="41">D84*D$91*D$95</f>
        <v>9.8684318520375118</v>
      </c>
      <c r="E126" s="209">
        <f t="shared" si="41"/>
        <v>10.385564801957221</v>
      </c>
      <c r="F126" s="209">
        <f t="shared" si="41"/>
        <v>11.306342710443447</v>
      </c>
      <c r="G126" s="209">
        <f t="shared" si="41"/>
        <v>12.628446461457278</v>
      </c>
      <c r="H126" s="209">
        <f t="shared" si="41"/>
        <v>11.785446009933645</v>
      </c>
      <c r="I126" s="209">
        <f t="shared" si="41"/>
        <v>10.807226372891691</v>
      </c>
      <c r="J126" s="209">
        <f t="shared" si="41"/>
        <v>12.04623045016184</v>
      </c>
      <c r="K126" s="209">
        <f t="shared" si="41"/>
        <v>11.682410131796217</v>
      </c>
      <c r="L126" s="209">
        <f t="shared" si="41"/>
        <v>12.051043042233616</v>
      </c>
      <c r="M126" s="209">
        <f t="shared" si="41"/>
        <v>13.34104245257925</v>
      </c>
      <c r="N126" s="209">
        <f t="shared" si="41"/>
        <v>12.123490503120811</v>
      </c>
      <c r="O126" s="209">
        <f t="shared" si="41"/>
        <v>10.978862665418527</v>
      </c>
      <c r="P126" s="209">
        <f>P84*P$91*P$95</f>
        <v>11.126972192155206</v>
      </c>
    </row>
    <row r="127" spans="1:24" s="133" customFormat="1">
      <c r="B127" s="90" t="s">
        <v>265</v>
      </c>
      <c r="C127" s="90"/>
      <c r="D127" s="209">
        <f t="shared" si="41"/>
        <v>2.7787525373130335</v>
      </c>
      <c r="E127" s="209">
        <f t="shared" si="41"/>
        <v>3.1382941416845185</v>
      </c>
      <c r="F127" s="209">
        <f t="shared" si="41"/>
        <v>3.3425270143468078</v>
      </c>
      <c r="G127" s="209">
        <f t="shared" si="41"/>
        <v>3.601786257156927</v>
      </c>
      <c r="H127" s="209">
        <f t="shared" si="41"/>
        <v>3.1348074085182898</v>
      </c>
      <c r="I127" s="209">
        <f t="shared" si="41"/>
        <v>3.1432329532352044</v>
      </c>
      <c r="J127" s="209">
        <f t="shared" si="41"/>
        <v>3.0606999213086943</v>
      </c>
      <c r="K127" s="209">
        <f t="shared" si="41"/>
        <v>3.0218409213148911</v>
      </c>
      <c r="L127" s="209">
        <f t="shared" si="41"/>
        <v>3.0028634920130099</v>
      </c>
      <c r="M127" s="209">
        <f t="shared" si="41"/>
        <v>3.3759301276412144</v>
      </c>
      <c r="N127" s="209">
        <f t="shared" si="41"/>
        <v>3.2383008809523712</v>
      </c>
      <c r="O127" s="209">
        <f t="shared" si="41"/>
        <v>2.6685123329960625</v>
      </c>
      <c r="P127" s="209">
        <f t="shared" ref="P127" si="42">P85*P$91*P$95</f>
        <v>2.5583718851229245</v>
      </c>
    </row>
    <row r="128" spans="1:24" s="133" customFormat="1">
      <c r="B128" s="111" t="s">
        <v>1136</v>
      </c>
      <c r="C128" s="111"/>
      <c r="D128" s="209">
        <f t="shared" si="41"/>
        <v>60.591414634704002</v>
      </c>
      <c r="E128" s="209">
        <f t="shared" si="41"/>
        <v>62.453285330863103</v>
      </c>
      <c r="F128" s="209">
        <f t="shared" si="41"/>
        <v>65.332776145932385</v>
      </c>
      <c r="G128" s="209">
        <f t="shared" si="41"/>
        <v>66.191500019468407</v>
      </c>
      <c r="H128" s="209">
        <f t="shared" si="41"/>
        <v>62.766879384456914</v>
      </c>
      <c r="I128" s="209">
        <f t="shared" si="41"/>
        <v>66.574799108632931</v>
      </c>
      <c r="J128" s="209">
        <f t="shared" si="41"/>
        <v>64.453561753263386</v>
      </c>
      <c r="K128" s="209">
        <f t="shared" si="41"/>
        <v>61.975388915718824</v>
      </c>
      <c r="L128" s="209">
        <f t="shared" si="41"/>
        <v>60.002149440965482</v>
      </c>
      <c r="M128" s="209">
        <f t="shared" si="41"/>
        <v>62.549384888980612</v>
      </c>
      <c r="N128" s="209">
        <f t="shared" si="41"/>
        <v>67.219781688635052</v>
      </c>
      <c r="O128" s="209">
        <f t="shared" si="41"/>
        <v>67.529133374286161</v>
      </c>
      <c r="P128" s="345">
        <f t="shared" ref="P128" si="43">P86*P$91*P$95</f>
        <v>67.770498944482881</v>
      </c>
    </row>
    <row r="129" spans="2:17" s="133" customFormat="1">
      <c r="B129" s="111"/>
      <c r="C129" s="111"/>
      <c r="D129" s="161"/>
      <c r="E129" s="161"/>
      <c r="F129" s="161"/>
      <c r="G129" s="161"/>
      <c r="H129" s="161"/>
      <c r="I129" s="161"/>
      <c r="J129" s="161"/>
      <c r="K129" s="161"/>
      <c r="L129" s="161"/>
      <c r="M129" s="161"/>
      <c r="N129" s="161"/>
      <c r="O129" s="161"/>
      <c r="P129" s="131"/>
    </row>
    <row r="130" spans="2:17" s="133" customFormat="1">
      <c r="B130" s="153" t="s">
        <v>1172</v>
      </c>
      <c r="C130" s="94"/>
      <c r="D130" s="94"/>
      <c r="E130" s="94"/>
      <c r="F130" s="94"/>
      <c r="G130" s="94"/>
      <c r="H130" s="94"/>
      <c r="I130" s="94"/>
      <c r="J130" s="94"/>
      <c r="K130" s="94"/>
      <c r="L130" s="94"/>
      <c r="M130" s="94"/>
      <c r="N130" s="94"/>
      <c r="O130" s="94"/>
      <c r="P130" s="94"/>
    </row>
    <row r="131" spans="2:17" s="133" customFormat="1">
      <c r="B131" s="111"/>
      <c r="C131" s="111"/>
      <c r="D131" s="161"/>
      <c r="E131" s="161"/>
      <c r="F131" s="161"/>
      <c r="G131" s="161"/>
      <c r="H131" s="161"/>
      <c r="I131" s="161"/>
      <c r="J131" s="161"/>
      <c r="K131" s="161"/>
      <c r="L131" s="161"/>
      <c r="M131" s="161"/>
      <c r="N131" s="161"/>
      <c r="O131" s="161"/>
      <c r="P131" s="131"/>
    </row>
    <row r="132" spans="2:17">
      <c r="B132" s="138" t="s">
        <v>1093</v>
      </c>
      <c r="D132" s="214">
        <f>PPP!X436</f>
        <v>0.85455825316524869</v>
      </c>
      <c r="E132" s="214">
        <f>PPP!Y436</f>
        <v>0.89901885394495951</v>
      </c>
      <c r="F132" s="214">
        <f>PPP!Z436</f>
        <v>0.90232455907906051</v>
      </c>
      <c r="G132" s="214">
        <f>PPP!AA436</f>
        <v>0.99992061253000741</v>
      </c>
      <c r="H132" s="214">
        <f>PPP!AB436</f>
        <v>0.97470927101422045</v>
      </c>
      <c r="I132" s="214">
        <f>PPP!AC436</f>
        <v>0.96349051411290587</v>
      </c>
      <c r="J132" s="214">
        <f>PPP!AD436</f>
        <v>0.94444184020269761</v>
      </c>
      <c r="K132" s="214">
        <f>PPP!AE436</f>
        <v>0.90879984362219146</v>
      </c>
      <c r="L132" s="214">
        <f>PPP!AF436</f>
        <v>1.0312472713029111</v>
      </c>
      <c r="M132" s="214">
        <f>PPP!AG436</f>
        <v>1.143941363377502</v>
      </c>
      <c r="N132" s="214">
        <f>PPP!AH436</f>
        <v>1.0897764795669729</v>
      </c>
      <c r="O132" s="214">
        <f>PPP!AI436</f>
        <v>1.069366214879351</v>
      </c>
      <c r="P132" s="214">
        <f>PPP!AJ436</f>
        <v>1.069366214879351</v>
      </c>
      <c r="Q132" s="90"/>
    </row>
    <row r="133" spans="2:17">
      <c r="B133" s="138" t="s">
        <v>377</v>
      </c>
      <c r="D133" s="214">
        <f>'GDP per cap'!AQ435</f>
        <v>0.9649654536338842</v>
      </c>
      <c r="E133" s="214">
        <f>'GDP per cap'!AR435</f>
        <v>1.0053332655145111</v>
      </c>
      <c r="F133" s="214">
        <f>'GDP per cap'!AS435</f>
        <v>1.0042091691509314</v>
      </c>
      <c r="G133" s="214">
        <f>'GDP per cap'!AT435</f>
        <v>1.0649815514353327</v>
      </c>
      <c r="H133" s="214">
        <f>'GDP per cap'!AU435</f>
        <v>1.020800792927145</v>
      </c>
      <c r="I133" s="214">
        <f>'GDP per cap'!AV435</f>
        <v>1.0262509724773956</v>
      </c>
      <c r="J133" s="214">
        <f>'GDP per cap'!AW435</f>
        <v>1.0241587981045943</v>
      </c>
      <c r="K133" s="214">
        <f>'GDP per cap'!AX435</f>
        <v>1.0310931953479954</v>
      </c>
      <c r="L133" s="214">
        <f>'GDP per cap'!AY435</f>
        <v>1.2272288434714957</v>
      </c>
      <c r="M133" s="214">
        <f>'GDP per cap'!AZ435</f>
        <v>1.3634916499369421</v>
      </c>
      <c r="N133" s="214">
        <f>'GDP per cap'!BA435</f>
        <v>1.2859358016388009</v>
      </c>
      <c r="O133" s="214">
        <f>'GDP per cap'!BB435</f>
        <v>1.2827423168910053</v>
      </c>
      <c r="P133" s="214">
        <f>'GDP per cap'!BC435</f>
        <v>1.2827423168910053</v>
      </c>
      <c r="Q133" s="90"/>
    </row>
    <row r="134" spans="2:17" s="133" customFormat="1">
      <c r="B134" s="111"/>
      <c r="C134" s="111"/>
      <c r="D134" s="161"/>
      <c r="E134" s="161"/>
      <c r="F134" s="161"/>
      <c r="G134" s="161"/>
      <c r="H134" s="161"/>
      <c r="I134" s="161"/>
      <c r="J134" s="161"/>
      <c r="K134" s="161"/>
      <c r="L134" s="161"/>
      <c r="M134" s="161"/>
      <c r="N134" s="161"/>
      <c r="O134" s="161"/>
      <c r="P134" s="161"/>
    </row>
    <row r="135" spans="2:17" s="133" customFormat="1">
      <c r="C135" s="67"/>
      <c r="D135" s="242"/>
      <c r="E135" s="242"/>
      <c r="F135" s="242"/>
      <c r="G135" s="242"/>
      <c r="H135" s="242"/>
      <c r="I135" s="242"/>
      <c r="J135" s="242"/>
      <c r="K135" s="242"/>
      <c r="L135" s="242"/>
      <c r="M135" s="242"/>
      <c r="N135" s="242"/>
      <c r="O135" s="242"/>
      <c r="P135" s="242"/>
    </row>
    <row r="136" spans="2:17" s="133" customFormat="1">
      <c r="B136" s="111" t="str">
        <f>B27</f>
        <v>Staff Costs Total</v>
      </c>
      <c r="C136" s="111"/>
      <c r="D136" s="159">
        <f t="shared" ref="D136:O136" si="44">D97/D133</f>
        <v>117042.94330306617</v>
      </c>
      <c r="E136" s="159">
        <f>E97/E133</f>
        <v>126604.57966558934</v>
      </c>
      <c r="F136" s="159">
        <f t="shared" si="44"/>
        <v>138835.76109278188</v>
      </c>
      <c r="G136" s="159">
        <f t="shared" si="44"/>
        <v>138662.71800145917</v>
      </c>
      <c r="H136" s="159">
        <f t="shared" si="44"/>
        <v>136257.14799565554</v>
      </c>
      <c r="I136" s="159">
        <f t="shared" si="44"/>
        <v>141355.76106448603</v>
      </c>
      <c r="J136" s="159">
        <f t="shared" si="44"/>
        <v>144305.76329935444</v>
      </c>
      <c r="K136" s="159">
        <f t="shared" si="44"/>
        <v>147801.84956251047</v>
      </c>
      <c r="L136" s="159">
        <f t="shared" si="44"/>
        <v>122524.32567809997</v>
      </c>
      <c r="M136" s="159">
        <f t="shared" si="44"/>
        <v>114502.54549788836</v>
      </c>
      <c r="N136" s="159">
        <f t="shared" si="44"/>
        <v>121691.65176964046</v>
      </c>
      <c r="O136" s="159">
        <f t="shared" si="44"/>
        <v>111342.79676122279</v>
      </c>
      <c r="P136" s="159">
        <f>P97/P133</f>
        <v>110261.45269763768</v>
      </c>
    </row>
    <row r="137" spans="2:17" s="133" customFormat="1">
      <c r="B137" s="111" t="str">
        <f>B30</f>
        <v>Depreciation Total</v>
      </c>
      <c r="C137" s="111"/>
      <c r="D137" s="159">
        <f>D98/D132</f>
        <v>136999.99587829615</v>
      </c>
      <c r="E137" s="159">
        <f>E98/E132</f>
        <v>127285.6539444629</v>
      </c>
      <c r="F137" s="159">
        <f t="shared" ref="F137:O137" si="45">F98/F132</f>
        <v>127912.83213070245</v>
      </c>
      <c r="G137" s="159">
        <f t="shared" si="45"/>
        <v>138675.79173321571</v>
      </c>
      <c r="H137" s="159">
        <f t="shared" si="45"/>
        <v>152548.30289021521</v>
      </c>
      <c r="I137" s="159">
        <f t="shared" si="45"/>
        <v>168415.39125116434</v>
      </c>
      <c r="J137" s="159">
        <f t="shared" si="45"/>
        <v>165431.06989107691</v>
      </c>
      <c r="K137" s="159">
        <f t="shared" si="45"/>
        <v>175119.73821109926</v>
      </c>
      <c r="L137" s="159">
        <f t="shared" si="45"/>
        <v>149493.97444581689</v>
      </c>
      <c r="M137" s="159">
        <f t="shared" si="45"/>
        <v>144025.28896368205</v>
      </c>
      <c r="N137" s="159">
        <f t="shared" si="45"/>
        <v>146849.51775510987</v>
      </c>
      <c r="O137" s="159">
        <f t="shared" si="45"/>
        <v>157798.89534341518</v>
      </c>
      <c r="P137" s="159">
        <f>P98/P132</f>
        <v>159395.74074052589</v>
      </c>
    </row>
    <row r="138" spans="2:17" s="133" customFormat="1">
      <c r="B138" s="111" t="str">
        <f>B45</f>
        <v>Core Costs Total</v>
      </c>
      <c r="C138" s="111"/>
      <c r="D138" s="159">
        <f>D99/D132</f>
        <v>270981.54291039077</v>
      </c>
      <c r="E138" s="159">
        <f t="shared" ref="E138:O138" si="46">E99/E132</f>
        <v>297838.67086025467</v>
      </c>
      <c r="F138" s="159">
        <f t="shared" si="46"/>
        <v>308702.24372866296</v>
      </c>
      <c r="G138" s="159">
        <f t="shared" si="46"/>
        <v>316714.13437281805</v>
      </c>
      <c r="H138" s="159">
        <f t="shared" si="46"/>
        <v>328320.85099833179</v>
      </c>
      <c r="I138" s="159">
        <f t="shared" si="46"/>
        <v>366394.52580564702</v>
      </c>
      <c r="J138" s="159">
        <f t="shared" si="46"/>
        <v>424675.80066029337</v>
      </c>
      <c r="K138" s="159">
        <f t="shared" si="46"/>
        <v>498923.53119130083</v>
      </c>
      <c r="L138" s="159">
        <f t="shared" si="46"/>
        <v>447760.62025534466</v>
      </c>
      <c r="M138" s="159">
        <f t="shared" si="46"/>
        <v>400937.58413740457</v>
      </c>
      <c r="N138" s="159">
        <f t="shared" si="46"/>
        <v>412562.20198917133</v>
      </c>
      <c r="O138" s="159">
        <f t="shared" si="46"/>
        <v>443872.26116290275</v>
      </c>
      <c r="P138" s="159">
        <f>P99/P132</f>
        <v>449378.39487469982</v>
      </c>
    </row>
    <row r="139" spans="2:17" s="133" customFormat="1">
      <c r="B139" s="111" t="str">
        <f>B49</f>
        <v>Other Costs Total</v>
      </c>
      <c r="C139" s="111"/>
      <c r="D139" s="159">
        <f>D100/D132</f>
        <v>0</v>
      </c>
      <c r="E139" s="159">
        <f t="shared" ref="E139:O139" si="47">E100/E132</f>
        <v>0</v>
      </c>
      <c r="F139" s="159">
        <f t="shared" si="47"/>
        <v>56624.758970055991</v>
      </c>
      <c r="G139" s="159">
        <f t="shared" si="47"/>
        <v>28541.778441293282</v>
      </c>
      <c r="H139" s="159">
        <f t="shared" si="47"/>
        <v>16256.231049749673</v>
      </c>
      <c r="I139" s="159">
        <f t="shared" si="47"/>
        <v>5103.3705388927192</v>
      </c>
      <c r="J139" s="159">
        <f t="shared" si="47"/>
        <v>1010.4640179698922</v>
      </c>
      <c r="K139" s="159">
        <f t="shared" si="47"/>
        <v>4035.3950789144928</v>
      </c>
      <c r="L139" s="159">
        <f t="shared" si="47"/>
        <v>258.97387767177122</v>
      </c>
      <c r="M139" s="159">
        <f t="shared" si="47"/>
        <v>10424.05899189192</v>
      </c>
      <c r="N139" s="159">
        <f t="shared" si="47"/>
        <v>369.04210210266598</v>
      </c>
      <c r="O139" s="159">
        <f t="shared" si="47"/>
        <v>1127.6052123417319</v>
      </c>
      <c r="P139" s="159">
        <f>P100/P132</f>
        <v>16867.70192315528</v>
      </c>
    </row>
    <row r="140" spans="2:17" s="133" customFormat="1">
      <c r="B140" s="111" t="str">
        <f>B51</f>
        <v>Other Charges Total</v>
      </c>
      <c r="C140" s="111"/>
      <c r="D140" s="159">
        <f>D101/D132</f>
        <v>66221.93582220994</v>
      </c>
      <c r="E140" s="159">
        <f t="shared" ref="E140:O140" si="48">E101/E132</f>
        <v>44552.140766274664</v>
      </c>
      <c r="F140" s="159">
        <f t="shared" si="48"/>
        <v>27915.762752502531</v>
      </c>
      <c r="G140" s="159">
        <f t="shared" si="48"/>
        <v>24866.538647212023</v>
      </c>
      <c r="H140" s="159">
        <f t="shared" si="48"/>
        <v>18565.853723462889</v>
      </c>
      <c r="I140" s="159">
        <f t="shared" si="48"/>
        <v>7221.5347335993647</v>
      </c>
      <c r="J140" s="159">
        <f t="shared" si="48"/>
        <v>32954.298003567994</v>
      </c>
      <c r="K140" s="159">
        <f t="shared" si="48"/>
        <v>12148.23128457969</v>
      </c>
      <c r="L140" s="159">
        <f t="shared" si="48"/>
        <v>5240.3103434925515</v>
      </c>
      <c r="M140" s="159">
        <f t="shared" si="48"/>
        <v>2995.2925082104248</v>
      </c>
      <c r="N140" s="159">
        <f t="shared" si="48"/>
        <v>3341.9251601545493</v>
      </c>
      <c r="O140" s="159">
        <f t="shared" si="48"/>
        <v>6976.9137170960912</v>
      </c>
      <c r="P140" s="159">
        <f>P101/P132</f>
        <v>13121.219252478646</v>
      </c>
    </row>
    <row r="141" spans="2:17" s="133" customFormat="1">
      <c r="B141" s="111" t="str">
        <f>B54</f>
        <v>Exceptional Items Total</v>
      </c>
      <c r="C141" s="111"/>
      <c r="D141" s="159">
        <f>D102/D132</f>
        <v>0</v>
      </c>
      <c r="E141" s="159">
        <f t="shared" ref="E141:O141" si="49">E102/E132</f>
        <v>0</v>
      </c>
      <c r="F141" s="159">
        <f t="shared" si="49"/>
        <v>0</v>
      </c>
      <c r="G141" s="159">
        <f t="shared" si="49"/>
        <v>0</v>
      </c>
      <c r="H141" s="159">
        <f t="shared" si="49"/>
        <v>0</v>
      </c>
      <c r="I141" s="159">
        <f t="shared" si="49"/>
        <v>0</v>
      </c>
      <c r="J141" s="159">
        <f t="shared" si="49"/>
        <v>0</v>
      </c>
      <c r="K141" s="159">
        <f t="shared" si="49"/>
        <v>0</v>
      </c>
      <c r="L141" s="159">
        <f t="shared" si="49"/>
        <v>0</v>
      </c>
      <c r="M141" s="159">
        <f t="shared" si="49"/>
        <v>24634.961628137171</v>
      </c>
      <c r="N141" s="159">
        <f t="shared" si="49"/>
        <v>7218.8428323508633</v>
      </c>
      <c r="O141" s="159">
        <f t="shared" si="49"/>
        <v>0</v>
      </c>
      <c r="P141" s="159">
        <f>P102/P132</f>
        <v>0</v>
      </c>
    </row>
    <row r="142" spans="2:17" s="133" customFormat="1">
      <c r="B142" s="70"/>
      <c r="C142" s="138"/>
      <c r="D142" s="141"/>
      <c r="E142" s="141"/>
      <c r="F142" s="141"/>
      <c r="G142" s="141"/>
      <c r="H142" s="141"/>
      <c r="I142" s="141"/>
      <c r="J142" s="141"/>
      <c r="K142" s="141"/>
      <c r="L142" s="141"/>
      <c r="M142" s="141"/>
      <c r="N142" s="141"/>
      <c r="O142" s="141"/>
      <c r="P142" s="141"/>
    </row>
    <row r="143" spans="2:17" s="133" customFormat="1">
      <c r="B143" s="111" t="str">
        <f>B58</f>
        <v>Cost Residual (Ordinary Opex - Elements)</v>
      </c>
      <c r="C143" s="111"/>
      <c r="D143" s="159">
        <f>D104/D132</f>
        <v>0</v>
      </c>
      <c r="E143" s="159">
        <f>E104/E132</f>
        <v>-15448.217620958982</v>
      </c>
      <c r="F143" s="159">
        <f t="shared" ref="F143:O143" si="50">F104/F132</f>
        <v>-25106.141929726691</v>
      </c>
      <c r="G143" s="159">
        <f t="shared" si="50"/>
        <v>0</v>
      </c>
      <c r="H143" s="159">
        <f t="shared" si="50"/>
        <v>30645.085086625404</v>
      </c>
      <c r="I143" s="159">
        <f t="shared" si="50"/>
        <v>-11607.747960377646</v>
      </c>
      <c r="J143" s="159">
        <f t="shared" si="50"/>
        <v>767.62337821338042</v>
      </c>
      <c r="K143" s="159">
        <f t="shared" si="50"/>
        <v>4554.3048400150601</v>
      </c>
      <c r="L143" s="159">
        <f t="shared" si="50"/>
        <v>17362.54732216214</v>
      </c>
      <c r="M143" s="159">
        <f t="shared" si="50"/>
        <v>10414.607635042452</v>
      </c>
      <c r="N143" s="159">
        <f t="shared" si="50"/>
        <v>1600.2360958413246</v>
      </c>
      <c r="O143" s="159">
        <f t="shared" si="50"/>
        <v>2296.5482939750136</v>
      </c>
      <c r="P143" s="159">
        <f>P104/P132</f>
        <v>2998.8179444754755</v>
      </c>
    </row>
    <row r="144" spans="2:17" s="133" customFormat="1">
      <c r="B144" s="111"/>
      <c r="C144" s="111"/>
      <c r="D144" s="242"/>
      <c r="E144" s="242"/>
      <c r="F144" s="242"/>
      <c r="G144" s="242"/>
      <c r="H144" s="242"/>
      <c r="I144" s="242"/>
      <c r="J144" s="242"/>
      <c r="K144" s="242"/>
      <c r="L144" s="242"/>
      <c r="M144" s="242"/>
      <c r="N144" s="242"/>
      <c r="O144" s="242"/>
      <c r="P144" s="242"/>
    </row>
    <row r="145" spans="1:16" s="133" customFormat="1">
      <c r="B145" s="138" t="str">
        <f>B56</f>
        <v>Grand Total - Group Opex</v>
      </c>
      <c r="C145" s="138"/>
      <c r="D145" s="159">
        <f t="shared" ref="D145:O145" si="51">SUM(D136:D141)+D143</f>
        <v>591246.41791396297</v>
      </c>
      <c r="E145" s="159">
        <f t="shared" si="51"/>
        <v>580832.82761562266</v>
      </c>
      <c r="F145" s="159">
        <f t="shared" si="51"/>
        <v>634885.21674497915</v>
      </c>
      <c r="G145" s="159">
        <f t="shared" si="51"/>
        <v>647460.96119599813</v>
      </c>
      <c r="H145" s="159">
        <f t="shared" si="51"/>
        <v>682593.47174404049</v>
      </c>
      <c r="I145" s="159">
        <f t="shared" si="51"/>
        <v>676882.83543341188</v>
      </c>
      <c r="J145" s="159">
        <f t="shared" si="51"/>
        <v>769145.01925047592</v>
      </c>
      <c r="K145" s="159">
        <f t="shared" si="51"/>
        <v>842583.05016841972</v>
      </c>
      <c r="L145" s="159">
        <f t="shared" si="51"/>
        <v>742640.75192258798</v>
      </c>
      <c r="M145" s="159">
        <f t="shared" si="51"/>
        <v>707934.33936225693</v>
      </c>
      <c r="N145" s="159">
        <f t="shared" si="51"/>
        <v>693633.41770437104</v>
      </c>
      <c r="O145" s="159">
        <f t="shared" si="51"/>
        <v>723415.0204909537</v>
      </c>
      <c r="P145" s="159">
        <f>SUM(P136:P141)+P143</f>
        <v>752023.32743297273</v>
      </c>
    </row>
    <row r="146" spans="1:16" s="133" customFormat="1">
      <c r="B146" s="138"/>
      <c r="C146" s="138"/>
      <c r="D146" s="141"/>
      <c r="E146" s="141"/>
      <c r="F146" s="141"/>
      <c r="G146" s="141"/>
      <c r="H146" s="141"/>
      <c r="I146" s="141"/>
      <c r="J146" s="141"/>
      <c r="K146" s="141"/>
      <c r="L146" s="141"/>
      <c r="M146" s="141"/>
      <c r="N146" s="141"/>
      <c r="O146" s="141"/>
      <c r="P146" s="141"/>
    </row>
    <row r="147" spans="1:16" s="133" customFormat="1">
      <c r="B147" s="111" t="str">
        <f>B60</f>
        <v>Ordinary Opex (per accounts - including staff, depreciation and other, excluding exceptional)</v>
      </c>
      <c r="C147" s="111"/>
      <c r="D147" s="159">
        <f t="shared" ref="D147:O147" si="52">D136+D137+D138+D139+D140+D143</f>
        <v>591246.41791396297</v>
      </c>
      <c r="E147" s="159">
        <f t="shared" si="52"/>
        <v>580832.82761562266</v>
      </c>
      <c r="F147" s="159">
        <f t="shared" si="52"/>
        <v>634885.21674497915</v>
      </c>
      <c r="G147" s="159">
        <f t="shared" si="52"/>
        <v>647460.96119599813</v>
      </c>
      <c r="H147" s="159">
        <f t="shared" si="52"/>
        <v>682593.47174404049</v>
      </c>
      <c r="I147" s="159">
        <f t="shared" si="52"/>
        <v>676882.83543341188</v>
      </c>
      <c r="J147" s="159">
        <f t="shared" si="52"/>
        <v>769145.01925047592</v>
      </c>
      <c r="K147" s="159">
        <f t="shared" si="52"/>
        <v>842583.05016841972</v>
      </c>
      <c r="L147" s="159">
        <f t="shared" si="52"/>
        <v>742640.75192258798</v>
      </c>
      <c r="M147" s="159">
        <f t="shared" si="52"/>
        <v>683299.37773411977</v>
      </c>
      <c r="N147" s="159">
        <f t="shared" si="52"/>
        <v>686414.57487202017</v>
      </c>
      <c r="O147" s="159">
        <f t="shared" si="52"/>
        <v>723415.0204909537</v>
      </c>
      <c r="P147" s="159">
        <f>P136+P137+P138+P139+P140+P143</f>
        <v>752023.32743297273</v>
      </c>
    </row>
    <row r="148" spans="1:16" s="133" customFormat="1">
      <c r="B148" s="111"/>
      <c r="C148" s="111"/>
      <c r="D148" s="242"/>
      <c r="E148" s="242"/>
      <c r="F148" s="242"/>
      <c r="G148" s="242"/>
      <c r="H148" s="242"/>
      <c r="I148" s="242"/>
      <c r="J148" s="242"/>
      <c r="K148" s="242"/>
      <c r="L148" s="242"/>
      <c r="M148" s="242"/>
      <c r="N148" s="242"/>
      <c r="O148" s="242"/>
      <c r="P148" s="242"/>
    </row>
    <row r="149" spans="1:16" s="133" customFormat="1">
      <c r="B149" s="111" t="str">
        <f>B62</f>
        <v>Total Opex (ordinary + exceptional)</v>
      </c>
      <c r="C149" s="111"/>
      <c r="D149" s="159">
        <f t="shared" ref="D149:O149" si="53">D145</f>
        <v>591246.41791396297</v>
      </c>
      <c r="E149" s="159">
        <f t="shared" si="53"/>
        <v>580832.82761562266</v>
      </c>
      <c r="F149" s="159">
        <f t="shared" si="53"/>
        <v>634885.21674497915</v>
      </c>
      <c r="G149" s="159">
        <f t="shared" si="53"/>
        <v>647460.96119599813</v>
      </c>
      <c r="H149" s="159">
        <f t="shared" si="53"/>
        <v>682593.47174404049</v>
      </c>
      <c r="I149" s="159">
        <f t="shared" si="53"/>
        <v>676882.83543341188</v>
      </c>
      <c r="J149" s="159">
        <f t="shared" si="53"/>
        <v>769145.01925047592</v>
      </c>
      <c r="K149" s="159">
        <f t="shared" si="53"/>
        <v>842583.05016841972</v>
      </c>
      <c r="L149" s="159">
        <f t="shared" si="53"/>
        <v>742640.75192258798</v>
      </c>
      <c r="M149" s="159">
        <f t="shared" si="53"/>
        <v>707934.33936225693</v>
      </c>
      <c r="N149" s="159">
        <f t="shared" si="53"/>
        <v>693633.41770437104</v>
      </c>
      <c r="O149" s="159">
        <f t="shared" si="53"/>
        <v>723415.0204909537</v>
      </c>
      <c r="P149" s="159">
        <f>P145</f>
        <v>752023.32743297273</v>
      </c>
    </row>
    <row r="150" spans="1:16" s="133" customFormat="1">
      <c r="B150" s="111"/>
      <c r="C150" s="111"/>
      <c r="D150" s="242"/>
      <c r="E150" s="242"/>
      <c r="F150" s="242"/>
      <c r="G150" s="242"/>
      <c r="H150" s="242"/>
      <c r="I150" s="242"/>
      <c r="J150" s="242"/>
      <c r="K150" s="242"/>
      <c r="L150" s="242"/>
      <c r="M150" s="242"/>
      <c r="N150" s="242"/>
      <c r="O150" s="242"/>
      <c r="P150" s="242"/>
    </row>
    <row r="151" spans="1:16" s="133" customFormat="1">
      <c r="B151" s="111" t="str">
        <f>B64</f>
        <v>Excluded costs</v>
      </c>
      <c r="C151" s="111"/>
      <c r="D151" s="159">
        <f t="shared" ref="D151:O151" si="54">D112/D132</f>
        <v>0</v>
      </c>
      <c r="E151" s="159">
        <f t="shared" si="54"/>
        <v>0</v>
      </c>
      <c r="F151" s="159">
        <f t="shared" si="54"/>
        <v>0</v>
      </c>
      <c r="G151" s="159">
        <f t="shared" si="54"/>
        <v>0</v>
      </c>
      <c r="H151" s="159">
        <f t="shared" si="54"/>
        <v>0</v>
      </c>
      <c r="I151" s="159">
        <f t="shared" si="54"/>
        <v>0</v>
      </c>
      <c r="J151" s="159">
        <f t="shared" si="54"/>
        <v>0</v>
      </c>
      <c r="K151" s="159">
        <f t="shared" si="54"/>
        <v>39060.778439840949</v>
      </c>
      <c r="L151" s="159">
        <f t="shared" si="54"/>
        <v>31272.399288653312</v>
      </c>
      <c r="M151" s="159">
        <f t="shared" si="54"/>
        <v>21912.970855490516</v>
      </c>
      <c r="N151" s="159">
        <f t="shared" si="54"/>
        <v>23877.103030047223</v>
      </c>
      <c r="O151" s="159">
        <f t="shared" si="54"/>
        <v>38338.577219618877</v>
      </c>
      <c r="P151" s="159">
        <f>P112/P132</f>
        <v>39387.393145569302</v>
      </c>
    </row>
    <row r="152" spans="1:16" s="133" customFormat="1">
      <c r="B152" s="111"/>
      <c r="C152" s="111"/>
      <c r="D152" s="242"/>
      <c r="E152" s="242"/>
      <c r="F152" s="242"/>
      <c r="G152" s="242"/>
      <c r="H152" s="242"/>
      <c r="I152" s="242"/>
      <c r="J152" s="242"/>
      <c r="K152" s="242"/>
      <c r="L152" s="242"/>
      <c r="M152" s="242"/>
      <c r="N152" s="242"/>
      <c r="O152" s="242"/>
      <c r="P152" s="242"/>
    </row>
    <row r="153" spans="1:16" s="133" customFormat="1">
      <c r="A153" s="134"/>
      <c r="B153" s="111" t="str">
        <f>B66</f>
        <v>Adjusted Ordinary Opex (ordinary opex - depreciation - ANS - retail)</v>
      </c>
      <c r="C153" s="111"/>
      <c r="D153" s="159">
        <f t="shared" ref="D153:O153" si="55">D147-(D137-D151)</f>
        <v>454246.42203566682</v>
      </c>
      <c r="E153" s="159">
        <f t="shared" si="55"/>
        <v>453547.17367115978</v>
      </c>
      <c r="F153" s="159">
        <f t="shared" si="55"/>
        <v>506972.3846142767</v>
      </c>
      <c r="G153" s="159">
        <f t="shared" si="55"/>
        <v>508785.16946278245</v>
      </c>
      <c r="H153" s="159">
        <f t="shared" si="55"/>
        <v>530045.16885382531</v>
      </c>
      <c r="I153" s="159">
        <f t="shared" si="55"/>
        <v>508467.44418224751</v>
      </c>
      <c r="J153" s="159">
        <f t="shared" si="55"/>
        <v>603713.94935939903</v>
      </c>
      <c r="K153" s="159">
        <f t="shared" si="55"/>
        <v>706524.09039716143</v>
      </c>
      <c r="L153" s="159">
        <f t="shared" si="55"/>
        <v>624419.17676542443</v>
      </c>
      <c r="M153" s="159">
        <f t="shared" si="55"/>
        <v>561187.05962592829</v>
      </c>
      <c r="N153" s="159">
        <f t="shared" si="55"/>
        <v>563442.1601469575</v>
      </c>
      <c r="O153" s="159">
        <f t="shared" si="55"/>
        <v>603954.70236715744</v>
      </c>
      <c r="P153" s="159">
        <f>P147-(P137-P151)</f>
        <v>632014.97983801621</v>
      </c>
    </row>
    <row r="154" spans="1:16" s="133" customFormat="1">
      <c r="B154" s="111"/>
      <c r="C154" s="111"/>
      <c r="D154" s="242"/>
      <c r="E154" s="242"/>
      <c r="F154" s="242"/>
      <c r="G154" s="242"/>
      <c r="H154" s="242"/>
      <c r="I154" s="242"/>
      <c r="J154" s="242"/>
      <c r="K154" s="242"/>
      <c r="L154" s="242"/>
      <c r="M154" s="242"/>
      <c r="N154" s="242"/>
      <c r="O154" s="242"/>
      <c r="P154" s="242"/>
    </row>
    <row r="155" spans="1:16" s="133" customFormat="1">
      <c r="B155" s="111" t="str">
        <f>B68</f>
        <v>Turnover (per accounts)</v>
      </c>
      <c r="C155" s="111"/>
      <c r="D155" s="159">
        <f t="shared" ref="D155:O155" si="56">(D68*D91*D95)</f>
        <v>765051.22613573074</v>
      </c>
      <c r="E155" s="159">
        <f t="shared" si="56"/>
        <v>707801.51788053347</v>
      </c>
      <c r="F155" s="159">
        <f t="shared" si="56"/>
        <v>845996.13791198167</v>
      </c>
      <c r="G155" s="159">
        <f t="shared" si="56"/>
        <v>912851.35587050265</v>
      </c>
      <c r="H155" s="159">
        <f t="shared" si="56"/>
        <v>903707.92892127857</v>
      </c>
      <c r="I155" s="159">
        <f t="shared" si="56"/>
        <v>950716.4084859537</v>
      </c>
      <c r="J155" s="159">
        <f t="shared" si="56"/>
        <v>1007487.7568609329</v>
      </c>
      <c r="K155" s="159">
        <f t="shared" si="56"/>
        <v>1068260.4998095313</v>
      </c>
      <c r="L155" s="159">
        <f t="shared" si="56"/>
        <v>1034165.0958742666</v>
      </c>
      <c r="M155" s="159">
        <f t="shared" si="56"/>
        <v>1039595.8267859741</v>
      </c>
      <c r="N155" s="159">
        <f t="shared" si="56"/>
        <v>1016325.7751959703</v>
      </c>
      <c r="O155" s="159">
        <f t="shared" si="56"/>
        <v>1046438.1777487262</v>
      </c>
      <c r="P155" s="159">
        <f>(P68*P91*P95)</f>
        <v>1072810.304799502</v>
      </c>
    </row>
    <row r="156" spans="1:16" s="133" customFormat="1">
      <c r="B156" s="111"/>
      <c r="C156" s="111"/>
      <c r="D156" s="242"/>
      <c r="E156" s="242"/>
      <c r="F156" s="242"/>
      <c r="G156" s="242"/>
      <c r="H156" s="242"/>
      <c r="I156" s="242"/>
      <c r="J156" s="242"/>
      <c r="K156" s="242"/>
      <c r="L156" s="242"/>
      <c r="M156" s="242"/>
      <c r="N156" s="242"/>
      <c r="O156" s="242"/>
      <c r="P156" s="242"/>
    </row>
    <row r="157" spans="1:16" s="133" customFormat="1">
      <c r="B157" s="111" t="str">
        <f>B70</f>
        <v>Operating Profit (pre-exceptional)</v>
      </c>
      <c r="C157" s="111"/>
      <c r="D157" s="159">
        <f t="shared" ref="D157:O157" si="57">D155-D147</f>
        <v>173804.80822176777</v>
      </c>
      <c r="E157" s="159">
        <f t="shared" si="57"/>
        <v>126968.69026491081</v>
      </c>
      <c r="F157" s="159">
        <f t="shared" si="57"/>
        <v>211110.92116700253</v>
      </c>
      <c r="G157" s="159">
        <f t="shared" si="57"/>
        <v>265390.39467450453</v>
      </c>
      <c r="H157" s="159">
        <f t="shared" si="57"/>
        <v>221114.45717723807</v>
      </c>
      <c r="I157" s="159">
        <f t="shared" si="57"/>
        <v>273833.57305254182</v>
      </c>
      <c r="J157" s="159">
        <f t="shared" si="57"/>
        <v>238342.737610457</v>
      </c>
      <c r="K157" s="159">
        <f t="shared" si="57"/>
        <v>225677.44964111154</v>
      </c>
      <c r="L157" s="159">
        <f t="shared" si="57"/>
        <v>291524.3439516786</v>
      </c>
      <c r="M157" s="159">
        <f t="shared" si="57"/>
        <v>356296.44905185432</v>
      </c>
      <c r="N157" s="159">
        <f t="shared" si="57"/>
        <v>329911.20032395015</v>
      </c>
      <c r="O157" s="159">
        <f t="shared" si="57"/>
        <v>323023.15725777252</v>
      </c>
      <c r="P157" s="159">
        <f t="shared" ref="P157" si="58">P155-P147</f>
        <v>320786.97736652929</v>
      </c>
    </row>
    <row r="158" spans="1:16" s="133" customFormat="1">
      <c r="B158" s="111"/>
      <c r="C158" s="111"/>
      <c r="D158" s="119"/>
      <c r="E158" s="119"/>
      <c r="F158" s="119"/>
      <c r="G158" s="119"/>
      <c r="H158" s="119"/>
      <c r="I158" s="119"/>
      <c r="J158" s="119"/>
      <c r="K158" s="119"/>
      <c r="L158" s="119"/>
      <c r="M158" s="119"/>
      <c r="N158" s="119"/>
      <c r="O158" s="119"/>
      <c r="P158" s="119"/>
    </row>
    <row r="159" spans="1:16" s="133" customFormat="1">
      <c r="B159" s="111" t="str">
        <f>B72</f>
        <v>Profit Margin</v>
      </c>
      <c r="C159" s="111"/>
      <c r="D159" s="244">
        <f t="shared" ref="D159:O159" si="59">D157/D155</f>
        <v>0.22718061521142163</v>
      </c>
      <c r="E159" s="244">
        <f t="shared" si="59"/>
        <v>0.17938459731636414</v>
      </c>
      <c r="F159" s="244">
        <f t="shared" si="59"/>
        <v>0.24954123512673379</v>
      </c>
      <c r="G159" s="244">
        <f t="shared" si="59"/>
        <v>0.29072684503100293</v>
      </c>
      <c r="H159" s="244">
        <f t="shared" si="59"/>
        <v>0.24467468979847715</v>
      </c>
      <c r="I159" s="244">
        <f t="shared" si="59"/>
        <v>0.28802865986990855</v>
      </c>
      <c r="J159" s="244">
        <f t="shared" si="59"/>
        <v>0.23657134886985656</v>
      </c>
      <c r="K159" s="244">
        <f t="shared" si="59"/>
        <v>0.21125694498799627</v>
      </c>
      <c r="L159" s="244">
        <f t="shared" si="59"/>
        <v>0.28189342795912931</v>
      </c>
      <c r="M159" s="244">
        <f t="shared" si="59"/>
        <v>0.34272593239757831</v>
      </c>
      <c r="N159" s="244">
        <f t="shared" si="59"/>
        <v>0.32461166328319863</v>
      </c>
      <c r="O159" s="244">
        <f t="shared" si="59"/>
        <v>0.30868823799291639</v>
      </c>
      <c r="P159" s="244">
        <f t="shared" ref="P159" si="60">P157/P155</f>
        <v>0.29901556307895577</v>
      </c>
    </row>
    <row r="160" spans="1:16" s="133" customFormat="1">
      <c r="B160" s="111"/>
      <c r="C160" s="111"/>
      <c r="D160" s="161"/>
      <c r="E160" s="161"/>
      <c r="F160" s="161"/>
      <c r="G160" s="161"/>
      <c r="H160" s="161"/>
      <c r="I160" s="161"/>
      <c r="J160" s="161"/>
      <c r="K160" s="161"/>
      <c r="L160" s="161"/>
      <c r="M160" s="161"/>
      <c r="N160" s="161"/>
      <c r="O160" s="161"/>
      <c r="P160" s="131"/>
    </row>
    <row r="161" spans="1:24" s="133" customFormat="1">
      <c r="B161" s="153" t="s">
        <v>1148</v>
      </c>
      <c r="C161" s="94"/>
      <c r="D161" s="94"/>
      <c r="E161" s="94"/>
      <c r="F161" s="94"/>
      <c r="G161" s="94"/>
      <c r="H161" s="94"/>
      <c r="I161" s="94"/>
      <c r="J161" s="94"/>
      <c r="K161" s="94"/>
      <c r="L161" s="94"/>
      <c r="M161" s="94"/>
      <c r="N161" s="94"/>
      <c r="O161" s="94"/>
      <c r="P161" s="94"/>
    </row>
    <row r="162" spans="1:24" s="133" customFormat="1">
      <c r="B162" s="90"/>
      <c r="C162" s="90"/>
      <c r="D162" s="90"/>
      <c r="E162" s="90"/>
      <c r="F162" s="90"/>
      <c r="G162" s="90"/>
      <c r="H162" s="90"/>
      <c r="I162" s="90"/>
      <c r="J162" s="90"/>
      <c r="K162" s="90"/>
      <c r="L162" s="90"/>
      <c r="M162" s="90"/>
      <c r="N162" s="90"/>
      <c r="O162" s="90"/>
      <c r="P162" s="131"/>
    </row>
    <row r="163" spans="1:24" s="133" customFormat="1">
      <c r="B163" s="90" t="s">
        <v>1127</v>
      </c>
      <c r="C163" s="90"/>
      <c r="D163" s="209">
        <f t="shared" ref="D163:O163" si="61">(D149/D75)*1000</f>
        <v>14.935000473791932</v>
      </c>
      <c r="E163" s="209">
        <f t="shared" si="61"/>
        <v>14.581939248281573</v>
      </c>
      <c r="F163" s="209">
        <f t="shared" si="61"/>
        <v>15.659897021631199</v>
      </c>
      <c r="G163" s="209">
        <f t="shared" si="61"/>
        <v>15.945116952380531</v>
      </c>
      <c r="H163" s="209">
        <f t="shared" si="61"/>
        <v>15.893982900906192</v>
      </c>
      <c r="I163" s="209">
        <f t="shared" si="61"/>
        <v>15.163541348466431</v>
      </c>
      <c r="J163" s="209">
        <f t="shared" si="61"/>
        <v>16.541362820351612</v>
      </c>
      <c r="K163" s="209">
        <f t="shared" si="61"/>
        <v>17.662826208688273</v>
      </c>
      <c r="L163" s="209">
        <f t="shared" si="61"/>
        <v>15.982762203007058</v>
      </c>
      <c r="M163" s="209">
        <f t="shared" si="61"/>
        <v>16.096471905615335</v>
      </c>
      <c r="N163" s="209">
        <f t="shared" si="61"/>
        <v>14.965889221849951</v>
      </c>
      <c r="O163" s="209">
        <f t="shared" si="61"/>
        <v>14.214953617154881</v>
      </c>
      <c r="P163" s="209">
        <f>(P149/P74)*1000</f>
        <v>13.602910922382113</v>
      </c>
    </row>
    <row r="164" spans="1:24" s="133" customFormat="1">
      <c r="B164" s="90" t="s">
        <v>299</v>
      </c>
      <c r="C164" s="90"/>
      <c r="D164" s="209">
        <f t="shared" ref="D164:O164" si="62">(D147/D75)*1000</f>
        <v>14.935000473791932</v>
      </c>
      <c r="E164" s="209">
        <f t="shared" si="62"/>
        <v>14.581939248281573</v>
      </c>
      <c r="F164" s="209">
        <f t="shared" si="62"/>
        <v>15.659897021631199</v>
      </c>
      <c r="G164" s="209">
        <f t="shared" si="62"/>
        <v>15.945116952380531</v>
      </c>
      <c r="H164" s="209">
        <f t="shared" si="62"/>
        <v>15.893982900906192</v>
      </c>
      <c r="I164" s="209">
        <f t="shared" si="62"/>
        <v>15.163541348466431</v>
      </c>
      <c r="J164" s="209">
        <f t="shared" si="62"/>
        <v>16.541362820351612</v>
      </c>
      <c r="K164" s="209">
        <f t="shared" si="62"/>
        <v>17.662826208688273</v>
      </c>
      <c r="L164" s="209">
        <f t="shared" si="62"/>
        <v>15.982762203007058</v>
      </c>
      <c r="M164" s="209">
        <f t="shared" si="62"/>
        <v>15.536340908014001</v>
      </c>
      <c r="N164" s="209">
        <f t="shared" si="62"/>
        <v>14.810134900646018</v>
      </c>
      <c r="O164" s="209">
        <f t="shared" si="62"/>
        <v>14.214953617154881</v>
      </c>
      <c r="P164" s="209">
        <f>(P147/P74)*1000</f>
        <v>13.602910922382113</v>
      </c>
    </row>
    <row r="165" spans="1:24" s="133" customFormat="1">
      <c r="B165" s="90" t="s">
        <v>300</v>
      </c>
      <c r="C165" s="90"/>
      <c r="D165" s="209">
        <f t="shared" ref="D165:O165" si="63">(D153/D75)*1000</f>
        <v>11.474353708994807</v>
      </c>
      <c r="E165" s="209">
        <f t="shared" si="63"/>
        <v>11.386404173903442</v>
      </c>
      <c r="F165" s="209">
        <f t="shared" si="63"/>
        <v>12.504835719083017</v>
      </c>
      <c r="G165" s="209">
        <f t="shared" si="63"/>
        <v>12.529927697470816</v>
      </c>
      <c r="H165" s="209">
        <f t="shared" si="63"/>
        <v>12.34194172549847</v>
      </c>
      <c r="I165" s="209">
        <f t="shared" si="63"/>
        <v>11.390696750745192</v>
      </c>
      <c r="J165" s="209">
        <f t="shared" si="63"/>
        <v>12.983574262487849</v>
      </c>
      <c r="K165" s="209">
        <f t="shared" si="63"/>
        <v>14.810661356696194</v>
      </c>
      <c r="L165" s="209">
        <f t="shared" si="63"/>
        <v>13.438453507166955</v>
      </c>
      <c r="M165" s="209">
        <f t="shared" si="63"/>
        <v>12.759844009263816</v>
      </c>
      <c r="N165" s="209">
        <f t="shared" si="63"/>
        <v>12.156872400391078</v>
      </c>
      <c r="O165" s="209">
        <f t="shared" si="63"/>
        <v>11.86758338966378</v>
      </c>
      <c r="P165" s="209">
        <f>(P153/P74)*1000</f>
        <v>11.43214998621692</v>
      </c>
    </row>
    <row r="166" spans="1:24" s="133" customFormat="1">
      <c r="B166" s="90" t="s">
        <v>265</v>
      </c>
      <c r="C166" s="90"/>
      <c r="D166" s="209">
        <f t="shared" ref="D166:O166" si="64">D138*1000/D75</f>
        <v>6.8450469197506125</v>
      </c>
      <c r="E166" s="209">
        <f t="shared" si="64"/>
        <v>7.4773070628633134</v>
      </c>
      <c r="F166" s="209">
        <f t="shared" si="64"/>
        <v>7.6143611784225538</v>
      </c>
      <c r="G166" s="209">
        <f t="shared" si="64"/>
        <v>7.7997658788848696</v>
      </c>
      <c r="H166" s="209">
        <f t="shared" si="64"/>
        <v>7.6448518888490451</v>
      </c>
      <c r="I166" s="209">
        <f t="shared" si="64"/>
        <v>8.2079767000565838</v>
      </c>
      <c r="J166" s="209">
        <f t="shared" si="64"/>
        <v>9.1331495672828336</v>
      </c>
      <c r="K166" s="209">
        <f t="shared" si="64"/>
        <v>10.458790526459726</v>
      </c>
      <c r="L166" s="209">
        <f t="shared" si="64"/>
        <v>9.6364918015677361</v>
      </c>
      <c r="M166" s="209">
        <f t="shared" si="64"/>
        <v>9.1162134680270182</v>
      </c>
      <c r="N166" s="209">
        <f t="shared" si="64"/>
        <v>8.9014745462046854</v>
      </c>
      <c r="O166" s="209">
        <f t="shared" si="64"/>
        <v>8.7219969528559478</v>
      </c>
      <c r="P166" s="209">
        <f>P136*1000/P74</f>
        <v>1.9944550448165415</v>
      </c>
    </row>
    <row r="167" spans="1:24" s="133" customFormat="1">
      <c r="B167" s="111" t="s">
        <v>1136</v>
      </c>
      <c r="C167" s="111"/>
      <c r="D167" s="159">
        <f t="shared" ref="D167:O167" si="65">D136*1000/D78</f>
        <v>62791.278596065546</v>
      </c>
      <c r="E167" s="159">
        <f t="shared" si="65"/>
        <v>62121.972357992803</v>
      </c>
      <c r="F167" s="159">
        <f t="shared" si="65"/>
        <v>65058.932095961514</v>
      </c>
      <c r="G167" s="159">
        <f t="shared" si="65"/>
        <v>62152.719857220611</v>
      </c>
      <c r="H167" s="159">
        <f t="shared" si="65"/>
        <v>61487.882669519648</v>
      </c>
      <c r="I167" s="159">
        <f t="shared" si="65"/>
        <v>64871.849960755404</v>
      </c>
      <c r="J167" s="159">
        <f t="shared" si="65"/>
        <v>62933.171957851911</v>
      </c>
      <c r="K167" s="159">
        <f t="shared" si="65"/>
        <v>60106.486198662242</v>
      </c>
      <c r="L167" s="159">
        <f t="shared" si="65"/>
        <v>48892.388538746993</v>
      </c>
      <c r="M167" s="159">
        <f t="shared" si="65"/>
        <v>45874.417266782199</v>
      </c>
      <c r="N167" s="159">
        <f t="shared" si="65"/>
        <v>52273.046292800886</v>
      </c>
      <c r="O167" s="159">
        <f t="shared" si="65"/>
        <v>52644.34835045995</v>
      </c>
      <c r="P167" s="159">
        <f>P136*1000/P78</f>
        <v>52832.512073616519</v>
      </c>
    </row>
    <row r="168" spans="1:24" s="133" customFormat="1">
      <c r="B168" s="111"/>
      <c r="C168" s="111"/>
      <c r="D168" s="161"/>
      <c r="E168" s="161"/>
      <c r="F168" s="161"/>
      <c r="G168" s="161"/>
      <c r="H168" s="161"/>
      <c r="I168" s="161"/>
      <c r="J168" s="161"/>
      <c r="K168" s="161"/>
      <c r="L168" s="161"/>
      <c r="M168" s="161"/>
      <c r="N168" s="161"/>
      <c r="O168" s="161"/>
      <c r="P168" s="131"/>
    </row>
    <row r="169" spans="1:24" s="126" customFormat="1">
      <c r="A169" s="90"/>
      <c r="B169" s="153" t="s">
        <v>163</v>
      </c>
      <c r="C169" s="94"/>
      <c r="D169" s="94"/>
      <c r="E169" s="94"/>
      <c r="F169" s="94"/>
      <c r="G169" s="94"/>
      <c r="H169" s="94"/>
      <c r="I169" s="94"/>
      <c r="J169" s="94"/>
      <c r="K169" s="94"/>
      <c r="L169" s="94"/>
      <c r="M169" s="94"/>
      <c r="N169" s="94"/>
      <c r="O169" s="94"/>
      <c r="P169" s="94"/>
      <c r="Q169" s="90"/>
      <c r="R169" s="90"/>
      <c r="S169" s="90"/>
      <c r="T169" s="90"/>
      <c r="U169" s="90"/>
      <c r="V169" s="90"/>
      <c r="W169" s="90"/>
      <c r="X169" s="90"/>
    </row>
    <row r="174" spans="1:24">
      <c r="E174" s="218"/>
      <c r="F174" s="218"/>
      <c r="G174" s="218"/>
      <c r="H174" s="218"/>
      <c r="I174" s="218"/>
      <c r="J174" s="218"/>
      <c r="K174" s="218"/>
      <c r="L174" s="218"/>
      <c r="M174" s="218"/>
      <c r="N174" s="218"/>
      <c r="O174" s="218"/>
      <c r="P174" s="218"/>
    </row>
    <row r="176" spans="1:24">
      <c r="E176" s="218"/>
      <c r="F176" s="218"/>
      <c r="G176" s="218"/>
      <c r="H176" s="218"/>
      <c r="I176" s="218"/>
      <c r="J176" s="218"/>
      <c r="K176" s="218"/>
      <c r="L176" s="218"/>
      <c r="M176" s="218"/>
      <c r="N176" s="218"/>
      <c r="O176" s="218"/>
      <c r="P176" s="218"/>
    </row>
    <row r="178" spans="5:16">
      <c r="E178" s="295"/>
      <c r="F178" s="295"/>
      <c r="G178" s="295"/>
      <c r="H178" s="295"/>
      <c r="I178" s="295"/>
      <c r="J178" s="295"/>
      <c r="K178" s="295"/>
      <c r="L178" s="295"/>
      <c r="M178" s="295"/>
      <c r="N178" s="295"/>
      <c r="O178" s="295"/>
      <c r="P178" s="295"/>
    </row>
    <row r="239" spans="1:25" s="126" customFormat="1">
      <c r="A239" s="90"/>
      <c r="B239" s="153" t="s">
        <v>163</v>
      </c>
      <c r="C239" s="94"/>
      <c r="D239" s="94"/>
      <c r="E239" s="94"/>
      <c r="F239" s="94"/>
      <c r="G239" s="94"/>
      <c r="H239" s="94"/>
      <c r="I239" s="94"/>
      <c r="J239" s="94"/>
      <c r="K239" s="94"/>
      <c r="L239" s="94"/>
      <c r="M239" s="94"/>
      <c r="N239" s="94"/>
      <c r="O239" s="94"/>
      <c r="P239" s="94"/>
      <c r="R239" s="90"/>
      <c r="S239" s="90"/>
      <c r="T239" s="90"/>
      <c r="U239" s="90"/>
      <c r="V239" s="90"/>
      <c r="W239" s="90"/>
      <c r="X239" s="90"/>
      <c r="Y239"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6.xml><?xml version="1.0" encoding="utf-8"?>
<worksheet xmlns="http://schemas.openxmlformats.org/spreadsheetml/2006/main" xmlns:r="http://schemas.openxmlformats.org/officeDocument/2006/relationships">
  <sheetPr>
    <pageSetUpPr autoPageBreaks="0" fitToPage="1"/>
  </sheetPr>
  <dimension ref="A1:Y244"/>
  <sheetViews>
    <sheetView showGridLines="0" zoomScale="70" zoomScaleNormal="70" workbookViewId="0">
      <pane xSplit="3" ySplit="16" topLeftCell="H165" activePane="bottomRight" state="frozen"/>
      <selection pane="topRight" activeCell="D1" sqref="D1"/>
      <selection pane="bottomLeft" activeCell="A15" sqref="A15"/>
      <selection pane="bottomRight" activeCell="B175" sqref="B175"/>
    </sheetView>
  </sheetViews>
  <sheetFormatPr defaultRowHeight="12.75" outlineLevelRow="2"/>
  <cols>
    <col min="1" max="1" width="7" style="90" customWidth="1"/>
    <col min="2" max="2" width="69.140625" style="90" customWidth="1"/>
    <col min="3" max="3" width="41.5703125" style="90" customWidth="1"/>
    <col min="4" max="15" width="15.7109375" style="90" customWidth="1"/>
    <col min="16" max="16" width="13.570312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row>
    <row r="4" spans="1:17">
      <c r="B4" s="148" t="s">
        <v>130</v>
      </c>
      <c r="C4" s="92"/>
      <c r="D4" s="92"/>
      <c r="E4" s="150">
        <f>Info!$D$16</f>
        <v>2.8</v>
      </c>
      <c r="F4" s="92"/>
      <c r="G4" s="92"/>
      <c r="H4" s="92"/>
      <c r="I4" s="92"/>
      <c r="J4" s="92"/>
      <c r="K4" s="92"/>
      <c r="L4" s="92"/>
      <c r="M4" s="92"/>
      <c r="N4" s="92"/>
      <c r="O4" s="92"/>
      <c r="P4" s="92"/>
    </row>
    <row r="5" spans="1:17">
      <c r="B5" s="151" t="s">
        <v>138</v>
      </c>
      <c r="C5" s="93"/>
      <c r="D5" s="93"/>
      <c r="E5" s="152" t="str">
        <f ca="1">IF(CELL("filename",D1)="","",MID(CELL("filename",A1),FIND("]",CELL("filename",A1))+1,99))</f>
        <v>Dublin</v>
      </c>
      <c r="F5" s="93"/>
      <c r="G5" s="93"/>
      <c r="H5" s="93"/>
      <c r="I5" s="93"/>
      <c r="J5" s="93"/>
      <c r="K5" s="93"/>
      <c r="L5" s="93"/>
      <c r="M5" s="93"/>
      <c r="N5" s="93"/>
      <c r="O5" s="93"/>
      <c r="P5" s="93"/>
    </row>
    <row r="8" spans="1:17">
      <c r="B8" s="153" t="s">
        <v>1032</v>
      </c>
      <c r="C8" s="94"/>
      <c r="D8" s="94"/>
      <c r="E8" s="94"/>
      <c r="F8" s="94"/>
      <c r="G8" s="94"/>
      <c r="H8" s="94"/>
      <c r="I8" s="94"/>
      <c r="J8" s="94"/>
      <c r="K8" s="94"/>
      <c r="L8" s="94"/>
      <c r="M8" s="94"/>
      <c r="N8" s="94"/>
      <c r="O8" s="94"/>
      <c r="P8" s="94"/>
    </row>
    <row r="10" spans="1:17">
      <c r="B10" s="138" t="s">
        <v>143</v>
      </c>
      <c r="C10" s="138"/>
      <c r="D10" s="90" t="s">
        <v>270</v>
      </c>
    </row>
    <row r="11" spans="1:17">
      <c r="B11" s="138"/>
      <c r="C11" s="138"/>
    </row>
    <row r="12" spans="1:17">
      <c r="B12" s="153" t="s">
        <v>347</v>
      </c>
      <c r="C12" s="94"/>
      <c r="D12" s="94"/>
      <c r="E12" s="94"/>
      <c r="F12" s="94"/>
      <c r="G12" s="94"/>
      <c r="H12" s="94"/>
      <c r="I12" s="94"/>
      <c r="J12" s="94"/>
      <c r="K12" s="94"/>
      <c r="L12" s="94"/>
      <c r="M12" s="94"/>
      <c r="N12" s="94"/>
      <c r="O12" s="94"/>
      <c r="P12" s="94"/>
    </row>
    <row r="13" spans="1:17">
      <c r="B13" s="138"/>
      <c r="C13" s="138"/>
      <c r="D13" s="138"/>
    </row>
    <row r="14" spans="1:17">
      <c r="B14" s="101" t="s">
        <v>340</v>
      </c>
      <c r="C14" s="101"/>
    </row>
    <row r="15" spans="1:17">
      <c r="B15" s="101"/>
      <c r="C15" s="101"/>
    </row>
    <row r="16" spans="1:17">
      <c r="B16" s="138" t="s">
        <v>271</v>
      </c>
      <c r="C16" s="138"/>
      <c r="D16" s="119">
        <v>2000</v>
      </c>
      <c r="E16" s="119">
        <v>2001</v>
      </c>
      <c r="F16" s="119">
        <v>2002</v>
      </c>
      <c r="G16" s="119">
        <v>2003</v>
      </c>
      <c r="H16" s="119">
        <v>2004</v>
      </c>
      <c r="I16" s="119">
        <v>2005</v>
      </c>
      <c r="J16" s="119">
        <v>2006</v>
      </c>
      <c r="K16" s="119">
        <v>2007</v>
      </c>
      <c r="L16" s="119">
        <v>2008</v>
      </c>
      <c r="M16" s="119">
        <v>2009</v>
      </c>
      <c r="N16" s="119">
        <v>2010</v>
      </c>
      <c r="O16" s="119">
        <v>2011</v>
      </c>
      <c r="P16" s="119">
        <v>2012</v>
      </c>
      <c r="Q16" s="90"/>
    </row>
    <row r="17" spans="1:24">
      <c r="B17" s="138" t="s">
        <v>157</v>
      </c>
      <c r="C17" s="138"/>
      <c r="D17" s="154">
        <v>2000</v>
      </c>
      <c r="E17" s="154">
        <v>2001</v>
      </c>
      <c r="F17" s="154">
        <v>2002</v>
      </c>
      <c r="G17" s="154">
        <v>2003</v>
      </c>
      <c r="H17" s="154">
        <v>2004</v>
      </c>
      <c r="I17" s="154">
        <v>2005</v>
      </c>
      <c r="J17" s="154">
        <v>2006</v>
      </c>
      <c r="K17" s="154">
        <v>2007</v>
      </c>
      <c r="L17" s="154">
        <v>2008</v>
      </c>
      <c r="M17" s="154">
        <v>2009</v>
      </c>
      <c r="N17" s="154">
        <v>2010</v>
      </c>
      <c r="O17" s="154">
        <v>2011</v>
      </c>
      <c r="P17" s="154">
        <v>2012</v>
      </c>
      <c r="Q17" s="90"/>
    </row>
    <row r="18" spans="1:24">
      <c r="B18" s="138" t="s">
        <v>164</v>
      </c>
      <c r="C18" s="138"/>
      <c r="D18" s="154" t="s">
        <v>160</v>
      </c>
      <c r="E18" s="154" t="s">
        <v>160</v>
      </c>
      <c r="F18" s="154" t="s">
        <v>160</v>
      </c>
      <c r="G18" s="154" t="s">
        <v>160</v>
      </c>
      <c r="H18" s="154" t="s">
        <v>160</v>
      </c>
      <c r="I18" s="154" t="s">
        <v>160</v>
      </c>
      <c r="J18" s="154" t="s">
        <v>174</v>
      </c>
      <c r="K18" s="154" t="s">
        <v>174</v>
      </c>
      <c r="L18" s="154" t="s">
        <v>174</v>
      </c>
      <c r="M18" s="154" t="s">
        <v>174</v>
      </c>
      <c r="N18" s="154" t="s">
        <v>174</v>
      </c>
      <c r="O18" s="154" t="s">
        <v>174</v>
      </c>
      <c r="P18" s="154" t="s">
        <v>174</v>
      </c>
      <c r="Q18" s="90"/>
    </row>
    <row r="19" spans="1:24">
      <c r="B19" s="133"/>
      <c r="C19" s="133"/>
      <c r="D19" s="133"/>
      <c r="E19" s="133"/>
      <c r="F19" s="133"/>
      <c r="G19" s="133"/>
      <c r="H19" s="133"/>
      <c r="I19" s="133"/>
      <c r="J19" s="133"/>
      <c r="K19" s="133"/>
      <c r="L19" s="133"/>
      <c r="M19" s="133"/>
      <c r="N19" s="133"/>
      <c r="O19" s="133"/>
      <c r="P19" s="126"/>
      <c r="Q19" s="90"/>
    </row>
    <row r="20" spans="1:24">
      <c r="B20" s="106" t="s">
        <v>1314</v>
      </c>
      <c r="C20" s="106" t="s">
        <v>1315</v>
      </c>
      <c r="D20" s="133"/>
      <c r="E20" s="133"/>
      <c r="F20" s="133"/>
      <c r="G20" s="133"/>
      <c r="H20" s="133"/>
      <c r="I20" s="133"/>
      <c r="J20" s="133"/>
      <c r="K20" s="133"/>
      <c r="L20" s="133"/>
      <c r="M20" s="133"/>
      <c r="N20" s="133"/>
      <c r="O20" s="133"/>
      <c r="P20" s="126"/>
      <c r="Q20" s="90"/>
    </row>
    <row r="21" spans="1:24" hidden="1" outlineLevel="2">
      <c r="B21" s="90" t="s">
        <v>240</v>
      </c>
      <c r="C21" s="138" t="s">
        <v>165</v>
      </c>
      <c r="D21" s="141"/>
      <c r="E21" s="141"/>
      <c r="F21" s="141"/>
      <c r="G21" s="141"/>
      <c r="H21" s="141"/>
      <c r="I21" s="141"/>
      <c r="J21" s="141">
        <v>85764</v>
      </c>
      <c r="K21" s="141">
        <v>102148</v>
      </c>
      <c r="L21" s="141">
        <v>108645</v>
      </c>
      <c r="M21" s="141">
        <v>101019</v>
      </c>
      <c r="N21" s="141">
        <v>90209</v>
      </c>
      <c r="O21" s="141">
        <v>94845</v>
      </c>
      <c r="P21" s="82">
        <v>93779</v>
      </c>
      <c r="Q21" s="82"/>
      <c r="R21" s="82"/>
      <c r="S21" s="82"/>
      <c r="T21" s="82"/>
      <c r="U21" s="82"/>
    </row>
    <row r="22" spans="1:24" hidden="1" outlineLevel="2">
      <c r="B22" s="90" t="s">
        <v>240</v>
      </c>
      <c r="C22" s="138" t="s">
        <v>166</v>
      </c>
      <c r="D22" s="141"/>
      <c r="E22" s="141"/>
      <c r="F22" s="141"/>
      <c r="G22" s="141"/>
      <c r="H22" s="141"/>
      <c r="I22" s="141"/>
      <c r="J22" s="141">
        <v>8144</v>
      </c>
      <c r="K22" s="141">
        <v>9003</v>
      </c>
      <c r="L22" s="141">
        <v>9676</v>
      </c>
      <c r="M22" s="141">
        <v>9335</v>
      </c>
      <c r="N22" s="141">
        <v>8316</v>
      </c>
      <c r="O22" s="141">
        <v>8879</v>
      </c>
      <c r="P22" s="82">
        <v>8928</v>
      </c>
      <c r="Q22" s="82"/>
      <c r="R22" s="82"/>
      <c r="S22" s="82"/>
      <c r="T22" s="82"/>
      <c r="U22" s="82"/>
    </row>
    <row r="23" spans="1:24" hidden="1" outlineLevel="2">
      <c r="B23" s="90" t="s">
        <v>240</v>
      </c>
      <c r="C23" s="138" t="s">
        <v>189</v>
      </c>
      <c r="D23" s="141"/>
      <c r="E23" s="141"/>
      <c r="F23" s="141"/>
      <c r="G23" s="141"/>
      <c r="H23" s="141"/>
      <c r="I23" s="141"/>
      <c r="J23" s="141">
        <v>4071</v>
      </c>
      <c r="K23" s="141">
        <v>4334</v>
      </c>
      <c r="L23" s="141">
        <v>4895</v>
      </c>
      <c r="M23" s="141">
        <v>5556</v>
      </c>
      <c r="N23" s="141">
        <v>5172</v>
      </c>
      <c r="O23" s="141">
        <v>4603</v>
      </c>
      <c r="P23" s="82">
        <v>4197</v>
      </c>
      <c r="Q23" s="82"/>
      <c r="R23" s="82"/>
      <c r="S23" s="82"/>
      <c r="T23" s="82"/>
      <c r="U23" s="82"/>
    </row>
    <row r="24" spans="1:24" hidden="1" outlineLevel="2">
      <c r="B24" s="90" t="s">
        <v>240</v>
      </c>
      <c r="C24" s="138" t="s">
        <v>188</v>
      </c>
      <c r="D24" s="141"/>
      <c r="E24" s="141"/>
      <c r="F24" s="141"/>
      <c r="G24" s="141"/>
      <c r="H24" s="141"/>
      <c r="I24" s="141"/>
      <c r="J24" s="141">
        <v>1572</v>
      </c>
      <c r="K24" s="141">
        <f>1535-1995</f>
        <v>-460</v>
      </c>
      <c r="L24" s="141">
        <f>1821-2764</f>
        <v>-943</v>
      </c>
      <c r="M24" s="141">
        <f>1757-4324</f>
        <v>-2567</v>
      </c>
      <c r="N24" s="141">
        <f>365-4052</f>
        <v>-3687</v>
      </c>
      <c r="O24" s="141">
        <f>1671-1770</f>
        <v>-99</v>
      </c>
      <c r="P24" s="82">
        <v>2396</v>
      </c>
      <c r="Q24" s="82"/>
      <c r="R24" s="82"/>
      <c r="S24" s="82"/>
      <c r="T24" s="82"/>
      <c r="U24" s="82"/>
    </row>
    <row r="25" spans="1:24" outlineLevel="1" collapsed="1">
      <c r="B25" s="173" t="s">
        <v>287</v>
      </c>
      <c r="C25" s="138"/>
      <c r="D25" s="159">
        <f t="shared" ref="D25:O25" si="0">SUBTOTAL(9,D21:D24)</f>
        <v>0</v>
      </c>
      <c r="E25" s="159">
        <f t="shared" si="0"/>
        <v>0</v>
      </c>
      <c r="F25" s="159">
        <f t="shared" si="0"/>
        <v>0</v>
      </c>
      <c r="G25" s="159">
        <f t="shared" si="0"/>
        <v>0</v>
      </c>
      <c r="H25" s="159">
        <f t="shared" si="0"/>
        <v>0</v>
      </c>
      <c r="I25" s="159">
        <f t="shared" si="0"/>
        <v>0</v>
      </c>
      <c r="J25" s="159">
        <f t="shared" si="0"/>
        <v>99551</v>
      </c>
      <c r="K25" s="159">
        <f t="shared" si="0"/>
        <v>115025</v>
      </c>
      <c r="L25" s="159">
        <f t="shared" si="0"/>
        <v>122273</v>
      </c>
      <c r="M25" s="159">
        <f t="shared" si="0"/>
        <v>113343</v>
      </c>
      <c r="N25" s="159">
        <f t="shared" si="0"/>
        <v>100010</v>
      </c>
      <c r="O25" s="159">
        <f t="shared" si="0"/>
        <v>108228</v>
      </c>
      <c r="P25" s="159">
        <f>SUBTOTAL(9,P21:P24)</f>
        <v>109300</v>
      </c>
      <c r="Q25" s="82"/>
      <c r="R25" s="82"/>
      <c r="S25" s="82"/>
      <c r="T25" s="82"/>
      <c r="U25" s="82"/>
    </row>
    <row r="26" spans="1:24" s="133" customFormat="1" outlineLevel="1">
      <c r="C26" s="138"/>
      <c r="D26" s="141"/>
      <c r="E26" s="141"/>
      <c r="F26" s="141"/>
      <c r="G26" s="141"/>
      <c r="H26" s="141"/>
      <c r="I26" s="141"/>
      <c r="J26" s="141"/>
      <c r="K26" s="141"/>
      <c r="L26" s="141"/>
      <c r="M26" s="141"/>
      <c r="N26" s="141"/>
      <c r="O26" s="141"/>
      <c r="P26" s="142"/>
      <c r="Q26" s="142"/>
      <c r="R26" s="142"/>
      <c r="S26" s="142"/>
      <c r="T26" s="142"/>
      <c r="U26" s="142"/>
    </row>
    <row r="27" spans="1:24" s="133" customFormat="1" hidden="1" outlineLevel="2">
      <c r="B27" s="133" t="s">
        <v>30</v>
      </c>
      <c r="C27" s="138" t="s">
        <v>30</v>
      </c>
      <c r="D27" s="141"/>
      <c r="E27" s="141"/>
      <c r="F27" s="141"/>
      <c r="G27" s="141"/>
      <c r="H27" s="141"/>
      <c r="I27" s="141"/>
      <c r="J27" s="141">
        <v>37246</v>
      </c>
      <c r="K27" s="141">
        <v>41395</v>
      </c>
      <c r="L27" s="141">
        <v>46397</v>
      </c>
      <c r="M27" s="141">
        <v>43500</v>
      </c>
      <c r="N27" s="141">
        <v>54195</v>
      </c>
      <c r="O27" s="141">
        <v>82721</v>
      </c>
      <c r="P27" s="142">
        <v>86207</v>
      </c>
      <c r="Q27" s="142"/>
      <c r="R27" s="142"/>
      <c r="S27" s="142"/>
      <c r="T27" s="142"/>
      <c r="U27" s="142"/>
    </row>
    <row r="28" spans="1:24" s="133" customFormat="1" hidden="1" outlineLevel="2">
      <c r="B28" s="133" t="s">
        <v>30</v>
      </c>
      <c r="C28" s="138" t="s">
        <v>192</v>
      </c>
      <c r="D28" s="141"/>
      <c r="E28" s="141"/>
      <c r="F28" s="141"/>
      <c r="G28" s="141"/>
      <c r="H28" s="141"/>
      <c r="I28" s="141"/>
      <c r="J28" s="141">
        <v>-972</v>
      </c>
      <c r="K28" s="141">
        <v>-1090</v>
      </c>
      <c r="L28" s="141">
        <v>-857</v>
      </c>
      <c r="M28" s="141">
        <v>-807</v>
      </c>
      <c r="N28" s="141">
        <v>-789</v>
      </c>
      <c r="O28" s="141">
        <v>-777</v>
      </c>
      <c r="P28" s="142">
        <v>-775</v>
      </c>
      <c r="Q28" s="142"/>
      <c r="R28" s="142"/>
      <c r="S28" s="142"/>
      <c r="T28" s="142"/>
      <c r="U28" s="142"/>
    </row>
    <row r="29" spans="1:24" s="133" customFormat="1" outlineLevel="1" collapsed="1">
      <c r="B29" s="106" t="s">
        <v>288</v>
      </c>
      <c r="C29" s="138"/>
      <c r="D29" s="159">
        <f>SUBTOTAL(9,D27:D27)</f>
        <v>0</v>
      </c>
      <c r="E29" s="159">
        <f>SUBTOTAL(9,E27:E28)</f>
        <v>0</v>
      </c>
      <c r="F29" s="159">
        <f t="shared" ref="F29:O29" si="1">SUBTOTAL(9,F27:F28)</f>
        <v>0</v>
      </c>
      <c r="G29" s="159">
        <f t="shared" si="1"/>
        <v>0</v>
      </c>
      <c r="H29" s="159">
        <f t="shared" si="1"/>
        <v>0</v>
      </c>
      <c r="I29" s="159">
        <f t="shared" si="1"/>
        <v>0</v>
      </c>
      <c r="J29" s="159">
        <f t="shared" si="1"/>
        <v>36274</v>
      </c>
      <c r="K29" s="159">
        <f t="shared" si="1"/>
        <v>40305</v>
      </c>
      <c r="L29" s="159">
        <f t="shared" si="1"/>
        <v>45540</v>
      </c>
      <c r="M29" s="159">
        <f t="shared" si="1"/>
        <v>42693</v>
      </c>
      <c r="N29" s="159">
        <f t="shared" si="1"/>
        <v>53406</v>
      </c>
      <c r="O29" s="159">
        <f t="shared" si="1"/>
        <v>81944</v>
      </c>
      <c r="P29" s="159">
        <f>SUBTOTAL(9,P27:P28)</f>
        <v>85432</v>
      </c>
      <c r="Q29" s="142"/>
      <c r="R29" s="142"/>
      <c r="S29" s="142"/>
      <c r="T29" s="142"/>
      <c r="U29" s="142"/>
    </row>
    <row r="30" spans="1:24" s="133" customFormat="1" outlineLevel="1">
      <c r="C30" s="138"/>
      <c r="D30" s="141"/>
      <c r="E30" s="141"/>
      <c r="F30" s="141"/>
      <c r="G30" s="141"/>
      <c r="H30" s="141"/>
      <c r="I30" s="141"/>
      <c r="J30" s="141"/>
      <c r="K30" s="141"/>
      <c r="L30" s="141"/>
      <c r="M30" s="141"/>
      <c r="N30" s="141"/>
      <c r="O30" s="141"/>
      <c r="P30" s="142"/>
      <c r="Q30" s="142"/>
      <c r="R30" s="142"/>
      <c r="S30" s="142"/>
      <c r="T30" s="142"/>
      <c r="U30" s="142"/>
    </row>
    <row r="31" spans="1:24" s="133" customFormat="1" hidden="1" outlineLevel="2">
      <c r="A31" s="138"/>
      <c r="B31" s="133" t="s">
        <v>256</v>
      </c>
      <c r="C31" s="138" t="s">
        <v>201</v>
      </c>
      <c r="D31" s="141"/>
      <c r="E31" s="141"/>
      <c r="F31" s="141"/>
      <c r="G31" s="141"/>
      <c r="H31" s="141"/>
      <c r="I31" s="141"/>
      <c r="J31" s="141">
        <v>11002</v>
      </c>
      <c r="K31" s="141">
        <v>12705</v>
      </c>
      <c r="L31" s="141">
        <v>13648</v>
      </c>
      <c r="M31" s="141">
        <v>11207</v>
      </c>
      <c r="N31" s="141">
        <v>13402</v>
      </c>
      <c r="O31" s="141">
        <v>9814</v>
      </c>
      <c r="P31" s="356">
        <v>10486</v>
      </c>
      <c r="Q31" s="131"/>
      <c r="R31" s="131"/>
      <c r="U31" s="156"/>
      <c r="X31" s="131"/>
    </row>
    <row r="32" spans="1:24" s="133" customFormat="1" hidden="1" outlineLevel="2">
      <c r="A32" s="138"/>
      <c r="B32" s="133" t="s">
        <v>256</v>
      </c>
      <c r="C32" s="138" t="s">
        <v>184</v>
      </c>
      <c r="D32" s="141"/>
      <c r="E32" s="141"/>
      <c r="F32" s="141"/>
      <c r="G32" s="141"/>
      <c r="H32" s="141"/>
      <c r="I32" s="141"/>
      <c r="J32" s="141">
        <v>10774</v>
      </c>
      <c r="K32" s="141">
        <v>11459</v>
      </c>
      <c r="L32" s="141">
        <v>11877</v>
      </c>
      <c r="M32" s="141">
        <v>12741</v>
      </c>
      <c r="N32" s="141">
        <v>12716</v>
      </c>
      <c r="O32" s="141">
        <v>12511</v>
      </c>
      <c r="P32" s="356">
        <v>14061</v>
      </c>
      <c r="Q32" s="131"/>
      <c r="S32" s="131"/>
      <c r="U32" s="156"/>
      <c r="V32" s="156"/>
    </row>
    <row r="33" spans="1:21" s="133" customFormat="1" hidden="1" outlineLevel="2">
      <c r="A33" s="138"/>
      <c r="B33" s="133" t="s">
        <v>256</v>
      </c>
      <c r="C33" s="138" t="s">
        <v>341</v>
      </c>
      <c r="D33" s="141"/>
      <c r="E33" s="141"/>
      <c r="F33" s="141"/>
      <c r="G33" s="141"/>
      <c r="H33" s="141"/>
      <c r="I33" s="141"/>
      <c r="J33" s="141">
        <v>3704</v>
      </c>
      <c r="K33" s="141">
        <v>3442</v>
      </c>
      <c r="L33" s="141">
        <v>6211</v>
      </c>
      <c r="M33" s="141">
        <v>3100</v>
      </c>
      <c r="N33" s="141">
        <v>3550</v>
      </c>
      <c r="O33" s="141">
        <v>6009</v>
      </c>
      <c r="P33" s="356">
        <v>6266</v>
      </c>
      <c r="Q33" s="131"/>
      <c r="S33" s="131"/>
      <c r="U33" s="156"/>
    </row>
    <row r="34" spans="1:21" s="133" customFormat="1" hidden="1" outlineLevel="2">
      <c r="A34" s="138"/>
      <c r="B34" s="133" t="s">
        <v>256</v>
      </c>
      <c r="C34" s="138" t="s">
        <v>342</v>
      </c>
      <c r="D34" s="141"/>
      <c r="E34" s="141"/>
      <c r="F34" s="141"/>
      <c r="G34" s="141"/>
      <c r="H34" s="141"/>
      <c r="I34" s="141"/>
      <c r="J34" s="141">
        <v>4853</v>
      </c>
      <c r="K34" s="141">
        <v>5517</v>
      </c>
      <c r="L34" s="141">
        <v>3610</v>
      </c>
      <c r="M34" s="141">
        <v>3691</v>
      </c>
      <c r="N34" s="141">
        <v>4321</v>
      </c>
      <c r="O34" s="141">
        <v>4309</v>
      </c>
      <c r="P34" s="356">
        <v>5407</v>
      </c>
      <c r="Q34" s="131"/>
      <c r="S34" s="131"/>
      <c r="U34" s="156"/>
    </row>
    <row r="35" spans="1:21" s="133" customFormat="1" hidden="1" outlineLevel="2">
      <c r="A35" s="138"/>
      <c r="B35" s="133" t="s">
        <v>256</v>
      </c>
      <c r="C35" s="138" t="s">
        <v>344</v>
      </c>
      <c r="D35" s="141"/>
      <c r="E35" s="141"/>
      <c r="F35" s="141"/>
      <c r="G35" s="141"/>
      <c r="H35" s="141"/>
      <c r="I35" s="141"/>
      <c r="J35" s="141">
        <v>3743</v>
      </c>
      <c r="K35" s="141">
        <v>4176</v>
      </c>
      <c r="L35" s="141">
        <v>2846</v>
      </c>
      <c r="M35" s="141">
        <v>2998</v>
      </c>
      <c r="N35" s="141">
        <v>2277</v>
      </c>
      <c r="O35" s="141">
        <v>2585</v>
      </c>
      <c r="P35" s="356">
        <v>2773</v>
      </c>
      <c r="Q35" s="131"/>
      <c r="S35" s="131"/>
      <c r="U35" s="156"/>
    </row>
    <row r="36" spans="1:21" s="133" customFormat="1" hidden="1" outlineLevel="2">
      <c r="A36" s="138"/>
      <c r="B36" s="133" t="s">
        <v>256</v>
      </c>
      <c r="C36" s="138" t="s">
        <v>343</v>
      </c>
      <c r="D36" s="155"/>
      <c r="E36" s="155"/>
      <c r="F36" s="155"/>
      <c r="G36" s="155"/>
      <c r="H36" s="155"/>
      <c r="I36" s="155"/>
      <c r="J36" s="155">
        <v>2078</v>
      </c>
      <c r="K36" s="155">
        <v>2921</v>
      </c>
      <c r="L36" s="155">
        <v>2846</v>
      </c>
      <c r="M36" s="155">
        <v>2998</v>
      </c>
      <c r="N36" s="155">
        <v>2015</v>
      </c>
      <c r="O36" s="155">
        <v>1791</v>
      </c>
      <c r="P36" s="155">
        <v>1634</v>
      </c>
      <c r="Q36" s="131"/>
      <c r="S36" s="131"/>
      <c r="U36" s="156"/>
    </row>
    <row r="37" spans="1:21" s="134" customFormat="1" hidden="1" outlineLevel="2">
      <c r="A37" s="168"/>
      <c r="B37" s="133" t="s">
        <v>256</v>
      </c>
      <c r="C37" s="168" t="s">
        <v>1226</v>
      </c>
      <c r="D37" s="161"/>
      <c r="E37" s="161"/>
      <c r="F37" s="161"/>
      <c r="G37" s="161"/>
      <c r="H37" s="161"/>
      <c r="I37" s="161"/>
      <c r="J37" s="161"/>
      <c r="K37" s="161"/>
      <c r="L37" s="161"/>
      <c r="M37" s="161"/>
      <c r="N37" s="161"/>
      <c r="O37" s="161">
        <v>6946</v>
      </c>
      <c r="P37" s="161">
        <v>7822</v>
      </c>
      <c r="Q37" s="129"/>
      <c r="S37" s="129"/>
      <c r="U37" s="355"/>
    </row>
    <row r="38" spans="1:21" s="134" customFormat="1" hidden="1" outlineLevel="2">
      <c r="A38" s="168"/>
      <c r="B38" s="133" t="s">
        <v>256</v>
      </c>
      <c r="C38" s="168" t="s">
        <v>1227</v>
      </c>
      <c r="D38" s="161"/>
      <c r="E38" s="161"/>
      <c r="F38" s="161"/>
      <c r="G38" s="161"/>
      <c r="H38" s="161"/>
      <c r="I38" s="161"/>
      <c r="J38" s="161"/>
      <c r="K38" s="161"/>
      <c r="L38" s="161"/>
      <c r="M38" s="161"/>
      <c r="N38" s="161"/>
      <c r="O38" s="161">
        <v>4053</v>
      </c>
      <c r="P38" s="161">
        <v>3446</v>
      </c>
      <c r="Q38" s="129"/>
      <c r="S38" s="129"/>
      <c r="U38" s="355"/>
    </row>
    <row r="39" spans="1:21" s="134" customFormat="1" hidden="1" outlineLevel="2">
      <c r="A39" s="168"/>
      <c r="B39" s="133" t="s">
        <v>256</v>
      </c>
      <c r="C39" s="168" t="s">
        <v>1228</v>
      </c>
      <c r="D39" s="161"/>
      <c r="E39" s="161"/>
      <c r="F39" s="161"/>
      <c r="G39" s="161"/>
      <c r="H39" s="161"/>
      <c r="I39" s="161"/>
      <c r="J39" s="161"/>
      <c r="K39" s="161"/>
      <c r="L39" s="161"/>
      <c r="M39" s="161"/>
      <c r="N39" s="161"/>
      <c r="O39" s="161">
        <v>1162</v>
      </c>
      <c r="P39" s="161">
        <v>898</v>
      </c>
      <c r="Q39" s="129"/>
      <c r="S39" s="129"/>
      <c r="U39" s="355"/>
    </row>
    <row r="40" spans="1:21" s="134" customFormat="1" hidden="1" outlineLevel="2">
      <c r="A40" s="168"/>
      <c r="B40" s="133" t="s">
        <v>256</v>
      </c>
      <c r="C40" s="168" t="s">
        <v>1229</v>
      </c>
      <c r="D40" s="161"/>
      <c r="E40" s="161"/>
      <c r="F40" s="161"/>
      <c r="G40" s="161"/>
      <c r="H40" s="161"/>
      <c r="I40" s="161"/>
      <c r="J40" s="161"/>
      <c r="K40" s="161"/>
      <c r="L40" s="161"/>
      <c r="M40" s="161"/>
      <c r="N40" s="161"/>
      <c r="O40" s="161">
        <v>7154</v>
      </c>
      <c r="P40" s="161">
        <v>8241</v>
      </c>
      <c r="Q40" s="129"/>
      <c r="S40" s="129"/>
      <c r="U40" s="355"/>
    </row>
    <row r="41" spans="1:21" s="134" customFormat="1" hidden="1" outlineLevel="2">
      <c r="A41" s="168"/>
      <c r="B41" s="133" t="s">
        <v>256</v>
      </c>
      <c r="C41" s="134" t="s">
        <v>1230</v>
      </c>
      <c r="D41" s="161"/>
      <c r="E41" s="161"/>
      <c r="F41" s="161"/>
      <c r="G41" s="161"/>
      <c r="H41" s="161"/>
      <c r="I41" s="161"/>
      <c r="J41" s="161"/>
      <c r="K41" s="161"/>
      <c r="L41" s="161"/>
      <c r="M41" s="161"/>
      <c r="N41" s="161"/>
      <c r="O41" s="161">
        <v>852</v>
      </c>
      <c r="P41" s="161">
        <v>1103</v>
      </c>
      <c r="Q41" s="129"/>
      <c r="S41" s="129"/>
      <c r="U41" s="355"/>
    </row>
    <row r="42" spans="1:21" s="134" customFormat="1" hidden="1" outlineLevel="2">
      <c r="A42" s="168"/>
      <c r="B42" s="133" t="s">
        <v>256</v>
      </c>
      <c r="C42" s="168" t="s">
        <v>1231</v>
      </c>
      <c r="D42" s="161"/>
      <c r="E42" s="161"/>
      <c r="F42" s="161"/>
      <c r="G42" s="161"/>
      <c r="H42" s="161"/>
      <c r="I42" s="161"/>
      <c r="J42" s="161"/>
      <c r="K42" s="161"/>
      <c r="L42" s="161"/>
      <c r="M42" s="161"/>
      <c r="N42" s="161"/>
      <c r="O42" s="161">
        <v>821</v>
      </c>
      <c r="P42" s="161">
        <v>887</v>
      </c>
      <c r="Q42" s="129"/>
      <c r="S42" s="129"/>
      <c r="U42" s="355"/>
    </row>
    <row r="43" spans="1:21" s="134" customFormat="1" hidden="1" outlineLevel="2">
      <c r="A43" s="168"/>
      <c r="B43" s="133" t="s">
        <v>256</v>
      </c>
      <c r="C43" s="168" t="s">
        <v>1232</v>
      </c>
      <c r="D43" s="161"/>
      <c r="E43" s="161"/>
      <c r="F43" s="161"/>
      <c r="G43" s="161"/>
      <c r="H43" s="161"/>
      <c r="I43" s="161"/>
      <c r="J43" s="161"/>
      <c r="K43" s="161"/>
      <c r="L43" s="161"/>
      <c r="M43" s="161"/>
      <c r="N43" s="161"/>
      <c r="O43" s="161">
        <v>2802</v>
      </c>
      <c r="P43" s="161">
        <v>3528</v>
      </c>
      <c r="Q43" s="129"/>
      <c r="S43" s="129"/>
      <c r="U43" s="355"/>
    </row>
    <row r="44" spans="1:21" s="134" customFormat="1" hidden="1" outlineLevel="2">
      <c r="A44" s="168"/>
      <c r="B44" s="133" t="s">
        <v>256</v>
      </c>
      <c r="C44" s="168" t="s">
        <v>1233</v>
      </c>
      <c r="D44" s="161"/>
      <c r="E44" s="161"/>
      <c r="F44" s="161"/>
      <c r="G44" s="161"/>
      <c r="H44" s="161"/>
      <c r="I44" s="161"/>
      <c r="J44" s="161"/>
      <c r="K44" s="161"/>
      <c r="L44" s="161"/>
      <c r="M44" s="161"/>
      <c r="N44" s="161"/>
      <c r="O44" s="161">
        <v>2930</v>
      </c>
      <c r="P44" s="161">
        <v>3537</v>
      </c>
      <c r="Q44" s="129"/>
      <c r="S44" s="129"/>
      <c r="U44" s="355"/>
    </row>
    <row r="45" spans="1:21" s="134" customFormat="1" hidden="1" outlineLevel="2">
      <c r="A45" s="168"/>
      <c r="B45" s="133" t="s">
        <v>256</v>
      </c>
      <c r="C45" s="168" t="s">
        <v>1234</v>
      </c>
      <c r="D45" s="161"/>
      <c r="E45" s="161"/>
      <c r="F45" s="161"/>
      <c r="G45" s="161"/>
      <c r="H45" s="161"/>
      <c r="I45" s="161"/>
      <c r="J45" s="161"/>
      <c r="K45" s="161"/>
      <c r="L45" s="161"/>
      <c r="M45" s="161"/>
      <c r="N45" s="161"/>
      <c r="O45" s="161">
        <v>4259</v>
      </c>
      <c r="P45" s="161">
        <v>4072</v>
      </c>
      <c r="Q45" s="129"/>
      <c r="S45" s="129"/>
      <c r="U45" s="355"/>
    </row>
    <row r="46" spans="1:21" s="134" customFormat="1" hidden="1" outlineLevel="2">
      <c r="A46" s="168"/>
      <c r="B46" s="133" t="s">
        <v>256</v>
      </c>
      <c r="C46" s="168" t="s">
        <v>1235</v>
      </c>
      <c r="D46" s="161"/>
      <c r="E46" s="161"/>
      <c r="F46" s="161"/>
      <c r="G46" s="161"/>
      <c r="H46" s="161"/>
      <c r="I46" s="161"/>
      <c r="J46" s="161"/>
      <c r="K46" s="161"/>
      <c r="L46" s="161"/>
      <c r="M46" s="161"/>
      <c r="N46" s="161"/>
      <c r="O46" s="161">
        <v>776</v>
      </c>
      <c r="P46" s="161">
        <v>898</v>
      </c>
      <c r="Q46" s="129"/>
      <c r="S46" s="129"/>
      <c r="U46" s="355"/>
    </row>
    <row r="47" spans="1:21" s="134" customFormat="1" hidden="1" outlineLevel="2">
      <c r="A47" s="168"/>
      <c r="B47" s="133" t="s">
        <v>256</v>
      </c>
      <c r="C47" s="168" t="s">
        <v>1236</v>
      </c>
      <c r="D47" s="161"/>
      <c r="E47" s="161"/>
      <c r="F47" s="161"/>
      <c r="G47" s="161"/>
      <c r="H47" s="161"/>
      <c r="I47" s="161"/>
      <c r="J47" s="161"/>
      <c r="K47" s="161"/>
      <c r="L47" s="161"/>
      <c r="M47" s="161"/>
      <c r="N47" s="161"/>
      <c r="O47" s="161">
        <v>3515</v>
      </c>
      <c r="P47" s="161">
        <v>3546</v>
      </c>
      <c r="Q47" s="129"/>
      <c r="S47" s="129"/>
      <c r="U47" s="355"/>
    </row>
    <row r="48" spans="1:21" s="133" customFormat="1" outlineLevel="1" collapsed="1">
      <c r="A48" s="138"/>
      <c r="B48" s="106" t="s">
        <v>289</v>
      </c>
      <c r="C48" s="138"/>
      <c r="D48" s="159">
        <f t="shared" ref="D48:N48" si="2">SUBTOTAL(9,D31:D39)</f>
        <v>0</v>
      </c>
      <c r="E48" s="159">
        <f t="shared" si="2"/>
        <v>0</v>
      </c>
      <c r="F48" s="159">
        <f t="shared" si="2"/>
        <v>0</v>
      </c>
      <c r="G48" s="159">
        <f t="shared" si="2"/>
        <v>0</v>
      </c>
      <c r="H48" s="159">
        <f t="shared" si="2"/>
        <v>0</v>
      </c>
      <c r="I48" s="159">
        <f t="shared" si="2"/>
        <v>0</v>
      </c>
      <c r="J48" s="159">
        <f t="shared" si="2"/>
        <v>36154</v>
      </c>
      <c r="K48" s="159">
        <f t="shared" si="2"/>
        <v>40220</v>
      </c>
      <c r="L48" s="159">
        <f t="shared" si="2"/>
        <v>41038</v>
      </c>
      <c r="M48" s="159">
        <f t="shared" si="2"/>
        <v>36735</v>
      </c>
      <c r="N48" s="159">
        <f t="shared" si="2"/>
        <v>38281</v>
      </c>
      <c r="O48" s="159">
        <f>SUBTOTAL(9,O31:O47)</f>
        <v>72289</v>
      </c>
      <c r="P48" s="159">
        <f>SUBTOTAL(9,P31:P47)</f>
        <v>78605</v>
      </c>
      <c r="Q48" s="131"/>
      <c r="S48" s="131"/>
      <c r="U48" s="156"/>
    </row>
    <row r="49" spans="1:22" outlineLevel="1">
      <c r="C49" s="138"/>
      <c r="D49" s="141"/>
      <c r="E49" s="141"/>
      <c r="F49" s="141"/>
      <c r="G49" s="141"/>
      <c r="H49" s="141"/>
      <c r="I49" s="141"/>
      <c r="J49" s="141"/>
      <c r="K49" s="141"/>
      <c r="L49" s="141"/>
      <c r="M49" s="141"/>
      <c r="N49" s="141"/>
      <c r="O49" s="141"/>
      <c r="R49" s="126"/>
      <c r="U49" s="156"/>
      <c r="V49" s="133"/>
    </row>
    <row r="50" spans="1:22" s="30" customFormat="1" hidden="1" outlineLevel="2">
      <c r="B50" s="90" t="s">
        <v>172</v>
      </c>
      <c r="C50" s="157" t="s">
        <v>172</v>
      </c>
      <c r="D50" s="141">
        <v>0</v>
      </c>
      <c r="E50" s="141"/>
      <c r="F50" s="141"/>
      <c r="G50" s="141"/>
      <c r="H50" s="141"/>
      <c r="I50" s="141"/>
      <c r="J50" s="141">
        <v>0</v>
      </c>
      <c r="K50" s="141">
        <v>0</v>
      </c>
      <c r="L50" s="141">
        <v>27200</v>
      </c>
      <c r="M50" s="141">
        <v>0</v>
      </c>
      <c r="N50" s="141">
        <v>0</v>
      </c>
      <c r="O50" s="141">
        <v>0</v>
      </c>
      <c r="P50" s="123"/>
      <c r="Q50" s="123"/>
    </row>
    <row r="51" spans="1:22" s="30" customFormat="1" outlineLevel="1" collapsed="1">
      <c r="B51" s="30" t="s">
        <v>290</v>
      </c>
      <c r="C51" s="157"/>
      <c r="D51" s="159">
        <f t="shared" ref="D51:P51" si="3">SUBTOTAL(9,D50:D50)</f>
        <v>0</v>
      </c>
      <c r="E51" s="159">
        <f t="shared" si="3"/>
        <v>0</v>
      </c>
      <c r="F51" s="159">
        <f t="shared" si="3"/>
        <v>0</v>
      </c>
      <c r="G51" s="159">
        <f t="shared" si="3"/>
        <v>0</v>
      </c>
      <c r="H51" s="159">
        <f t="shared" si="3"/>
        <v>0</v>
      </c>
      <c r="I51" s="159">
        <f t="shared" si="3"/>
        <v>0</v>
      </c>
      <c r="J51" s="159">
        <f t="shared" si="3"/>
        <v>0</v>
      </c>
      <c r="K51" s="159">
        <f t="shared" si="3"/>
        <v>0</v>
      </c>
      <c r="L51" s="159">
        <f t="shared" si="3"/>
        <v>27200</v>
      </c>
      <c r="M51" s="159">
        <f t="shared" si="3"/>
        <v>0</v>
      </c>
      <c r="N51" s="159">
        <f t="shared" si="3"/>
        <v>0</v>
      </c>
      <c r="O51" s="159">
        <f t="shared" si="3"/>
        <v>0</v>
      </c>
      <c r="P51" s="159">
        <f t="shared" si="3"/>
        <v>0</v>
      </c>
      <c r="Q51" s="123"/>
    </row>
    <row r="52" spans="1:22" s="106" customFormat="1" outlineLevel="1">
      <c r="C52" s="186"/>
      <c r="D52" s="141"/>
      <c r="E52" s="141"/>
      <c r="F52" s="141"/>
      <c r="G52" s="141"/>
      <c r="H52" s="141"/>
      <c r="I52" s="141"/>
      <c r="J52" s="141"/>
      <c r="K52" s="141"/>
      <c r="L52" s="141"/>
      <c r="M52" s="141"/>
      <c r="N52" s="141"/>
      <c r="O52" s="141"/>
      <c r="P52" s="125"/>
      <c r="Q52" s="125"/>
    </row>
    <row r="53" spans="1:22" s="30" customFormat="1">
      <c r="B53" s="30" t="s">
        <v>286</v>
      </c>
      <c r="C53" s="157"/>
      <c r="D53" s="159">
        <f t="shared" ref="D53:O53" si="4">SUBTOTAL(9,D21:D51)</f>
        <v>0</v>
      </c>
      <c r="E53" s="159">
        <f t="shared" si="4"/>
        <v>0</v>
      </c>
      <c r="F53" s="159">
        <f t="shared" si="4"/>
        <v>0</v>
      </c>
      <c r="G53" s="159">
        <f t="shared" si="4"/>
        <v>0</v>
      </c>
      <c r="H53" s="159">
        <f t="shared" si="4"/>
        <v>0</v>
      </c>
      <c r="I53" s="159">
        <f t="shared" si="4"/>
        <v>0</v>
      </c>
      <c r="J53" s="159">
        <f t="shared" si="4"/>
        <v>171979</v>
      </c>
      <c r="K53" s="159">
        <f t="shared" si="4"/>
        <v>195550</v>
      </c>
      <c r="L53" s="159">
        <f t="shared" si="4"/>
        <v>236051</v>
      </c>
      <c r="M53" s="159">
        <f t="shared" si="4"/>
        <v>192771</v>
      </c>
      <c r="N53" s="159">
        <f t="shared" si="4"/>
        <v>191697</v>
      </c>
      <c r="O53" s="159">
        <f t="shared" si="4"/>
        <v>262461</v>
      </c>
      <c r="P53" s="159">
        <f>SUBTOTAL(9,P21:P51)</f>
        <v>273337</v>
      </c>
      <c r="Q53" s="123"/>
    </row>
    <row r="54" spans="1:22" s="30" customFormat="1">
      <c r="B54" s="138"/>
      <c r="C54" s="138"/>
      <c r="D54" s="141"/>
      <c r="E54" s="141"/>
      <c r="F54" s="141"/>
      <c r="G54" s="141"/>
      <c r="H54" s="141"/>
      <c r="I54" s="141"/>
      <c r="J54" s="141"/>
      <c r="K54" s="141"/>
      <c r="L54" s="141"/>
      <c r="M54" s="141"/>
      <c r="N54" s="141"/>
      <c r="O54" s="141"/>
      <c r="P54" s="123"/>
      <c r="Q54" s="123"/>
    </row>
    <row r="55" spans="1:22" s="106" customFormat="1">
      <c r="B55" s="138" t="s">
        <v>1123</v>
      </c>
      <c r="C55" s="138"/>
      <c r="D55" s="159">
        <f t="shared" ref="D55:O55" si="5">D57-D48-D29-D25</f>
        <v>0</v>
      </c>
      <c r="E55" s="159">
        <f t="shared" si="5"/>
        <v>0</v>
      </c>
      <c r="F55" s="159">
        <f t="shared" si="5"/>
        <v>0</v>
      </c>
      <c r="G55" s="159">
        <f t="shared" si="5"/>
        <v>0</v>
      </c>
      <c r="H55" s="159">
        <f t="shared" si="5"/>
        <v>0</v>
      </c>
      <c r="I55" s="159">
        <f t="shared" si="5"/>
        <v>0</v>
      </c>
      <c r="J55" s="159">
        <f t="shared" si="5"/>
        <v>61412</v>
      </c>
      <c r="K55" s="159">
        <f t="shared" si="5"/>
        <v>72663</v>
      </c>
      <c r="L55" s="159">
        <f t="shared" si="5"/>
        <v>101821</v>
      </c>
      <c r="M55" s="159">
        <f t="shared" si="5"/>
        <v>68835</v>
      </c>
      <c r="N55" s="159">
        <f t="shared" si="5"/>
        <v>65330</v>
      </c>
      <c r="O55" s="159">
        <f t="shared" si="5"/>
        <v>34286</v>
      </c>
      <c r="P55" s="159">
        <f>P57-P48-P29-P25</f>
        <v>31909</v>
      </c>
    </row>
    <row r="56" spans="1:22" s="106" customFormat="1">
      <c r="B56" s="138"/>
      <c r="C56" s="138"/>
      <c r="D56" s="141"/>
      <c r="E56" s="141"/>
      <c r="F56" s="141"/>
      <c r="G56" s="141"/>
      <c r="H56" s="141"/>
      <c r="I56" s="141"/>
      <c r="J56" s="141"/>
      <c r="K56" s="141"/>
      <c r="L56" s="141"/>
      <c r="M56" s="141"/>
      <c r="N56" s="141"/>
      <c r="O56" s="141"/>
      <c r="P56" s="125"/>
    </row>
    <row r="57" spans="1:22" s="106" customFormat="1">
      <c r="B57" s="138" t="s">
        <v>1316</v>
      </c>
      <c r="C57" s="138"/>
      <c r="D57" s="141"/>
      <c r="E57" s="141"/>
      <c r="F57" s="141"/>
      <c r="G57" s="141"/>
      <c r="H57" s="141"/>
      <c r="I57" s="141"/>
      <c r="J57" s="141">
        <v>233391</v>
      </c>
      <c r="K57" s="141">
        <v>268213</v>
      </c>
      <c r="L57" s="141">
        <v>310672</v>
      </c>
      <c r="M57" s="141">
        <v>261606</v>
      </c>
      <c r="N57" s="141">
        <v>257027</v>
      </c>
      <c r="O57" s="141">
        <v>296747</v>
      </c>
      <c r="P57" s="125">
        <v>305246</v>
      </c>
      <c r="Q57" s="125"/>
      <c r="R57" s="125"/>
      <c r="S57" s="125"/>
      <c r="T57" s="131"/>
      <c r="U57" s="132"/>
    </row>
    <row r="58" spans="1:22" s="30" customFormat="1">
      <c r="B58" s="138"/>
      <c r="C58" s="133"/>
      <c r="D58" s="141"/>
      <c r="E58" s="141"/>
      <c r="F58" s="141"/>
      <c r="G58" s="141"/>
      <c r="H58" s="141"/>
      <c r="I58" s="141"/>
      <c r="J58" s="141"/>
      <c r="K58" s="141"/>
      <c r="L58" s="141"/>
      <c r="M58" s="141"/>
      <c r="N58" s="141"/>
      <c r="O58" s="141"/>
      <c r="P58" s="123"/>
      <c r="Q58" s="124"/>
      <c r="R58" s="79"/>
    </row>
    <row r="59" spans="1:22" s="122" customFormat="1">
      <c r="B59" s="138" t="s">
        <v>1317</v>
      </c>
      <c r="C59" s="138"/>
      <c r="D59" s="97">
        <f t="shared" ref="D59:P59" si="6">D57+D50</f>
        <v>0</v>
      </c>
      <c r="E59" s="97">
        <f t="shared" si="6"/>
        <v>0</v>
      </c>
      <c r="F59" s="97">
        <f t="shared" si="6"/>
        <v>0</v>
      </c>
      <c r="G59" s="97">
        <f t="shared" si="6"/>
        <v>0</v>
      </c>
      <c r="H59" s="97">
        <f t="shared" si="6"/>
        <v>0</v>
      </c>
      <c r="I59" s="97">
        <f t="shared" si="6"/>
        <v>0</v>
      </c>
      <c r="J59" s="97">
        <f>J57+J50</f>
        <v>233391</v>
      </c>
      <c r="K59" s="97">
        <f>K57+K50</f>
        <v>268213</v>
      </c>
      <c r="L59" s="97">
        <f>L57+L50</f>
        <v>337872</v>
      </c>
      <c r="M59" s="97">
        <f>M57+M50</f>
        <v>261606</v>
      </c>
      <c r="N59" s="97">
        <f>N57+N50</f>
        <v>257027</v>
      </c>
      <c r="O59" s="97">
        <f t="shared" si="6"/>
        <v>296747</v>
      </c>
      <c r="P59" s="97">
        <f t="shared" si="6"/>
        <v>305246</v>
      </c>
      <c r="Q59" s="128"/>
      <c r="R59" s="128"/>
      <c r="S59" s="128"/>
      <c r="T59" s="129"/>
      <c r="U59" s="130"/>
    </row>
    <row r="60" spans="1:22" s="122" customFormat="1">
      <c r="B60" s="168"/>
      <c r="C60" s="168"/>
      <c r="D60" s="185"/>
      <c r="E60" s="185"/>
      <c r="F60" s="185"/>
      <c r="G60" s="185"/>
      <c r="H60" s="185"/>
      <c r="I60" s="185"/>
      <c r="J60" s="185"/>
      <c r="K60" s="185"/>
      <c r="L60" s="185"/>
      <c r="M60" s="185"/>
      <c r="N60" s="185"/>
      <c r="O60" s="185"/>
      <c r="P60" s="128"/>
      <c r="Q60" s="128"/>
      <c r="R60" s="128"/>
      <c r="S60" s="128"/>
      <c r="T60" s="129"/>
      <c r="U60" s="130"/>
    </row>
    <row r="61" spans="1:22" s="122" customFormat="1">
      <c r="B61" s="168" t="s">
        <v>1146</v>
      </c>
      <c r="C61" s="168"/>
      <c r="D61" s="95">
        <f>D53*Parameters!C21</f>
        <v>0</v>
      </c>
      <c r="E61" s="95">
        <f>E53*Parameters!D21</f>
        <v>0</v>
      </c>
      <c r="F61" s="95">
        <f>F53*Parameters!E21</f>
        <v>0</v>
      </c>
      <c r="G61" s="95">
        <f>G53*Parameters!F21</f>
        <v>0</v>
      </c>
      <c r="H61" s="95">
        <f>H53*Parameters!G21</f>
        <v>0</v>
      </c>
      <c r="I61" s="95">
        <f>I53*Parameters!H21</f>
        <v>0</v>
      </c>
      <c r="J61" s="95">
        <f>J53*Parameters!I21</f>
        <v>1933.8684229839371</v>
      </c>
      <c r="K61" s="95">
        <f>K53*Parameters!J21</f>
        <v>3383.277849452802</v>
      </c>
      <c r="L61" s="95">
        <f>L53*Parameters!K21</f>
        <v>4679.056734719311</v>
      </c>
      <c r="M61" s="95">
        <f>M53*Parameters!L21</f>
        <v>5966.0443790407953</v>
      </c>
      <c r="N61" s="95">
        <f>N53*Parameters!M21</f>
        <v>7032.4692679433492</v>
      </c>
      <c r="O61" s="95">
        <f>O53*Parameters!N21</f>
        <v>8153.2209882859588</v>
      </c>
      <c r="P61" s="95">
        <f>P53*Parameters!O21</f>
        <v>12529.550611104656</v>
      </c>
      <c r="Q61" s="128"/>
      <c r="R61" s="128"/>
      <c r="S61" s="128"/>
      <c r="T61" s="129"/>
      <c r="U61" s="130"/>
    </row>
    <row r="62" spans="1:22" s="122" customFormat="1">
      <c r="B62" s="168"/>
      <c r="C62" s="168"/>
      <c r="D62" s="185"/>
      <c r="E62" s="185"/>
      <c r="F62" s="185"/>
      <c r="G62" s="185"/>
      <c r="H62" s="185"/>
      <c r="I62" s="185"/>
      <c r="J62" s="185"/>
      <c r="K62" s="185"/>
      <c r="L62" s="185"/>
      <c r="M62" s="185"/>
      <c r="N62" s="185"/>
      <c r="O62" s="185"/>
      <c r="P62" s="128"/>
      <c r="Q62" s="128"/>
      <c r="R62" s="128"/>
      <c r="S62" s="128"/>
      <c r="T62" s="129"/>
      <c r="U62" s="130"/>
    </row>
    <row r="63" spans="1:22" s="133" customFormat="1">
      <c r="A63" s="134"/>
      <c r="B63" s="138" t="s">
        <v>1131</v>
      </c>
      <c r="C63" s="138"/>
      <c r="D63" s="159">
        <f t="shared" ref="D63:O63" si="7">D57-D29-D36-D61</f>
        <v>0</v>
      </c>
      <c r="E63" s="159">
        <f t="shared" si="7"/>
        <v>0</v>
      </c>
      <c r="F63" s="159">
        <f t="shared" si="7"/>
        <v>0</v>
      </c>
      <c r="G63" s="159">
        <f t="shared" si="7"/>
        <v>0</v>
      </c>
      <c r="H63" s="159">
        <f t="shared" si="7"/>
        <v>0</v>
      </c>
      <c r="I63" s="159">
        <f t="shared" si="7"/>
        <v>0</v>
      </c>
      <c r="J63" s="159">
        <f t="shared" si="7"/>
        <v>193105.13157701606</v>
      </c>
      <c r="K63" s="159">
        <f t="shared" si="7"/>
        <v>221603.7221505472</v>
      </c>
      <c r="L63" s="159">
        <f t="shared" si="7"/>
        <v>257606.94326528069</v>
      </c>
      <c r="M63" s="159">
        <f t="shared" si="7"/>
        <v>209948.9556209592</v>
      </c>
      <c r="N63" s="159">
        <f t="shared" si="7"/>
        <v>194573.53073205665</v>
      </c>
      <c r="O63" s="159">
        <f t="shared" si="7"/>
        <v>204858.77901171404</v>
      </c>
      <c r="P63" s="159">
        <f>P57-P29-P36-P61</f>
        <v>205650.44938889536</v>
      </c>
    </row>
    <row r="64" spans="1:22" s="122" customFormat="1">
      <c r="B64" s="168"/>
      <c r="C64" s="168"/>
      <c r="D64" s="185"/>
      <c r="E64" s="185"/>
      <c r="F64" s="185"/>
      <c r="G64" s="185"/>
      <c r="H64" s="185"/>
      <c r="I64" s="185"/>
      <c r="J64" s="185"/>
      <c r="K64" s="185"/>
      <c r="L64" s="185"/>
      <c r="M64" s="185"/>
      <c r="N64" s="185"/>
      <c r="O64" s="185"/>
      <c r="P64" s="128"/>
      <c r="Q64" s="128"/>
      <c r="R64" s="128"/>
      <c r="S64" s="128"/>
      <c r="T64" s="129"/>
      <c r="U64" s="130"/>
    </row>
    <row r="65" spans="2:18" s="133" customFormat="1">
      <c r="B65" s="138" t="s">
        <v>292</v>
      </c>
      <c r="C65" s="138"/>
      <c r="D65" s="141"/>
      <c r="E65" s="141"/>
      <c r="F65" s="141"/>
      <c r="G65" s="141"/>
      <c r="H65" s="141"/>
      <c r="I65" s="141"/>
      <c r="J65" s="141">
        <v>308123</v>
      </c>
      <c r="K65" s="141">
        <v>355972</v>
      </c>
      <c r="L65" s="141">
        <v>360869</v>
      </c>
      <c r="M65" s="141">
        <v>316035</v>
      </c>
      <c r="N65" s="141">
        <v>321600</v>
      </c>
      <c r="O65" s="141">
        <v>348422</v>
      </c>
      <c r="P65" s="123">
        <v>361679</v>
      </c>
    </row>
    <row r="66" spans="2:18" s="133" customFormat="1">
      <c r="B66" s="138"/>
      <c r="C66" s="138"/>
      <c r="D66" s="141"/>
      <c r="E66" s="141"/>
      <c r="F66" s="141"/>
      <c r="G66" s="141"/>
      <c r="H66" s="141"/>
      <c r="I66" s="141"/>
      <c r="J66" s="141"/>
      <c r="K66" s="141"/>
      <c r="L66" s="141"/>
      <c r="M66" s="141"/>
      <c r="N66" s="141"/>
      <c r="O66" s="141"/>
      <c r="P66" s="123"/>
      <c r="Q66" s="131"/>
    </row>
    <row r="67" spans="2:18" s="133" customFormat="1">
      <c r="B67" s="138" t="s">
        <v>1318</v>
      </c>
      <c r="C67" s="138"/>
      <c r="D67" s="159">
        <f t="shared" ref="D67:P67" si="8">D65-D57</f>
        <v>0</v>
      </c>
      <c r="E67" s="159">
        <f t="shared" si="8"/>
        <v>0</v>
      </c>
      <c r="F67" s="159">
        <f t="shared" si="8"/>
        <v>0</v>
      </c>
      <c r="G67" s="159">
        <f t="shared" si="8"/>
        <v>0</v>
      </c>
      <c r="H67" s="159">
        <f t="shared" si="8"/>
        <v>0</v>
      </c>
      <c r="I67" s="159">
        <f t="shared" si="8"/>
        <v>0</v>
      </c>
      <c r="J67" s="159">
        <f t="shared" si="8"/>
        <v>74732</v>
      </c>
      <c r="K67" s="159">
        <f t="shared" si="8"/>
        <v>87759</v>
      </c>
      <c r="L67" s="159">
        <f t="shared" si="8"/>
        <v>50197</v>
      </c>
      <c r="M67" s="159">
        <f t="shared" si="8"/>
        <v>54429</v>
      </c>
      <c r="N67" s="159">
        <f t="shared" si="8"/>
        <v>64573</v>
      </c>
      <c r="O67" s="159">
        <f t="shared" si="8"/>
        <v>51675</v>
      </c>
      <c r="P67" s="159">
        <f t="shared" si="8"/>
        <v>56433</v>
      </c>
      <c r="Q67" s="143"/>
    </row>
    <row r="68" spans="2:18" s="179" customFormat="1">
      <c r="B68" s="176"/>
      <c r="C68" s="176"/>
      <c r="D68" s="175"/>
      <c r="E68" s="175"/>
      <c r="F68" s="175"/>
      <c r="G68" s="175"/>
      <c r="H68" s="175"/>
      <c r="I68" s="175"/>
      <c r="J68" s="175"/>
      <c r="K68" s="175"/>
      <c r="L68" s="175"/>
      <c r="M68" s="175"/>
      <c r="N68" s="175"/>
      <c r="O68" s="175"/>
      <c r="P68" s="183"/>
      <c r="Q68" s="184"/>
    </row>
    <row r="69" spans="2:18">
      <c r="B69" s="138" t="s">
        <v>253</v>
      </c>
      <c r="C69" s="138"/>
      <c r="D69" s="162" t="e">
        <f t="shared" ref="D69:P69" si="9">D67/D65</f>
        <v>#DIV/0!</v>
      </c>
      <c r="E69" s="162" t="e">
        <f t="shared" si="9"/>
        <v>#DIV/0!</v>
      </c>
      <c r="F69" s="162" t="e">
        <f t="shared" si="9"/>
        <v>#DIV/0!</v>
      </c>
      <c r="G69" s="162" t="e">
        <f t="shared" si="9"/>
        <v>#DIV/0!</v>
      </c>
      <c r="H69" s="162" t="e">
        <f t="shared" si="9"/>
        <v>#DIV/0!</v>
      </c>
      <c r="I69" s="162" t="e">
        <f t="shared" si="9"/>
        <v>#DIV/0!</v>
      </c>
      <c r="J69" s="162">
        <f t="shared" si="9"/>
        <v>0.24253950532741794</v>
      </c>
      <c r="K69" s="162">
        <f t="shared" si="9"/>
        <v>0.24653343521400559</v>
      </c>
      <c r="L69" s="162">
        <f t="shared" si="9"/>
        <v>0.13910033834992755</v>
      </c>
      <c r="M69" s="162">
        <f t="shared" si="9"/>
        <v>0.17222459537709431</v>
      </c>
      <c r="N69" s="162">
        <f t="shared" si="9"/>
        <v>0.20078669154228856</v>
      </c>
      <c r="O69" s="162">
        <f t="shared" si="9"/>
        <v>0.1483115302707636</v>
      </c>
      <c r="P69" s="162">
        <f t="shared" si="9"/>
        <v>0.15603062384047733</v>
      </c>
      <c r="Q69" s="144"/>
    </row>
    <row r="70" spans="2:18">
      <c r="B70" s="154"/>
      <c r="C70" s="154"/>
      <c r="D70" s="141"/>
      <c r="E70" s="141"/>
      <c r="F70" s="141"/>
      <c r="G70" s="141"/>
      <c r="H70" s="141"/>
      <c r="I70" s="141"/>
      <c r="J70" s="141"/>
      <c r="K70" s="141"/>
      <c r="L70" s="141"/>
      <c r="M70" s="141"/>
      <c r="N70" s="141"/>
      <c r="O70" s="141"/>
      <c r="P70" s="127"/>
      <c r="Q70" s="127"/>
      <c r="R70" s="127"/>
    </row>
    <row r="71" spans="2:18">
      <c r="B71" s="90" t="s">
        <v>228</v>
      </c>
      <c r="D71" s="195"/>
      <c r="E71" s="195"/>
      <c r="F71" s="195"/>
      <c r="G71" s="195"/>
      <c r="H71" s="195"/>
      <c r="I71" s="195"/>
      <c r="J71" s="195">
        <v>21196382</v>
      </c>
      <c r="K71" s="195">
        <v>23287438</v>
      </c>
      <c r="L71" s="195">
        <v>20503677</v>
      </c>
      <c r="M71" s="195">
        <v>23466711</v>
      </c>
      <c r="N71" s="195">
        <v>18431064</v>
      </c>
      <c r="O71" s="195">
        <v>18740593</v>
      </c>
      <c r="P71" s="126">
        <v>19099649</v>
      </c>
      <c r="Q71" s="90"/>
    </row>
    <row r="72" spans="2:18">
      <c r="B72" s="90" t="s">
        <v>264</v>
      </c>
      <c r="D72" s="195"/>
      <c r="E72" s="195"/>
      <c r="F72" s="195"/>
      <c r="G72" s="195"/>
      <c r="H72" s="195"/>
      <c r="I72" s="195"/>
      <c r="J72" s="195">
        <v>196641</v>
      </c>
      <c r="K72" s="195">
        <v>211804</v>
      </c>
      <c r="L72" s="195">
        <v>211890</v>
      </c>
      <c r="M72" s="195">
        <v>176811</v>
      </c>
      <c r="N72" s="195">
        <v>160320</v>
      </c>
      <c r="O72" s="195">
        <v>162016</v>
      </c>
      <c r="P72" s="126">
        <v>163670</v>
      </c>
      <c r="Q72" s="90"/>
    </row>
    <row r="73" spans="2:18">
      <c r="B73" s="111" t="s">
        <v>210</v>
      </c>
      <c r="C73" s="111"/>
      <c r="D73" s="141"/>
      <c r="E73" s="141"/>
      <c r="F73" s="141"/>
      <c r="G73" s="141"/>
      <c r="H73" s="141"/>
      <c r="I73" s="141"/>
      <c r="J73" s="141">
        <v>1742</v>
      </c>
      <c r="K73" s="141">
        <v>1879</v>
      </c>
      <c r="L73" s="141">
        <v>2004</v>
      </c>
      <c r="M73" s="141">
        <v>1929</v>
      </c>
      <c r="N73" s="141">
        <v>1797</v>
      </c>
      <c r="O73" s="141">
        <v>1952</v>
      </c>
      <c r="P73" s="126">
        <v>1919</v>
      </c>
      <c r="Q73" s="90"/>
    </row>
    <row r="74" spans="2:18">
      <c r="B74" s="154"/>
      <c r="C74" s="154"/>
      <c r="D74" s="141"/>
      <c r="E74" s="141"/>
      <c r="F74" s="141"/>
      <c r="G74" s="141"/>
      <c r="H74" s="141"/>
      <c r="I74" s="141"/>
      <c r="J74" s="141"/>
      <c r="K74" s="141"/>
      <c r="L74" s="141"/>
      <c r="M74" s="141"/>
      <c r="N74" s="141"/>
      <c r="O74" s="141"/>
      <c r="P74" s="127"/>
      <c r="Q74" s="127"/>
      <c r="R74" s="127"/>
    </row>
    <row r="75" spans="2:18">
      <c r="B75" s="153" t="s">
        <v>348</v>
      </c>
      <c r="C75" s="94"/>
      <c r="D75" s="94"/>
      <c r="E75" s="94"/>
      <c r="F75" s="94"/>
      <c r="G75" s="94"/>
      <c r="H75" s="94"/>
      <c r="I75" s="94"/>
      <c r="J75" s="94"/>
      <c r="K75" s="94"/>
      <c r="L75" s="94"/>
      <c r="M75" s="94"/>
      <c r="N75" s="94"/>
      <c r="O75" s="94"/>
      <c r="P75" s="94"/>
      <c r="Q75" s="90"/>
    </row>
    <row r="76" spans="2:18">
      <c r="B76" s="136"/>
      <c r="C76" s="136"/>
      <c r="D76" s="136"/>
      <c r="E76" s="136"/>
      <c r="F76" s="136"/>
      <c r="G76" s="136"/>
      <c r="H76" s="136"/>
      <c r="I76" s="136"/>
      <c r="J76" s="136"/>
      <c r="K76" s="136"/>
      <c r="L76" s="136"/>
      <c r="M76" s="136"/>
      <c r="N76" s="136"/>
      <c r="O76" s="136"/>
      <c r="P76" s="136"/>
      <c r="Q76" s="90"/>
    </row>
    <row r="77" spans="2:18">
      <c r="B77" s="90" t="s">
        <v>1127</v>
      </c>
      <c r="C77" s="136"/>
      <c r="D77" s="345" t="e">
        <f t="shared" ref="D77:O77" si="10">(D59/D71)*1000</f>
        <v>#DIV/0!</v>
      </c>
      <c r="E77" s="345" t="e">
        <f t="shared" si="10"/>
        <v>#DIV/0!</v>
      </c>
      <c r="F77" s="345" t="e">
        <f t="shared" si="10"/>
        <v>#DIV/0!</v>
      </c>
      <c r="G77" s="345" t="e">
        <f t="shared" si="10"/>
        <v>#DIV/0!</v>
      </c>
      <c r="H77" s="345" t="e">
        <f t="shared" si="10"/>
        <v>#DIV/0!</v>
      </c>
      <c r="I77" s="345" t="e">
        <f t="shared" si="10"/>
        <v>#DIV/0!</v>
      </c>
      <c r="J77" s="345">
        <f t="shared" si="10"/>
        <v>11.010888556358346</v>
      </c>
      <c r="K77" s="345">
        <f t="shared" si="10"/>
        <v>11.517497115826997</v>
      </c>
      <c r="L77" s="345">
        <f t="shared" si="10"/>
        <v>16.478605276507235</v>
      </c>
      <c r="M77" s="345">
        <f t="shared" si="10"/>
        <v>11.147961893765173</v>
      </c>
      <c r="N77" s="345">
        <f t="shared" si="10"/>
        <v>13.94531536540701</v>
      </c>
      <c r="O77" s="345">
        <f t="shared" si="10"/>
        <v>15.834450916254356</v>
      </c>
      <c r="P77" s="345">
        <f>(P59/P71)*1000</f>
        <v>15.981759664798027</v>
      </c>
      <c r="Q77" s="90"/>
    </row>
    <row r="78" spans="2:18">
      <c r="B78" s="90" t="s">
        <v>299</v>
      </c>
      <c r="D78" s="345" t="e">
        <f t="shared" ref="D78:O78" si="11">(D57/D71)*1000</f>
        <v>#DIV/0!</v>
      </c>
      <c r="E78" s="345" t="e">
        <f t="shared" si="11"/>
        <v>#DIV/0!</v>
      </c>
      <c r="F78" s="345" t="e">
        <f t="shared" si="11"/>
        <v>#DIV/0!</v>
      </c>
      <c r="G78" s="345" t="e">
        <f t="shared" si="11"/>
        <v>#DIV/0!</v>
      </c>
      <c r="H78" s="345" t="e">
        <f t="shared" si="11"/>
        <v>#DIV/0!</v>
      </c>
      <c r="I78" s="345" t="e">
        <f t="shared" si="11"/>
        <v>#DIV/0!</v>
      </c>
      <c r="J78" s="345">
        <f t="shared" si="11"/>
        <v>11.010888556358346</v>
      </c>
      <c r="K78" s="345">
        <f t="shared" si="11"/>
        <v>11.517497115826997</v>
      </c>
      <c r="L78" s="345">
        <f t="shared" si="11"/>
        <v>15.152013953399676</v>
      </c>
      <c r="M78" s="345">
        <f t="shared" si="11"/>
        <v>11.147961893765173</v>
      </c>
      <c r="N78" s="345">
        <f t="shared" si="11"/>
        <v>13.94531536540701</v>
      </c>
      <c r="O78" s="345">
        <f t="shared" si="11"/>
        <v>15.834450916254356</v>
      </c>
      <c r="P78" s="345">
        <f>(P57/P71)*1000</f>
        <v>15.981759664798027</v>
      </c>
      <c r="Q78" s="90"/>
    </row>
    <row r="79" spans="2:18">
      <c r="B79" s="90" t="s">
        <v>300</v>
      </c>
      <c r="D79" s="345" t="e">
        <f t="shared" ref="D79:O79" si="12">(D63/D71)*1000</f>
        <v>#DIV/0!</v>
      </c>
      <c r="E79" s="345" t="e">
        <f t="shared" si="12"/>
        <v>#DIV/0!</v>
      </c>
      <c r="F79" s="345" t="e">
        <f t="shared" si="12"/>
        <v>#DIV/0!</v>
      </c>
      <c r="G79" s="345" t="e">
        <f t="shared" si="12"/>
        <v>#DIV/0!</v>
      </c>
      <c r="H79" s="345" t="e">
        <f t="shared" si="12"/>
        <v>#DIV/0!</v>
      </c>
      <c r="I79" s="345" t="e">
        <f t="shared" si="12"/>
        <v>#DIV/0!</v>
      </c>
      <c r="J79" s="345">
        <f t="shared" si="12"/>
        <v>9.1102873866406107</v>
      </c>
      <c r="K79" s="345">
        <f t="shared" si="12"/>
        <v>9.5160198451434272</v>
      </c>
      <c r="L79" s="345">
        <f t="shared" si="12"/>
        <v>12.563938812793467</v>
      </c>
      <c r="M79" s="345">
        <f t="shared" si="12"/>
        <v>8.9466715476642289</v>
      </c>
      <c r="N79" s="345">
        <f t="shared" si="12"/>
        <v>10.556825733558119</v>
      </c>
      <c r="O79" s="345">
        <f t="shared" si="12"/>
        <v>10.931285846275731</v>
      </c>
      <c r="P79" s="345">
        <f>(P63/P71)*1000</f>
        <v>10.767237104142351</v>
      </c>
      <c r="Q79" s="90"/>
    </row>
    <row r="80" spans="2:18">
      <c r="B80" s="90" t="s">
        <v>265</v>
      </c>
      <c r="D80" s="345" t="e">
        <f t="shared" ref="D80:O80" si="13">D25*1000/D71</f>
        <v>#DIV/0!</v>
      </c>
      <c r="E80" s="345" t="e">
        <f t="shared" si="13"/>
        <v>#DIV/0!</v>
      </c>
      <c r="F80" s="345" t="e">
        <f t="shared" si="13"/>
        <v>#DIV/0!</v>
      </c>
      <c r="G80" s="345" t="e">
        <f t="shared" si="13"/>
        <v>#DIV/0!</v>
      </c>
      <c r="H80" s="345" t="e">
        <f t="shared" si="13"/>
        <v>#DIV/0!</v>
      </c>
      <c r="I80" s="345" t="e">
        <f t="shared" si="13"/>
        <v>#DIV/0!</v>
      </c>
      <c r="J80" s="345">
        <f t="shared" si="13"/>
        <v>4.6966034109028607</v>
      </c>
      <c r="K80" s="345">
        <f t="shared" si="13"/>
        <v>4.9393582926554656</v>
      </c>
      <c r="L80" s="345">
        <f t="shared" si="13"/>
        <v>5.9634669430268534</v>
      </c>
      <c r="M80" s="345">
        <f t="shared" si="13"/>
        <v>4.8299482616034259</v>
      </c>
      <c r="N80" s="345">
        <f t="shared" si="13"/>
        <v>5.4261653044013087</v>
      </c>
      <c r="O80" s="345">
        <f t="shared" si="13"/>
        <v>5.7750573847903315</v>
      </c>
      <c r="P80" s="345">
        <f>P25*1000/P71</f>
        <v>5.7226182533511478</v>
      </c>
      <c r="Q80" s="90"/>
    </row>
    <row r="81" spans="1:24">
      <c r="B81" s="111" t="s">
        <v>1136</v>
      </c>
      <c r="C81" s="111"/>
      <c r="D81" s="159" t="e">
        <f t="shared" ref="D81:O81" si="14">D25/D73</f>
        <v>#DIV/0!</v>
      </c>
      <c r="E81" s="159" t="e">
        <f t="shared" si="14"/>
        <v>#DIV/0!</v>
      </c>
      <c r="F81" s="159" t="e">
        <f t="shared" si="14"/>
        <v>#DIV/0!</v>
      </c>
      <c r="G81" s="159" t="e">
        <f t="shared" si="14"/>
        <v>#DIV/0!</v>
      </c>
      <c r="H81" s="159" t="e">
        <f t="shared" si="14"/>
        <v>#DIV/0!</v>
      </c>
      <c r="I81" s="159" t="e">
        <f t="shared" si="14"/>
        <v>#DIV/0!</v>
      </c>
      <c r="J81" s="159">
        <f t="shared" si="14"/>
        <v>57.147531572904704</v>
      </c>
      <c r="K81" s="159">
        <f t="shared" si="14"/>
        <v>61.216072378924963</v>
      </c>
      <c r="L81" s="159">
        <f t="shared" si="14"/>
        <v>61.014471057884229</v>
      </c>
      <c r="M81" s="159">
        <f t="shared" si="14"/>
        <v>58.75738724727838</v>
      </c>
      <c r="N81" s="159">
        <f t="shared" si="14"/>
        <v>55.653867557039511</v>
      </c>
      <c r="O81" s="159">
        <f t="shared" si="14"/>
        <v>55.444672131147541</v>
      </c>
      <c r="P81" s="159">
        <f>P25/P73</f>
        <v>56.956748306409587</v>
      </c>
      <c r="Q81" s="90"/>
    </row>
    <row r="82" spans="1:24">
      <c r="B82" s="111" t="s">
        <v>1135</v>
      </c>
      <c r="C82" s="111"/>
      <c r="D82" s="159" t="e">
        <f t="shared" ref="D82:O82" si="15">D71/D73</f>
        <v>#DIV/0!</v>
      </c>
      <c r="E82" s="159" t="e">
        <f t="shared" si="15"/>
        <v>#DIV/0!</v>
      </c>
      <c r="F82" s="159" t="e">
        <f t="shared" si="15"/>
        <v>#DIV/0!</v>
      </c>
      <c r="G82" s="159" t="e">
        <f t="shared" si="15"/>
        <v>#DIV/0!</v>
      </c>
      <c r="H82" s="159" t="e">
        <f t="shared" si="15"/>
        <v>#DIV/0!</v>
      </c>
      <c r="I82" s="159" t="e">
        <f t="shared" si="15"/>
        <v>#DIV/0!</v>
      </c>
      <c r="J82" s="159">
        <f t="shared" si="15"/>
        <v>12167.842709529277</v>
      </c>
      <c r="K82" s="159">
        <f t="shared" si="15"/>
        <v>12393.527408195849</v>
      </c>
      <c r="L82" s="159">
        <f t="shared" si="15"/>
        <v>10231.375748502995</v>
      </c>
      <c r="M82" s="159">
        <f t="shared" si="15"/>
        <v>12165.220839813375</v>
      </c>
      <c r="N82" s="159">
        <f t="shared" si="15"/>
        <v>10256.574290484141</v>
      </c>
      <c r="O82" s="159">
        <f t="shared" si="15"/>
        <v>9600.713627049181</v>
      </c>
      <c r="P82" s="159">
        <f t="shared" ref="P82" si="16">P71/P73</f>
        <v>9952.9176654507555</v>
      </c>
      <c r="Q82" s="90"/>
    </row>
    <row r="83" spans="1:24" s="133" customFormat="1">
      <c r="B83" s="138"/>
      <c r="C83" s="138"/>
      <c r="D83" s="141"/>
      <c r="E83" s="141"/>
      <c r="F83" s="141"/>
      <c r="G83" s="141"/>
      <c r="H83" s="141"/>
      <c r="I83" s="141"/>
      <c r="J83" s="141"/>
      <c r="K83" s="141"/>
      <c r="L83" s="141"/>
      <c r="M83" s="141"/>
      <c r="N83" s="141"/>
      <c r="O83" s="141"/>
      <c r="P83" s="141"/>
    </row>
    <row r="84" spans="1:24">
      <c r="B84" s="153" t="s">
        <v>1152</v>
      </c>
      <c r="C84" s="94"/>
      <c r="D84" s="94"/>
      <c r="E84" s="94"/>
      <c r="F84" s="94"/>
      <c r="G84" s="94"/>
      <c r="H84" s="94"/>
      <c r="I84" s="94"/>
      <c r="J84" s="94"/>
      <c r="K84" s="94"/>
      <c r="L84" s="94"/>
      <c r="M84" s="94"/>
      <c r="N84" s="94"/>
      <c r="O84" s="94"/>
      <c r="P84" s="94"/>
      <c r="Q84" s="90"/>
    </row>
    <row r="85" spans="1:24">
      <c r="B85" s="111"/>
      <c r="C85" s="111"/>
      <c r="D85" s="141"/>
      <c r="E85" s="141"/>
      <c r="F85" s="141"/>
      <c r="G85" s="141"/>
      <c r="H85" s="141"/>
      <c r="I85" s="141"/>
      <c r="J85" s="141"/>
      <c r="K85" s="141"/>
      <c r="L85" s="141"/>
      <c r="M85" s="141"/>
      <c r="N85" s="141"/>
      <c r="O85" s="141"/>
      <c r="P85" s="126"/>
      <c r="Q85" s="90"/>
    </row>
    <row r="86" spans="1:24">
      <c r="B86" s="138" t="s">
        <v>1095</v>
      </c>
      <c r="D86" s="214">
        <f>FX!$C$28</f>
        <v>0.81117272727272727</v>
      </c>
      <c r="E86" s="214">
        <f>FX!$C$28</f>
        <v>0.81117272727272727</v>
      </c>
      <c r="F86" s="214">
        <f>FX!$C$28</f>
        <v>0.81117272727272727</v>
      </c>
      <c r="G86" s="214">
        <f>FX!$C$28</f>
        <v>0.81117272727272727</v>
      </c>
      <c r="H86" s="214">
        <f>FX!$C$28</f>
        <v>0.81117272727272727</v>
      </c>
      <c r="I86" s="214">
        <f>FX!$C$28</f>
        <v>0.81117272727272727</v>
      </c>
      <c r="J86" s="214">
        <f>FX!$C$28</f>
        <v>0.81117272727272727</v>
      </c>
      <c r="K86" s="214">
        <f>FX!$C$28</f>
        <v>0.81117272727272727</v>
      </c>
      <c r="L86" s="214">
        <f>FX!$C$28</f>
        <v>0.81117272727272727</v>
      </c>
      <c r="M86" s="214">
        <f>FX!$C$28</f>
        <v>0.81117272727272727</v>
      </c>
      <c r="N86" s="214">
        <f>FX!$C$28</f>
        <v>0.81117272727272727</v>
      </c>
      <c r="O86" s="214">
        <f>FX!$C$28</f>
        <v>0.81117272727272727</v>
      </c>
      <c r="P86" s="214">
        <f>FX!$C$28</f>
        <v>0.81117272727272727</v>
      </c>
      <c r="Q86" s="90"/>
    </row>
    <row r="87" spans="1:24" s="133" customFormat="1">
      <c r="B87" s="138"/>
      <c r="D87" s="214"/>
      <c r="E87" s="214"/>
      <c r="F87" s="214"/>
      <c r="G87" s="214"/>
      <c r="H87" s="214"/>
      <c r="I87" s="214"/>
      <c r="J87" s="214"/>
      <c r="K87" s="214"/>
      <c r="L87" s="214"/>
      <c r="M87" s="214"/>
      <c r="N87" s="214"/>
      <c r="O87" s="214"/>
      <c r="P87" s="214"/>
    </row>
    <row r="88" spans="1:24">
      <c r="B88" s="138" t="s">
        <v>1133</v>
      </c>
      <c r="D88" s="213">
        <f>RPI!$C$33</f>
        <v>170.25</v>
      </c>
      <c r="E88" s="213">
        <f>RPI!$C$34</f>
        <v>173.35</v>
      </c>
      <c r="F88" s="213">
        <f>RPI!$C$35</f>
        <v>176.18333333333337</v>
      </c>
      <c r="G88" s="213">
        <f>RPI!$C$36</f>
        <v>181.31666666666663</v>
      </c>
      <c r="H88" s="213">
        <f>RPI!$C$37</f>
        <v>186.69166666666663</v>
      </c>
      <c r="I88" s="213">
        <f>RPI!$C$38</f>
        <v>191.97499999999999</v>
      </c>
      <c r="J88" s="213">
        <f>RPI!$C$39</f>
        <v>198.10833333333332</v>
      </c>
      <c r="K88" s="213">
        <f>RPI!$C$40</f>
        <v>206.57499999999996</v>
      </c>
      <c r="L88" s="213">
        <f>RPI!$C$41</f>
        <v>214.82500000000002</v>
      </c>
      <c r="M88" s="213">
        <f>RPI!$C$42</f>
        <v>213.68333333333337</v>
      </c>
      <c r="N88" s="213">
        <f>RPI!$C$43</f>
        <v>223.55833333333331</v>
      </c>
      <c r="O88" s="213">
        <f>RPI!$C$44</f>
        <v>235.18333333333331</v>
      </c>
      <c r="P88" s="213">
        <f>RPI!$C$45</f>
        <v>242.72499999999999</v>
      </c>
      <c r="Q88" s="90"/>
    </row>
    <row r="89" spans="1:24">
      <c r="B89" s="138" t="s">
        <v>1132</v>
      </c>
      <c r="C89" s="138"/>
      <c r="D89" s="214">
        <f>RPI!$R$44</f>
        <v>237.3416666666667</v>
      </c>
      <c r="E89" s="214">
        <f>RPI!$R$44</f>
        <v>237.3416666666667</v>
      </c>
      <c r="F89" s="214">
        <f>RPI!$R$44</f>
        <v>237.3416666666667</v>
      </c>
      <c r="G89" s="214">
        <f>RPI!$R$44</f>
        <v>237.3416666666667</v>
      </c>
      <c r="H89" s="214">
        <f>RPI!$R$44</f>
        <v>237.3416666666667</v>
      </c>
      <c r="I89" s="214">
        <f>RPI!$R$44</f>
        <v>237.3416666666667</v>
      </c>
      <c r="J89" s="214">
        <f>RPI!$R$44</f>
        <v>237.3416666666667</v>
      </c>
      <c r="K89" s="214">
        <f>RPI!$R$44</f>
        <v>237.3416666666667</v>
      </c>
      <c r="L89" s="214">
        <f>RPI!$R$44</f>
        <v>237.3416666666667</v>
      </c>
      <c r="M89" s="214">
        <f>RPI!$R$44</f>
        <v>237.3416666666667</v>
      </c>
      <c r="N89" s="214">
        <f>RPI!$R$44</f>
        <v>237.3416666666667</v>
      </c>
      <c r="O89" s="214">
        <f>RPI!$R$44</f>
        <v>237.3416666666667</v>
      </c>
      <c r="P89" s="214">
        <f>RPI!$R$44</f>
        <v>237.3416666666667</v>
      </c>
      <c r="Q89" s="90"/>
    </row>
    <row r="90" spans="1:24">
      <c r="B90" s="138" t="s">
        <v>304</v>
      </c>
      <c r="D90" s="214">
        <f t="shared" ref="D90:O90" si="17">D89/D88</f>
        <v>1.3940773372491435</v>
      </c>
      <c r="E90" s="214">
        <f t="shared" si="17"/>
        <v>1.369147197384867</v>
      </c>
      <c r="F90" s="214">
        <f t="shared" si="17"/>
        <v>1.3471289376596347</v>
      </c>
      <c r="G90" s="214">
        <f t="shared" si="17"/>
        <v>1.3089897968563291</v>
      </c>
      <c r="H90" s="214">
        <f t="shared" si="17"/>
        <v>1.2713029504977016</v>
      </c>
      <c r="I90" s="214">
        <f t="shared" si="17"/>
        <v>1.2363154924686377</v>
      </c>
      <c r="J90" s="214">
        <f t="shared" si="17"/>
        <v>1.1980397930425275</v>
      </c>
      <c r="K90" s="214">
        <f t="shared" si="17"/>
        <v>1.1489370285207152</v>
      </c>
      <c r="L90" s="214">
        <f t="shared" si="17"/>
        <v>1.104813995888126</v>
      </c>
      <c r="M90" s="214">
        <f t="shared" si="17"/>
        <v>1.1107167927618751</v>
      </c>
      <c r="N90" s="214">
        <f t="shared" si="17"/>
        <v>1.0616543035002053</v>
      </c>
      <c r="O90" s="214">
        <f t="shared" si="17"/>
        <v>1.0091772376160444</v>
      </c>
      <c r="P90" s="214">
        <f t="shared" ref="P90" si="18">P89/P88</f>
        <v>0.97782126549249848</v>
      </c>
      <c r="Q90" s="90"/>
    </row>
    <row r="91" spans="1:24" s="133" customFormat="1">
      <c r="B91" s="138"/>
      <c r="D91" s="214"/>
      <c r="E91" s="214"/>
      <c r="F91" s="214"/>
      <c r="G91" s="214"/>
      <c r="H91" s="214"/>
      <c r="I91" s="214"/>
      <c r="J91" s="214"/>
      <c r="K91" s="214"/>
      <c r="L91" s="214"/>
      <c r="M91" s="214"/>
      <c r="N91" s="214"/>
      <c r="O91" s="214"/>
      <c r="P91" s="214"/>
    </row>
    <row r="92" spans="1:24">
      <c r="B92" s="111" t="str">
        <f>B25</f>
        <v>Staff Costs Total</v>
      </c>
      <c r="C92" s="111"/>
      <c r="D92" s="159">
        <f t="shared" ref="D92:P92" si="19">D25*D86*D90</f>
        <v>0</v>
      </c>
      <c r="E92" s="159">
        <f t="shared" si="19"/>
        <v>0</v>
      </c>
      <c r="F92" s="159">
        <f t="shared" si="19"/>
        <v>0</v>
      </c>
      <c r="G92" s="159">
        <f t="shared" si="19"/>
        <v>0</v>
      </c>
      <c r="H92" s="159">
        <f t="shared" si="19"/>
        <v>0</v>
      </c>
      <c r="I92" s="159">
        <f t="shared" si="19"/>
        <v>0</v>
      </c>
      <c r="J92" s="159">
        <f t="shared" si="19"/>
        <v>96745.374704725778</v>
      </c>
      <c r="K92" s="159">
        <f t="shared" si="19"/>
        <v>107201.73369189601</v>
      </c>
      <c r="L92" s="159">
        <f t="shared" si="19"/>
        <v>109580.44905531881</v>
      </c>
      <c r="M92" s="159">
        <f t="shared" si="19"/>
        <v>102120.13543870035</v>
      </c>
      <c r="N92" s="159">
        <f t="shared" si="19"/>
        <v>86127.11352927683</v>
      </c>
      <c r="O92" s="159">
        <f t="shared" si="19"/>
        <v>88597.286318852493</v>
      </c>
      <c r="P92" s="159">
        <f t="shared" si="19"/>
        <v>86694.786338729769</v>
      </c>
      <c r="Q92" s="90"/>
    </row>
    <row r="93" spans="1:24" s="126" customFormat="1">
      <c r="A93" s="90"/>
      <c r="B93" s="111" t="str">
        <f>B29</f>
        <v>Depreciation Total</v>
      </c>
      <c r="C93" s="111"/>
      <c r="D93" s="159">
        <f t="shared" ref="D93:P93" si="20">D29*D86*D90</f>
        <v>0</v>
      </c>
      <c r="E93" s="159">
        <f t="shared" si="20"/>
        <v>0</v>
      </c>
      <c r="F93" s="159">
        <f t="shared" si="20"/>
        <v>0</v>
      </c>
      <c r="G93" s="159">
        <f t="shared" si="20"/>
        <v>0</v>
      </c>
      <c r="H93" s="159">
        <f t="shared" si="20"/>
        <v>0</v>
      </c>
      <c r="I93" s="159">
        <f t="shared" si="20"/>
        <v>0</v>
      </c>
      <c r="J93" s="159">
        <f t="shared" si="20"/>
        <v>35251.697341455365</v>
      </c>
      <c r="K93" s="159">
        <f t="shared" si="20"/>
        <v>37563.711162372252</v>
      </c>
      <c r="L93" s="159">
        <f t="shared" si="20"/>
        <v>40812.719488188057</v>
      </c>
      <c r="M93" s="159">
        <f t="shared" si="20"/>
        <v>38465.674477333705</v>
      </c>
      <c r="N93" s="159">
        <f t="shared" si="20"/>
        <v>45992.447006744915</v>
      </c>
      <c r="O93" s="159">
        <f t="shared" si="20"/>
        <v>67080.755720442481</v>
      </c>
      <c r="P93" s="159">
        <f t="shared" si="20"/>
        <v>67763.119730012462</v>
      </c>
      <c r="Q93" s="90"/>
      <c r="R93" s="90"/>
      <c r="S93" s="90"/>
      <c r="T93" s="90"/>
      <c r="U93" s="90"/>
      <c r="V93" s="90"/>
      <c r="W93" s="90"/>
      <c r="X93" s="90"/>
    </row>
    <row r="94" spans="1:24" s="126" customFormat="1">
      <c r="A94" s="90"/>
      <c r="B94" s="111" t="str">
        <f>B48</f>
        <v>Other Costs Total</v>
      </c>
      <c r="C94" s="111"/>
      <c r="D94" s="159">
        <f>D48*D86*D90</f>
        <v>0</v>
      </c>
      <c r="E94" s="159">
        <f t="shared" ref="E94:O94" si="21">E48*E86*E90</f>
        <v>0</v>
      </c>
      <c r="F94" s="159">
        <f t="shared" si="21"/>
        <v>0</v>
      </c>
      <c r="G94" s="159">
        <f t="shared" si="21"/>
        <v>0</v>
      </c>
      <c r="H94" s="159">
        <f t="shared" si="21"/>
        <v>0</v>
      </c>
      <c r="I94" s="159">
        <f t="shared" si="21"/>
        <v>0</v>
      </c>
      <c r="J94" s="159">
        <f t="shared" si="21"/>
        <v>35135.07927669894</v>
      </c>
      <c r="K94" s="159">
        <f t="shared" si="21"/>
        <v>37484.492319826619</v>
      </c>
      <c r="L94" s="159">
        <f t="shared" si="21"/>
        <v>36778.049678442287</v>
      </c>
      <c r="M94" s="159">
        <f t="shared" si="21"/>
        <v>33097.616750400623</v>
      </c>
      <c r="N94" s="159">
        <f t="shared" si="21"/>
        <v>32967.023627779687</v>
      </c>
      <c r="O94" s="159">
        <f t="shared" si="21"/>
        <v>59177.008082044638</v>
      </c>
      <c r="P94" s="159">
        <f t="shared" ref="P94" si="22">P48*P86*P90</f>
        <v>62348.066607098386</v>
      </c>
      <c r="Q94" s="90"/>
      <c r="R94" s="90"/>
      <c r="S94" s="90"/>
      <c r="T94" s="90"/>
      <c r="U94" s="90"/>
      <c r="V94" s="90"/>
      <c r="W94" s="90"/>
      <c r="X94" s="90"/>
    </row>
    <row r="95" spans="1:24" s="126" customFormat="1">
      <c r="A95" s="90"/>
      <c r="B95" s="111" t="str">
        <f>B51</f>
        <v>Exceptional Items Total</v>
      </c>
      <c r="C95" s="111"/>
      <c r="D95" s="159">
        <f>D51*D86*D90</f>
        <v>0</v>
      </c>
      <c r="E95" s="159">
        <f t="shared" ref="E95:O95" si="23">E51*E86*E90</f>
        <v>0</v>
      </c>
      <c r="F95" s="159">
        <f t="shared" si="23"/>
        <v>0</v>
      </c>
      <c r="G95" s="159">
        <f t="shared" si="23"/>
        <v>0</v>
      </c>
      <c r="H95" s="159">
        <f t="shared" si="23"/>
        <v>0</v>
      </c>
      <c r="I95" s="159">
        <f t="shared" si="23"/>
        <v>0</v>
      </c>
      <c r="J95" s="159">
        <f t="shared" si="23"/>
        <v>0</v>
      </c>
      <c r="K95" s="159">
        <f t="shared" si="23"/>
        <v>0</v>
      </c>
      <c r="L95" s="159">
        <f t="shared" si="23"/>
        <v>24376.503515123302</v>
      </c>
      <c r="M95" s="159">
        <f t="shared" si="23"/>
        <v>0</v>
      </c>
      <c r="N95" s="159">
        <f t="shared" si="23"/>
        <v>0</v>
      </c>
      <c r="O95" s="159">
        <f t="shared" si="23"/>
        <v>0</v>
      </c>
      <c r="P95" s="159">
        <f t="shared" ref="P95" si="24">P51*P86*P90</f>
        <v>0</v>
      </c>
      <c r="Q95" s="90"/>
      <c r="R95" s="90"/>
      <c r="S95" s="90"/>
      <c r="T95" s="90"/>
      <c r="U95" s="90"/>
      <c r="V95" s="90"/>
      <c r="W95" s="90"/>
      <c r="X95" s="90"/>
    </row>
    <row r="96" spans="1:24" s="126" customFormat="1">
      <c r="A96" s="90"/>
      <c r="B96" s="111" t="str">
        <f>B53</f>
        <v>Grand Total</v>
      </c>
      <c r="C96" s="111"/>
      <c r="D96" s="159">
        <f>D53*D86*D90</f>
        <v>0</v>
      </c>
      <c r="E96" s="159">
        <f t="shared" ref="E96:O96" si="25">E53*E86*E90</f>
        <v>0</v>
      </c>
      <c r="F96" s="159">
        <f t="shared" si="25"/>
        <v>0</v>
      </c>
      <c r="G96" s="159">
        <f t="shared" si="25"/>
        <v>0</v>
      </c>
      <c r="H96" s="159">
        <f t="shared" si="25"/>
        <v>0</v>
      </c>
      <c r="I96" s="159">
        <f t="shared" si="25"/>
        <v>0</v>
      </c>
      <c r="J96" s="159">
        <f t="shared" si="25"/>
        <v>167132.15132288006</v>
      </c>
      <c r="K96" s="159">
        <f t="shared" si="25"/>
        <v>182249.93717409487</v>
      </c>
      <c r="L96" s="159">
        <f t="shared" si="25"/>
        <v>211547.72173707248</v>
      </c>
      <c r="M96" s="159">
        <f t="shared" si="25"/>
        <v>173683.42666643468</v>
      </c>
      <c r="N96" s="159">
        <f t="shared" si="25"/>
        <v>165086.58416380145</v>
      </c>
      <c r="O96" s="159">
        <f t="shared" si="25"/>
        <v>214855.05012133959</v>
      </c>
      <c r="P96" s="159">
        <f t="shared" ref="P96" si="26">P53*P86*P90</f>
        <v>216805.9726758406</v>
      </c>
      <c r="Q96" s="90"/>
      <c r="R96" s="90"/>
      <c r="S96" s="90"/>
      <c r="T96" s="90"/>
      <c r="U96" s="90"/>
      <c r="V96" s="90"/>
      <c r="W96" s="90"/>
      <c r="X96" s="90"/>
    </row>
    <row r="97" spans="1:24" s="126" customFormat="1">
      <c r="A97" s="90"/>
      <c r="B97" s="111" t="str">
        <f>B55</f>
        <v>Cost Residual (Ordinary Opex - Elements)</v>
      </c>
      <c r="C97" s="111"/>
      <c r="D97" s="159">
        <f>D55*D86*D90</f>
        <v>0</v>
      </c>
      <c r="E97" s="159">
        <f t="shared" ref="E97:O97" si="27">E55*E86*E90</f>
        <v>0</v>
      </c>
      <c r="F97" s="159">
        <f t="shared" si="27"/>
        <v>0</v>
      </c>
      <c r="G97" s="159">
        <f t="shared" si="27"/>
        <v>0</v>
      </c>
      <c r="H97" s="159">
        <f t="shared" si="27"/>
        <v>0</v>
      </c>
      <c r="I97" s="159">
        <f t="shared" si="27"/>
        <v>0</v>
      </c>
      <c r="J97" s="159">
        <f t="shared" si="27"/>
        <v>59681.238273514275</v>
      </c>
      <c r="K97" s="159">
        <f t="shared" si="27"/>
        <v>67720.926539919485</v>
      </c>
      <c r="L97" s="159">
        <f t="shared" si="27"/>
        <v>91251.469279903307</v>
      </c>
      <c r="M97" s="159">
        <f t="shared" si="27"/>
        <v>62019.176507794386</v>
      </c>
      <c r="N97" s="159">
        <f t="shared" si="27"/>
        <v>56261.217146961855</v>
      </c>
      <c r="O97" s="159">
        <f t="shared" si="27"/>
        <v>28067.1042496228</v>
      </c>
      <c r="P97" s="159">
        <f t="shared" ref="P97" si="28">P55*P86*P90</f>
        <v>25309.642610087176</v>
      </c>
      <c r="Q97" s="90"/>
      <c r="R97" s="90"/>
      <c r="S97" s="90"/>
      <c r="T97" s="90"/>
      <c r="U97" s="90"/>
      <c r="V97" s="90"/>
      <c r="W97" s="90"/>
      <c r="X97" s="90"/>
    </row>
    <row r="98" spans="1:24" s="126" customFormat="1">
      <c r="A98" s="90"/>
      <c r="B98" s="111"/>
      <c r="C98" s="111"/>
      <c r="D98" s="193"/>
      <c r="E98" s="193"/>
      <c r="F98" s="193"/>
      <c r="G98" s="193"/>
      <c r="H98" s="193"/>
      <c r="I98" s="193"/>
      <c r="J98" s="193"/>
      <c r="K98" s="193"/>
      <c r="L98" s="193"/>
      <c r="M98" s="193"/>
      <c r="N98" s="193"/>
      <c r="O98" s="193"/>
      <c r="P98" s="193"/>
      <c r="Q98" s="90"/>
      <c r="R98" s="90"/>
      <c r="S98" s="90"/>
      <c r="T98" s="90"/>
      <c r="U98" s="90"/>
      <c r="V98" s="90"/>
      <c r="W98" s="90"/>
      <c r="X98" s="90"/>
    </row>
    <row r="99" spans="1:24" s="126" customFormat="1">
      <c r="A99" s="90"/>
      <c r="B99" s="111" t="str">
        <f>B57</f>
        <v>Ordinary Opex (per accounts - including staff, depreciation and other, excluding exceptional)</v>
      </c>
      <c r="C99" s="111"/>
      <c r="D99" s="159">
        <f>D57*D86*D90</f>
        <v>0</v>
      </c>
      <c r="E99" s="159">
        <f t="shared" ref="E99:O99" si="29">E57*E86*E90</f>
        <v>0</v>
      </c>
      <c r="F99" s="159">
        <f t="shared" si="29"/>
        <v>0</v>
      </c>
      <c r="G99" s="159">
        <f t="shared" si="29"/>
        <v>0</v>
      </c>
      <c r="H99" s="159">
        <f t="shared" si="29"/>
        <v>0</v>
      </c>
      <c r="I99" s="159">
        <f t="shared" si="29"/>
        <v>0</v>
      </c>
      <c r="J99" s="159">
        <f t="shared" si="29"/>
        <v>226813.38959639435</v>
      </c>
      <c r="K99" s="159">
        <f t="shared" si="29"/>
        <v>249970.86371401438</v>
      </c>
      <c r="L99" s="159">
        <f t="shared" si="29"/>
        <v>278422.68750185246</v>
      </c>
      <c r="M99" s="159">
        <f t="shared" si="29"/>
        <v>235702.60317422907</v>
      </c>
      <c r="N99" s="159">
        <f t="shared" si="29"/>
        <v>221347.80131076332</v>
      </c>
      <c r="O99" s="159">
        <f t="shared" si="29"/>
        <v>242922.15437096241</v>
      </c>
      <c r="P99" s="159">
        <f t="shared" ref="P99" si="30">P57*P86*P90</f>
        <v>242115.61528592778</v>
      </c>
      <c r="Q99" s="90"/>
      <c r="R99" s="90"/>
      <c r="S99" s="90"/>
      <c r="T99" s="90"/>
      <c r="U99" s="90"/>
      <c r="V99" s="90"/>
      <c r="W99" s="90"/>
      <c r="X99" s="90"/>
    </row>
    <row r="100" spans="1:24" s="126" customFormat="1">
      <c r="A100" s="90"/>
      <c r="B100" s="111"/>
      <c r="C100" s="111"/>
      <c r="D100" s="141"/>
      <c r="E100" s="141"/>
      <c r="F100" s="141"/>
      <c r="G100" s="141"/>
      <c r="H100" s="141"/>
      <c r="I100" s="141"/>
      <c r="J100" s="141"/>
      <c r="K100" s="141"/>
      <c r="L100" s="141"/>
      <c r="M100" s="141"/>
      <c r="N100" s="141"/>
      <c r="O100" s="141"/>
      <c r="P100" s="141"/>
      <c r="Q100" s="90"/>
      <c r="R100" s="90"/>
      <c r="S100" s="90"/>
      <c r="T100" s="90"/>
      <c r="U100" s="90"/>
      <c r="V100" s="90"/>
      <c r="W100" s="90"/>
      <c r="X100" s="90"/>
    </row>
    <row r="101" spans="1:24" s="126" customFormat="1">
      <c r="A101" s="90"/>
      <c r="B101" s="111" t="str">
        <f>B59</f>
        <v>Total Opex (ordinary + exceptional)</v>
      </c>
      <c r="C101" s="111"/>
      <c r="D101" s="159">
        <f>D59*D86*D90</f>
        <v>0</v>
      </c>
      <c r="E101" s="159">
        <f t="shared" ref="E101:O101" si="31">E59*E86*E90</f>
        <v>0</v>
      </c>
      <c r="F101" s="159">
        <f t="shared" si="31"/>
        <v>0</v>
      </c>
      <c r="G101" s="159">
        <f t="shared" si="31"/>
        <v>0</v>
      </c>
      <c r="H101" s="159">
        <f t="shared" si="31"/>
        <v>0</v>
      </c>
      <c r="I101" s="159">
        <f t="shared" si="31"/>
        <v>0</v>
      </c>
      <c r="J101" s="159">
        <f t="shared" si="31"/>
        <v>226813.38959639435</v>
      </c>
      <c r="K101" s="159">
        <f t="shared" si="31"/>
        <v>249970.86371401438</v>
      </c>
      <c r="L101" s="159">
        <f t="shared" si="31"/>
        <v>302799.19101697573</v>
      </c>
      <c r="M101" s="159">
        <f t="shared" si="31"/>
        <v>235702.60317422907</v>
      </c>
      <c r="N101" s="159">
        <f t="shared" si="31"/>
        <v>221347.80131076332</v>
      </c>
      <c r="O101" s="159">
        <f t="shared" si="31"/>
        <v>242922.15437096241</v>
      </c>
      <c r="P101" s="159">
        <f t="shared" ref="P101" si="32">P59*P86*P90</f>
        <v>242115.61528592778</v>
      </c>
      <c r="Q101" s="90"/>
      <c r="R101" s="90"/>
      <c r="S101" s="90"/>
      <c r="T101" s="90"/>
      <c r="U101" s="90"/>
      <c r="V101" s="90"/>
      <c r="W101" s="90"/>
      <c r="X101" s="90"/>
    </row>
    <row r="102" spans="1:24" s="131" customFormat="1">
      <c r="A102" s="133"/>
      <c r="B102" s="138"/>
      <c r="C102" s="138"/>
      <c r="D102" s="141"/>
      <c r="E102" s="141"/>
      <c r="F102" s="141"/>
      <c r="G102" s="141"/>
      <c r="H102" s="141"/>
      <c r="I102" s="141"/>
      <c r="J102" s="141"/>
      <c r="K102" s="141"/>
      <c r="L102" s="141"/>
      <c r="M102" s="141"/>
      <c r="N102" s="141"/>
      <c r="O102" s="141"/>
      <c r="P102" s="141"/>
      <c r="Q102" s="133"/>
      <c r="R102" s="133"/>
      <c r="S102" s="133"/>
      <c r="T102" s="133"/>
      <c r="U102" s="133"/>
      <c r="V102" s="133"/>
      <c r="W102" s="133"/>
      <c r="X102" s="133"/>
    </row>
    <row r="103" spans="1:24" s="126" customFormat="1">
      <c r="A103" s="90"/>
      <c r="B103" s="111" t="s">
        <v>1146</v>
      </c>
      <c r="C103" s="111"/>
      <c r="D103" s="159">
        <f>D61*D86*D90</f>
        <v>0</v>
      </c>
      <c r="E103" s="159">
        <f t="shared" ref="E103:O103" si="33">E61*E86*E90</f>
        <v>0</v>
      </c>
      <c r="F103" s="159">
        <f t="shared" si="33"/>
        <v>0</v>
      </c>
      <c r="G103" s="159">
        <f t="shared" si="33"/>
        <v>0</v>
      </c>
      <c r="H103" s="159">
        <f t="shared" si="33"/>
        <v>0</v>
      </c>
      <c r="I103" s="159">
        <f t="shared" si="33"/>
        <v>0</v>
      </c>
      <c r="J103" s="159">
        <f t="shared" si="33"/>
        <v>1879.3666081829224</v>
      </c>
      <c r="K103" s="159">
        <f t="shared" si="33"/>
        <v>3153.1688852226025</v>
      </c>
      <c r="L103" s="159">
        <f t="shared" si="33"/>
        <v>4193.3471669612736</v>
      </c>
      <c r="M103" s="159">
        <f t="shared" si="33"/>
        <v>5375.3055770620413</v>
      </c>
      <c r="N103" s="159">
        <f t="shared" si="33"/>
        <v>6056.2571645966127</v>
      </c>
      <c r="O103" s="159">
        <f t="shared" si="33"/>
        <v>6674.3657308649199</v>
      </c>
      <c r="P103" s="159">
        <f t="shared" ref="P103" si="34">P61*P86*P90</f>
        <v>9938.213295059646</v>
      </c>
      <c r="Q103" s="90"/>
      <c r="R103" s="90"/>
      <c r="S103" s="90"/>
      <c r="T103" s="90"/>
      <c r="U103" s="90"/>
      <c r="V103" s="90"/>
      <c r="W103" s="90"/>
      <c r="X103" s="90"/>
    </row>
    <row r="104" spans="1:24" s="126" customFormat="1">
      <c r="A104" s="90"/>
      <c r="B104" s="111"/>
      <c r="C104" s="111"/>
      <c r="D104" s="141"/>
      <c r="E104" s="141"/>
      <c r="F104" s="141"/>
      <c r="G104" s="141"/>
      <c r="H104" s="141"/>
      <c r="I104" s="141"/>
      <c r="J104" s="141"/>
      <c r="K104" s="141"/>
      <c r="L104" s="141"/>
      <c r="M104" s="141"/>
      <c r="N104" s="141"/>
      <c r="O104" s="141"/>
      <c r="P104" s="141"/>
      <c r="Q104" s="90"/>
      <c r="R104" s="90"/>
      <c r="S104" s="90"/>
      <c r="T104" s="90"/>
      <c r="U104" s="90"/>
      <c r="V104" s="90"/>
      <c r="W104" s="90"/>
      <c r="X104" s="90"/>
    </row>
    <row r="105" spans="1:24" s="126" customFormat="1">
      <c r="A105" s="134"/>
      <c r="B105" s="111" t="str">
        <f>B63</f>
        <v>Adjusted Ordinary Opex (ordinary opex - depreciation - ANS - retail)</v>
      </c>
      <c r="C105" s="111"/>
      <c r="D105" s="159">
        <f>D63*D86*D90</f>
        <v>0</v>
      </c>
      <c r="E105" s="159">
        <f t="shared" ref="E105:O105" si="35">E63*E86*E90</f>
        <v>0</v>
      </c>
      <c r="F105" s="159">
        <f t="shared" si="35"/>
        <v>0</v>
      </c>
      <c r="G105" s="159">
        <f t="shared" si="35"/>
        <v>0</v>
      </c>
      <c r="H105" s="159">
        <f t="shared" si="35"/>
        <v>0</v>
      </c>
      <c r="I105" s="159">
        <f t="shared" si="35"/>
        <v>0</v>
      </c>
      <c r="J105" s="159">
        <f t="shared" si="35"/>
        <v>187662.88949205726</v>
      </c>
      <c r="K105" s="159">
        <f t="shared" si="35"/>
        <v>206531.65144199849</v>
      </c>
      <c r="L105" s="159">
        <f t="shared" si="35"/>
        <v>230866.04992743692</v>
      </c>
      <c r="M105" s="159">
        <f t="shared" si="35"/>
        <v>189160.47557613655</v>
      </c>
      <c r="N105" s="159">
        <f t="shared" si="35"/>
        <v>167563.80933058771</v>
      </c>
      <c r="O105" s="159">
        <f t="shared" si="35"/>
        <v>167700.88977927485</v>
      </c>
      <c r="P105" s="159">
        <f>P63*P86*P90</f>
        <v>163118.2229664597</v>
      </c>
      <c r="Q105" s="90"/>
      <c r="R105" s="90"/>
      <c r="S105" s="90"/>
      <c r="T105" s="90"/>
      <c r="U105" s="90"/>
      <c r="V105" s="90"/>
      <c r="W105" s="90"/>
      <c r="X105" s="90"/>
    </row>
    <row r="106" spans="1:24" s="126" customFormat="1">
      <c r="A106" s="90"/>
      <c r="B106" s="111"/>
      <c r="C106" s="111"/>
      <c r="D106" s="141"/>
      <c r="E106" s="141"/>
      <c r="F106" s="141"/>
      <c r="G106" s="141"/>
      <c r="H106" s="141"/>
      <c r="I106" s="141"/>
      <c r="J106" s="141"/>
      <c r="K106" s="141"/>
      <c r="L106" s="141"/>
      <c r="M106" s="141"/>
      <c r="N106" s="141"/>
      <c r="O106" s="141"/>
      <c r="P106" s="141"/>
      <c r="Q106" s="90"/>
      <c r="R106" s="90"/>
      <c r="S106" s="90"/>
      <c r="T106" s="90"/>
      <c r="U106" s="90"/>
      <c r="V106" s="90"/>
      <c r="W106" s="90"/>
      <c r="X106" s="90"/>
    </row>
    <row r="107" spans="1:24" s="126" customFormat="1">
      <c r="A107" s="90"/>
      <c r="B107" s="111" t="str">
        <f>B65</f>
        <v>Turnover (per accounts)</v>
      </c>
      <c r="C107" s="111"/>
      <c r="D107" s="159">
        <f>D65*D86*D90</f>
        <v>0</v>
      </c>
      <c r="E107" s="159">
        <f t="shared" ref="E107:O107" si="36">E65*E86*E90</f>
        <v>0</v>
      </c>
      <c r="F107" s="159">
        <f t="shared" si="36"/>
        <v>0</v>
      </c>
      <c r="G107" s="159">
        <f t="shared" si="36"/>
        <v>0</v>
      </c>
      <c r="H107" s="159">
        <f t="shared" si="36"/>
        <v>0</v>
      </c>
      <c r="I107" s="159">
        <f t="shared" si="36"/>
        <v>0</v>
      </c>
      <c r="J107" s="159">
        <f t="shared" si="36"/>
        <v>299439.23305787204</v>
      </c>
      <c r="K107" s="159">
        <f t="shared" si="36"/>
        <v>331761.05669003783</v>
      </c>
      <c r="L107" s="159">
        <f t="shared" si="36"/>
        <v>323408.98702202318</v>
      </c>
      <c r="M107" s="159">
        <f t="shared" si="36"/>
        <v>284742.21613482671</v>
      </c>
      <c r="N107" s="159">
        <f t="shared" si="36"/>
        <v>276957.1014000143</v>
      </c>
      <c r="O107" s="159">
        <f t="shared" si="36"/>
        <v>285224.19054022268</v>
      </c>
      <c r="P107" s="159">
        <f t="shared" ref="P107" si="37">P65*P86*P90</f>
        <v>286877.25185915321</v>
      </c>
      <c r="Q107" s="90"/>
      <c r="R107" s="90"/>
      <c r="S107" s="90"/>
      <c r="T107" s="90"/>
      <c r="U107" s="90"/>
      <c r="V107" s="90"/>
      <c r="W107" s="90"/>
      <c r="X107" s="90"/>
    </row>
    <row r="108" spans="1:24" s="126" customFormat="1">
      <c r="A108" s="90"/>
      <c r="B108" s="111"/>
      <c r="C108" s="111"/>
      <c r="D108" s="141"/>
      <c r="E108" s="141"/>
      <c r="F108" s="141"/>
      <c r="G108" s="141"/>
      <c r="H108" s="141"/>
      <c r="I108" s="141"/>
      <c r="J108" s="141"/>
      <c r="K108" s="141"/>
      <c r="L108" s="141"/>
      <c r="M108" s="141"/>
      <c r="N108" s="141"/>
      <c r="O108" s="141"/>
      <c r="P108" s="141"/>
      <c r="Q108" s="90"/>
      <c r="R108" s="90"/>
      <c r="S108" s="90"/>
      <c r="T108" s="90"/>
      <c r="U108" s="90"/>
      <c r="V108" s="90"/>
      <c r="W108" s="90"/>
      <c r="X108" s="90"/>
    </row>
    <row r="109" spans="1:24">
      <c r="B109" s="111" t="str">
        <f>B67</f>
        <v>Operating Profit (pre-exceptional)</v>
      </c>
      <c r="C109" s="111"/>
      <c r="D109" s="159">
        <f>D67*D86*D90</f>
        <v>0</v>
      </c>
      <c r="E109" s="159">
        <f t="shared" ref="E109:O109" si="38">E67*E86*E90</f>
        <v>0</v>
      </c>
      <c r="F109" s="159">
        <f t="shared" si="38"/>
        <v>0</v>
      </c>
      <c r="G109" s="159">
        <f t="shared" si="38"/>
        <v>0</v>
      </c>
      <c r="H109" s="159">
        <f t="shared" si="38"/>
        <v>0</v>
      </c>
      <c r="I109" s="159">
        <f t="shared" si="38"/>
        <v>0</v>
      </c>
      <c r="J109" s="159">
        <f t="shared" si="38"/>
        <v>72625.843461477707</v>
      </c>
      <c r="K109" s="159">
        <f t="shared" si="38"/>
        <v>81790.192976023478</v>
      </c>
      <c r="L109" s="159">
        <f t="shared" si="38"/>
        <v>44986.299520170753</v>
      </c>
      <c r="M109" s="159">
        <f t="shared" si="38"/>
        <v>49039.612960597668</v>
      </c>
      <c r="N109" s="159">
        <f t="shared" si="38"/>
        <v>55609.30008925101</v>
      </c>
      <c r="O109" s="159">
        <f t="shared" si="38"/>
        <v>42302.036169260289</v>
      </c>
      <c r="P109" s="159">
        <f t="shared" ref="P109" si="39">P67*P86*P90</f>
        <v>44761.636573225405</v>
      </c>
      <c r="Q109" s="90"/>
    </row>
    <row r="110" spans="1:24">
      <c r="B110" s="111"/>
      <c r="C110" s="111"/>
      <c r="D110" s="193"/>
      <c r="E110" s="193"/>
      <c r="F110" s="193"/>
      <c r="G110" s="193"/>
      <c r="H110" s="193"/>
      <c r="I110" s="193"/>
      <c r="J110" s="193"/>
      <c r="K110" s="193"/>
      <c r="L110" s="193"/>
      <c r="M110" s="193"/>
      <c r="N110" s="193"/>
      <c r="O110" s="193"/>
      <c r="P110" s="193"/>
      <c r="Q110" s="90"/>
    </row>
    <row r="111" spans="1:24">
      <c r="B111" s="111" t="str">
        <f>B69</f>
        <v>Profit Margin</v>
      </c>
      <c r="C111" s="111"/>
      <c r="D111" s="162" t="e">
        <f>D109/D107</f>
        <v>#DIV/0!</v>
      </c>
      <c r="E111" s="162" t="e">
        <f t="shared" ref="E111:O111" si="40">E109/E107</f>
        <v>#DIV/0!</v>
      </c>
      <c r="F111" s="162" t="e">
        <f t="shared" si="40"/>
        <v>#DIV/0!</v>
      </c>
      <c r="G111" s="162" t="e">
        <f t="shared" si="40"/>
        <v>#DIV/0!</v>
      </c>
      <c r="H111" s="162" t="e">
        <f t="shared" si="40"/>
        <v>#DIV/0!</v>
      </c>
      <c r="I111" s="162" t="e">
        <f t="shared" si="40"/>
        <v>#DIV/0!</v>
      </c>
      <c r="J111" s="162">
        <f>J109/J107</f>
        <v>0.24253950532741797</v>
      </c>
      <c r="K111" s="162">
        <f t="shared" si="40"/>
        <v>0.24653343521400559</v>
      </c>
      <c r="L111" s="162">
        <f t="shared" si="40"/>
        <v>0.13910033834992755</v>
      </c>
      <c r="M111" s="162">
        <f t="shared" si="40"/>
        <v>0.17222459537709431</v>
      </c>
      <c r="N111" s="162">
        <f t="shared" si="40"/>
        <v>0.20078669154228856</v>
      </c>
      <c r="O111" s="162">
        <f t="shared" si="40"/>
        <v>0.14831153027076363</v>
      </c>
      <c r="P111" s="162">
        <f t="shared" ref="P111" si="41">P109/P107</f>
        <v>0.15603062384047731</v>
      </c>
      <c r="Q111" s="90"/>
    </row>
    <row r="112" spans="1:24" s="133" customFormat="1">
      <c r="B112" s="138"/>
      <c r="C112" s="138"/>
      <c r="D112" s="141"/>
      <c r="E112" s="141"/>
      <c r="F112" s="141"/>
      <c r="G112" s="141"/>
      <c r="H112" s="141"/>
      <c r="I112" s="141"/>
      <c r="J112" s="141"/>
      <c r="K112" s="141"/>
      <c r="L112" s="141"/>
      <c r="M112" s="141"/>
      <c r="N112" s="141"/>
      <c r="O112" s="141"/>
      <c r="P112" s="141"/>
    </row>
    <row r="113" spans="2:17" s="133" customFormat="1">
      <c r="B113" s="153" t="s">
        <v>1153</v>
      </c>
      <c r="C113" s="94"/>
      <c r="D113" s="94"/>
      <c r="E113" s="94"/>
      <c r="F113" s="94"/>
      <c r="G113" s="94"/>
      <c r="H113" s="94"/>
      <c r="I113" s="94"/>
      <c r="J113" s="94"/>
      <c r="K113" s="94"/>
      <c r="L113" s="94"/>
      <c r="M113" s="94"/>
      <c r="N113" s="94"/>
      <c r="O113" s="94"/>
      <c r="P113" s="94"/>
    </row>
    <row r="114" spans="2:17" s="133" customFormat="1">
      <c r="B114" s="90"/>
      <c r="C114" s="90"/>
      <c r="D114" s="90"/>
      <c r="E114" s="90"/>
      <c r="F114" s="90"/>
      <c r="G114" s="90"/>
      <c r="H114" s="90"/>
      <c r="I114" s="90"/>
      <c r="J114" s="90"/>
      <c r="K114" s="90"/>
      <c r="L114" s="90"/>
      <c r="M114" s="90"/>
      <c r="N114" s="90"/>
      <c r="O114" s="90"/>
      <c r="P114" s="90"/>
    </row>
    <row r="115" spans="2:17" s="133" customFormat="1">
      <c r="B115" s="90" t="s">
        <v>1127</v>
      </c>
      <c r="C115" s="90"/>
      <c r="D115" s="192" t="e">
        <f t="shared" ref="D115:O115" si="42">(D101/D71)*1000</f>
        <v>#DIV/0!</v>
      </c>
      <c r="E115" s="192" t="e">
        <f t="shared" si="42"/>
        <v>#DIV/0!</v>
      </c>
      <c r="F115" s="192" t="e">
        <f t="shared" si="42"/>
        <v>#DIV/0!</v>
      </c>
      <c r="G115" s="192" t="e">
        <f t="shared" si="42"/>
        <v>#DIV/0!</v>
      </c>
      <c r="H115" s="192" t="e">
        <f t="shared" si="42"/>
        <v>#DIV/0!</v>
      </c>
      <c r="I115" s="192" t="e">
        <f t="shared" si="42"/>
        <v>#DIV/0!</v>
      </c>
      <c r="J115" s="192">
        <f t="shared" si="42"/>
        <v>10.700570955760014</v>
      </c>
      <c r="K115" s="192">
        <f t="shared" si="42"/>
        <v>10.734150476922981</v>
      </c>
      <c r="L115" s="192">
        <f t="shared" si="42"/>
        <v>14.768043362026027</v>
      </c>
      <c r="M115" s="192">
        <f t="shared" si="42"/>
        <v>10.044126046220498</v>
      </c>
      <c r="N115" s="192">
        <f t="shared" si="42"/>
        <v>12.009496647115073</v>
      </c>
      <c r="O115" s="192">
        <f t="shared" si="42"/>
        <v>12.962351531296923</v>
      </c>
      <c r="P115" s="192">
        <f t="shared" ref="P115" si="43">(P101/P71)*1000</f>
        <v>12.676443178925842</v>
      </c>
    </row>
    <row r="116" spans="2:17" s="133" customFormat="1">
      <c r="B116" s="90" t="s">
        <v>299</v>
      </c>
      <c r="C116" s="90"/>
      <c r="D116" s="192" t="e">
        <f t="shared" ref="D116:O116" si="44">(D99/D71)*1000</f>
        <v>#DIV/0!</v>
      </c>
      <c r="E116" s="192" t="e">
        <f t="shared" si="44"/>
        <v>#DIV/0!</v>
      </c>
      <c r="F116" s="192" t="e">
        <f t="shared" si="44"/>
        <v>#DIV/0!</v>
      </c>
      <c r="G116" s="192" t="e">
        <f t="shared" si="44"/>
        <v>#DIV/0!</v>
      </c>
      <c r="H116" s="192" t="e">
        <f t="shared" si="44"/>
        <v>#DIV/0!</v>
      </c>
      <c r="I116" s="192" t="e">
        <f t="shared" si="44"/>
        <v>#DIV/0!</v>
      </c>
      <c r="J116" s="192">
        <f t="shared" si="44"/>
        <v>10.700570955760014</v>
      </c>
      <c r="K116" s="192">
        <f t="shared" si="44"/>
        <v>10.734150476922981</v>
      </c>
      <c r="L116" s="192">
        <f t="shared" si="44"/>
        <v>13.579158874861932</v>
      </c>
      <c r="M116" s="192">
        <f t="shared" si="44"/>
        <v>10.044126046220498</v>
      </c>
      <c r="N116" s="192">
        <f t="shared" si="44"/>
        <v>12.009496647115073</v>
      </c>
      <c r="O116" s="192">
        <f t="shared" si="44"/>
        <v>12.962351531296923</v>
      </c>
      <c r="P116" s="192">
        <f t="shared" ref="P116" si="45">(P99/P71)*1000</f>
        <v>12.676443178925842</v>
      </c>
    </row>
    <row r="117" spans="2:17" s="133" customFormat="1">
      <c r="B117" s="90" t="s">
        <v>300</v>
      </c>
      <c r="C117" s="90"/>
      <c r="D117" s="192" t="e">
        <f t="shared" ref="D117:O117" si="46">(D105/D71)*1000</f>
        <v>#DIV/0!</v>
      </c>
      <c r="E117" s="192" t="e">
        <f t="shared" si="46"/>
        <v>#DIV/0!</v>
      </c>
      <c r="F117" s="192" t="e">
        <f t="shared" si="46"/>
        <v>#DIV/0!</v>
      </c>
      <c r="G117" s="192" t="e">
        <f t="shared" si="46"/>
        <v>#DIV/0!</v>
      </c>
      <c r="H117" s="192" t="e">
        <f t="shared" si="46"/>
        <v>#DIV/0!</v>
      </c>
      <c r="I117" s="192" t="e">
        <f t="shared" si="46"/>
        <v>#DIV/0!</v>
      </c>
      <c r="J117" s="192">
        <f t="shared" si="46"/>
        <v>8.8535340367076447</v>
      </c>
      <c r="K117" s="192">
        <f t="shared" si="46"/>
        <v>8.8688009149825113</v>
      </c>
      <c r="L117" s="192">
        <f t="shared" si="46"/>
        <v>11.259738920362281</v>
      </c>
      <c r="M117" s="192">
        <f t="shared" si="46"/>
        <v>8.0608004920730707</v>
      </c>
      <c r="N117" s="192">
        <f t="shared" si="46"/>
        <v>9.0913801466148509</v>
      </c>
      <c r="O117" s="192">
        <f t="shared" si="46"/>
        <v>8.9485369955622449</v>
      </c>
      <c r="P117" s="192">
        <f t="shared" ref="P117" si="47">(P105/P71)*1000</f>
        <v>8.5403780439347177</v>
      </c>
    </row>
    <row r="118" spans="2:17" s="133" customFormat="1">
      <c r="B118" s="90" t="s">
        <v>265</v>
      </c>
      <c r="C118" s="90"/>
      <c r="D118" s="192" t="e">
        <f t="shared" ref="D118:O118" si="48">D92*1000/D71</f>
        <v>#DIV/0!</v>
      </c>
      <c r="E118" s="192" t="e">
        <f t="shared" si="48"/>
        <v>#DIV/0!</v>
      </c>
      <c r="F118" s="192" t="e">
        <f t="shared" si="48"/>
        <v>#DIV/0!</v>
      </c>
      <c r="G118" s="192" t="e">
        <f t="shared" si="48"/>
        <v>#DIV/0!</v>
      </c>
      <c r="H118" s="192" t="e">
        <f t="shared" si="48"/>
        <v>#DIV/0!</v>
      </c>
      <c r="I118" s="192" t="e">
        <f t="shared" si="48"/>
        <v>#DIV/0!</v>
      </c>
      <c r="J118" s="192">
        <f t="shared" si="48"/>
        <v>4.5642400058993919</v>
      </c>
      <c r="K118" s="192">
        <f t="shared" si="48"/>
        <v>4.6034146689685658</v>
      </c>
      <c r="L118" s="192">
        <f t="shared" si="48"/>
        <v>5.3444291506991064</v>
      </c>
      <c r="M118" s="192">
        <f t="shared" si="48"/>
        <v>4.3517020957346917</v>
      </c>
      <c r="N118" s="192">
        <f t="shared" si="48"/>
        <v>4.6729322587820663</v>
      </c>
      <c r="O118" s="192">
        <f t="shared" si="48"/>
        <v>4.7275604522681061</v>
      </c>
      <c r="P118" s="192">
        <f t="shared" ref="P118" si="49">P92*1000/P71</f>
        <v>4.5390774636083506</v>
      </c>
    </row>
    <row r="119" spans="2:17" s="133" customFormat="1">
      <c r="B119" s="111" t="s">
        <v>1136</v>
      </c>
      <c r="C119" s="111"/>
      <c r="D119" s="140" t="e">
        <f t="shared" ref="D119:O119" si="50">D92/D73*1000</f>
        <v>#DIV/0!</v>
      </c>
      <c r="E119" s="140" t="e">
        <f t="shared" si="50"/>
        <v>#DIV/0!</v>
      </c>
      <c r="F119" s="140" t="e">
        <f t="shared" si="50"/>
        <v>#DIV/0!</v>
      </c>
      <c r="G119" s="140" t="e">
        <f t="shared" si="50"/>
        <v>#DIV/0!</v>
      </c>
      <c r="H119" s="140" t="e">
        <f t="shared" si="50"/>
        <v>#DIV/0!</v>
      </c>
      <c r="I119" s="140" t="e">
        <f t="shared" si="50"/>
        <v>#DIV/0!</v>
      </c>
      <c r="J119" s="140">
        <f t="shared" si="50"/>
        <v>55536.954480324785</v>
      </c>
      <c r="K119" s="140">
        <f t="shared" si="50"/>
        <v>57052.545871152746</v>
      </c>
      <c r="L119" s="140">
        <f t="shared" si="50"/>
        <v>54680.862802055293</v>
      </c>
      <c r="M119" s="140">
        <f t="shared" si="50"/>
        <v>52939.41702369121</v>
      </c>
      <c r="N119" s="140">
        <f t="shared" si="50"/>
        <v>47928.276866598128</v>
      </c>
      <c r="O119" s="140">
        <f t="shared" si="50"/>
        <v>45387.954056789182</v>
      </c>
      <c r="P119" s="140">
        <f t="shared" ref="P119" si="51">P92/P73*1000</f>
        <v>45177.064272396965</v>
      </c>
    </row>
    <row r="120" spans="2:17" s="133" customFormat="1">
      <c r="B120" s="111"/>
      <c r="C120" s="111"/>
      <c r="D120" s="140"/>
      <c r="E120" s="140"/>
      <c r="F120" s="140"/>
      <c r="G120" s="140"/>
      <c r="H120" s="140"/>
      <c r="I120" s="140"/>
      <c r="J120" s="140"/>
      <c r="K120" s="140"/>
      <c r="L120" s="140"/>
      <c r="M120" s="140"/>
      <c r="N120" s="140"/>
      <c r="O120" s="140"/>
      <c r="P120" s="140"/>
    </row>
    <row r="121" spans="2:17" s="133" customFormat="1">
      <c r="B121" s="153" t="s">
        <v>1147</v>
      </c>
      <c r="C121" s="94"/>
      <c r="D121" s="94"/>
      <c r="E121" s="94"/>
      <c r="F121" s="94"/>
      <c r="G121" s="94"/>
      <c r="H121" s="94"/>
      <c r="I121" s="94"/>
      <c r="J121" s="94"/>
      <c r="K121" s="94"/>
      <c r="L121" s="94"/>
      <c r="M121" s="94"/>
      <c r="N121" s="94"/>
      <c r="O121" s="94"/>
      <c r="P121" s="94"/>
    </row>
    <row r="123" spans="2:17">
      <c r="B123" s="138" t="s">
        <v>1093</v>
      </c>
      <c r="D123" s="214">
        <f>PPP!X390</f>
        <v>0.92091422813532842</v>
      </c>
      <c r="E123" s="214">
        <f>PPP!Y390</f>
        <v>0.98502905459545365</v>
      </c>
      <c r="F123" s="214">
        <f>PPP!Z390</f>
        <v>1.0043242708697437</v>
      </c>
      <c r="G123" s="214">
        <f>PPP!AA390</f>
        <v>1.093968869559502</v>
      </c>
      <c r="H123" s="214">
        <f>PPP!AB390</f>
        <v>1.0786530516741186</v>
      </c>
      <c r="I123" s="214">
        <f>PPP!AC390</f>
        <v>1.0861424994456679</v>
      </c>
      <c r="J123" s="214">
        <f>PPP!AD390</f>
        <v>1.0707254963214348</v>
      </c>
      <c r="K123" s="214">
        <f>PPP!AE390</f>
        <v>1.0158527558728614</v>
      </c>
      <c r="L123" s="214">
        <f>PPP!AF390</f>
        <v>1.1649425615330664</v>
      </c>
      <c r="M123" s="214">
        <f>PPP!AG390</f>
        <v>1.2127957007273982</v>
      </c>
      <c r="N123" s="214">
        <f>PPP!AH390</f>
        <v>1.0929648301381296</v>
      </c>
      <c r="O123" s="214">
        <f>PPP!AI390</f>
        <v>1.0611098270752726</v>
      </c>
      <c r="P123" s="214">
        <f>PPP!AJ390</f>
        <v>1.0611098270752726</v>
      </c>
      <c r="Q123" s="90"/>
    </row>
    <row r="124" spans="2:17">
      <c r="B124" s="138" t="s">
        <v>377</v>
      </c>
      <c r="D124" s="214">
        <f>'GDP per cap'!AQ389</f>
        <v>1.0228288526125791</v>
      </c>
      <c r="E124" s="214">
        <f>'GDP per cap'!AR389</f>
        <v>1.1007937720225491</v>
      </c>
      <c r="F124" s="214">
        <f>'GDP per cap'!AS389</f>
        <v>1.1643734454460506</v>
      </c>
      <c r="G124" s="214">
        <f>'GDP per cap'!AT389</f>
        <v>1.2780452158949285</v>
      </c>
      <c r="H124" s="214">
        <f>'GDP per cap'!AU389</f>
        <v>1.2516622820697352</v>
      </c>
      <c r="I124" s="214">
        <f>'GDP per cap'!AV389</f>
        <v>1.2818569951713448</v>
      </c>
      <c r="J124" s="214">
        <f>'GDP per cap'!AW389</f>
        <v>1.2969233220357295</v>
      </c>
      <c r="K124" s="214">
        <f>'GDP per cap'!AX389</f>
        <v>1.2878126732036961</v>
      </c>
      <c r="L124" s="214">
        <f>'GDP per cap'!AY389</f>
        <v>1.3807172290607408</v>
      </c>
      <c r="M124" s="214">
        <f>'GDP per cap'!AZ389</f>
        <v>1.416137586629584</v>
      </c>
      <c r="N124" s="214">
        <f>'GDP per cap'!BA389</f>
        <v>1.2652573716479121</v>
      </c>
      <c r="O124" s="214">
        <f>'GDP per cap'!BB389</f>
        <v>1.2403976470275044</v>
      </c>
      <c r="P124" s="214">
        <f>'GDP per cap'!BC389</f>
        <v>1.2403976470275044</v>
      </c>
      <c r="Q124" s="90"/>
    </row>
    <row r="125" spans="2:17" s="133" customFormat="1">
      <c r="B125" s="111"/>
      <c r="C125" s="111"/>
      <c r="D125" s="161"/>
      <c r="E125" s="161"/>
      <c r="F125" s="161"/>
      <c r="G125" s="161"/>
      <c r="H125" s="161"/>
      <c r="I125" s="161"/>
      <c r="J125" s="161"/>
      <c r="K125" s="161"/>
      <c r="L125" s="161"/>
      <c r="M125" s="161"/>
      <c r="N125" s="161"/>
      <c r="O125" s="161"/>
      <c r="P125" s="161"/>
    </row>
    <row r="126" spans="2:17" s="133" customFormat="1">
      <c r="B126" s="70" t="str">
        <f t="shared" ref="B126:C130" si="52">B20</f>
        <v>Cost Category</v>
      </c>
      <c r="C126" s="138" t="str">
        <f t="shared" si="52"/>
        <v>Sub-Category</v>
      </c>
      <c r="D126" s="141"/>
      <c r="E126" s="141"/>
      <c r="F126" s="141"/>
      <c r="G126" s="141"/>
      <c r="H126" s="141"/>
      <c r="I126" s="141"/>
      <c r="J126" s="141"/>
      <c r="K126" s="141"/>
      <c r="L126" s="141"/>
      <c r="M126" s="141"/>
      <c r="N126" s="141"/>
      <c r="O126" s="141"/>
      <c r="P126" s="141"/>
    </row>
    <row r="127" spans="2:17" s="133" customFormat="1">
      <c r="B127" s="111" t="str">
        <f t="shared" si="52"/>
        <v>Staff Costs</v>
      </c>
      <c r="C127" s="111" t="str">
        <f t="shared" si="52"/>
        <v>Wages and Salaries</v>
      </c>
      <c r="D127" s="159">
        <f t="shared" ref="D127:P127" si="53">D21/D124*D86*D90</f>
        <v>0</v>
      </c>
      <c r="E127" s="159">
        <f t="shared" si="53"/>
        <v>0</v>
      </c>
      <c r="F127" s="159">
        <f t="shared" si="53"/>
        <v>0</v>
      </c>
      <c r="G127" s="159">
        <f t="shared" si="53"/>
        <v>0</v>
      </c>
      <c r="H127" s="159">
        <f t="shared" si="53"/>
        <v>0</v>
      </c>
      <c r="I127" s="159">
        <f t="shared" si="53"/>
        <v>0</v>
      </c>
      <c r="J127" s="159">
        <f>J21/J124*J86*J90</f>
        <v>64265.118427041765</v>
      </c>
      <c r="K127" s="159">
        <f t="shared" si="53"/>
        <v>73924.218188188563</v>
      </c>
      <c r="L127" s="159">
        <f t="shared" si="53"/>
        <v>70519.221306807434</v>
      </c>
      <c r="M127" s="159">
        <f t="shared" si="53"/>
        <v>64270.887031597544</v>
      </c>
      <c r="N127" s="159">
        <f t="shared" si="53"/>
        <v>61399.870825115817</v>
      </c>
      <c r="O127" s="159">
        <f t="shared" si="53"/>
        <v>62594.228952419537</v>
      </c>
      <c r="P127" s="159">
        <f t="shared" si="53"/>
        <v>59967.712438109513</v>
      </c>
    </row>
    <row r="128" spans="2:17" s="133" customFormat="1">
      <c r="B128" s="111" t="str">
        <f t="shared" si="52"/>
        <v>Staff Costs</v>
      </c>
      <c r="C128" s="111" t="str">
        <f t="shared" si="52"/>
        <v>Social Security Costs</v>
      </c>
      <c r="D128" s="159">
        <f t="shared" ref="D128:P128" si="54">D22/D124*D86*D90</f>
        <v>0</v>
      </c>
      <c r="E128" s="159">
        <f t="shared" si="54"/>
        <v>0</v>
      </c>
      <c r="F128" s="159">
        <f t="shared" si="54"/>
        <v>0</v>
      </c>
      <c r="G128" s="159">
        <f t="shared" si="54"/>
        <v>0</v>
      </c>
      <c r="H128" s="159">
        <f t="shared" si="54"/>
        <v>0</v>
      </c>
      <c r="I128" s="159">
        <f t="shared" si="54"/>
        <v>0</v>
      </c>
      <c r="J128" s="159">
        <f>J22/J124*J86*J90</f>
        <v>6102.5036666879832</v>
      </c>
      <c r="K128" s="159">
        <f t="shared" si="54"/>
        <v>6515.4455921629569</v>
      </c>
      <c r="L128" s="159">
        <f t="shared" si="54"/>
        <v>6280.4913743353918</v>
      </c>
      <c r="M128" s="159">
        <f t="shared" si="54"/>
        <v>5939.1671907261316</v>
      </c>
      <c r="N128" s="159">
        <f t="shared" si="54"/>
        <v>5660.2038131634681</v>
      </c>
      <c r="O128" s="159">
        <f t="shared" si="54"/>
        <v>5859.8150547581108</v>
      </c>
      <c r="P128" s="159">
        <f t="shared" si="54"/>
        <v>5709.0791824122862</v>
      </c>
    </row>
    <row r="129" spans="2:16" s="133" customFormat="1">
      <c r="B129" s="111" t="str">
        <f t="shared" si="52"/>
        <v>Staff Costs</v>
      </c>
      <c r="C129" s="111" t="str">
        <f t="shared" si="52"/>
        <v>Pension Costs</v>
      </c>
      <c r="D129" s="159">
        <f t="shared" ref="D129:O129" si="55">D23/D124*D86*D90</f>
        <v>0</v>
      </c>
      <c r="E129" s="159">
        <f t="shared" si="55"/>
        <v>0</v>
      </c>
      <c r="F129" s="159">
        <f t="shared" si="55"/>
        <v>0</v>
      </c>
      <c r="G129" s="159">
        <f t="shared" si="55"/>
        <v>0</v>
      </c>
      <c r="H129" s="159">
        <f t="shared" si="55"/>
        <v>0</v>
      </c>
      <c r="I129" s="159">
        <f t="shared" si="55"/>
        <v>0</v>
      </c>
      <c r="J129" s="159">
        <f>J23/J124*J86*J90</f>
        <v>3050.5025082375714</v>
      </c>
      <c r="K129" s="159">
        <f t="shared" si="55"/>
        <v>3136.5035206524772</v>
      </c>
      <c r="L129" s="159">
        <f t="shared" si="55"/>
        <v>3177.2432076655373</v>
      </c>
      <c r="M129" s="159">
        <f t="shared" si="55"/>
        <v>3534.8701565800093</v>
      </c>
      <c r="N129" s="159">
        <f t="shared" si="55"/>
        <v>3520.2710584032525</v>
      </c>
      <c r="O129" s="159">
        <f t="shared" si="55"/>
        <v>3037.8115437607375</v>
      </c>
      <c r="P129" s="159">
        <f>P23/P124*P86*P90</f>
        <v>2683.8043602805069</v>
      </c>
    </row>
    <row r="130" spans="2:16" s="133" customFormat="1">
      <c r="B130" s="111" t="str">
        <f t="shared" si="52"/>
        <v>Staff Costs</v>
      </c>
      <c r="C130" s="111" t="str">
        <f t="shared" si="52"/>
        <v>Other Staff Costs</v>
      </c>
      <c r="D130" s="159">
        <f t="shared" ref="D130:P130" si="56">D24/D124*D86*D90</f>
        <v>0</v>
      </c>
      <c r="E130" s="159">
        <f t="shared" si="56"/>
        <v>0</v>
      </c>
      <c r="F130" s="159">
        <f t="shared" si="56"/>
        <v>0</v>
      </c>
      <c r="G130" s="159">
        <f t="shared" si="56"/>
        <v>0</v>
      </c>
      <c r="H130" s="159">
        <f t="shared" si="56"/>
        <v>0</v>
      </c>
      <c r="I130" s="159">
        <f t="shared" si="56"/>
        <v>0</v>
      </c>
      <c r="J130" s="159">
        <f t="shared" si="56"/>
        <v>1177.939067292916</v>
      </c>
      <c r="K130" s="159">
        <f t="shared" si="56"/>
        <v>-332.90069670053981</v>
      </c>
      <c r="L130" s="159">
        <f t="shared" si="56"/>
        <v>-612.081786481839</v>
      </c>
      <c r="M130" s="159">
        <f t="shared" si="56"/>
        <v>-1633.1914492334206</v>
      </c>
      <c r="N130" s="159">
        <f t="shared" si="56"/>
        <v>-2509.5203774812053</v>
      </c>
      <c r="O130" s="159">
        <f t="shared" si="56"/>
        <v>-65.336376891660436</v>
      </c>
      <c r="P130" s="159">
        <f t="shared" si="56"/>
        <v>1532.1408737746233</v>
      </c>
    </row>
    <row r="131" spans="2:16" s="133" customFormat="1">
      <c r="B131" s="67" t="str">
        <f>B25</f>
        <v>Staff Costs Total</v>
      </c>
      <c r="C131" s="111"/>
      <c r="D131" s="159">
        <f t="shared" ref="D131:O131" si="57">SUM(D127:D130)</f>
        <v>0</v>
      </c>
      <c r="E131" s="159">
        <f t="shared" si="57"/>
        <v>0</v>
      </c>
      <c r="F131" s="159">
        <f t="shared" si="57"/>
        <v>0</v>
      </c>
      <c r="G131" s="159">
        <f t="shared" si="57"/>
        <v>0</v>
      </c>
      <c r="H131" s="159">
        <f t="shared" si="57"/>
        <v>0</v>
      </c>
      <c r="I131" s="159">
        <f t="shared" si="57"/>
        <v>0</v>
      </c>
      <c r="J131" s="159">
        <f t="shared" si="57"/>
        <v>74596.063669260227</v>
      </c>
      <c r="K131" s="159">
        <f t="shared" si="57"/>
        <v>83243.266604303455</v>
      </c>
      <c r="L131" s="159">
        <f t="shared" si="57"/>
        <v>79364.874102326532</v>
      </c>
      <c r="M131" s="159">
        <f t="shared" si="57"/>
        <v>72111.732929670266</v>
      </c>
      <c r="N131" s="159">
        <f t="shared" si="57"/>
        <v>68070.825319201322</v>
      </c>
      <c r="O131" s="159">
        <f t="shared" si="57"/>
        <v>71426.519174046727</v>
      </c>
      <c r="P131" s="159">
        <f t="shared" ref="P131" si="58">SUM(P127:P130)</f>
        <v>69892.736854576942</v>
      </c>
    </row>
    <row r="132" spans="2:16" s="133" customFormat="1">
      <c r="B132" s="111"/>
      <c r="C132" s="111"/>
      <c r="D132" s="242"/>
      <c r="E132" s="242"/>
      <c r="F132" s="242"/>
      <c r="G132" s="242"/>
      <c r="H132" s="242"/>
      <c r="I132" s="242"/>
      <c r="J132" s="242"/>
      <c r="K132" s="242"/>
      <c r="L132" s="242"/>
      <c r="M132" s="242"/>
      <c r="N132" s="242"/>
      <c r="O132" s="242"/>
      <c r="P132" s="242"/>
    </row>
    <row r="133" spans="2:16" s="133" customFormat="1">
      <c r="B133" s="111" t="str">
        <f>B27</f>
        <v>Depreciation</v>
      </c>
      <c r="C133" s="111" t="str">
        <f>C27</f>
        <v>Depreciation</v>
      </c>
      <c r="D133" s="159">
        <f t="shared" ref="D133:P133" si="59">D27/D123*D86*D90</f>
        <v>0</v>
      </c>
      <c r="E133" s="159">
        <f t="shared" si="59"/>
        <v>0</v>
      </c>
      <c r="F133" s="159">
        <f t="shared" si="59"/>
        <v>0</v>
      </c>
      <c r="G133" s="159">
        <f t="shared" si="59"/>
        <v>0</v>
      </c>
      <c r="H133" s="159">
        <f t="shared" si="59"/>
        <v>0</v>
      </c>
      <c r="I133" s="159">
        <f t="shared" si="59"/>
        <v>0</v>
      </c>
      <c r="J133" s="159">
        <f>J27/J123*J86*J90</f>
        <v>33805.399974445172</v>
      </c>
      <c r="K133" s="159">
        <f t="shared" si="59"/>
        <v>37977.527842185147</v>
      </c>
      <c r="L133" s="159">
        <f t="shared" si="59"/>
        <v>35693.398078949511</v>
      </c>
      <c r="M133" s="159">
        <f t="shared" si="59"/>
        <v>32316.051146971393</v>
      </c>
      <c r="N133" s="159">
        <f t="shared" si="59"/>
        <v>42702.126086797005</v>
      </c>
      <c r="O133" s="159">
        <f t="shared" si="59"/>
        <v>63816.976755932417</v>
      </c>
      <c r="P133" s="159">
        <f t="shared" si="59"/>
        <v>64439.923173726187</v>
      </c>
    </row>
    <row r="134" spans="2:16" s="133" customFormat="1">
      <c r="B134" s="111" t="str">
        <f>B28</f>
        <v>Depreciation</v>
      </c>
      <c r="C134" s="111" t="str">
        <f>C28</f>
        <v>Amortisation</v>
      </c>
      <c r="D134" s="159">
        <f t="shared" ref="D134:P134" si="60">D28/D123*D86*D90</f>
        <v>0</v>
      </c>
      <c r="E134" s="159">
        <f t="shared" si="60"/>
        <v>0</v>
      </c>
      <c r="F134" s="159">
        <f t="shared" si="60"/>
        <v>0</v>
      </c>
      <c r="G134" s="159">
        <f t="shared" si="60"/>
        <v>0</v>
      </c>
      <c r="H134" s="159">
        <f t="shared" si="60"/>
        <v>0</v>
      </c>
      <c r="I134" s="159">
        <f t="shared" si="60"/>
        <v>0</v>
      </c>
      <c r="J134" s="159">
        <f>J28/J123*J86*J90</f>
        <v>-882.21147976053021</v>
      </c>
      <c r="K134" s="159">
        <f t="shared" si="60"/>
        <v>-1000.0122079473803</v>
      </c>
      <c r="L134" s="159">
        <f t="shared" si="60"/>
        <v>-659.29353522123699</v>
      </c>
      <c r="M134" s="159">
        <f t="shared" si="60"/>
        <v>-599.51846610588302</v>
      </c>
      <c r="N134" s="159">
        <f t="shared" si="60"/>
        <v>-621.68055138818772</v>
      </c>
      <c r="O134" s="159">
        <f t="shared" si="60"/>
        <v>-599.4341332836824</v>
      </c>
      <c r="P134" s="159">
        <f t="shared" si="60"/>
        <v>-579.31421415474153</v>
      </c>
    </row>
    <row r="135" spans="2:16" s="133" customFormat="1">
      <c r="B135" s="67" t="str">
        <f>B29</f>
        <v>Depreciation Total</v>
      </c>
      <c r="C135" s="111"/>
      <c r="D135" s="159">
        <f>SUM(D133:D134)</f>
        <v>0</v>
      </c>
      <c r="E135" s="159">
        <f t="shared" ref="E135:O135" si="61">SUM(E133:E134)</f>
        <v>0</v>
      </c>
      <c r="F135" s="159">
        <f t="shared" si="61"/>
        <v>0</v>
      </c>
      <c r="G135" s="159">
        <f t="shared" si="61"/>
        <v>0</v>
      </c>
      <c r="H135" s="159">
        <f t="shared" si="61"/>
        <v>0</v>
      </c>
      <c r="I135" s="159">
        <f t="shared" si="61"/>
        <v>0</v>
      </c>
      <c r="J135" s="159">
        <f>SUM(J133:J134)</f>
        <v>32923.18849468464</v>
      </c>
      <c r="K135" s="159">
        <f t="shared" si="61"/>
        <v>36977.515634237767</v>
      </c>
      <c r="L135" s="159">
        <f t="shared" si="61"/>
        <v>35034.104543728274</v>
      </c>
      <c r="M135" s="159">
        <f t="shared" si="61"/>
        <v>31716.532680865508</v>
      </c>
      <c r="N135" s="159">
        <f t="shared" si="61"/>
        <v>42080.44553540882</v>
      </c>
      <c r="O135" s="159">
        <f t="shared" si="61"/>
        <v>63217.542622648733</v>
      </c>
      <c r="P135" s="159">
        <f t="shared" ref="P135" si="62">SUM(P133:P134)</f>
        <v>63860.608959571444</v>
      </c>
    </row>
    <row r="136" spans="2:16" s="133" customFormat="1">
      <c r="B136" s="111"/>
      <c r="C136" s="111"/>
      <c r="D136" s="242"/>
      <c r="E136" s="242"/>
      <c r="F136" s="242"/>
      <c r="G136" s="242"/>
      <c r="H136" s="242"/>
      <c r="I136" s="242"/>
      <c r="J136" s="242"/>
      <c r="K136" s="242"/>
      <c r="L136" s="242"/>
      <c r="M136" s="242"/>
      <c r="N136" s="242"/>
      <c r="O136" s="242"/>
      <c r="P136" s="242"/>
    </row>
    <row r="137" spans="2:16" s="133" customFormat="1">
      <c r="B137" s="111" t="str">
        <f t="shared" ref="B137:C141" si="63">B31</f>
        <v>Other Costs</v>
      </c>
      <c r="C137" s="111" t="str">
        <f t="shared" si="63"/>
        <v>Maintenance Expenditure</v>
      </c>
      <c r="D137" s="159">
        <f t="shared" ref="D137:O137" si="64">D31/D123*D86*D90</f>
        <v>0</v>
      </c>
      <c r="E137" s="159">
        <f t="shared" si="64"/>
        <v>0</v>
      </c>
      <c r="F137" s="159">
        <f t="shared" si="64"/>
        <v>0</v>
      </c>
      <c r="G137" s="159">
        <f t="shared" si="64"/>
        <v>0</v>
      </c>
      <c r="H137" s="159">
        <f t="shared" si="64"/>
        <v>0</v>
      </c>
      <c r="I137" s="159">
        <f t="shared" si="64"/>
        <v>0</v>
      </c>
      <c r="J137" s="159">
        <f>J31/J123*J86*J90</f>
        <v>9985.6900209108571</v>
      </c>
      <c r="K137" s="159">
        <f t="shared" si="64"/>
        <v>11656.10559813896</v>
      </c>
      <c r="L137" s="159">
        <f t="shared" si="64"/>
        <v>10499.461107000516</v>
      </c>
      <c r="M137" s="159">
        <f t="shared" si="64"/>
        <v>8325.6548322783547</v>
      </c>
      <c r="N137" s="159">
        <f t="shared" si="64"/>
        <v>10559.902090880219</v>
      </c>
      <c r="O137" s="159">
        <f t="shared" si="64"/>
        <v>7571.2311248984024</v>
      </c>
      <c r="P137" s="159">
        <f>P31/P123*P86*P90</f>
        <v>7838.3081930666049</v>
      </c>
    </row>
    <row r="138" spans="2:16" s="133" customFormat="1">
      <c r="B138" s="111" t="str">
        <f t="shared" si="63"/>
        <v>Other Costs</v>
      </c>
      <c r="C138" s="111" t="str">
        <f t="shared" si="63"/>
        <v>Rent and Rates</v>
      </c>
      <c r="D138" s="159">
        <f t="shared" ref="D138:P138" si="65">D32/D123*D86*D90</f>
        <v>0</v>
      </c>
      <c r="E138" s="159">
        <f t="shared" si="65"/>
        <v>0</v>
      </c>
      <c r="F138" s="159">
        <f t="shared" si="65"/>
        <v>0</v>
      </c>
      <c r="G138" s="159">
        <f t="shared" si="65"/>
        <v>0</v>
      </c>
      <c r="H138" s="159">
        <f t="shared" si="65"/>
        <v>0</v>
      </c>
      <c r="I138" s="159">
        <f t="shared" si="65"/>
        <v>0</v>
      </c>
      <c r="J138" s="159">
        <f t="shared" si="65"/>
        <v>9778.7515256583865</v>
      </c>
      <c r="K138" s="159">
        <f t="shared" si="65"/>
        <v>10512.972376944064</v>
      </c>
      <c r="L138" s="159">
        <f t="shared" si="65"/>
        <v>9137.0237080777497</v>
      </c>
      <c r="M138" s="159">
        <f t="shared" si="65"/>
        <v>9465.259946288792</v>
      </c>
      <c r="N138" s="159">
        <f t="shared" si="65"/>
        <v>10019.378823133329</v>
      </c>
      <c r="O138" s="159">
        <f t="shared" si="65"/>
        <v>9651.8924601185972</v>
      </c>
      <c r="P138" s="159">
        <f t="shared" si="65"/>
        <v>10510.628600296541</v>
      </c>
    </row>
    <row r="139" spans="2:16" s="133" customFormat="1">
      <c r="B139" s="111" t="str">
        <f t="shared" si="63"/>
        <v>Other Costs</v>
      </c>
      <c r="C139" s="111" t="str">
        <f t="shared" si="63"/>
        <v>Energy</v>
      </c>
      <c r="D139" s="159">
        <f t="shared" ref="D139:P139" si="66">D33/D123*D86*D90</f>
        <v>0</v>
      </c>
      <c r="E139" s="159">
        <f t="shared" si="66"/>
        <v>0</v>
      </c>
      <c r="F139" s="159">
        <f t="shared" si="66"/>
        <v>0</v>
      </c>
      <c r="G139" s="159">
        <f t="shared" si="66"/>
        <v>0</v>
      </c>
      <c r="H139" s="159">
        <f t="shared" si="66"/>
        <v>0</v>
      </c>
      <c r="I139" s="159">
        <f t="shared" si="66"/>
        <v>0</v>
      </c>
      <c r="J139" s="159">
        <f t="shared" si="66"/>
        <v>3361.8429228734608</v>
      </c>
      <c r="K139" s="159">
        <f t="shared" si="66"/>
        <v>3157.8367153714526</v>
      </c>
      <c r="L139" s="159">
        <f t="shared" si="66"/>
        <v>4778.1471963350086</v>
      </c>
      <c r="M139" s="159">
        <f t="shared" si="66"/>
        <v>2302.9829553014097</v>
      </c>
      <c r="N139" s="159">
        <f t="shared" si="66"/>
        <v>2797.1685138505281</v>
      </c>
      <c r="O139" s="159">
        <f t="shared" si="66"/>
        <v>4635.7782585606783</v>
      </c>
      <c r="P139" s="159">
        <f t="shared" si="66"/>
        <v>4683.8488592175609</v>
      </c>
    </row>
    <row r="140" spans="2:16" s="133" customFormat="1">
      <c r="B140" s="111" t="str">
        <f t="shared" si="63"/>
        <v>Other Costs</v>
      </c>
      <c r="C140" s="111" t="str">
        <f t="shared" si="63"/>
        <v>Marketing and related costs</v>
      </c>
      <c r="D140" s="159">
        <f t="shared" ref="D140:P140" si="67">D34/D123*D86*D90</f>
        <v>0</v>
      </c>
      <c r="E140" s="159">
        <f t="shared" si="67"/>
        <v>0</v>
      </c>
      <c r="F140" s="159">
        <f t="shared" si="67"/>
        <v>0</v>
      </c>
      <c r="G140" s="159">
        <f t="shared" si="67"/>
        <v>0</v>
      </c>
      <c r="H140" s="159">
        <f t="shared" si="67"/>
        <v>0</v>
      </c>
      <c r="I140" s="159">
        <f t="shared" si="67"/>
        <v>0</v>
      </c>
      <c r="J140" s="159">
        <f t="shared" si="67"/>
        <v>4404.7040239484086</v>
      </c>
      <c r="K140" s="159">
        <f t="shared" si="67"/>
        <v>5061.5296800419237</v>
      </c>
      <c r="L140" s="159">
        <f t="shared" si="67"/>
        <v>2777.1874704185134</v>
      </c>
      <c r="M140" s="159">
        <f t="shared" si="67"/>
        <v>2742.0355122637106</v>
      </c>
      <c r="N140" s="159">
        <f t="shared" si="67"/>
        <v>3404.6662389713047</v>
      </c>
      <c r="O140" s="159">
        <f t="shared" si="67"/>
        <v>3324.2750068460582</v>
      </c>
      <c r="P140" s="159">
        <f t="shared" si="67"/>
        <v>4041.7444592705642</v>
      </c>
    </row>
    <row r="141" spans="2:16" s="133" customFormat="1">
      <c r="B141" s="111" t="str">
        <f t="shared" si="63"/>
        <v>Other Costs</v>
      </c>
      <c r="C141" s="111" t="str">
        <f t="shared" si="63"/>
        <v>Insurance</v>
      </c>
      <c r="D141" s="159">
        <f t="shared" ref="D141:P141" si="68">D35/D123*D86*D90</f>
        <v>0</v>
      </c>
      <c r="E141" s="159">
        <f t="shared" si="68"/>
        <v>0</v>
      </c>
      <c r="F141" s="159">
        <f t="shared" si="68"/>
        <v>0</v>
      </c>
      <c r="G141" s="159">
        <f t="shared" si="68"/>
        <v>0</v>
      </c>
      <c r="H141" s="159">
        <f t="shared" si="68"/>
        <v>0</v>
      </c>
      <c r="I141" s="159">
        <f t="shared" si="68"/>
        <v>0</v>
      </c>
      <c r="J141" s="159">
        <f t="shared" si="68"/>
        <v>3397.2402970613834</v>
      </c>
      <c r="K141" s="159">
        <f t="shared" si="68"/>
        <v>3831.2394315488623</v>
      </c>
      <c r="L141" s="159">
        <f t="shared" si="68"/>
        <v>2189.4392079809109</v>
      </c>
      <c r="M141" s="159">
        <f t="shared" si="68"/>
        <v>2227.2073870947179</v>
      </c>
      <c r="N141" s="159">
        <f t="shared" si="68"/>
        <v>1794.1275228275076</v>
      </c>
      <c r="O141" s="159">
        <f t="shared" si="68"/>
        <v>1994.2564151072315</v>
      </c>
      <c r="P141" s="159">
        <f t="shared" si="68"/>
        <v>2072.8236333562559</v>
      </c>
    </row>
    <row r="142" spans="2:16" s="133" customFormat="1">
      <c r="B142" s="111" t="str">
        <f t="shared" ref="B142:C142" si="69">B36</f>
        <v>Other Costs</v>
      </c>
      <c r="C142" s="111" t="str">
        <f t="shared" si="69"/>
        <v>Regulatory Levy</v>
      </c>
      <c r="D142" s="159">
        <f t="shared" ref="D142:P142" si="70">D36/D123*D86*D90</f>
        <v>0</v>
      </c>
      <c r="E142" s="159">
        <f t="shared" si="70"/>
        <v>0</v>
      </c>
      <c r="F142" s="159">
        <f t="shared" si="70"/>
        <v>0</v>
      </c>
      <c r="G142" s="159">
        <f t="shared" si="70"/>
        <v>0</v>
      </c>
      <c r="H142" s="159">
        <f t="shared" si="70"/>
        <v>0</v>
      </c>
      <c r="I142" s="159">
        <f t="shared" si="70"/>
        <v>0</v>
      </c>
      <c r="J142" s="159">
        <f t="shared" si="70"/>
        <v>1886.0447067308453</v>
      </c>
      <c r="K142" s="159">
        <f t="shared" si="70"/>
        <v>2679.8492288204566</v>
      </c>
      <c r="L142" s="159">
        <f t="shared" si="70"/>
        <v>2189.4392079809109</v>
      </c>
      <c r="M142" s="159">
        <f t="shared" si="70"/>
        <v>2227.2073870947179</v>
      </c>
      <c r="N142" s="159">
        <f t="shared" si="70"/>
        <v>1587.6886071574124</v>
      </c>
      <c r="O142" s="159">
        <f t="shared" si="70"/>
        <v>1381.7072493064031</v>
      </c>
      <c r="P142" s="159">
        <f t="shared" si="70"/>
        <v>1221.4186141017387</v>
      </c>
    </row>
    <row r="143" spans="2:16" s="133" customFormat="1">
      <c r="B143" s="67" t="str">
        <f>B48</f>
        <v>Other Costs Total</v>
      </c>
      <c r="C143" s="111"/>
      <c r="D143" s="159">
        <f>SUM(D137:D142)</f>
        <v>0</v>
      </c>
      <c r="E143" s="159">
        <f t="shared" ref="E143:O143" si="71">SUM(E137:E142)</f>
        <v>0</v>
      </c>
      <c r="F143" s="159">
        <f t="shared" si="71"/>
        <v>0</v>
      </c>
      <c r="G143" s="159">
        <f t="shared" si="71"/>
        <v>0</v>
      </c>
      <c r="H143" s="159">
        <f t="shared" si="71"/>
        <v>0</v>
      </c>
      <c r="I143" s="159">
        <f t="shared" si="71"/>
        <v>0</v>
      </c>
      <c r="J143" s="159">
        <f>SUM(J137:J142)</f>
        <v>32814.273497183342</v>
      </c>
      <c r="K143" s="159">
        <f t="shared" si="71"/>
        <v>36899.533030865721</v>
      </c>
      <c r="L143" s="159">
        <f t="shared" si="71"/>
        <v>31570.697897793609</v>
      </c>
      <c r="M143" s="159">
        <f t="shared" si="71"/>
        <v>27290.3480203217</v>
      </c>
      <c r="N143" s="159">
        <f t="shared" si="71"/>
        <v>30162.931796820303</v>
      </c>
      <c r="O143" s="159">
        <f t="shared" si="71"/>
        <v>28559.140514837371</v>
      </c>
      <c r="P143" s="159">
        <f t="shared" ref="P143" si="72">SUM(P137:P142)</f>
        <v>30368.772359309263</v>
      </c>
    </row>
    <row r="144" spans="2:16" s="133" customFormat="1">
      <c r="B144" s="111"/>
      <c r="C144" s="111"/>
      <c r="D144" s="242"/>
      <c r="E144" s="242"/>
      <c r="F144" s="242"/>
      <c r="G144" s="242"/>
      <c r="H144" s="242"/>
      <c r="I144" s="242"/>
      <c r="J144" s="242"/>
      <c r="K144" s="242"/>
      <c r="L144" s="242"/>
      <c r="M144" s="242"/>
      <c r="N144" s="242"/>
      <c r="O144" s="242"/>
      <c r="P144" s="242"/>
    </row>
    <row r="145" spans="1:16" s="133" customFormat="1">
      <c r="B145" s="111" t="str">
        <f>B50</f>
        <v>Exceptional Items</v>
      </c>
      <c r="C145" s="111" t="str">
        <f>C50</f>
        <v>Exceptional Items</v>
      </c>
      <c r="D145" s="159">
        <f t="shared" ref="D145:O145" si="73">D50/D123*D86*D90</f>
        <v>0</v>
      </c>
      <c r="E145" s="159">
        <f t="shared" si="73"/>
        <v>0</v>
      </c>
      <c r="F145" s="159">
        <f t="shared" si="73"/>
        <v>0</v>
      </c>
      <c r="G145" s="159">
        <f t="shared" si="73"/>
        <v>0</v>
      </c>
      <c r="H145" s="159">
        <f t="shared" si="73"/>
        <v>0</v>
      </c>
      <c r="I145" s="159">
        <f t="shared" si="73"/>
        <v>0</v>
      </c>
      <c r="J145" s="159">
        <f t="shared" si="73"/>
        <v>0</v>
      </c>
      <c r="K145" s="159">
        <f t="shared" si="73"/>
        <v>0</v>
      </c>
      <c r="L145" s="159">
        <f t="shared" si="73"/>
        <v>20925.069029192116</v>
      </c>
      <c r="M145" s="159">
        <f t="shared" si="73"/>
        <v>0</v>
      </c>
      <c r="N145" s="159">
        <f t="shared" si="73"/>
        <v>0</v>
      </c>
      <c r="O145" s="159">
        <f t="shared" si="73"/>
        <v>0</v>
      </c>
      <c r="P145" s="159">
        <f t="shared" ref="P145" si="74">P50/P123*P86*P90</f>
        <v>0</v>
      </c>
    </row>
    <row r="146" spans="1:16" s="133" customFormat="1">
      <c r="B146" s="67" t="str">
        <f>B51</f>
        <v>Exceptional Items Total</v>
      </c>
      <c r="C146" s="111"/>
      <c r="D146" s="159">
        <f>D145</f>
        <v>0</v>
      </c>
      <c r="E146" s="159">
        <f t="shared" ref="E146:O146" si="75">E145</f>
        <v>0</v>
      </c>
      <c r="F146" s="159">
        <f t="shared" si="75"/>
        <v>0</v>
      </c>
      <c r="G146" s="159">
        <f t="shared" si="75"/>
        <v>0</v>
      </c>
      <c r="H146" s="159">
        <f t="shared" si="75"/>
        <v>0</v>
      </c>
      <c r="I146" s="159">
        <f t="shared" si="75"/>
        <v>0</v>
      </c>
      <c r="J146" s="159">
        <f t="shared" si="75"/>
        <v>0</v>
      </c>
      <c r="K146" s="159">
        <f t="shared" si="75"/>
        <v>0</v>
      </c>
      <c r="L146" s="159">
        <f t="shared" si="75"/>
        <v>20925.069029192116</v>
      </c>
      <c r="M146" s="159">
        <f t="shared" si="75"/>
        <v>0</v>
      </c>
      <c r="N146" s="159">
        <f t="shared" si="75"/>
        <v>0</v>
      </c>
      <c r="O146" s="159">
        <f t="shared" si="75"/>
        <v>0</v>
      </c>
      <c r="P146" s="159">
        <f t="shared" ref="P146" si="76">P145</f>
        <v>0</v>
      </c>
    </row>
    <row r="147" spans="1:16" s="133" customFormat="1">
      <c r="B147" s="111"/>
      <c r="C147" s="111"/>
      <c r="D147" s="242"/>
      <c r="E147" s="242"/>
      <c r="F147" s="242"/>
      <c r="G147" s="242"/>
      <c r="H147" s="242"/>
      <c r="I147" s="242"/>
      <c r="J147" s="242"/>
      <c r="K147" s="242"/>
      <c r="L147" s="242"/>
      <c r="M147" s="242"/>
      <c r="N147" s="242"/>
      <c r="O147" s="242"/>
      <c r="P147" s="242"/>
    </row>
    <row r="148" spans="1:16" s="133" customFormat="1">
      <c r="B148" s="111" t="str">
        <f>B53</f>
        <v>Grand Total</v>
      </c>
      <c r="C148" s="111"/>
      <c r="D148" s="159">
        <f>D131+D135+D143+D146</f>
        <v>0</v>
      </c>
      <c r="E148" s="159">
        <f t="shared" ref="E148:O148" si="77">E131+E135+E143+E146</f>
        <v>0</v>
      </c>
      <c r="F148" s="159">
        <f t="shared" si="77"/>
        <v>0</v>
      </c>
      <c r="G148" s="159">
        <f t="shared" si="77"/>
        <v>0</v>
      </c>
      <c r="H148" s="159">
        <f t="shared" si="77"/>
        <v>0</v>
      </c>
      <c r="I148" s="159">
        <f t="shared" si="77"/>
        <v>0</v>
      </c>
      <c r="J148" s="159">
        <f>J131+J135+J143+J146</f>
        <v>140333.52566112822</v>
      </c>
      <c r="K148" s="159">
        <f t="shared" si="77"/>
        <v>157120.31526940694</v>
      </c>
      <c r="L148" s="159">
        <f t="shared" si="77"/>
        <v>166894.74557304053</v>
      </c>
      <c r="M148" s="159">
        <f t="shared" si="77"/>
        <v>131118.61363085746</v>
      </c>
      <c r="N148" s="159">
        <f t="shared" si="77"/>
        <v>140314.20265143045</v>
      </c>
      <c r="O148" s="159">
        <f t="shared" si="77"/>
        <v>163203.20231153283</v>
      </c>
      <c r="P148" s="159">
        <f t="shared" ref="P148" si="78">P131+P135+P143+P146</f>
        <v>164122.11817345762</v>
      </c>
    </row>
    <row r="149" spans="1:16" s="133" customFormat="1">
      <c r="B149" s="111"/>
      <c r="C149" s="111"/>
      <c r="D149" s="242"/>
      <c r="E149" s="242"/>
      <c r="F149" s="242"/>
      <c r="G149" s="242"/>
      <c r="H149" s="242"/>
      <c r="I149" s="242"/>
      <c r="J149" s="242"/>
      <c r="K149" s="242"/>
      <c r="L149" s="242"/>
      <c r="M149" s="242"/>
      <c r="N149" s="242"/>
      <c r="O149" s="242"/>
      <c r="P149" s="242"/>
    </row>
    <row r="150" spans="1:16" s="133" customFormat="1">
      <c r="B150" s="111" t="str">
        <f>B55</f>
        <v>Cost Residual (Ordinary Opex - Elements)</v>
      </c>
      <c r="C150" s="111"/>
      <c r="D150" s="159">
        <f t="shared" ref="D150:O150" si="79">D55/D123*D86*D90</f>
        <v>0</v>
      </c>
      <c r="E150" s="159">
        <f t="shared" si="79"/>
        <v>0</v>
      </c>
      <c r="F150" s="159">
        <f t="shared" si="79"/>
        <v>0</v>
      </c>
      <c r="G150" s="159">
        <f t="shared" si="79"/>
        <v>0</v>
      </c>
      <c r="H150" s="159">
        <f t="shared" si="79"/>
        <v>0</v>
      </c>
      <c r="I150" s="159">
        <f t="shared" si="79"/>
        <v>0</v>
      </c>
      <c r="J150" s="159">
        <f t="shared" si="79"/>
        <v>55739.065221248646</v>
      </c>
      <c r="K150" s="159">
        <f t="shared" si="79"/>
        <v>66664.116574385771</v>
      </c>
      <c r="L150" s="159">
        <f t="shared" si="79"/>
        <v>78331.303441962169</v>
      </c>
      <c r="M150" s="159">
        <f t="shared" si="79"/>
        <v>51137.365073604036</v>
      </c>
      <c r="N150" s="159">
        <f t="shared" si="79"/>
        <v>51475.780002776053</v>
      </c>
      <c r="O150" s="159">
        <f t="shared" si="79"/>
        <v>26450.70616958087</v>
      </c>
      <c r="P150" s="159">
        <f t="shared" ref="P150" si="80">P55/P123*P86*P90</f>
        <v>23852.048076727286</v>
      </c>
    </row>
    <row r="151" spans="1:16" s="133" customFormat="1">
      <c r="B151" s="111"/>
      <c r="C151" s="111"/>
      <c r="D151" s="242"/>
      <c r="E151" s="242"/>
      <c r="F151" s="242"/>
      <c r="G151" s="242"/>
      <c r="H151" s="242"/>
      <c r="I151" s="242"/>
      <c r="J151" s="242"/>
      <c r="K151" s="242"/>
      <c r="L151" s="242"/>
      <c r="M151" s="242"/>
      <c r="N151" s="242"/>
      <c r="O151" s="242"/>
      <c r="P151" s="242"/>
    </row>
    <row r="152" spans="1:16" s="133" customFormat="1">
      <c r="B152" s="111" t="str">
        <f>B57</f>
        <v>Ordinary Opex (per accounts - including staff, depreciation and other, excluding exceptional)</v>
      </c>
      <c r="C152" s="111"/>
      <c r="D152" s="159">
        <f t="shared" ref="D152:O152" si="81">D131+D135+D143+D150</f>
        <v>0</v>
      </c>
      <c r="E152" s="159">
        <f t="shared" si="81"/>
        <v>0</v>
      </c>
      <c r="F152" s="159">
        <f t="shared" si="81"/>
        <v>0</v>
      </c>
      <c r="G152" s="159">
        <f t="shared" si="81"/>
        <v>0</v>
      </c>
      <c r="H152" s="159">
        <f t="shared" si="81"/>
        <v>0</v>
      </c>
      <c r="I152" s="159">
        <f t="shared" si="81"/>
        <v>0</v>
      </c>
      <c r="J152" s="159">
        <f t="shared" si="81"/>
        <v>196072.59088237688</v>
      </c>
      <c r="K152" s="159">
        <f t="shared" si="81"/>
        <v>223784.43184379273</v>
      </c>
      <c r="L152" s="159">
        <f t="shared" si="81"/>
        <v>224300.97998581058</v>
      </c>
      <c r="M152" s="159">
        <f t="shared" si="81"/>
        <v>182255.97870446151</v>
      </c>
      <c r="N152" s="159">
        <f t="shared" si="81"/>
        <v>191789.98265420651</v>
      </c>
      <c r="O152" s="159">
        <f t="shared" si="81"/>
        <v>189653.9084811137</v>
      </c>
      <c r="P152" s="159">
        <f t="shared" ref="P152" si="82">P131+P135+P143+P150</f>
        <v>187974.16625018491</v>
      </c>
    </row>
    <row r="153" spans="1:16" s="133" customFormat="1">
      <c r="B153" s="111"/>
      <c r="C153" s="111"/>
      <c r="D153" s="242"/>
      <c r="E153" s="242"/>
      <c r="F153" s="242"/>
      <c r="G153" s="242"/>
      <c r="H153" s="242"/>
      <c r="I153" s="242"/>
      <c r="J153" s="242"/>
      <c r="K153" s="242"/>
      <c r="L153" s="242"/>
      <c r="M153" s="242"/>
      <c r="N153" s="242"/>
      <c r="O153" s="242"/>
      <c r="P153" s="242"/>
    </row>
    <row r="154" spans="1:16" s="133" customFormat="1">
      <c r="B154" s="111" t="str">
        <f>B59</f>
        <v>Total Opex (ordinary + exceptional)</v>
      </c>
      <c r="C154" s="111"/>
      <c r="D154" s="97">
        <f t="shared" ref="D154:O154" si="83">D152+D145</f>
        <v>0</v>
      </c>
      <c r="E154" s="97">
        <f t="shared" si="83"/>
        <v>0</v>
      </c>
      <c r="F154" s="97">
        <f t="shared" si="83"/>
        <v>0</v>
      </c>
      <c r="G154" s="97">
        <f t="shared" si="83"/>
        <v>0</v>
      </c>
      <c r="H154" s="97">
        <f t="shared" si="83"/>
        <v>0</v>
      </c>
      <c r="I154" s="97">
        <f t="shared" si="83"/>
        <v>0</v>
      </c>
      <c r="J154" s="97">
        <f t="shared" si="83"/>
        <v>196072.59088237688</v>
      </c>
      <c r="K154" s="97">
        <f t="shared" si="83"/>
        <v>223784.43184379273</v>
      </c>
      <c r="L154" s="97">
        <f t="shared" si="83"/>
        <v>245226.0490150027</v>
      </c>
      <c r="M154" s="97">
        <f t="shared" si="83"/>
        <v>182255.97870446151</v>
      </c>
      <c r="N154" s="97">
        <f t="shared" si="83"/>
        <v>191789.98265420651</v>
      </c>
      <c r="O154" s="97">
        <f t="shared" si="83"/>
        <v>189653.9084811137</v>
      </c>
      <c r="P154" s="97">
        <f t="shared" ref="P154" si="84">P152+P145</f>
        <v>187974.16625018491</v>
      </c>
    </row>
    <row r="155" spans="1:16" s="133" customFormat="1">
      <c r="B155" s="111"/>
      <c r="C155" s="111"/>
      <c r="D155" s="185"/>
      <c r="E155" s="185"/>
      <c r="F155" s="185"/>
      <c r="G155" s="185"/>
      <c r="H155" s="185"/>
      <c r="I155" s="185"/>
      <c r="J155" s="185"/>
      <c r="K155" s="185"/>
      <c r="L155" s="185"/>
      <c r="M155" s="185"/>
      <c r="N155" s="185"/>
      <c r="O155" s="185"/>
      <c r="P155" s="185"/>
    </row>
    <row r="156" spans="1:16" s="133" customFormat="1">
      <c r="B156" s="111" t="str">
        <f>B61</f>
        <v>Retail Estimate</v>
      </c>
      <c r="C156" s="111"/>
      <c r="D156" s="159">
        <f t="shared" ref="D156:O156" si="85">D61/D123*D86*D90</f>
        <v>0</v>
      </c>
      <c r="E156" s="159">
        <f t="shared" si="85"/>
        <v>0</v>
      </c>
      <c r="F156" s="159">
        <f t="shared" si="85"/>
        <v>0</v>
      </c>
      <c r="G156" s="159">
        <f t="shared" si="85"/>
        <v>0</v>
      </c>
      <c r="H156" s="159">
        <f t="shared" si="85"/>
        <v>0</v>
      </c>
      <c r="I156" s="159">
        <f t="shared" si="85"/>
        <v>0</v>
      </c>
      <c r="J156" s="159">
        <f t="shared" si="85"/>
        <v>1755.2272871428213</v>
      </c>
      <c r="K156" s="159">
        <f t="shared" si="85"/>
        <v>3103.9625250740928</v>
      </c>
      <c r="L156" s="159">
        <f t="shared" si="85"/>
        <v>3599.6171016730832</v>
      </c>
      <c r="M156" s="159">
        <f t="shared" si="85"/>
        <v>4432.1608114524943</v>
      </c>
      <c r="N156" s="159">
        <f t="shared" si="85"/>
        <v>5541.1272143415808</v>
      </c>
      <c r="O156" s="159">
        <f t="shared" si="85"/>
        <v>6289.9857871087797</v>
      </c>
      <c r="P156" s="159">
        <f>P61/P123*P86*P90</f>
        <v>9365.8667948182647</v>
      </c>
    </row>
    <row r="157" spans="1:16" s="133" customFormat="1">
      <c r="B157" s="111"/>
      <c r="C157" s="111"/>
      <c r="D157" s="185"/>
      <c r="E157" s="185"/>
      <c r="F157" s="185"/>
      <c r="G157" s="185"/>
      <c r="H157" s="185"/>
      <c r="I157" s="185"/>
      <c r="J157" s="185"/>
      <c r="K157" s="185"/>
      <c r="L157" s="185"/>
      <c r="M157" s="185"/>
      <c r="N157" s="185"/>
      <c r="O157" s="185"/>
      <c r="P157" s="185"/>
    </row>
    <row r="158" spans="1:16" s="133" customFormat="1">
      <c r="A158" s="134"/>
      <c r="B158" s="111" t="str">
        <f>B63</f>
        <v>Adjusted Ordinary Opex (ordinary opex - depreciation - ANS - retail)</v>
      </c>
      <c r="C158" s="111"/>
      <c r="D158" s="159">
        <f>D152-D135-D142-D156</f>
        <v>0</v>
      </c>
      <c r="E158" s="159">
        <f t="shared" ref="E158:N158" si="86">E152-E135-E142-E156</f>
        <v>0</v>
      </c>
      <c r="F158" s="159">
        <f t="shared" si="86"/>
        <v>0</v>
      </c>
      <c r="G158" s="159">
        <f t="shared" si="86"/>
        <v>0</v>
      </c>
      <c r="H158" s="159">
        <f t="shared" si="86"/>
        <v>0</v>
      </c>
      <c r="I158" s="159">
        <f t="shared" si="86"/>
        <v>0</v>
      </c>
      <c r="J158" s="159">
        <f>J152-J135-J142-J156</f>
        <v>159508.13039381857</v>
      </c>
      <c r="K158" s="159">
        <f t="shared" si="86"/>
        <v>181023.10445566045</v>
      </c>
      <c r="L158" s="159">
        <f t="shared" si="86"/>
        <v>183477.8191324283</v>
      </c>
      <c r="M158" s="159">
        <f t="shared" si="86"/>
        <v>143880.07782504879</v>
      </c>
      <c r="N158" s="159">
        <f t="shared" si="86"/>
        <v>142580.7212972987</v>
      </c>
      <c r="O158" s="159">
        <f>O152-O135-O142-O156</f>
        <v>118764.67282204979</v>
      </c>
      <c r="P158" s="159">
        <f>P152-P135-P142-P156</f>
        <v>113526.27188169345</v>
      </c>
    </row>
    <row r="159" spans="1:16" s="133" customFormat="1">
      <c r="B159" s="111"/>
      <c r="C159" s="111"/>
      <c r="D159" s="242"/>
      <c r="E159" s="242"/>
      <c r="F159" s="242"/>
      <c r="G159" s="242"/>
      <c r="H159" s="242"/>
      <c r="I159" s="242"/>
      <c r="J159" s="242"/>
      <c r="K159" s="242"/>
      <c r="L159" s="242"/>
      <c r="M159" s="242"/>
      <c r="N159" s="242"/>
      <c r="O159" s="242"/>
      <c r="P159" s="242"/>
    </row>
    <row r="160" spans="1:16" s="133" customFormat="1">
      <c r="B160" s="111" t="str">
        <f>B65</f>
        <v>Turnover (per accounts)</v>
      </c>
      <c r="C160" s="111"/>
      <c r="D160" s="159">
        <f t="shared" ref="D160:O160" si="87">D65*D86*D90</f>
        <v>0</v>
      </c>
      <c r="E160" s="159">
        <f t="shared" si="87"/>
        <v>0</v>
      </c>
      <c r="F160" s="159">
        <f t="shared" si="87"/>
        <v>0</v>
      </c>
      <c r="G160" s="159">
        <f t="shared" si="87"/>
        <v>0</v>
      </c>
      <c r="H160" s="159">
        <f t="shared" si="87"/>
        <v>0</v>
      </c>
      <c r="I160" s="159">
        <f t="shared" si="87"/>
        <v>0</v>
      </c>
      <c r="J160" s="159">
        <f t="shared" si="87"/>
        <v>299439.23305787204</v>
      </c>
      <c r="K160" s="159">
        <f t="shared" si="87"/>
        <v>331761.05669003783</v>
      </c>
      <c r="L160" s="159">
        <f t="shared" si="87"/>
        <v>323408.98702202318</v>
      </c>
      <c r="M160" s="159">
        <f t="shared" si="87"/>
        <v>284742.21613482671</v>
      </c>
      <c r="N160" s="159">
        <f t="shared" si="87"/>
        <v>276957.1014000143</v>
      </c>
      <c r="O160" s="159">
        <f t="shared" si="87"/>
        <v>285224.19054022268</v>
      </c>
      <c r="P160" s="159">
        <f t="shared" ref="P160" si="88">P65*P86*P90</f>
        <v>286877.25185915321</v>
      </c>
    </row>
    <row r="161" spans="1:24" s="133" customFormat="1">
      <c r="B161" s="111"/>
      <c r="C161" s="111"/>
      <c r="D161" s="242"/>
      <c r="E161" s="242"/>
      <c r="F161" s="242"/>
      <c r="G161" s="242"/>
      <c r="H161" s="242"/>
      <c r="I161" s="242"/>
      <c r="J161" s="242"/>
      <c r="K161" s="242"/>
      <c r="L161" s="242"/>
      <c r="M161" s="242"/>
      <c r="N161" s="242"/>
      <c r="O161" s="242"/>
      <c r="P161" s="242"/>
    </row>
    <row r="162" spans="1:24" s="133" customFormat="1">
      <c r="B162" s="111" t="str">
        <f>B67</f>
        <v>Operating Profit (pre-exceptional)</v>
      </c>
      <c r="C162" s="111"/>
      <c r="D162" s="159">
        <f t="shared" ref="D162:O162" si="89">D160-D152</f>
        <v>0</v>
      </c>
      <c r="E162" s="159">
        <f t="shared" si="89"/>
        <v>0</v>
      </c>
      <c r="F162" s="159">
        <f t="shared" si="89"/>
        <v>0</v>
      </c>
      <c r="G162" s="159">
        <f t="shared" si="89"/>
        <v>0</v>
      </c>
      <c r="H162" s="159">
        <f t="shared" si="89"/>
        <v>0</v>
      </c>
      <c r="I162" s="159">
        <f t="shared" si="89"/>
        <v>0</v>
      </c>
      <c r="J162" s="159">
        <f t="shared" si="89"/>
        <v>103366.64217549516</v>
      </c>
      <c r="K162" s="159">
        <f t="shared" si="89"/>
        <v>107976.6248462451</v>
      </c>
      <c r="L162" s="159">
        <f t="shared" si="89"/>
        <v>99108.007036212599</v>
      </c>
      <c r="M162" s="159">
        <f t="shared" si="89"/>
        <v>102486.2374303652</v>
      </c>
      <c r="N162" s="159">
        <f t="shared" si="89"/>
        <v>85167.118745807791</v>
      </c>
      <c r="O162" s="159">
        <f t="shared" si="89"/>
        <v>95570.282059108984</v>
      </c>
      <c r="P162" s="159">
        <f t="shared" ref="P162" si="90">P160-P152</f>
        <v>98903.085608968307</v>
      </c>
    </row>
    <row r="163" spans="1:24" s="133" customFormat="1">
      <c r="B163" s="111"/>
      <c r="C163" s="111"/>
      <c r="D163" s="242"/>
      <c r="E163" s="242"/>
      <c r="F163" s="242"/>
      <c r="G163" s="242"/>
      <c r="H163" s="242"/>
      <c r="I163" s="242"/>
      <c r="J163" s="242"/>
      <c r="K163" s="242"/>
      <c r="L163" s="242"/>
      <c r="M163" s="242"/>
      <c r="N163" s="242"/>
      <c r="O163" s="242"/>
      <c r="P163" s="242"/>
    </row>
    <row r="164" spans="1:24" s="133" customFormat="1">
      <c r="B164" s="111" t="str">
        <f>B69</f>
        <v>Profit Margin</v>
      </c>
      <c r="C164" s="111"/>
      <c r="D164" s="162" t="e">
        <f t="shared" ref="D164:I164" si="91">D162/D160</f>
        <v>#DIV/0!</v>
      </c>
      <c r="E164" s="162" t="e">
        <f t="shared" si="91"/>
        <v>#DIV/0!</v>
      </c>
      <c r="F164" s="162" t="e">
        <f t="shared" si="91"/>
        <v>#DIV/0!</v>
      </c>
      <c r="G164" s="162" t="e">
        <f t="shared" si="91"/>
        <v>#DIV/0!</v>
      </c>
      <c r="H164" s="162" t="e">
        <f t="shared" si="91"/>
        <v>#DIV/0!</v>
      </c>
      <c r="I164" s="162" t="e">
        <f t="shared" si="91"/>
        <v>#DIV/0!</v>
      </c>
      <c r="J164" s="162">
        <f t="shared" ref="J164:O164" si="92">J162/J160</f>
        <v>0.34520073111300575</v>
      </c>
      <c r="K164" s="162">
        <f t="shared" si="92"/>
        <v>0.32546503777002056</v>
      </c>
      <c r="L164" s="162">
        <f t="shared" si="92"/>
        <v>0.30644790656192755</v>
      </c>
      <c r="M164" s="162">
        <f t="shared" si="92"/>
        <v>0.35992638823123269</v>
      </c>
      <c r="N164" s="162">
        <f t="shared" si="92"/>
        <v>0.30751014621141393</v>
      </c>
      <c r="O164" s="162">
        <f t="shared" si="92"/>
        <v>0.33507074514996843</v>
      </c>
      <c r="P164" s="162">
        <f t="shared" ref="P164" si="93">P162/P160</f>
        <v>0.34475750505838748</v>
      </c>
    </row>
    <row r="165" spans="1:24" s="133" customFormat="1">
      <c r="B165" s="111"/>
      <c r="C165" s="111"/>
      <c r="D165" s="161"/>
      <c r="E165" s="161"/>
      <c r="F165" s="161"/>
      <c r="G165" s="161"/>
      <c r="H165" s="161"/>
      <c r="I165" s="161"/>
      <c r="J165" s="161"/>
      <c r="K165" s="161"/>
      <c r="L165" s="161"/>
      <c r="M165" s="161"/>
      <c r="N165" s="161"/>
      <c r="O165" s="161"/>
      <c r="P165" s="161"/>
    </row>
    <row r="166" spans="1:24" s="133" customFormat="1">
      <c r="B166" s="153" t="s">
        <v>1148</v>
      </c>
      <c r="C166" s="94"/>
      <c r="D166" s="94"/>
      <c r="E166" s="94"/>
      <c r="F166" s="94"/>
      <c r="G166" s="94"/>
      <c r="H166" s="94"/>
      <c r="I166" s="94"/>
      <c r="J166" s="94"/>
      <c r="K166" s="94"/>
      <c r="L166" s="94"/>
      <c r="M166" s="94"/>
      <c r="N166" s="94"/>
      <c r="O166" s="94"/>
      <c r="P166" s="94"/>
    </row>
    <row r="167" spans="1:24" s="133" customFormat="1">
      <c r="B167" s="90"/>
      <c r="C167" s="90"/>
      <c r="D167" s="90"/>
      <c r="E167" s="90"/>
      <c r="F167" s="90"/>
      <c r="G167" s="90"/>
      <c r="H167" s="90"/>
      <c r="I167" s="90"/>
      <c r="J167" s="90"/>
      <c r="K167" s="90"/>
      <c r="L167" s="90"/>
      <c r="M167" s="90"/>
      <c r="N167" s="90"/>
      <c r="O167" s="90"/>
      <c r="P167" s="90"/>
    </row>
    <row r="168" spans="1:24" s="133" customFormat="1">
      <c r="B168" s="90" t="s">
        <v>1127</v>
      </c>
      <c r="C168" s="90"/>
      <c r="D168" s="209" t="e">
        <f t="shared" ref="D168:O168" si="94">(D154/D71)*1000</f>
        <v>#DIV/0!</v>
      </c>
      <c r="E168" s="209" t="e">
        <f t="shared" si="94"/>
        <v>#DIV/0!</v>
      </c>
      <c r="F168" s="209" t="e">
        <f t="shared" si="94"/>
        <v>#DIV/0!</v>
      </c>
      <c r="G168" s="209" t="e">
        <f t="shared" si="94"/>
        <v>#DIV/0!</v>
      </c>
      <c r="H168" s="209" t="e">
        <f t="shared" si="94"/>
        <v>#DIV/0!</v>
      </c>
      <c r="I168" s="209" t="e">
        <f t="shared" si="94"/>
        <v>#DIV/0!</v>
      </c>
      <c r="J168" s="209">
        <f t="shared" si="94"/>
        <v>9.2502857743541753</v>
      </c>
      <c r="K168" s="209">
        <f t="shared" si="94"/>
        <v>9.609663022776175</v>
      </c>
      <c r="L168" s="209">
        <f t="shared" si="94"/>
        <v>11.960101059678355</v>
      </c>
      <c r="M168" s="209">
        <f t="shared" si="94"/>
        <v>7.7665753289611619</v>
      </c>
      <c r="N168" s="209">
        <f t="shared" si="94"/>
        <v>10.405800916008241</v>
      </c>
      <c r="O168" s="209">
        <f t="shared" si="94"/>
        <v>10.119952366561384</v>
      </c>
      <c r="P168" s="209">
        <f t="shared" ref="P168" si="95">(P154/P71)*1000</f>
        <v>9.8417602464937914</v>
      </c>
    </row>
    <row r="169" spans="1:24" s="133" customFormat="1">
      <c r="B169" s="90" t="s">
        <v>299</v>
      </c>
      <c r="C169" s="90"/>
      <c r="D169" s="209" t="e">
        <f t="shared" ref="D169:O169" si="96">(D152/D71)*1000</f>
        <v>#DIV/0!</v>
      </c>
      <c r="E169" s="209" t="e">
        <f t="shared" si="96"/>
        <v>#DIV/0!</v>
      </c>
      <c r="F169" s="209" t="e">
        <f t="shared" si="96"/>
        <v>#DIV/0!</v>
      </c>
      <c r="G169" s="209" t="e">
        <f t="shared" si="96"/>
        <v>#DIV/0!</v>
      </c>
      <c r="H169" s="209" t="e">
        <f t="shared" si="96"/>
        <v>#DIV/0!</v>
      </c>
      <c r="I169" s="209" t="e">
        <f t="shared" si="96"/>
        <v>#DIV/0!</v>
      </c>
      <c r="J169" s="209">
        <f t="shared" si="96"/>
        <v>9.2502857743541753</v>
      </c>
      <c r="K169" s="209">
        <f t="shared" si="96"/>
        <v>9.609663022776175</v>
      </c>
      <c r="L169" s="209">
        <f t="shared" si="96"/>
        <v>10.93954903726832</v>
      </c>
      <c r="M169" s="209">
        <f t="shared" si="96"/>
        <v>7.7665753289611619</v>
      </c>
      <c r="N169" s="209">
        <f t="shared" si="96"/>
        <v>10.405800916008241</v>
      </c>
      <c r="O169" s="209">
        <f t="shared" si="96"/>
        <v>10.119952366561384</v>
      </c>
      <c r="P169" s="209">
        <f t="shared" ref="P169" si="97">(P152/P71)*1000</f>
        <v>9.8417602464937914</v>
      </c>
    </row>
    <row r="170" spans="1:24" s="133" customFormat="1">
      <c r="B170" s="90" t="s">
        <v>300</v>
      </c>
      <c r="C170" s="90"/>
      <c r="D170" s="209" t="e">
        <f t="shared" ref="D170:O170" si="98">(D158/D71)*1000</f>
        <v>#DIV/0!</v>
      </c>
      <c r="E170" s="209" t="e">
        <f t="shared" si="98"/>
        <v>#DIV/0!</v>
      </c>
      <c r="F170" s="209" t="e">
        <f t="shared" si="98"/>
        <v>#DIV/0!</v>
      </c>
      <c r="G170" s="209" t="e">
        <f t="shared" si="98"/>
        <v>#DIV/0!</v>
      </c>
      <c r="H170" s="209" t="e">
        <f t="shared" si="98"/>
        <v>#DIV/0!</v>
      </c>
      <c r="I170" s="209" t="e">
        <f t="shared" si="98"/>
        <v>#DIV/0!</v>
      </c>
      <c r="J170" s="209">
        <f t="shared" si="98"/>
        <v>7.5252526772643833</v>
      </c>
      <c r="K170" s="209">
        <f t="shared" si="98"/>
        <v>7.773422926801155</v>
      </c>
      <c r="L170" s="209">
        <f t="shared" si="98"/>
        <v>8.9485324574918099</v>
      </c>
      <c r="M170" s="209">
        <f t="shared" si="98"/>
        <v>6.1312417332385776</v>
      </c>
      <c r="N170" s="209">
        <f t="shared" si="98"/>
        <v>7.7358920405950897</v>
      </c>
      <c r="O170" s="209">
        <f t="shared" si="98"/>
        <v>6.3372953471669646</v>
      </c>
      <c r="P170" s="209">
        <f t="shared" ref="P170" si="99">(P158/P71)*1000</f>
        <v>5.9438930988571288</v>
      </c>
    </row>
    <row r="171" spans="1:24" s="133" customFormat="1">
      <c r="B171" s="90" t="s">
        <v>265</v>
      </c>
      <c r="C171" s="90"/>
      <c r="D171" s="209" t="e">
        <f t="shared" ref="D171:O171" si="100">D131*1000/D71</f>
        <v>#DIV/0!</v>
      </c>
      <c r="E171" s="209" t="e">
        <f t="shared" si="100"/>
        <v>#DIV/0!</v>
      </c>
      <c r="F171" s="209" t="e">
        <f t="shared" si="100"/>
        <v>#DIV/0!</v>
      </c>
      <c r="G171" s="209" t="e">
        <f t="shared" si="100"/>
        <v>#DIV/0!</v>
      </c>
      <c r="H171" s="209" t="e">
        <f t="shared" si="100"/>
        <v>#DIV/0!</v>
      </c>
      <c r="I171" s="209" t="e">
        <f t="shared" si="100"/>
        <v>#DIV/0!</v>
      </c>
      <c r="J171" s="209">
        <f t="shared" si="100"/>
        <v>3.5192828506893408</v>
      </c>
      <c r="K171" s="209">
        <f t="shared" si="100"/>
        <v>3.5745996019099846</v>
      </c>
      <c r="L171" s="209">
        <f t="shared" si="100"/>
        <v>3.8707629905761061</v>
      </c>
      <c r="M171" s="209">
        <f t="shared" si="100"/>
        <v>3.0729373592094036</v>
      </c>
      <c r="N171" s="209">
        <f t="shared" si="100"/>
        <v>3.6932661792721961</v>
      </c>
      <c r="O171" s="209">
        <f t="shared" si="100"/>
        <v>3.8113265238750302</v>
      </c>
      <c r="P171" s="209">
        <f t="shared" ref="P171" si="101">P131*1000/P71</f>
        <v>3.6593728426410843</v>
      </c>
    </row>
    <row r="172" spans="1:24" s="133" customFormat="1">
      <c r="B172" s="111" t="s">
        <v>1136</v>
      </c>
      <c r="C172" s="111"/>
      <c r="D172" s="159" t="e">
        <f t="shared" ref="D172:O172" si="102">D131/D73*1000</f>
        <v>#DIV/0!</v>
      </c>
      <c r="E172" s="159" t="e">
        <f t="shared" si="102"/>
        <v>#DIV/0!</v>
      </c>
      <c r="F172" s="159" t="e">
        <f t="shared" si="102"/>
        <v>#DIV/0!</v>
      </c>
      <c r="G172" s="159" t="e">
        <f t="shared" si="102"/>
        <v>#DIV/0!</v>
      </c>
      <c r="H172" s="159" t="e">
        <f t="shared" si="102"/>
        <v>#DIV/0!</v>
      </c>
      <c r="I172" s="159" t="e">
        <f t="shared" si="102"/>
        <v>#DIV/0!</v>
      </c>
      <c r="J172" s="159">
        <f t="shared" si="102"/>
        <v>42822.080177531701</v>
      </c>
      <c r="K172" s="159">
        <f t="shared" si="102"/>
        <v>44301.898139597368</v>
      </c>
      <c r="L172" s="159">
        <f t="shared" si="102"/>
        <v>39603.230589983301</v>
      </c>
      <c r="M172" s="159">
        <f t="shared" si="102"/>
        <v>37382.961601695315</v>
      </c>
      <c r="N172" s="159">
        <f t="shared" si="102"/>
        <v>37880.258942237793</v>
      </c>
      <c r="O172" s="159">
        <f t="shared" si="102"/>
        <v>36591.454494900987</v>
      </c>
      <c r="P172" s="159">
        <f t="shared" ref="P172" si="103">P131/P73*1000</f>
        <v>36421.436609993194</v>
      </c>
    </row>
    <row r="173" spans="1:24" s="133" customFormat="1">
      <c r="B173" s="111"/>
      <c r="C173" s="111"/>
      <c r="D173" s="161"/>
      <c r="E173" s="161"/>
      <c r="F173" s="161"/>
      <c r="G173" s="161"/>
      <c r="H173" s="161"/>
      <c r="I173" s="161"/>
      <c r="J173" s="161"/>
      <c r="K173" s="161"/>
      <c r="L173" s="161"/>
      <c r="M173" s="161"/>
      <c r="N173" s="161"/>
      <c r="O173" s="161"/>
      <c r="P173" s="161"/>
    </row>
    <row r="174" spans="1:24" s="126" customFormat="1">
      <c r="A174" s="90"/>
      <c r="B174" s="153" t="s">
        <v>163</v>
      </c>
      <c r="C174" s="94"/>
      <c r="D174" s="94"/>
      <c r="E174" s="94"/>
      <c r="F174" s="94"/>
      <c r="G174" s="94"/>
      <c r="H174" s="94"/>
      <c r="I174" s="94"/>
      <c r="J174" s="94"/>
      <c r="K174" s="94"/>
      <c r="L174" s="94"/>
      <c r="M174" s="94"/>
      <c r="N174" s="94"/>
      <c r="O174" s="94"/>
      <c r="P174" s="94"/>
      <c r="Q174" s="90"/>
      <c r="R174" s="90"/>
      <c r="S174" s="90"/>
      <c r="T174" s="90"/>
      <c r="U174" s="90"/>
      <c r="V174" s="90"/>
      <c r="W174" s="90"/>
      <c r="X174" s="90"/>
    </row>
    <row r="244" spans="1:25" s="126" customFormat="1">
      <c r="A244" s="90"/>
      <c r="B244" s="153" t="s">
        <v>163</v>
      </c>
      <c r="C244" s="94"/>
      <c r="D244" s="94"/>
      <c r="E244" s="94"/>
      <c r="F244" s="94"/>
      <c r="G244" s="94"/>
      <c r="H244" s="94"/>
      <c r="I244" s="94"/>
      <c r="J244" s="94"/>
      <c r="K244" s="94"/>
      <c r="L244" s="94"/>
      <c r="M244" s="94"/>
      <c r="N244" s="94"/>
      <c r="O244" s="94"/>
      <c r="P244" s="94"/>
      <c r="R244" s="90"/>
      <c r="S244" s="90"/>
      <c r="T244" s="90"/>
      <c r="U244" s="90"/>
      <c r="V244" s="90"/>
      <c r="W244" s="90"/>
      <c r="X244" s="90"/>
      <c r="Y244"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7.xml><?xml version="1.0" encoding="utf-8"?>
<worksheet xmlns="http://schemas.openxmlformats.org/spreadsheetml/2006/main" xmlns:r="http://schemas.openxmlformats.org/officeDocument/2006/relationships">
  <sheetPr>
    <pageSetUpPr autoPageBreaks="0" fitToPage="1"/>
  </sheetPr>
  <dimension ref="A1:Y226"/>
  <sheetViews>
    <sheetView showGridLines="0" zoomScale="70" zoomScaleNormal="70" workbookViewId="0">
      <pane xSplit="3" ySplit="16" topLeftCell="D151" activePane="bottomRight" state="frozen"/>
      <selection pane="topRight" activeCell="D1" sqref="D1"/>
      <selection pane="bottomLeft" activeCell="A15" sqref="A15"/>
      <selection pane="bottomRight" activeCell="B157" sqref="B157"/>
    </sheetView>
  </sheetViews>
  <sheetFormatPr defaultRowHeight="12.75" outlineLevelRow="2"/>
  <cols>
    <col min="1" max="1" width="7" style="90" customWidth="1"/>
    <col min="2" max="2" width="29.140625" style="90" customWidth="1"/>
    <col min="3" max="3" width="41.5703125" style="90" customWidth="1"/>
    <col min="4" max="15" width="15.7109375" style="90" customWidth="1"/>
    <col min="16" max="16" width="14.14062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row>
    <row r="4" spans="1:17">
      <c r="B4" s="148" t="s">
        <v>130</v>
      </c>
      <c r="C4" s="92"/>
      <c r="D4" s="92"/>
      <c r="E4" s="150">
        <f>Info!$D$16</f>
        <v>2.8</v>
      </c>
      <c r="F4" s="92"/>
      <c r="G4" s="92"/>
      <c r="H4" s="92"/>
      <c r="I4" s="92"/>
      <c r="J4" s="92"/>
      <c r="K4" s="92"/>
      <c r="L4" s="92"/>
      <c r="M4" s="92"/>
      <c r="N4" s="92"/>
      <c r="O4" s="92"/>
      <c r="P4" s="92"/>
    </row>
    <row r="5" spans="1:17">
      <c r="B5" s="151" t="s">
        <v>138</v>
      </c>
      <c r="C5" s="93"/>
      <c r="D5" s="93"/>
      <c r="E5" s="152" t="str">
        <f ca="1">IF(CELL("filename",D1)="","",MID(CELL("filename",A1),FIND("]",CELL("filename",A1))+1,99))</f>
        <v>Hong Kong</v>
      </c>
      <c r="F5" s="93"/>
      <c r="G5" s="93"/>
      <c r="H5" s="93"/>
      <c r="I5" s="93"/>
      <c r="J5" s="93"/>
      <c r="K5" s="93"/>
      <c r="L5" s="93"/>
      <c r="M5" s="93"/>
      <c r="N5" s="93"/>
      <c r="O5" s="93"/>
      <c r="P5" s="93"/>
    </row>
    <row r="8" spans="1:17">
      <c r="B8" s="153" t="s">
        <v>1043</v>
      </c>
      <c r="C8" s="94"/>
      <c r="D8" s="94"/>
      <c r="E8" s="94"/>
      <c r="F8" s="94"/>
      <c r="G8" s="94"/>
      <c r="H8" s="94"/>
      <c r="I8" s="94"/>
      <c r="J8" s="94"/>
      <c r="K8" s="94"/>
      <c r="L8" s="94"/>
      <c r="M8" s="94"/>
      <c r="N8" s="94"/>
      <c r="O8" s="94"/>
      <c r="P8" s="94"/>
    </row>
    <row r="10" spans="1:17">
      <c r="B10" s="138" t="s">
        <v>143</v>
      </c>
      <c r="C10" s="138"/>
      <c r="D10" s="90" t="s">
        <v>270</v>
      </c>
    </row>
    <row r="11" spans="1:17">
      <c r="B11" s="138"/>
      <c r="C11" s="138"/>
      <c r="D11" s="138"/>
    </row>
    <row r="12" spans="1:17">
      <c r="B12" s="153" t="s">
        <v>355</v>
      </c>
      <c r="C12" s="94"/>
      <c r="D12" s="94"/>
      <c r="E12" s="94"/>
      <c r="F12" s="94"/>
      <c r="G12" s="94"/>
      <c r="H12" s="94"/>
      <c r="I12" s="94"/>
      <c r="J12" s="94"/>
      <c r="K12" s="94"/>
      <c r="L12" s="94"/>
      <c r="M12" s="94"/>
      <c r="N12" s="94"/>
      <c r="O12" s="94"/>
      <c r="P12" s="94"/>
    </row>
    <row r="13" spans="1:17">
      <c r="B13" s="138"/>
      <c r="C13" s="138"/>
      <c r="D13" s="138"/>
    </row>
    <row r="14" spans="1:17">
      <c r="B14" s="101" t="s">
        <v>376</v>
      </c>
      <c r="C14" s="101"/>
    </row>
    <row r="15" spans="1:17">
      <c r="B15" s="101"/>
      <c r="C15" s="101"/>
    </row>
    <row r="16" spans="1:17">
      <c r="B16" s="138" t="s">
        <v>271</v>
      </c>
      <c r="C16" s="138"/>
      <c r="D16" s="119" t="s">
        <v>109</v>
      </c>
      <c r="E16" s="119" t="s">
        <v>110</v>
      </c>
      <c r="F16" s="119" t="s">
        <v>111</v>
      </c>
      <c r="G16" s="119" t="s">
        <v>22</v>
      </c>
      <c r="H16" s="119" t="s">
        <v>23</v>
      </c>
      <c r="I16" s="119" t="s">
        <v>24</v>
      </c>
      <c r="J16" s="119" t="s">
        <v>25</v>
      </c>
      <c r="K16" s="119" t="s">
        <v>26</v>
      </c>
      <c r="L16" s="119" t="s">
        <v>27</v>
      </c>
      <c r="M16" s="119" t="s">
        <v>28</v>
      </c>
      <c r="N16" s="119" t="s">
        <v>29</v>
      </c>
      <c r="O16" s="119" t="s">
        <v>247</v>
      </c>
      <c r="P16" s="119" t="s">
        <v>1183</v>
      </c>
      <c r="Q16" s="90"/>
    </row>
    <row r="17" spans="1:24">
      <c r="B17" s="138" t="s">
        <v>157</v>
      </c>
      <c r="C17" s="138"/>
      <c r="D17" s="154">
        <v>2001</v>
      </c>
      <c r="E17" s="154">
        <v>2002</v>
      </c>
      <c r="F17" s="154">
        <v>2003</v>
      </c>
      <c r="G17" s="154">
        <v>2004</v>
      </c>
      <c r="H17" s="154">
        <v>2005</v>
      </c>
      <c r="I17" s="154">
        <v>2006</v>
      </c>
      <c r="J17" s="154">
        <v>2006</v>
      </c>
      <c r="K17" s="154">
        <v>2007</v>
      </c>
      <c r="L17" s="154">
        <v>2008</v>
      </c>
      <c r="M17" s="154">
        <v>2009</v>
      </c>
      <c r="N17" s="154">
        <v>2010</v>
      </c>
      <c r="O17" s="154">
        <v>2011</v>
      </c>
      <c r="P17" s="154">
        <v>2012</v>
      </c>
      <c r="Q17" s="90"/>
    </row>
    <row r="18" spans="1:24">
      <c r="B18" s="138" t="s">
        <v>164</v>
      </c>
      <c r="C18" s="138"/>
      <c r="D18" s="154" t="s">
        <v>160</v>
      </c>
      <c r="E18" s="154" t="s">
        <v>160</v>
      </c>
      <c r="F18" s="154" t="s">
        <v>160</v>
      </c>
      <c r="G18" s="154" t="s">
        <v>160</v>
      </c>
      <c r="H18" s="154" t="s">
        <v>160</v>
      </c>
      <c r="I18" s="154" t="s">
        <v>160</v>
      </c>
      <c r="J18" s="154" t="s">
        <v>160</v>
      </c>
      <c r="K18" s="154" t="s">
        <v>160</v>
      </c>
      <c r="L18" s="154" t="s">
        <v>160</v>
      </c>
      <c r="M18" s="154" t="s">
        <v>160</v>
      </c>
      <c r="N18" s="154" t="s">
        <v>160</v>
      </c>
      <c r="O18" s="154" t="s">
        <v>160</v>
      </c>
      <c r="P18" s="154" t="s">
        <v>160</v>
      </c>
      <c r="Q18" s="90"/>
    </row>
    <row r="19" spans="1:24">
      <c r="B19" s="133"/>
      <c r="C19" s="133"/>
      <c r="D19" s="133"/>
      <c r="E19" s="133"/>
      <c r="F19" s="133"/>
      <c r="G19" s="133"/>
      <c r="H19" s="133"/>
      <c r="I19" s="133"/>
      <c r="J19" s="133"/>
      <c r="K19" s="133"/>
      <c r="L19" s="133"/>
      <c r="M19" s="133"/>
      <c r="N19" s="133"/>
      <c r="O19" s="133"/>
      <c r="P19" s="126"/>
      <c r="Q19" s="90"/>
    </row>
    <row r="20" spans="1:24">
      <c r="B20" s="106" t="s">
        <v>1314</v>
      </c>
      <c r="C20" s="106" t="s">
        <v>1315</v>
      </c>
      <c r="D20" s="133"/>
      <c r="E20" s="133"/>
      <c r="F20" s="133"/>
      <c r="G20" s="133"/>
      <c r="H20" s="133"/>
      <c r="I20" s="133"/>
      <c r="J20" s="133"/>
      <c r="K20" s="133"/>
      <c r="L20" s="133"/>
      <c r="M20" s="133"/>
      <c r="N20" s="133"/>
      <c r="O20" s="133"/>
      <c r="P20" s="126"/>
      <c r="Q20" s="90"/>
    </row>
    <row r="21" spans="1:24" hidden="1" outlineLevel="2">
      <c r="B21" s="90" t="s">
        <v>240</v>
      </c>
      <c r="C21" s="138" t="s">
        <v>165</v>
      </c>
      <c r="D21" s="141">
        <v>480317</v>
      </c>
      <c r="E21" s="141">
        <v>503000</v>
      </c>
      <c r="F21" s="141">
        <v>507000</v>
      </c>
      <c r="G21" s="141">
        <v>501000</v>
      </c>
      <c r="H21" s="141">
        <v>522000</v>
      </c>
      <c r="I21" s="141">
        <v>544000</v>
      </c>
      <c r="J21" s="141">
        <v>590000</v>
      </c>
      <c r="K21" s="141">
        <v>608000</v>
      </c>
      <c r="L21" s="141">
        <v>643000</v>
      </c>
      <c r="M21" s="141">
        <v>1158000</v>
      </c>
      <c r="N21" s="141">
        <v>1188000</v>
      </c>
      <c r="O21" s="141">
        <v>1272000</v>
      </c>
      <c r="P21" s="82">
        <v>1403000</v>
      </c>
      <c r="Q21" s="82"/>
      <c r="R21" s="82"/>
      <c r="S21" s="82"/>
      <c r="T21" s="82"/>
      <c r="U21" s="82"/>
    </row>
    <row r="22" spans="1:24" outlineLevel="1" collapsed="1">
      <c r="B22" s="173" t="s">
        <v>287</v>
      </c>
      <c r="C22" s="138"/>
      <c r="D22" s="159">
        <f t="shared" ref="D22:P22" si="0">SUBTOTAL(9,D21:D21)</f>
        <v>480317</v>
      </c>
      <c r="E22" s="159">
        <f t="shared" si="0"/>
        <v>503000</v>
      </c>
      <c r="F22" s="159">
        <f t="shared" si="0"/>
        <v>507000</v>
      </c>
      <c r="G22" s="159">
        <f t="shared" si="0"/>
        <v>501000</v>
      </c>
      <c r="H22" s="159">
        <f t="shared" si="0"/>
        <v>522000</v>
      </c>
      <c r="I22" s="159">
        <f t="shared" si="0"/>
        <v>544000</v>
      </c>
      <c r="J22" s="159">
        <f t="shared" si="0"/>
        <v>590000</v>
      </c>
      <c r="K22" s="159">
        <f t="shared" si="0"/>
        <v>608000</v>
      </c>
      <c r="L22" s="159">
        <f t="shared" si="0"/>
        <v>643000</v>
      </c>
      <c r="M22" s="159">
        <f t="shared" si="0"/>
        <v>1158000</v>
      </c>
      <c r="N22" s="159">
        <f t="shared" si="0"/>
        <v>1188000</v>
      </c>
      <c r="O22" s="159">
        <f t="shared" si="0"/>
        <v>1272000</v>
      </c>
      <c r="P22" s="159">
        <f t="shared" si="0"/>
        <v>1403000</v>
      </c>
      <c r="Q22" s="82"/>
      <c r="R22" s="82"/>
      <c r="S22" s="82"/>
      <c r="T22" s="82"/>
      <c r="U22" s="82"/>
    </row>
    <row r="23" spans="1:24" s="133" customFormat="1" outlineLevel="1">
      <c r="C23" s="138"/>
      <c r="D23" s="141"/>
      <c r="E23" s="141"/>
      <c r="F23" s="141"/>
      <c r="G23" s="141"/>
      <c r="H23" s="141"/>
      <c r="I23" s="141"/>
      <c r="J23" s="141"/>
      <c r="K23" s="141"/>
      <c r="L23" s="141"/>
      <c r="M23" s="141"/>
      <c r="N23" s="141"/>
      <c r="O23" s="141"/>
      <c r="P23" s="142"/>
      <c r="Q23" s="142"/>
      <c r="R23" s="142"/>
      <c r="S23" s="142"/>
      <c r="T23" s="142"/>
      <c r="U23" s="142"/>
    </row>
    <row r="24" spans="1:24" s="133" customFormat="1" hidden="1" outlineLevel="2">
      <c r="B24" s="133" t="s">
        <v>30</v>
      </c>
      <c r="C24" s="138" t="s">
        <v>30</v>
      </c>
      <c r="D24" s="141">
        <v>1771054</v>
      </c>
      <c r="E24" s="141">
        <v>1835000</v>
      </c>
      <c r="F24" s="141">
        <v>1805000</v>
      </c>
      <c r="G24" s="141">
        <v>1605000</v>
      </c>
      <c r="H24" s="141">
        <v>1680000</v>
      </c>
      <c r="I24" s="141">
        <v>1914000</v>
      </c>
      <c r="J24" s="141">
        <f>2007000+7000</f>
        <v>2014000</v>
      </c>
      <c r="K24" s="141">
        <v>2281000</v>
      </c>
      <c r="L24" s="141">
        <v>2201000</v>
      </c>
      <c r="M24" s="141">
        <v>2191000</v>
      </c>
      <c r="N24" s="141">
        <v>2207000</v>
      </c>
      <c r="O24" s="141">
        <v>2221000</v>
      </c>
      <c r="P24" s="299">
        <v>2208000</v>
      </c>
      <c r="Q24" s="142"/>
      <c r="R24" s="142"/>
      <c r="S24" s="142"/>
      <c r="T24" s="142"/>
      <c r="U24" s="142"/>
    </row>
    <row r="25" spans="1:24" s="133" customFormat="1" outlineLevel="1" collapsed="1">
      <c r="B25" s="106" t="s">
        <v>288</v>
      </c>
      <c r="C25" s="138"/>
      <c r="D25" s="159">
        <f>SUBTOTAL(9,D24:D24)</f>
        <v>1771054</v>
      </c>
      <c r="E25" s="159">
        <f t="shared" ref="E25:P25" si="1">SUBTOTAL(9,E24:E24)</f>
        <v>1835000</v>
      </c>
      <c r="F25" s="159">
        <f t="shared" si="1"/>
        <v>1805000</v>
      </c>
      <c r="G25" s="159">
        <f t="shared" si="1"/>
        <v>1605000</v>
      </c>
      <c r="H25" s="159">
        <f t="shared" si="1"/>
        <v>1680000</v>
      </c>
      <c r="I25" s="159">
        <f t="shared" si="1"/>
        <v>1914000</v>
      </c>
      <c r="J25" s="159">
        <f t="shared" si="1"/>
        <v>2014000</v>
      </c>
      <c r="K25" s="159">
        <f t="shared" si="1"/>
        <v>2281000</v>
      </c>
      <c r="L25" s="159">
        <f t="shared" si="1"/>
        <v>2201000</v>
      </c>
      <c r="M25" s="159">
        <f t="shared" si="1"/>
        <v>2191000</v>
      </c>
      <c r="N25" s="159">
        <f t="shared" si="1"/>
        <v>2207000</v>
      </c>
      <c r="O25" s="159">
        <f t="shared" si="1"/>
        <v>2221000</v>
      </c>
      <c r="P25" s="159">
        <f t="shared" si="1"/>
        <v>2208000</v>
      </c>
      <c r="Q25" s="142"/>
      <c r="R25" s="142"/>
      <c r="S25" s="142"/>
      <c r="T25" s="142"/>
      <c r="U25" s="142"/>
    </row>
    <row r="26" spans="1:24" s="133" customFormat="1" outlineLevel="1">
      <c r="C26" s="138"/>
      <c r="D26" s="141"/>
      <c r="E26" s="141"/>
      <c r="F26" s="141"/>
      <c r="G26" s="141"/>
      <c r="H26" s="141"/>
      <c r="I26" s="141"/>
      <c r="J26" s="141"/>
      <c r="K26" s="141"/>
      <c r="L26" s="141"/>
      <c r="M26" s="141"/>
      <c r="N26" s="141"/>
      <c r="O26" s="141"/>
      <c r="P26" s="142"/>
      <c r="Q26" s="142"/>
      <c r="R26" s="142"/>
      <c r="S26" s="142"/>
      <c r="T26" s="142"/>
      <c r="U26" s="142"/>
    </row>
    <row r="27" spans="1:24" s="133" customFormat="1" hidden="1" outlineLevel="2">
      <c r="A27" s="138"/>
      <c r="B27" s="133" t="s">
        <v>256</v>
      </c>
      <c r="C27" s="138" t="s">
        <v>201</v>
      </c>
      <c r="D27" s="141">
        <v>479548</v>
      </c>
      <c r="E27" s="141">
        <v>394000</v>
      </c>
      <c r="F27" s="141">
        <v>364000</v>
      </c>
      <c r="G27" s="141">
        <v>341000</v>
      </c>
      <c r="H27" s="141">
        <v>311000</v>
      </c>
      <c r="I27" s="141">
        <v>318000</v>
      </c>
      <c r="J27" s="141">
        <v>323000</v>
      </c>
      <c r="K27" s="141">
        <v>387000</v>
      </c>
      <c r="L27" s="141">
        <v>408000</v>
      </c>
      <c r="M27" s="141">
        <v>442000</v>
      </c>
      <c r="N27" s="141">
        <v>515000</v>
      </c>
      <c r="O27" s="141">
        <v>528000</v>
      </c>
      <c r="P27" s="123">
        <v>614000</v>
      </c>
      <c r="Q27" s="131"/>
      <c r="R27" s="131"/>
      <c r="U27" s="156"/>
      <c r="X27" s="131"/>
    </row>
    <row r="28" spans="1:24" s="133" customFormat="1" hidden="1" outlineLevel="2">
      <c r="A28" s="138"/>
      <c r="B28" s="133" t="s">
        <v>256</v>
      </c>
      <c r="C28" s="138" t="s">
        <v>350</v>
      </c>
      <c r="D28" s="141">
        <v>637875</v>
      </c>
      <c r="E28" s="141">
        <v>568000</v>
      </c>
      <c r="F28" s="141">
        <v>546000</v>
      </c>
      <c r="G28" s="141">
        <v>494000</v>
      </c>
      <c r="H28" s="141">
        <v>523000</v>
      </c>
      <c r="I28" s="141">
        <v>589000</v>
      </c>
      <c r="J28" s="141">
        <v>639000</v>
      </c>
      <c r="K28" s="141">
        <v>708000</v>
      </c>
      <c r="L28" s="141">
        <v>715000</v>
      </c>
      <c r="M28" s="141">
        <v>340000</v>
      </c>
      <c r="N28" s="141">
        <v>362000</v>
      </c>
      <c r="O28" s="141">
        <v>404000</v>
      </c>
      <c r="P28" s="123">
        <v>444000</v>
      </c>
      <c r="Q28" s="131"/>
      <c r="S28" s="131"/>
      <c r="U28" s="156"/>
    </row>
    <row r="29" spans="1:24" s="133" customFormat="1" hidden="1" outlineLevel="2">
      <c r="A29" s="138"/>
      <c r="B29" s="133" t="s">
        <v>256</v>
      </c>
      <c r="C29" s="138" t="s">
        <v>351</v>
      </c>
      <c r="D29" s="141">
        <v>378215</v>
      </c>
      <c r="E29" s="141">
        <v>464000</v>
      </c>
      <c r="F29" s="141">
        <v>487000</v>
      </c>
      <c r="G29" s="141">
        <v>292000</v>
      </c>
      <c r="H29" s="141">
        <v>351000</v>
      </c>
      <c r="I29" s="141">
        <v>263000</v>
      </c>
      <c r="J29" s="141">
        <v>401000</v>
      </c>
      <c r="K29" s="141">
        <v>349000</v>
      </c>
      <c r="L29" s="141">
        <v>514000</v>
      </c>
      <c r="M29" s="141">
        <v>378000</v>
      </c>
      <c r="N29" s="141">
        <v>387000</v>
      </c>
      <c r="O29" s="141">
        <v>507000</v>
      </c>
      <c r="P29" s="123">
        <v>367000</v>
      </c>
      <c r="Q29" s="131"/>
      <c r="S29" s="131"/>
      <c r="U29" s="156"/>
    </row>
    <row r="30" spans="1:24" s="133" customFormat="1" hidden="1" outlineLevel="2">
      <c r="A30" s="138"/>
      <c r="B30" s="133" t="s">
        <v>256</v>
      </c>
      <c r="C30" s="138" t="s">
        <v>352</v>
      </c>
      <c r="D30" s="155">
        <v>706274</v>
      </c>
      <c r="E30" s="155">
        <v>716000</v>
      </c>
      <c r="F30" s="155">
        <v>715000</v>
      </c>
      <c r="G30" s="155">
        <v>694000</v>
      </c>
      <c r="H30" s="155">
        <v>697000</v>
      </c>
      <c r="I30" s="155">
        <v>727000</v>
      </c>
      <c r="J30" s="155">
        <v>695000</v>
      </c>
      <c r="K30" s="155">
        <v>730000</v>
      </c>
      <c r="L30" s="155">
        <v>722000</v>
      </c>
      <c r="M30" s="155">
        <v>735000</v>
      </c>
      <c r="N30" s="155">
        <v>750000</v>
      </c>
      <c r="O30" s="155">
        <v>811000</v>
      </c>
      <c r="P30" s="357">
        <v>827000</v>
      </c>
      <c r="Q30" s="131"/>
      <c r="S30" s="131"/>
      <c r="U30" s="156"/>
    </row>
    <row r="31" spans="1:24" s="133" customFormat="1" hidden="1" outlineLevel="2">
      <c r="A31" s="138"/>
      <c r="B31" s="133" t="s">
        <v>256</v>
      </c>
      <c r="C31" s="138" t="s">
        <v>184</v>
      </c>
      <c r="D31" s="141">
        <v>0</v>
      </c>
      <c r="E31" s="141">
        <v>0</v>
      </c>
      <c r="F31" s="141">
        <v>0</v>
      </c>
      <c r="G31" s="141">
        <v>98000</v>
      </c>
      <c r="H31" s="141">
        <v>139000</v>
      </c>
      <c r="I31" s="141">
        <v>143000</v>
      </c>
      <c r="J31" s="141">
        <v>163000</v>
      </c>
      <c r="K31" s="141">
        <v>185000</v>
      </c>
      <c r="L31" s="141">
        <v>128000</v>
      </c>
      <c r="M31" s="141">
        <v>154000</v>
      </c>
      <c r="N31" s="141">
        <v>159000</v>
      </c>
      <c r="O31" s="141">
        <v>177000</v>
      </c>
      <c r="P31" s="125">
        <v>179000</v>
      </c>
      <c r="Q31" s="131"/>
      <c r="S31" s="131"/>
      <c r="U31" s="156"/>
    </row>
    <row r="32" spans="1:24" s="133" customFormat="1" hidden="1" outlineLevel="2">
      <c r="A32" s="138"/>
      <c r="B32" s="133" t="s">
        <v>256</v>
      </c>
      <c r="C32" s="138" t="s">
        <v>353</v>
      </c>
      <c r="D32" s="141">
        <v>0</v>
      </c>
      <c r="E32" s="141">
        <v>0</v>
      </c>
      <c r="F32" s="141">
        <v>0</v>
      </c>
      <c r="G32" s="141">
        <v>133000</v>
      </c>
      <c r="H32" s="141">
        <v>131000</v>
      </c>
      <c r="I32" s="141">
        <v>139000</v>
      </c>
      <c r="J32" s="141">
        <v>149000</v>
      </c>
      <c r="K32" s="141">
        <v>168000</v>
      </c>
      <c r="L32" s="141">
        <v>181000</v>
      </c>
      <c r="M32" s="141">
        <v>195000</v>
      </c>
      <c r="N32" s="141">
        <v>209000</v>
      </c>
      <c r="O32" s="141">
        <v>220000</v>
      </c>
      <c r="P32" s="125">
        <v>227000</v>
      </c>
      <c r="Q32" s="131"/>
      <c r="S32" s="131"/>
      <c r="U32" s="156"/>
    </row>
    <row r="33" spans="1:22" s="133" customFormat="1" hidden="1" outlineLevel="2">
      <c r="A33" s="138"/>
      <c r="B33" s="133" t="s">
        <v>256</v>
      </c>
      <c r="C33" s="138" t="s">
        <v>1237</v>
      </c>
      <c r="D33" s="141">
        <v>0</v>
      </c>
      <c r="E33" s="141">
        <v>0</v>
      </c>
      <c r="F33" s="141">
        <v>0</v>
      </c>
      <c r="G33" s="141">
        <v>0</v>
      </c>
      <c r="H33" s="141">
        <v>0</v>
      </c>
      <c r="I33" s="141">
        <v>0</v>
      </c>
      <c r="J33" s="141">
        <v>0</v>
      </c>
      <c r="K33" s="141">
        <v>0</v>
      </c>
      <c r="L33" s="141">
        <v>0</v>
      </c>
      <c r="M33" s="141">
        <v>0</v>
      </c>
      <c r="N33" s="141">
        <v>0</v>
      </c>
      <c r="O33" s="141">
        <v>0</v>
      </c>
      <c r="P33" s="125">
        <v>209000</v>
      </c>
      <c r="Q33" s="131"/>
      <c r="S33" s="131"/>
      <c r="U33" s="156"/>
    </row>
    <row r="34" spans="1:22" s="133" customFormat="1" outlineLevel="1" collapsed="1">
      <c r="A34" s="138"/>
      <c r="B34" s="106" t="s">
        <v>289</v>
      </c>
      <c r="C34" s="138"/>
      <c r="D34" s="159">
        <f t="shared" ref="D34:P34" si="2">SUBTOTAL(9,D27:D33)</f>
        <v>2201912</v>
      </c>
      <c r="E34" s="159">
        <f t="shared" si="2"/>
        <v>2142000</v>
      </c>
      <c r="F34" s="159">
        <f t="shared" si="2"/>
        <v>2112000</v>
      </c>
      <c r="G34" s="159">
        <f t="shared" si="2"/>
        <v>2052000</v>
      </c>
      <c r="H34" s="159">
        <f t="shared" si="2"/>
        <v>2152000</v>
      </c>
      <c r="I34" s="159">
        <f t="shared" si="2"/>
        <v>2179000</v>
      </c>
      <c r="J34" s="159">
        <f t="shared" si="2"/>
        <v>2370000</v>
      </c>
      <c r="K34" s="159">
        <f t="shared" si="2"/>
        <v>2527000</v>
      </c>
      <c r="L34" s="159">
        <f t="shared" si="2"/>
        <v>2668000</v>
      </c>
      <c r="M34" s="159">
        <f t="shared" si="2"/>
        <v>2244000</v>
      </c>
      <c r="N34" s="159">
        <f t="shared" si="2"/>
        <v>2382000</v>
      </c>
      <c r="O34" s="159">
        <f t="shared" si="2"/>
        <v>2647000</v>
      </c>
      <c r="P34" s="159">
        <f t="shared" si="2"/>
        <v>2867000</v>
      </c>
      <c r="Q34" s="131"/>
      <c r="S34" s="131"/>
      <c r="U34" s="156"/>
    </row>
    <row r="35" spans="1:22" outlineLevel="1">
      <c r="C35" s="138"/>
      <c r="D35" s="141"/>
      <c r="E35" s="141"/>
      <c r="F35" s="141"/>
      <c r="G35" s="141"/>
      <c r="H35" s="141"/>
      <c r="I35" s="141"/>
      <c r="J35" s="141"/>
      <c r="K35" s="141"/>
      <c r="L35" s="141"/>
      <c r="M35" s="141"/>
      <c r="N35" s="141"/>
      <c r="O35" s="141"/>
      <c r="R35" s="126"/>
      <c r="U35" s="156"/>
      <c r="V35" s="133"/>
    </row>
    <row r="36" spans="1:22" s="30" customFormat="1" hidden="1" outlineLevel="2">
      <c r="B36" s="90" t="s">
        <v>172</v>
      </c>
      <c r="C36" s="157" t="s">
        <v>172</v>
      </c>
      <c r="D36" s="141">
        <v>0</v>
      </c>
      <c r="E36" s="141">
        <v>0</v>
      </c>
      <c r="F36" s="141">
        <v>0</v>
      </c>
      <c r="G36" s="141">
        <v>0</v>
      </c>
      <c r="H36" s="141">
        <v>0</v>
      </c>
      <c r="I36" s="141">
        <v>0</v>
      </c>
      <c r="J36" s="141">
        <v>0</v>
      </c>
      <c r="K36" s="141">
        <v>0</v>
      </c>
      <c r="L36" s="141">
        <v>0</v>
      </c>
      <c r="M36" s="141">
        <v>0</v>
      </c>
      <c r="N36" s="141">
        <v>0</v>
      </c>
      <c r="O36" s="141">
        <v>0</v>
      </c>
      <c r="P36" s="123">
        <v>0</v>
      </c>
      <c r="Q36" s="123"/>
    </row>
    <row r="37" spans="1:22" s="30" customFormat="1" outlineLevel="1" collapsed="1">
      <c r="B37" s="30" t="s">
        <v>290</v>
      </c>
      <c r="C37" s="157"/>
      <c r="D37" s="159">
        <f t="shared" ref="D37:P37" si="3">SUBTOTAL(9,D36:D36)</f>
        <v>0</v>
      </c>
      <c r="E37" s="159">
        <f t="shared" si="3"/>
        <v>0</v>
      </c>
      <c r="F37" s="159">
        <f t="shared" si="3"/>
        <v>0</v>
      </c>
      <c r="G37" s="159">
        <f t="shared" si="3"/>
        <v>0</v>
      </c>
      <c r="H37" s="159">
        <f t="shared" si="3"/>
        <v>0</v>
      </c>
      <c r="I37" s="159">
        <f t="shared" si="3"/>
        <v>0</v>
      </c>
      <c r="J37" s="159">
        <f t="shared" si="3"/>
        <v>0</v>
      </c>
      <c r="K37" s="159">
        <f t="shared" si="3"/>
        <v>0</v>
      </c>
      <c r="L37" s="159">
        <f t="shared" si="3"/>
        <v>0</v>
      </c>
      <c r="M37" s="159">
        <f t="shared" si="3"/>
        <v>0</v>
      </c>
      <c r="N37" s="159">
        <f t="shared" si="3"/>
        <v>0</v>
      </c>
      <c r="O37" s="159">
        <f t="shared" si="3"/>
        <v>0</v>
      </c>
      <c r="P37" s="159">
        <f t="shared" si="3"/>
        <v>0</v>
      </c>
      <c r="Q37" s="123"/>
    </row>
    <row r="38" spans="1:22" s="106" customFormat="1" outlineLevel="1">
      <c r="C38" s="186"/>
      <c r="D38" s="141"/>
      <c r="E38" s="141"/>
      <c r="F38" s="141"/>
      <c r="G38" s="141"/>
      <c r="H38" s="141"/>
      <c r="I38" s="141"/>
      <c r="J38" s="141"/>
      <c r="K38" s="141"/>
      <c r="L38" s="141"/>
      <c r="M38" s="141"/>
      <c r="N38" s="141"/>
      <c r="O38" s="141"/>
      <c r="P38" s="125"/>
      <c r="Q38" s="125"/>
    </row>
    <row r="39" spans="1:22" s="30" customFormat="1">
      <c r="B39" s="30" t="s">
        <v>286</v>
      </c>
      <c r="C39" s="157"/>
      <c r="D39" s="159">
        <f>SUBTOTAL(9,D21:D37)</f>
        <v>4453283</v>
      </c>
      <c r="E39" s="159">
        <f t="shared" ref="E39:P39" si="4">SUBTOTAL(9,E21:E37)</f>
        <v>4480000</v>
      </c>
      <c r="F39" s="159">
        <f t="shared" si="4"/>
        <v>4424000</v>
      </c>
      <c r="G39" s="159">
        <f t="shared" si="4"/>
        <v>4158000</v>
      </c>
      <c r="H39" s="159">
        <f t="shared" si="4"/>
        <v>4354000</v>
      </c>
      <c r="I39" s="159">
        <f t="shared" si="4"/>
        <v>4637000</v>
      </c>
      <c r="J39" s="159">
        <f t="shared" si="4"/>
        <v>4974000</v>
      </c>
      <c r="K39" s="159">
        <f t="shared" si="4"/>
        <v>5416000</v>
      </c>
      <c r="L39" s="159">
        <f t="shared" si="4"/>
        <v>5512000</v>
      </c>
      <c r="M39" s="159">
        <f t="shared" si="4"/>
        <v>5593000</v>
      </c>
      <c r="N39" s="159">
        <f t="shared" si="4"/>
        <v>5777000</v>
      </c>
      <c r="O39" s="159">
        <f t="shared" si="4"/>
        <v>6140000</v>
      </c>
      <c r="P39" s="159">
        <f t="shared" si="4"/>
        <v>6478000</v>
      </c>
      <c r="Q39" s="123"/>
    </row>
    <row r="40" spans="1:22" s="30" customFormat="1">
      <c r="B40" s="138"/>
      <c r="C40" s="138"/>
      <c r="D40" s="141"/>
      <c r="E40" s="141"/>
      <c r="F40" s="141"/>
      <c r="G40" s="141"/>
      <c r="H40" s="141"/>
      <c r="I40" s="141"/>
      <c r="J40" s="141"/>
      <c r="K40" s="141"/>
      <c r="L40" s="141"/>
      <c r="M40" s="141"/>
      <c r="N40" s="141"/>
      <c r="O40" s="141"/>
      <c r="P40" s="123"/>
      <c r="Q40" s="123"/>
    </row>
    <row r="41" spans="1:22" s="106" customFormat="1">
      <c r="B41" s="138" t="s">
        <v>1123</v>
      </c>
      <c r="C41" s="138"/>
      <c r="D41" s="159">
        <f t="shared" ref="D41:P41" si="5">D43-D34-D25-D22</f>
        <v>0</v>
      </c>
      <c r="E41" s="159">
        <f t="shared" si="5"/>
        <v>0</v>
      </c>
      <c r="F41" s="159">
        <f t="shared" si="5"/>
        <v>0</v>
      </c>
      <c r="G41" s="159">
        <f t="shared" si="5"/>
        <v>0</v>
      </c>
      <c r="H41" s="159">
        <f t="shared" si="5"/>
        <v>0</v>
      </c>
      <c r="I41" s="159">
        <f t="shared" si="5"/>
        <v>0</v>
      </c>
      <c r="J41" s="159">
        <f t="shared" si="5"/>
        <v>0</v>
      </c>
      <c r="K41" s="159">
        <f t="shared" si="5"/>
        <v>0</v>
      </c>
      <c r="L41" s="159">
        <f t="shared" si="5"/>
        <v>0</v>
      </c>
      <c r="M41" s="159">
        <f t="shared" si="5"/>
        <v>0</v>
      </c>
      <c r="N41" s="159">
        <f t="shared" si="5"/>
        <v>0</v>
      </c>
      <c r="O41" s="159">
        <f t="shared" si="5"/>
        <v>0</v>
      </c>
      <c r="P41" s="159">
        <f t="shared" si="5"/>
        <v>0</v>
      </c>
    </row>
    <row r="42" spans="1:22" s="106" customFormat="1">
      <c r="B42" s="138"/>
      <c r="C42" s="138"/>
      <c r="D42" s="141"/>
      <c r="E42" s="141"/>
      <c r="F42" s="141"/>
      <c r="G42" s="141"/>
      <c r="H42" s="141"/>
      <c r="I42" s="141"/>
      <c r="J42" s="141"/>
      <c r="K42" s="141"/>
      <c r="L42" s="141"/>
      <c r="M42" s="141"/>
      <c r="N42" s="141"/>
      <c r="O42" s="141"/>
      <c r="P42" s="125"/>
    </row>
    <row r="43" spans="1:22" s="106" customFormat="1">
      <c r="B43" s="138" t="s">
        <v>1316</v>
      </c>
      <c r="C43" s="138"/>
      <c r="D43" s="141">
        <v>4453283</v>
      </c>
      <c r="E43" s="141">
        <f>2645000+1835000</f>
        <v>4480000</v>
      </c>
      <c r="F43" s="141">
        <f>2619000+1805000</f>
        <v>4424000</v>
      </c>
      <c r="G43" s="141">
        <f>2553000+1605000</f>
        <v>4158000</v>
      </c>
      <c r="H43" s="141">
        <f>2674000+1680000</f>
        <v>4354000</v>
      </c>
      <c r="I43" s="141">
        <f>2723000+1914000</f>
        <v>4637000</v>
      </c>
      <c r="J43" s="141">
        <f>2960000+2007000+7000</f>
        <v>4974000</v>
      </c>
      <c r="K43" s="141">
        <f>3135000+2281000</f>
        <v>5416000</v>
      </c>
      <c r="L43" s="141">
        <f>3311000+2201000</f>
        <v>5512000</v>
      </c>
      <c r="M43" s="141">
        <f>3402000+2191000</f>
        <v>5593000</v>
      </c>
      <c r="N43" s="141">
        <f>3570000+2207000</f>
        <v>5777000</v>
      </c>
      <c r="O43" s="141">
        <f>3919000+2221000</f>
        <v>6140000</v>
      </c>
      <c r="P43" s="125">
        <f>4270000+2208000</f>
        <v>6478000</v>
      </c>
      <c r="Q43" s="125"/>
      <c r="R43" s="125"/>
      <c r="S43" s="125"/>
      <c r="T43" s="131"/>
      <c r="U43" s="132"/>
    </row>
    <row r="44" spans="1:22" s="30" customFormat="1">
      <c r="B44" s="138"/>
      <c r="C44" s="133"/>
      <c r="D44" s="141"/>
      <c r="E44" s="141"/>
      <c r="F44" s="141"/>
      <c r="G44" s="141"/>
      <c r="H44" s="141"/>
      <c r="I44" s="141"/>
      <c r="J44" s="141"/>
      <c r="K44" s="141"/>
      <c r="L44" s="141"/>
      <c r="M44" s="141"/>
      <c r="N44" s="141"/>
      <c r="O44" s="141"/>
      <c r="P44" s="123"/>
      <c r="Q44" s="124"/>
      <c r="R44" s="79"/>
    </row>
    <row r="45" spans="1:22" s="122" customFormat="1">
      <c r="B45" s="138" t="s">
        <v>1317</v>
      </c>
      <c r="C45" s="138"/>
      <c r="D45" s="97">
        <f t="shared" ref="D45:P45" si="6">D43+D36</f>
        <v>4453283</v>
      </c>
      <c r="E45" s="97">
        <f t="shared" si="6"/>
        <v>4480000</v>
      </c>
      <c r="F45" s="97">
        <f t="shared" si="6"/>
        <v>4424000</v>
      </c>
      <c r="G45" s="97">
        <f t="shared" si="6"/>
        <v>4158000</v>
      </c>
      <c r="H45" s="97">
        <f t="shared" si="6"/>
        <v>4354000</v>
      </c>
      <c r="I45" s="97">
        <f t="shared" si="6"/>
        <v>4637000</v>
      </c>
      <c r="J45" s="97">
        <f t="shared" si="6"/>
        <v>4974000</v>
      </c>
      <c r="K45" s="97">
        <f>K43+K36</f>
        <v>5416000</v>
      </c>
      <c r="L45" s="97">
        <f>L43+L36</f>
        <v>5512000</v>
      </c>
      <c r="M45" s="97">
        <f>M43+M36</f>
        <v>5593000</v>
      </c>
      <c r="N45" s="97">
        <f>N43+N36</f>
        <v>5777000</v>
      </c>
      <c r="O45" s="97">
        <f t="shared" si="6"/>
        <v>6140000</v>
      </c>
      <c r="P45" s="97">
        <f t="shared" si="6"/>
        <v>6478000</v>
      </c>
      <c r="Q45" s="128"/>
      <c r="R45" s="128"/>
      <c r="S45" s="128"/>
      <c r="T45" s="129"/>
      <c r="U45" s="130"/>
    </row>
    <row r="46" spans="1:22" s="122" customFormat="1">
      <c r="B46" s="168"/>
      <c r="C46" s="168"/>
      <c r="D46" s="185"/>
      <c r="E46" s="185"/>
      <c r="F46" s="185"/>
      <c r="G46" s="185"/>
      <c r="H46" s="185"/>
      <c r="I46" s="185"/>
      <c r="J46" s="185"/>
      <c r="K46" s="185"/>
      <c r="L46" s="185"/>
      <c r="M46" s="185"/>
      <c r="N46" s="185"/>
      <c r="O46" s="185"/>
      <c r="P46" s="128"/>
      <c r="Q46" s="128"/>
      <c r="R46" s="128"/>
      <c r="S46" s="128"/>
      <c r="T46" s="129"/>
      <c r="U46" s="130"/>
    </row>
    <row r="47" spans="1:22" s="122" customFormat="1">
      <c r="B47" s="168" t="s">
        <v>1146</v>
      </c>
      <c r="C47" s="168"/>
      <c r="D47" s="95">
        <f>D39*Parameters!C21</f>
        <v>34847.694781077873</v>
      </c>
      <c r="E47" s="95">
        <f>E39*Parameters!D21</f>
        <v>36807.994134271816</v>
      </c>
      <c r="F47" s="95">
        <f>F39*Parameters!E21</f>
        <v>25130.325667763052</v>
      </c>
      <c r="G47" s="95">
        <f>G39*Parameters!F21</f>
        <v>11097.105321299063</v>
      </c>
      <c r="H47" s="95">
        <f>H39*Parameters!G21</f>
        <v>11894.9106200144</v>
      </c>
      <c r="I47" s="95">
        <f>I39*Parameters!H21</f>
        <v>21515.979717175898</v>
      </c>
      <c r="J47" s="95">
        <f>J39*Parameters!I21</f>
        <v>55931.605230418267</v>
      </c>
      <c r="K47" s="95">
        <f>K39*Parameters!J21</f>
        <v>93704.079941888907</v>
      </c>
      <c r="L47" s="95">
        <f>L39*Parameters!K21</f>
        <v>109260.12057467598</v>
      </c>
      <c r="M47" s="95">
        <f>M39*Parameters!L21</f>
        <v>173097.02295456873</v>
      </c>
      <c r="N47" s="95">
        <f>N39*Parameters!M21</f>
        <v>211931.19851071603</v>
      </c>
      <c r="O47" s="95">
        <f>O39*Parameters!N21</f>
        <v>190736.05933100838</v>
      </c>
      <c r="P47" s="95">
        <f>P39*Parameters!O21</f>
        <v>296946.36605631863</v>
      </c>
      <c r="Q47" s="128"/>
      <c r="R47" s="128"/>
      <c r="S47" s="128"/>
      <c r="T47" s="129"/>
      <c r="U47" s="130"/>
    </row>
    <row r="48" spans="1:22" s="122" customFormat="1">
      <c r="B48" s="168"/>
      <c r="C48" s="168"/>
      <c r="D48" s="185"/>
      <c r="E48" s="185"/>
      <c r="F48" s="185"/>
      <c r="G48" s="185"/>
      <c r="H48" s="185"/>
      <c r="I48" s="185"/>
      <c r="J48" s="185"/>
      <c r="K48" s="185"/>
      <c r="L48" s="185"/>
      <c r="M48" s="185"/>
      <c r="N48" s="185"/>
      <c r="O48" s="185"/>
      <c r="P48" s="128"/>
      <c r="Q48" s="128"/>
      <c r="R48" s="128"/>
      <c r="S48" s="128"/>
      <c r="T48" s="129"/>
      <c r="U48" s="130"/>
    </row>
    <row r="49" spans="1:21" s="133" customFormat="1">
      <c r="A49" s="134"/>
      <c r="B49" s="138" t="s">
        <v>1131</v>
      </c>
      <c r="C49" s="138"/>
      <c r="D49" s="159">
        <f t="shared" ref="D49:O49" si="7">D43-D25-D30-D47</f>
        <v>1941107.3052189222</v>
      </c>
      <c r="E49" s="159">
        <f t="shared" si="7"/>
        <v>1892192.0058657282</v>
      </c>
      <c r="F49" s="159">
        <f t="shared" si="7"/>
        <v>1878869.6743322369</v>
      </c>
      <c r="G49" s="159">
        <f t="shared" si="7"/>
        <v>1847902.8946787009</v>
      </c>
      <c r="H49" s="159">
        <f t="shared" si="7"/>
        <v>1965105.0893799856</v>
      </c>
      <c r="I49" s="159">
        <f t="shared" si="7"/>
        <v>1974484.0202828241</v>
      </c>
      <c r="J49" s="159">
        <f t="shared" si="7"/>
        <v>2209068.394769582</v>
      </c>
      <c r="K49" s="159">
        <f t="shared" si="7"/>
        <v>2311295.9200581112</v>
      </c>
      <c r="L49" s="159">
        <f t="shared" si="7"/>
        <v>2479739.879425324</v>
      </c>
      <c r="M49" s="159">
        <f t="shared" si="7"/>
        <v>2493902.9770454313</v>
      </c>
      <c r="N49" s="159">
        <f t="shared" si="7"/>
        <v>2608068.8014892838</v>
      </c>
      <c r="O49" s="159">
        <f t="shared" si="7"/>
        <v>2917263.9406689918</v>
      </c>
      <c r="P49" s="159">
        <f>P43-P25-P30-P47</f>
        <v>3146053.6339436816</v>
      </c>
    </row>
    <row r="50" spans="1:21" s="122" customFormat="1">
      <c r="B50" s="168"/>
      <c r="C50" s="168"/>
      <c r="D50" s="185"/>
      <c r="E50" s="185"/>
      <c r="F50" s="185"/>
      <c r="G50" s="185"/>
      <c r="H50" s="185"/>
      <c r="I50" s="185"/>
      <c r="J50" s="185"/>
      <c r="K50" s="185"/>
      <c r="L50" s="185"/>
      <c r="M50" s="185"/>
      <c r="N50" s="185"/>
      <c r="O50" s="185"/>
      <c r="P50" s="128"/>
      <c r="Q50" s="128"/>
      <c r="R50" s="128"/>
      <c r="S50" s="128"/>
      <c r="T50" s="129"/>
      <c r="U50" s="130"/>
    </row>
    <row r="51" spans="1:21" s="133" customFormat="1">
      <c r="B51" s="138" t="s">
        <v>292</v>
      </c>
      <c r="C51" s="138"/>
      <c r="D51" s="141">
        <v>5022093</v>
      </c>
      <c r="E51" s="141">
        <v>5127000</v>
      </c>
      <c r="F51" s="141">
        <v>5267000</v>
      </c>
      <c r="G51" s="141">
        <v>4897000</v>
      </c>
      <c r="H51" s="141">
        <v>6369000</v>
      </c>
      <c r="I51" s="141">
        <v>6975000</v>
      </c>
      <c r="J51" s="141">
        <v>7594000</v>
      </c>
      <c r="K51" s="141">
        <v>8404000</v>
      </c>
      <c r="L51" s="141">
        <v>8728000</v>
      </c>
      <c r="M51" s="141">
        <v>9015000</v>
      </c>
      <c r="N51" s="141">
        <v>10583000</v>
      </c>
      <c r="O51" s="141">
        <v>12154000</v>
      </c>
      <c r="P51" s="123">
        <v>13134000</v>
      </c>
    </row>
    <row r="52" spans="1:21" s="133" customFormat="1">
      <c r="B52" s="138"/>
      <c r="C52" s="138"/>
      <c r="D52" s="141"/>
      <c r="E52" s="141"/>
      <c r="F52" s="141"/>
      <c r="G52" s="141"/>
      <c r="H52" s="141"/>
      <c r="I52" s="141"/>
      <c r="J52" s="141"/>
      <c r="K52" s="141"/>
      <c r="L52" s="141"/>
      <c r="M52" s="141"/>
      <c r="N52" s="141"/>
      <c r="O52" s="141"/>
      <c r="P52" s="123"/>
      <c r="Q52" s="131"/>
    </row>
    <row r="53" spans="1:21" s="133" customFormat="1">
      <c r="B53" s="138" t="s">
        <v>1318</v>
      </c>
      <c r="C53" s="138"/>
      <c r="D53" s="159">
        <f t="shared" ref="D53:O53" si="8">D51-D43</f>
        <v>568810</v>
      </c>
      <c r="E53" s="159">
        <f t="shared" si="8"/>
        <v>647000</v>
      </c>
      <c r="F53" s="159">
        <f t="shared" si="8"/>
        <v>843000</v>
      </c>
      <c r="G53" s="159">
        <f t="shared" si="8"/>
        <v>739000</v>
      </c>
      <c r="H53" s="159">
        <f t="shared" si="8"/>
        <v>2015000</v>
      </c>
      <c r="I53" s="159">
        <f t="shared" si="8"/>
        <v>2338000</v>
      </c>
      <c r="J53" s="159">
        <f t="shared" si="8"/>
        <v>2620000</v>
      </c>
      <c r="K53" s="159">
        <f t="shared" si="8"/>
        <v>2988000</v>
      </c>
      <c r="L53" s="159">
        <f t="shared" si="8"/>
        <v>3216000</v>
      </c>
      <c r="M53" s="159">
        <f t="shared" si="8"/>
        <v>3422000</v>
      </c>
      <c r="N53" s="159">
        <f t="shared" si="8"/>
        <v>4806000</v>
      </c>
      <c r="O53" s="159">
        <f t="shared" si="8"/>
        <v>6014000</v>
      </c>
      <c r="P53" s="159">
        <f t="shared" ref="P53" si="9">P51-P43</f>
        <v>6656000</v>
      </c>
      <c r="Q53" s="143"/>
    </row>
    <row r="54" spans="1:21" s="179" customFormat="1">
      <c r="B54" s="176"/>
      <c r="C54" s="176"/>
      <c r="D54" s="175"/>
      <c r="E54" s="175"/>
      <c r="F54" s="175"/>
      <c r="G54" s="175"/>
      <c r="H54" s="175"/>
      <c r="I54" s="175"/>
      <c r="J54" s="175"/>
      <c r="K54" s="175"/>
      <c r="L54" s="175"/>
      <c r="M54" s="175"/>
      <c r="N54" s="175"/>
      <c r="O54" s="175"/>
      <c r="P54" s="175"/>
      <c r="Q54" s="184"/>
    </row>
    <row r="55" spans="1:21">
      <c r="B55" s="138" t="s">
        <v>253</v>
      </c>
      <c r="C55" s="138"/>
      <c r="D55" s="162">
        <f t="shared" ref="D55:O55" si="10">D53/D51</f>
        <v>0.11326154254809698</v>
      </c>
      <c r="E55" s="162">
        <f t="shared" si="10"/>
        <v>0.12619465574409985</v>
      </c>
      <c r="F55" s="162">
        <f t="shared" si="10"/>
        <v>0.1600531611923296</v>
      </c>
      <c r="G55" s="162">
        <f t="shared" si="10"/>
        <v>0.15090871962425975</v>
      </c>
      <c r="H55" s="162">
        <f t="shared" si="10"/>
        <v>0.31637619720521276</v>
      </c>
      <c r="I55" s="162">
        <f t="shared" si="10"/>
        <v>0.33519713261648748</v>
      </c>
      <c r="J55" s="162">
        <f t="shared" si="10"/>
        <v>0.34500921780352911</v>
      </c>
      <c r="K55" s="162">
        <f t="shared" si="10"/>
        <v>0.35554497858162781</v>
      </c>
      <c r="L55" s="162">
        <f t="shared" si="10"/>
        <v>0.36846929422548119</v>
      </c>
      <c r="M55" s="162">
        <f t="shared" si="10"/>
        <v>0.37958957293399886</v>
      </c>
      <c r="N55" s="162">
        <f t="shared" si="10"/>
        <v>0.45412453935557023</v>
      </c>
      <c r="O55" s="162">
        <f t="shared" si="10"/>
        <v>0.49481652130985682</v>
      </c>
      <c r="P55" s="162">
        <f t="shared" ref="P55" si="11">P53/P51</f>
        <v>0.50677630577128063</v>
      </c>
      <c r="Q55" s="144"/>
    </row>
    <row r="56" spans="1:21">
      <c r="B56" s="154"/>
      <c r="C56" s="154"/>
      <c r="D56" s="141"/>
      <c r="E56" s="141"/>
      <c r="F56" s="141"/>
      <c r="G56" s="141"/>
      <c r="H56" s="141"/>
      <c r="I56" s="141"/>
      <c r="J56" s="141"/>
      <c r="K56" s="141"/>
      <c r="L56" s="141"/>
      <c r="M56" s="141"/>
      <c r="N56" s="141"/>
      <c r="O56" s="141"/>
      <c r="P56" s="127"/>
      <c r="Q56" s="127"/>
      <c r="R56" s="127"/>
    </row>
    <row r="57" spans="1:21">
      <c r="B57" s="90" t="s">
        <v>228</v>
      </c>
      <c r="D57" s="195">
        <v>33844000</v>
      </c>
      <c r="E57" s="195">
        <v>33101000</v>
      </c>
      <c r="F57" s="195">
        <v>34198000</v>
      </c>
      <c r="G57" s="195">
        <v>27673000</v>
      </c>
      <c r="H57" s="195">
        <v>38300000</v>
      </c>
      <c r="I57" s="195">
        <v>41600000</v>
      </c>
      <c r="J57" s="195">
        <v>45100000</v>
      </c>
      <c r="K57" s="195">
        <v>48900000</v>
      </c>
      <c r="L57" s="195">
        <v>47700000</v>
      </c>
      <c r="M57" s="195">
        <v>46900000</v>
      </c>
      <c r="N57" s="195">
        <v>51500000</v>
      </c>
      <c r="O57" s="195">
        <v>54900000</v>
      </c>
      <c r="P57" s="126">
        <v>57200000</v>
      </c>
      <c r="Q57" s="90"/>
    </row>
    <row r="58" spans="1:21">
      <c r="B58" s="90" t="s">
        <v>264</v>
      </c>
      <c r="D58" s="195">
        <v>198000</v>
      </c>
      <c r="E58" s="195">
        <v>186000</v>
      </c>
      <c r="F58" s="195">
        <v>190000</v>
      </c>
      <c r="G58" s="195">
        <v>212000</v>
      </c>
      <c r="H58" s="195">
        <v>242000</v>
      </c>
      <c r="I58" s="195">
        <v>270000</v>
      </c>
      <c r="J58" s="195">
        <v>283000</v>
      </c>
      <c r="K58" s="195">
        <v>300000</v>
      </c>
      <c r="L58" s="195">
        <v>296000</v>
      </c>
      <c r="M58" s="195">
        <v>280000</v>
      </c>
      <c r="N58" s="195">
        <v>316000</v>
      </c>
      <c r="O58" s="195">
        <v>339000</v>
      </c>
      <c r="P58" s="126">
        <v>355000</v>
      </c>
      <c r="Q58" s="90"/>
    </row>
    <row r="59" spans="1:21">
      <c r="B59" s="111" t="s">
        <v>210</v>
      </c>
      <c r="C59" s="111"/>
      <c r="D59" s="141"/>
      <c r="E59" s="141"/>
      <c r="F59" s="141"/>
      <c r="G59" s="141"/>
      <c r="H59" s="141"/>
      <c r="I59" s="141"/>
      <c r="J59" s="141"/>
      <c r="K59" s="141"/>
      <c r="L59" s="141"/>
      <c r="M59" s="141"/>
      <c r="N59" s="141">
        <v>1100</v>
      </c>
      <c r="O59" s="141">
        <v>1123</v>
      </c>
      <c r="P59" s="126">
        <v>1290</v>
      </c>
      <c r="Q59" s="90"/>
    </row>
    <row r="60" spans="1:21">
      <c r="B60" s="154"/>
      <c r="C60" s="154"/>
      <c r="D60" s="141"/>
      <c r="E60" s="141"/>
      <c r="F60" s="141"/>
      <c r="G60" s="141"/>
      <c r="H60" s="141"/>
      <c r="I60" s="141"/>
      <c r="J60" s="141"/>
      <c r="K60" s="141"/>
      <c r="L60" s="141"/>
      <c r="M60" s="141"/>
      <c r="N60" s="141"/>
      <c r="O60" s="141"/>
      <c r="P60" s="127"/>
      <c r="Q60" s="127"/>
      <c r="R60" s="127"/>
    </row>
    <row r="61" spans="1:21">
      <c r="B61" s="153" t="s">
        <v>349</v>
      </c>
      <c r="C61" s="94"/>
      <c r="D61" s="94"/>
      <c r="E61" s="94"/>
      <c r="F61" s="94"/>
      <c r="G61" s="94"/>
      <c r="H61" s="94"/>
      <c r="I61" s="94"/>
      <c r="J61" s="94"/>
      <c r="K61" s="94"/>
      <c r="L61" s="94"/>
      <c r="M61" s="94"/>
      <c r="N61" s="94"/>
      <c r="O61" s="94"/>
      <c r="P61" s="94"/>
      <c r="Q61" s="90"/>
    </row>
    <row r="62" spans="1:21">
      <c r="B62" s="136"/>
      <c r="C62" s="136"/>
      <c r="D62" s="136"/>
      <c r="E62" s="136"/>
      <c r="F62" s="136"/>
      <c r="G62" s="136"/>
      <c r="H62" s="136"/>
      <c r="I62" s="136"/>
      <c r="J62" s="136"/>
      <c r="K62" s="136"/>
      <c r="L62" s="136"/>
      <c r="M62" s="136"/>
      <c r="N62" s="136"/>
      <c r="O62" s="136"/>
      <c r="P62" s="200"/>
      <c r="Q62" s="90"/>
    </row>
    <row r="63" spans="1:21">
      <c r="B63" s="90" t="s">
        <v>1127</v>
      </c>
      <c r="C63" s="136"/>
      <c r="D63" s="345">
        <f t="shared" ref="D63:O63" si="12">(D45/D57)*1000</f>
        <v>131.58264389552062</v>
      </c>
      <c r="E63" s="345">
        <f t="shared" si="12"/>
        <v>135.34334310141688</v>
      </c>
      <c r="F63" s="345">
        <f t="shared" si="12"/>
        <v>129.36429030937484</v>
      </c>
      <c r="G63" s="345">
        <f t="shared" si="12"/>
        <v>150.25476095833486</v>
      </c>
      <c r="H63" s="345">
        <f t="shared" si="12"/>
        <v>113.68146214099217</v>
      </c>
      <c r="I63" s="345">
        <f t="shared" si="12"/>
        <v>111.46634615384615</v>
      </c>
      <c r="J63" s="345">
        <f t="shared" si="12"/>
        <v>110.28824833702883</v>
      </c>
      <c r="K63" s="345">
        <f t="shared" si="12"/>
        <v>110.75664621676893</v>
      </c>
      <c r="L63" s="345">
        <f t="shared" si="12"/>
        <v>115.55555555555556</v>
      </c>
      <c r="M63" s="345">
        <f t="shared" si="12"/>
        <v>119.25373134328359</v>
      </c>
      <c r="N63" s="345">
        <f t="shared" si="12"/>
        <v>112.1747572815534</v>
      </c>
      <c r="O63" s="345">
        <f t="shared" si="12"/>
        <v>111.83970856102003</v>
      </c>
      <c r="P63" s="345">
        <f t="shared" ref="P63" si="13">(P45/P57)*1000</f>
        <v>113.25174825174825</v>
      </c>
      <c r="Q63" s="90"/>
    </row>
    <row r="64" spans="1:21">
      <c r="B64" s="90" t="s">
        <v>299</v>
      </c>
      <c r="D64" s="345">
        <f t="shared" ref="D64:O64" si="14">(D43/D57)*1000</f>
        <v>131.58264389552062</v>
      </c>
      <c r="E64" s="345">
        <f t="shared" si="14"/>
        <v>135.34334310141688</v>
      </c>
      <c r="F64" s="345">
        <f t="shared" si="14"/>
        <v>129.36429030937484</v>
      </c>
      <c r="G64" s="345">
        <f t="shared" si="14"/>
        <v>150.25476095833486</v>
      </c>
      <c r="H64" s="345">
        <f t="shared" si="14"/>
        <v>113.68146214099217</v>
      </c>
      <c r="I64" s="345">
        <f t="shared" si="14"/>
        <v>111.46634615384615</v>
      </c>
      <c r="J64" s="345">
        <f t="shared" si="14"/>
        <v>110.28824833702883</v>
      </c>
      <c r="K64" s="345">
        <f t="shared" si="14"/>
        <v>110.75664621676893</v>
      </c>
      <c r="L64" s="345">
        <f t="shared" si="14"/>
        <v>115.55555555555556</v>
      </c>
      <c r="M64" s="345">
        <f t="shared" si="14"/>
        <v>119.25373134328359</v>
      </c>
      <c r="N64" s="345">
        <f t="shared" si="14"/>
        <v>112.1747572815534</v>
      </c>
      <c r="O64" s="345">
        <f t="shared" si="14"/>
        <v>111.83970856102003</v>
      </c>
      <c r="P64" s="345">
        <f t="shared" ref="P64" si="15">(P43/P57)*1000</f>
        <v>113.25174825174825</v>
      </c>
      <c r="Q64" s="90"/>
    </row>
    <row r="65" spans="1:24">
      <c r="B65" s="90" t="s">
        <v>300</v>
      </c>
      <c r="D65" s="345">
        <f t="shared" ref="D65:O65" si="16">(D49/D57)*1000</f>
        <v>57.354547489035639</v>
      </c>
      <c r="E65" s="345">
        <f t="shared" si="16"/>
        <v>57.164194612420417</v>
      </c>
      <c r="F65" s="345">
        <f t="shared" si="16"/>
        <v>54.940922695252262</v>
      </c>
      <c r="G65" s="345">
        <f t="shared" si="16"/>
        <v>66.776384731640974</v>
      </c>
      <c r="H65" s="345">
        <f t="shared" si="16"/>
        <v>51.308226876762021</v>
      </c>
      <c r="I65" s="345">
        <f t="shared" si="16"/>
        <v>47.463558179875577</v>
      </c>
      <c r="J65" s="345">
        <f t="shared" si="16"/>
        <v>48.98156085963597</v>
      </c>
      <c r="K65" s="345">
        <f t="shared" si="16"/>
        <v>47.265765236362192</v>
      </c>
      <c r="L65" s="345">
        <f t="shared" si="16"/>
        <v>51.986160994241594</v>
      </c>
      <c r="M65" s="345">
        <f t="shared" si="16"/>
        <v>53.174903561736272</v>
      </c>
      <c r="N65" s="345">
        <f t="shared" si="16"/>
        <v>50.642112650277355</v>
      </c>
      <c r="O65" s="345">
        <f t="shared" si="16"/>
        <v>53.137776697067245</v>
      </c>
      <c r="P65" s="345">
        <f t="shared" ref="P65" si="17">(P49/P57)*1000</f>
        <v>55.000937656358069</v>
      </c>
      <c r="Q65" s="90"/>
    </row>
    <row r="66" spans="1:24">
      <c r="B66" s="90" t="s">
        <v>265</v>
      </c>
      <c r="D66" s="345">
        <f t="shared" ref="D66:P66" si="18">D22*1000/D57</f>
        <v>14.19208722373242</v>
      </c>
      <c r="E66" s="345">
        <f t="shared" si="18"/>
        <v>15.195915531252833</v>
      </c>
      <c r="F66" s="345">
        <f t="shared" si="18"/>
        <v>14.825428387625008</v>
      </c>
      <c r="G66" s="345">
        <f t="shared" si="18"/>
        <v>18.104289379539622</v>
      </c>
      <c r="H66" s="345">
        <f t="shared" si="18"/>
        <v>13.629242819843341</v>
      </c>
      <c r="I66" s="345">
        <f t="shared" si="18"/>
        <v>13.076923076923077</v>
      </c>
      <c r="J66" s="345">
        <f t="shared" si="18"/>
        <v>13.082039911308204</v>
      </c>
      <c r="K66" s="345">
        <f t="shared" si="18"/>
        <v>12.433537832310838</v>
      </c>
      <c r="L66" s="345">
        <f t="shared" si="18"/>
        <v>13.480083857442349</v>
      </c>
      <c r="M66" s="345">
        <f t="shared" si="18"/>
        <v>24.690831556503198</v>
      </c>
      <c r="N66" s="345">
        <f t="shared" si="18"/>
        <v>23.067961165048544</v>
      </c>
      <c r="O66" s="345">
        <f t="shared" si="18"/>
        <v>23.169398907103826</v>
      </c>
      <c r="P66" s="345">
        <f t="shared" si="18"/>
        <v>24.527972027972027</v>
      </c>
      <c r="Q66" s="90"/>
    </row>
    <row r="67" spans="1:24">
      <c r="B67" s="111" t="s">
        <v>1136</v>
      </c>
      <c r="C67" s="111"/>
      <c r="D67" s="159" t="e">
        <f t="shared" ref="D67:P67" si="19">D22/D59</f>
        <v>#DIV/0!</v>
      </c>
      <c r="E67" s="159" t="e">
        <f t="shared" si="19"/>
        <v>#DIV/0!</v>
      </c>
      <c r="F67" s="159" t="e">
        <f t="shared" si="19"/>
        <v>#DIV/0!</v>
      </c>
      <c r="G67" s="159" t="e">
        <f t="shared" si="19"/>
        <v>#DIV/0!</v>
      </c>
      <c r="H67" s="159" t="e">
        <f t="shared" si="19"/>
        <v>#DIV/0!</v>
      </c>
      <c r="I67" s="159" t="e">
        <f t="shared" si="19"/>
        <v>#DIV/0!</v>
      </c>
      <c r="J67" s="159" t="e">
        <f t="shared" si="19"/>
        <v>#DIV/0!</v>
      </c>
      <c r="K67" s="159" t="e">
        <f t="shared" si="19"/>
        <v>#DIV/0!</v>
      </c>
      <c r="L67" s="159" t="e">
        <f t="shared" si="19"/>
        <v>#DIV/0!</v>
      </c>
      <c r="M67" s="159" t="e">
        <f t="shared" si="19"/>
        <v>#DIV/0!</v>
      </c>
      <c r="N67" s="159">
        <f t="shared" si="19"/>
        <v>1080</v>
      </c>
      <c r="O67" s="159">
        <f t="shared" si="19"/>
        <v>1132.6803205699021</v>
      </c>
      <c r="P67" s="159">
        <f t="shared" si="19"/>
        <v>1087.5968992248063</v>
      </c>
      <c r="Q67" s="90"/>
    </row>
    <row r="68" spans="1:24">
      <c r="B68" s="111" t="s">
        <v>254</v>
      </c>
      <c r="C68" s="111"/>
      <c r="D68" s="159" t="e">
        <f t="shared" ref="D68:O68" si="20">D57/D59</f>
        <v>#DIV/0!</v>
      </c>
      <c r="E68" s="159" t="e">
        <f t="shared" si="20"/>
        <v>#DIV/0!</v>
      </c>
      <c r="F68" s="159" t="e">
        <f t="shared" si="20"/>
        <v>#DIV/0!</v>
      </c>
      <c r="G68" s="159" t="e">
        <f t="shared" si="20"/>
        <v>#DIV/0!</v>
      </c>
      <c r="H68" s="159" t="e">
        <f t="shared" si="20"/>
        <v>#DIV/0!</v>
      </c>
      <c r="I68" s="159" t="e">
        <f t="shared" si="20"/>
        <v>#DIV/0!</v>
      </c>
      <c r="J68" s="159" t="e">
        <f t="shared" si="20"/>
        <v>#DIV/0!</v>
      </c>
      <c r="K68" s="159" t="e">
        <f t="shared" si="20"/>
        <v>#DIV/0!</v>
      </c>
      <c r="L68" s="159" t="e">
        <f t="shared" si="20"/>
        <v>#DIV/0!</v>
      </c>
      <c r="M68" s="159" t="e">
        <f t="shared" si="20"/>
        <v>#DIV/0!</v>
      </c>
      <c r="N68" s="159">
        <f t="shared" si="20"/>
        <v>46818.181818181816</v>
      </c>
      <c r="O68" s="159">
        <f t="shared" si="20"/>
        <v>48886.910062333038</v>
      </c>
      <c r="P68" s="159">
        <f t="shared" ref="P68" si="21">P57/P59</f>
        <v>44341.085271317832</v>
      </c>
      <c r="Q68" s="90"/>
    </row>
    <row r="69" spans="1:24" s="133" customFormat="1">
      <c r="B69" s="138"/>
      <c r="C69" s="138"/>
      <c r="D69" s="141"/>
      <c r="E69" s="141"/>
      <c r="F69" s="141"/>
      <c r="G69" s="141"/>
      <c r="H69" s="141"/>
      <c r="I69" s="141"/>
      <c r="J69" s="141"/>
      <c r="K69" s="141"/>
      <c r="L69" s="141"/>
      <c r="M69" s="141"/>
      <c r="N69" s="141"/>
      <c r="O69" s="141"/>
      <c r="P69" s="141"/>
    </row>
    <row r="70" spans="1:24">
      <c r="B70" s="153" t="s">
        <v>1154</v>
      </c>
      <c r="C70" s="94"/>
      <c r="D70" s="94"/>
      <c r="E70" s="94"/>
      <c r="F70" s="94"/>
      <c r="G70" s="94"/>
      <c r="H70" s="94"/>
      <c r="I70" s="94"/>
      <c r="J70" s="94"/>
      <c r="K70" s="94"/>
      <c r="L70" s="94"/>
      <c r="M70" s="94"/>
      <c r="N70" s="94"/>
      <c r="O70" s="94"/>
      <c r="P70" s="94"/>
      <c r="Q70" s="90"/>
    </row>
    <row r="71" spans="1:24">
      <c r="B71" s="111"/>
      <c r="C71" s="111"/>
      <c r="D71" s="141"/>
      <c r="E71" s="141"/>
      <c r="F71" s="141"/>
      <c r="G71" s="141"/>
      <c r="H71" s="141"/>
      <c r="I71" s="141"/>
      <c r="J71" s="141"/>
      <c r="K71" s="141"/>
      <c r="L71" s="141"/>
      <c r="M71" s="141"/>
      <c r="N71" s="141"/>
      <c r="O71" s="141"/>
      <c r="P71" s="126"/>
      <c r="Q71" s="90"/>
    </row>
    <row r="72" spans="1:24">
      <c r="B72" s="138" t="s">
        <v>1095</v>
      </c>
      <c r="D72" s="214">
        <f>FX!$D$28</f>
        <v>8.145454545454546E-2</v>
      </c>
      <c r="E72" s="214">
        <f>FX!$D$28</f>
        <v>8.145454545454546E-2</v>
      </c>
      <c r="F72" s="214">
        <f>FX!$D$28</f>
        <v>8.145454545454546E-2</v>
      </c>
      <c r="G72" s="214">
        <f>FX!$D$28</f>
        <v>8.145454545454546E-2</v>
      </c>
      <c r="H72" s="214">
        <f>FX!$D$28</f>
        <v>8.145454545454546E-2</v>
      </c>
      <c r="I72" s="214">
        <f>FX!$D$28</f>
        <v>8.145454545454546E-2</v>
      </c>
      <c r="J72" s="214">
        <f>FX!$D$28</f>
        <v>8.145454545454546E-2</v>
      </c>
      <c r="K72" s="214">
        <f>FX!$D$28</f>
        <v>8.145454545454546E-2</v>
      </c>
      <c r="L72" s="214">
        <f>FX!$D$28</f>
        <v>8.145454545454546E-2</v>
      </c>
      <c r="M72" s="214">
        <f>FX!$D$28</f>
        <v>8.145454545454546E-2</v>
      </c>
      <c r="N72" s="214">
        <f>FX!$D$28</f>
        <v>8.145454545454546E-2</v>
      </c>
      <c r="O72" s="214">
        <f>FX!$D$28</f>
        <v>8.145454545454546E-2</v>
      </c>
      <c r="P72" s="214">
        <f>FX!$D$28</f>
        <v>8.145454545454546E-2</v>
      </c>
      <c r="Q72" s="90"/>
    </row>
    <row r="73" spans="1:24" s="133" customFormat="1">
      <c r="B73" s="138"/>
      <c r="D73" s="214"/>
      <c r="E73" s="214"/>
      <c r="F73" s="214"/>
      <c r="G73" s="214"/>
      <c r="H73" s="214"/>
      <c r="I73" s="214"/>
      <c r="J73" s="214"/>
      <c r="K73" s="214"/>
      <c r="L73" s="214"/>
      <c r="M73" s="214"/>
      <c r="N73" s="214"/>
      <c r="O73" s="214"/>
      <c r="P73" s="214"/>
    </row>
    <row r="74" spans="1:24">
      <c r="B74" s="138" t="s">
        <v>1133</v>
      </c>
      <c r="D74" s="213">
        <f>RPI!$R$33</f>
        <v>171.31666666666663</v>
      </c>
      <c r="E74" s="213">
        <f>RPI!$R$34</f>
        <v>173.875</v>
      </c>
      <c r="F74" s="213">
        <f>RPI!$R$35</f>
        <v>177.51666666666665</v>
      </c>
      <c r="G74" s="213">
        <f>RPI!$R$36</f>
        <v>182.47499999999999</v>
      </c>
      <c r="H74" s="213">
        <f>RPI!$R$37</f>
        <v>188.15</v>
      </c>
      <c r="I74" s="213">
        <f>RPI!$R$38</f>
        <v>193.10833333333332</v>
      </c>
      <c r="J74" s="213">
        <f>RPI!$R$39</f>
        <v>200.31666666666669</v>
      </c>
      <c r="K74" s="213">
        <f>RPI!$R$40</f>
        <v>208.5916666666667</v>
      </c>
      <c r="L74" s="213">
        <f>RPI!$R$41</f>
        <v>214.78333333333339</v>
      </c>
      <c r="M74" s="213">
        <f>RPI!$R$42</f>
        <v>215.76666666666665</v>
      </c>
      <c r="N74" s="213">
        <f>RPI!$R$43</f>
        <v>226.47499999999999</v>
      </c>
      <c r="O74" s="213">
        <f>RPI!$R$44</f>
        <v>237.3416666666667</v>
      </c>
      <c r="P74" s="213">
        <f>RPI!$R$45</f>
        <v>244.67499999999998</v>
      </c>
      <c r="Q74" s="90"/>
    </row>
    <row r="75" spans="1:24">
      <c r="B75" s="138" t="s">
        <v>1132</v>
      </c>
      <c r="D75" s="214">
        <f>RPI!$R$44</f>
        <v>237.3416666666667</v>
      </c>
      <c r="E75" s="214">
        <f>RPI!$R$44</f>
        <v>237.3416666666667</v>
      </c>
      <c r="F75" s="214">
        <f>RPI!$R$44</f>
        <v>237.3416666666667</v>
      </c>
      <c r="G75" s="214">
        <f>RPI!$R$44</f>
        <v>237.3416666666667</v>
      </c>
      <c r="H75" s="214">
        <f>RPI!$R$44</f>
        <v>237.3416666666667</v>
      </c>
      <c r="I75" s="214">
        <f>RPI!$R$44</f>
        <v>237.3416666666667</v>
      </c>
      <c r="J75" s="214">
        <f>RPI!$R$44</f>
        <v>237.3416666666667</v>
      </c>
      <c r="K75" s="214">
        <f>RPI!$R$44</f>
        <v>237.3416666666667</v>
      </c>
      <c r="L75" s="214">
        <f>RPI!$R$44</f>
        <v>237.3416666666667</v>
      </c>
      <c r="M75" s="214">
        <f>RPI!$R$44</f>
        <v>237.3416666666667</v>
      </c>
      <c r="N75" s="214">
        <f>RPI!$R$44</f>
        <v>237.3416666666667</v>
      </c>
      <c r="O75" s="214">
        <f>RPI!$R$44</f>
        <v>237.3416666666667</v>
      </c>
      <c r="P75" s="214">
        <f>RPI!$R$44</f>
        <v>237.3416666666667</v>
      </c>
      <c r="Q75" s="90"/>
    </row>
    <row r="76" spans="1:24">
      <c r="B76" s="138" t="s">
        <v>304</v>
      </c>
      <c r="D76" s="214">
        <f t="shared" ref="D76:O76" si="22">D75/D74</f>
        <v>1.3853974121996309</v>
      </c>
      <c r="E76" s="214">
        <f t="shared" si="22"/>
        <v>1.3650131799664511</v>
      </c>
      <c r="F76" s="214">
        <f t="shared" si="22"/>
        <v>1.3370106093324574</v>
      </c>
      <c r="G76" s="214">
        <f t="shared" si="22"/>
        <v>1.3006804585102985</v>
      </c>
      <c r="H76" s="214">
        <f t="shared" si="22"/>
        <v>1.2614491983346623</v>
      </c>
      <c r="I76" s="214">
        <f t="shared" si="22"/>
        <v>1.229059681525914</v>
      </c>
      <c r="J76" s="214">
        <f t="shared" si="22"/>
        <v>1.1848323487810966</v>
      </c>
      <c r="K76" s="214">
        <f t="shared" si="22"/>
        <v>1.1378290919260117</v>
      </c>
      <c r="L76" s="214">
        <f t="shared" si="22"/>
        <v>1.1050283231163187</v>
      </c>
      <c r="M76" s="214">
        <f t="shared" si="22"/>
        <v>1.0999922756063651</v>
      </c>
      <c r="N76" s="214">
        <f t="shared" si="22"/>
        <v>1.0479817492732828</v>
      </c>
      <c r="O76" s="214">
        <f t="shared" si="22"/>
        <v>1</v>
      </c>
      <c r="P76" s="214">
        <f t="shared" ref="P76" si="23">P75/P74</f>
        <v>0.97002826879193504</v>
      </c>
      <c r="Q76" s="90"/>
    </row>
    <row r="77" spans="1:24" s="133" customFormat="1" ht="15" customHeight="1">
      <c r="B77" s="138"/>
      <c r="D77" s="214"/>
      <c r="E77" s="214"/>
      <c r="F77" s="214"/>
      <c r="G77" s="214"/>
      <c r="H77" s="214"/>
      <c r="I77" s="214"/>
      <c r="J77" s="214"/>
      <c r="K77" s="214"/>
      <c r="L77" s="214"/>
      <c r="M77" s="214"/>
      <c r="N77" s="214"/>
      <c r="O77" s="214"/>
      <c r="P77" s="214"/>
    </row>
    <row r="78" spans="1:24">
      <c r="B78" s="111" t="str">
        <f>B22</f>
        <v>Staff Costs Total</v>
      </c>
      <c r="C78" s="111"/>
      <c r="D78" s="159">
        <f t="shared" ref="D78:P78" si="24">D22*D72*D76</f>
        <v>54202.292385145374</v>
      </c>
      <c r="E78" s="159">
        <f t="shared" si="24"/>
        <v>55926.823641156363</v>
      </c>
      <c r="F78" s="159">
        <f t="shared" si="24"/>
        <v>55215.134865697655</v>
      </c>
      <c r="G78" s="159">
        <f t="shared" si="24"/>
        <v>53079.114100312632</v>
      </c>
      <c r="H78" s="159">
        <f t="shared" si="24"/>
        <v>53635.90249559105</v>
      </c>
      <c r="I78" s="159">
        <f t="shared" si="24"/>
        <v>54461.198746189737</v>
      </c>
      <c r="J78" s="159">
        <f t="shared" si="24"/>
        <v>56940.888441785362</v>
      </c>
      <c r="K78" s="159">
        <f t="shared" si="24"/>
        <v>56350.261704577235</v>
      </c>
      <c r="L78" s="159">
        <f t="shared" si="24"/>
        <v>57876.159794578045</v>
      </c>
      <c r="M78" s="159">
        <f t="shared" si="24"/>
        <v>103756.07140148593</v>
      </c>
      <c r="N78" s="159">
        <f t="shared" si="24"/>
        <v>101411.09791367703</v>
      </c>
      <c r="O78" s="159">
        <f t="shared" si="24"/>
        <v>103610.18181818182</v>
      </c>
      <c r="P78" s="159">
        <f t="shared" si="24"/>
        <v>110855.53603264692</v>
      </c>
      <c r="Q78" s="90"/>
    </row>
    <row r="79" spans="1:24" s="126" customFormat="1">
      <c r="A79" s="90"/>
      <c r="B79" s="111" t="str">
        <f>B25</f>
        <v>Depreciation Total</v>
      </c>
      <c r="C79" s="111"/>
      <c r="D79" s="159">
        <f t="shared" ref="D79:P79" si="25">D25*D72*D76</f>
        <v>199857.98282776013</v>
      </c>
      <c r="E79" s="159">
        <f t="shared" si="25"/>
        <v>204027.27908851276</v>
      </c>
      <c r="F79" s="159">
        <f t="shared" si="25"/>
        <v>196574.59256919971</v>
      </c>
      <c r="G79" s="159">
        <f t="shared" si="25"/>
        <v>170043.86852495366</v>
      </c>
      <c r="H79" s="159">
        <f t="shared" si="25"/>
        <v>172621.29538810917</v>
      </c>
      <c r="I79" s="159">
        <f>I25*I72*I76</f>
        <v>191615.3205886161</v>
      </c>
      <c r="J79" s="159">
        <f t="shared" si="25"/>
        <v>194371.10054534866</v>
      </c>
      <c r="K79" s="159">
        <f t="shared" si="25"/>
        <v>211406.16274365244</v>
      </c>
      <c r="L79" s="159">
        <f t="shared" si="25"/>
        <v>198111.08508221817</v>
      </c>
      <c r="M79" s="159">
        <f t="shared" si="25"/>
        <v>196312.22145134342</v>
      </c>
      <c r="N79" s="159">
        <f t="shared" si="25"/>
        <v>188395.86960899428</v>
      </c>
      <c r="O79" s="159">
        <f t="shared" si="25"/>
        <v>180910.54545454547</v>
      </c>
      <c r="P79" s="159">
        <f t="shared" si="25"/>
        <v>174461.17146121484</v>
      </c>
      <c r="Q79" s="90"/>
      <c r="R79" s="90"/>
      <c r="S79" s="90"/>
      <c r="T79" s="90"/>
      <c r="U79" s="90"/>
      <c r="V79" s="90"/>
      <c r="W79" s="90"/>
      <c r="X79" s="90"/>
    </row>
    <row r="80" spans="1:24" s="126" customFormat="1">
      <c r="A80" s="90"/>
      <c r="B80" s="111" t="str">
        <f>B34</f>
        <v>Other Costs Total</v>
      </c>
      <c r="C80" s="111"/>
      <c r="D80" s="159">
        <f>D34*D72*D76</f>
        <v>248478.97957049249</v>
      </c>
      <c r="E80" s="159">
        <f t="shared" ref="E80:O80" si="26">E34*E72*E76</f>
        <v>238161.54321939746</v>
      </c>
      <c r="F80" s="159">
        <f t="shared" si="26"/>
        <v>230008.60914468131</v>
      </c>
      <c r="G80" s="159">
        <f t="shared" si="26"/>
        <v>217401.88050666972</v>
      </c>
      <c r="H80" s="159">
        <f t="shared" si="26"/>
        <v>221119.65933048265</v>
      </c>
      <c r="I80" s="159">
        <f t="shared" si="26"/>
        <v>218145.13247784457</v>
      </c>
      <c r="J80" s="159">
        <f t="shared" si="26"/>
        <v>228728.65357123947</v>
      </c>
      <c r="K80" s="159">
        <f t="shared" si="26"/>
        <v>234205.77520964915</v>
      </c>
      <c r="L80" s="159">
        <f t="shared" si="26"/>
        <v>240145.55883660069</v>
      </c>
      <c r="M80" s="159">
        <f t="shared" si="26"/>
        <v>201060.98810443384</v>
      </c>
      <c r="N80" s="159">
        <f t="shared" si="26"/>
        <v>203334.37308954436</v>
      </c>
      <c r="O80" s="159">
        <f t="shared" si="26"/>
        <v>215610.18181818182</v>
      </c>
      <c r="P80" s="159">
        <f t="shared" ref="P80" si="27">P34*P72*P76</f>
        <v>226530.87797975674</v>
      </c>
      <c r="Q80" s="90"/>
      <c r="R80" s="90"/>
      <c r="S80" s="90"/>
      <c r="T80" s="90"/>
      <c r="U80" s="90"/>
      <c r="V80" s="90"/>
      <c r="W80" s="90"/>
      <c r="X80" s="90"/>
    </row>
    <row r="81" spans="1:24" s="126" customFormat="1">
      <c r="A81" s="90"/>
      <c r="B81" s="111" t="str">
        <f>B37</f>
        <v>Exceptional Items Total</v>
      </c>
      <c r="C81" s="111"/>
      <c r="D81" s="159">
        <f>D37*D72*D76</f>
        <v>0</v>
      </c>
      <c r="E81" s="159">
        <f t="shared" ref="E81:O81" si="28">E37*E72*E76</f>
        <v>0</v>
      </c>
      <c r="F81" s="159">
        <f t="shared" si="28"/>
        <v>0</v>
      </c>
      <c r="G81" s="159">
        <f t="shared" si="28"/>
        <v>0</v>
      </c>
      <c r="H81" s="159">
        <f t="shared" si="28"/>
        <v>0</v>
      </c>
      <c r="I81" s="159">
        <f t="shared" si="28"/>
        <v>0</v>
      </c>
      <c r="J81" s="159">
        <f t="shared" si="28"/>
        <v>0</v>
      </c>
      <c r="K81" s="159">
        <f t="shared" si="28"/>
        <v>0</v>
      </c>
      <c r="L81" s="159">
        <f t="shared" si="28"/>
        <v>0</v>
      </c>
      <c r="M81" s="159">
        <f t="shared" si="28"/>
        <v>0</v>
      </c>
      <c r="N81" s="159">
        <f t="shared" si="28"/>
        <v>0</v>
      </c>
      <c r="O81" s="159">
        <f t="shared" si="28"/>
        <v>0</v>
      </c>
      <c r="P81" s="159">
        <f t="shared" ref="P81" si="29">P37*P72*P76</f>
        <v>0</v>
      </c>
      <c r="Q81" s="90"/>
      <c r="R81" s="90"/>
      <c r="S81" s="90"/>
      <c r="T81" s="90"/>
      <c r="U81" s="90"/>
      <c r="V81" s="90"/>
      <c r="W81" s="90"/>
      <c r="X81" s="90"/>
    </row>
    <row r="82" spans="1:24" s="126" customFormat="1">
      <c r="A82" s="90"/>
      <c r="B82" s="111" t="str">
        <f>B39</f>
        <v>Grand Total</v>
      </c>
      <c r="C82" s="111"/>
      <c r="D82" s="159">
        <f>D39*D72*D76</f>
        <v>502539.25478339795</v>
      </c>
      <c r="E82" s="159">
        <f t="shared" ref="E82:O82" si="30">E39*E72*E76</f>
        <v>498115.64594906656</v>
      </c>
      <c r="F82" s="159">
        <f t="shared" si="30"/>
        <v>481798.3365795787</v>
      </c>
      <c r="G82" s="159">
        <f t="shared" si="30"/>
        <v>440524.86313193594</v>
      </c>
      <c r="H82" s="159">
        <f t="shared" si="30"/>
        <v>447376.85721418285</v>
      </c>
      <c r="I82" s="159">
        <f t="shared" si="30"/>
        <v>464221.65181265044</v>
      </c>
      <c r="J82" s="159">
        <f t="shared" si="30"/>
        <v>480040.64255837351</v>
      </c>
      <c r="K82" s="159">
        <f t="shared" si="30"/>
        <v>501962.19965787878</v>
      </c>
      <c r="L82" s="159">
        <f t="shared" si="30"/>
        <v>496132.80371339689</v>
      </c>
      <c r="M82" s="159">
        <f t="shared" si="30"/>
        <v>501129.2809572632</v>
      </c>
      <c r="N82" s="159">
        <f t="shared" si="30"/>
        <v>493141.34061221569</v>
      </c>
      <c r="O82" s="159">
        <f t="shared" si="30"/>
        <v>500130.90909090912</v>
      </c>
      <c r="P82" s="159">
        <f t="shared" ref="P82" si="31">P39*P72*P76</f>
        <v>511847.58547361853</v>
      </c>
      <c r="Q82" s="90"/>
      <c r="R82" s="90"/>
      <c r="S82" s="90"/>
      <c r="T82" s="90"/>
      <c r="U82" s="90"/>
      <c r="V82" s="90"/>
      <c r="W82" s="90"/>
      <c r="X82" s="90"/>
    </row>
    <row r="83" spans="1:24" s="126" customFormat="1">
      <c r="A83" s="90"/>
      <c r="B83" s="111" t="str">
        <f>B41</f>
        <v>Cost Residual (Ordinary Opex - Elements)</v>
      </c>
      <c r="C83" s="111"/>
      <c r="D83" s="159">
        <f>D41*D72*D76</f>
        <v>0</v>
      </c>
      <c r="E83" s="159">
        <f t="shared" ref="E83:O83" si="32">E41*E72*E76</f>
        <v>0</v>
      </c>
      <c r="F83" s="159">
        <f t="shared" si="32"/>
        <v>0</v>
      </c>
      <c r="G83" s="159">
        <f t="shared" si="32"/>
        <v>0</v>
      </c>
      <c r="H83" s="159">
        <f t="shared" si="32"/>
        <v>0</v>
      </c>
      <c r="I83" s="159">
        <f t="shared" si="32"/>
        <v>0</v>
      </c>
      <c r="J83" s="159">
        <f t="shared" si="32"/>
        <v>0</v>
      </c>
      <c r="K83" s="159">
        <f t="shared" si="32"/>
        <v>0</v>
      </c>
      <c r="L83" s="159">
        <f t="shared" si="32"/>
        <v>0</v>
      </c>
      <c r="M83" s="159">
        <f t="shared" si="32"/>
        <v>0</v>
      </c>
      <c r="N83" s="159">
        <f t="shared" si="32"/>
        <v>0</v>
      </c>
      <c r="O83" s="159">
        <f t="shared" si="32"/>
        <v>0</v>
      </c>
      <c r="P83" s="159">
        <f t="shared" ref="P83" si="33">P41*P72*P76</f>
        <v>0</v>
      </c>
      <c r="Q83" s="90"/>
      <c r="R83" s="90"/>
      <c r="S83" s="90"/>
      <c r="T83" s="90"/>
      <c r="U83" s="90"/>
      <c r="V83" s="90"/>
      <c r="W83" s="90"/>
      <c r="X83" s="90"/>
    </row>
    <row r="84" spans="1:24" s="126" customFormat="1">
      <c r="A84" s="90"/>
      <c r="B84" s="111"/>
      <c r="C84" s="111"/>
      <c r="D84" s="193"/>
      <c r="E84" s="193"/>
      <c r="F84" s="193"/>
      <c r="G84" s="193"/>
      <c r="H84" s="193"/>
      <c r="I84" s="193"/>
      <c r="J84" s="193"/>
      <c r="K84" s="193"/>
      <c r="L84" s="193"/>
      <c r="M84" s="193"/>
      <c r="N84" s="193"/>
      <c r="O84" s="193"/>
      <c r="P84" s="193"/>
      <c r="Q84" s="90"/>
      <c r="R84" s="90"/>
      <c r="S84" s="90"/>
      <c r="T84" s="90"/>
      <c r="U84" s="90"/>
      <c r="V84" s="90"/>
      <c r="W84" s="90"/>
      <c r="X84" s="90"/>
    </row>
    <row r="85" spans="1:24" s="126" customFormat="1">
      <c r="A85" s="90"/>
      <c r="B85" s="111" t="str">
        <f>B43</f>
        <v>Ordinary Opex (per accounts - including staff, depreciation and other, excluding exceptional)</v>
      </c>
      <c r="C85" s="111"/>
      <c r="D85" s="159">
        <f>D43*D72*D76</f>
        <v>502539.25478339795</v>
      </c>
      <c r="E85" s="159">
        <f t="shared" ref="E85:O85" si="34">E43*E72*E76</f>
        <v>498115.64594906656</v>
      </c>
      <c r="F85" s="159">
        <f t="shared" si="34"/>
        <v>481798.3365795787</v>
      </c>
      <c r="G85" s="159">
        <f t="shared" si="34"/>
        <v>440524.86313193594</v>
      </c>
      <c r="H85" s="159">
        <f t="shared" si="34"/>
        <v>447376.85721418285</v>
      </c>
      <c r="I85" s="159">
        <f t="shared" si="34"/>
        <v>464221.65181265044</v>
      </c>
      <c r="J85" s="159">
        <f t="shared" si="34"/>
        <v>480040.64255837351</v>
      </c>
      <c r="K85" s="159">
        <f t="shared" si="34"/>
        <v>501962.19965787878</v>
      </c>
      <c r="L85" s="159">
        <f t="shared" si="34"/>
        <v>496132.80371339689</v>
      </c>
      <c r="M85" s="159">
        <f t="shared" si="34"/>
        <v>501129.2809572632</v>
      </c>
      <c r="N85" s="159">
        <f t="shared" si="34"/>
        <v>493141.34061221569</v>
      </c>
      <c r="O85" s="159">
        <f t="shared" si="34"/>
        <v>500130.90909090912</v>
      </c>
      <c r="P85" s="159">
        <f t="shared" ref="P85" si="35">P43*P72*P76</f>
        <v>511847.58547361853</v>
      </c>
      <c r="Q85" s="90"/>
      <c r="R85" s="90"/>
      <c r="S85" s="90"/>
      <c r="T85" s="90"/>
      <c r="U85" s="90"/>
      <c r="V85" s="90"/>
      <c r="W85" s="90"/>
      <c r="X85" s="90"/>
    </row>
    <row r="86" spans="1:24" s="126" customFormat="1">
      <c r="A86" s="90"/>
      <c r="B86" s="111"/>
      <c r="C86" s="111"/>
      <c r="D86" s="141"/>
      <c r="E86" s="141"/>
      <c r="F86" s="141"/>
      <c r="G86" s="141"/>
      <c r="H86" s="141"/>
      <c r="I86" s="141"/>
      <c r="J86" s="141"/>
      <c r="K86" s="141"/>
      <c r="L86" s="141"/>
      <c r="M86" s="141"/>
      <c r="N86" s="141"/>
      <c r="O86" s="141"/>
      <c r="P86" s="141"/>
      <c r="Q86" s="90"/>
      <c r="R86" s="90"/>
      <c r="S86" s="90"/>
      <c r="T86" s="90"/>
      <c r="U86" s="90"/>
      <c r="V86" s="90"/>
      <c r="W86" s="90"/>
      <c r="X86" s="90"/>
    </row>
    <row r="87" spans="1:24" s="126" customFormat="1">
      <c r="A87" s="90"/>
      <c r="B87" s="111" t="str">
        <f>B45</f>
        <v>Total Opex (ordinary + exceptional)</v>
      </c>
      <c r="C87" s="111"/>
      <c r="D87" s="159">
        <f>D45*D72*D76</f>
        <v>502539.25478339795</v>
      </c>
      <c r="E87" s="159">
        <f t="shared" ref="E87:O87" si="36">E45*E72*E76</f>
        <v>498115.64594906656</v>
      </c>
      <c r="F87" s="159">
        <f t="shared" si="36"/>
        <v>481798.3365795787</v>
      </c>
      <c r="G87" s="159">
        <f t="shared" si="36"/>
        <v>440524.86313193594</v>
      </c>
      <c r="H87" s="159">
        <f t="shared" si="36"/>
        <v>447376.85721418285</v>
      </c>
      <c r="I87" s="159">
        <f t="shared" si="36"/>
        <v>464221.65181265044</v>
      </c>
      <c r="J87" s="159">
        <f t="shared" si="36"/>
        <v>480040.64255837351</v>
      </c>
      <c r="K87" s="159">
        <f t="shared" si="36"/>
        <v>501962.19965787878</v>
      </c>
      <c r="L87" s="159">
        <f t="shared" si="36"/>
        <v>496132.80371339689</v>
      </c>
      <c r="M87" s="159">
        <f t="shared" si="36"/>
        <v>501129.2809572632</v>
      </c>
      <c r="N87" s="159">
        <f t="shared" si="36"/>
        <v>493141.34061221569</v>
      </c>
      <c r="O87" s="159">
        <f t="shared" si="36"/>
        <v>500130.90909090912</v>
      </c>
      <c r="P87" s="159">
        <f t="shared" ref="P87" si="37">P45*P72*P76</f>
        <v>511847.58547361853</v>
      </c>
      <c r="Q87" s="90"/>
      <c r="R87" s="90"/>
      <c r="S87" s="90"/>
      <c r="T87" s="90"/>
      <c r="U87" s="90"/>
      <c r="V87" s="90"/>
      <c r="W87" s="90"/>
      <c r="X87" s="90"/>
    </row>
    <row r="88" spans="1:24" s="126" customFormat="1">
      <c r="A88" s="90"/>
      <c r="B88" s="111"/>
      <c r="C88" s="111"/>
      <c r="D88" s="141"/>
      <c r="E88" s="141"/>
      <c r="F88" s="141"/>
      <c r="G88" s="141"/>
      <c r="H88" s="141"/>
      <c r="I88" s="141"/>
      <c r="J88" s="141"/>
      <c r="K88" s="141"/>
      <c r="L88" s="141"/>
      <c r="M88" s="141"/>
      <c r="N88" s="141"/>
      <c r="O88" s="141"/>
      <c r="P88" s="141"/>
      <c r="Q88" s="90"/>
      <c r="R88" s="90"/>
      <c r="S88" s="90"/>
      <c r="T88" s="90"/>
      <c r="U88" s="90"/>
      <c r="V88" s="90"/>
      <c r="W88" s="90"/>
      <c r="X88" s="90"/>
    </row>
    <row r="89" spans="1:24" s="126" customFormat="1">
      <c r="A89" s="90"/>
      <c r="B89" s="111" t="str">
        <f>B47</f>
        <v>Retail Estimate</v>
      </c>
      <c r="C89" s="111"/>
      <c r="D89" s="159">
        <f>D47*D72*D76</f>
        <v>3932.4549026419791</v>
      </c>
      <c r="E89" s="159">
        <f t="shared" ref="E89:O89" si="38">E47*E72*E76</f>
        <v>4092.5530746165759</v>
      </c>
      <c r="F89" s="159">
        <f t="shared" si="38"/>
        <v>2736.8329802059966</v>
      </c>
      <c r="G89" s="159">
        <f t="shared" si="38"/>
        <v>1175.6976437772844</v>
      </c>
      <c r="H89" s="159">
        <f t="shared" si="38"/>
        <v>1222.2112379480131</v>
      </c>
      <c r="I89" s="159">
        <f t="shared" si="38"/>
        <v>2154.0184698457792</v>
      </c>
      <c r="J89" s="159">
        <f t="shared" si="38"/>
        <v>5397.9581250766523</v>
      </c>
      <c r="K89" s="159">
        <f t="shared" si="38"/>
        <v>8684.6207689343191</v>
      </c>
      <c r="L89" s="159">
        <f t="shared" si="38"/>
        <v>9834.4575389654929</v>
      </c>
      <c r="M89" s="159">
        <f t="shared" si="38"/>
        <v>15509.384346337549</v>
      </c>
      <c r="N89" s="159">
        <f t="shared" si="38"/>
        <v>18091.056837654167</v>
      </c>
      <c r="O89" s="159">
        <f t="shared" si="38"/>
        <v>15536.319014598501</v>
      </c>
      <c r="P89" s="159">
        <f t="shared" ref="P89" si="39">P47*P72*P76</f>
        <v>23462.686088467424</v>
      </c>
      <c r="Q89" s="90"/>
      <c r="R89" s="90"/>
      <c r="S89" s="90"/>
      <c r="T89" s="90"/>
      <c r="U89" s="90"/>
      <c r="V89" s="90"/>
      <c r="W89" s="90"/>
      <c r="X89" s="90"/>
    </row>
    <row r="90" spans="1:24" s="126" customFormat="1">
      <c r="A90" s="90"/>
      <c r="B90" s="111"/>
      <c r="C90" s="111"/>
      <c r="D90" s="141"/>
      <c r="E90" s="141"/>
      <c r="F90" s="141"/>
      <c r="G90" s="141"/>
      <c r="H90" s="141"/>
      <c r="I90" s="141"/>
      <c r="J90" s="141"/>
      <c r="K90" s="141"/>
      <c r="L90" s="141"/>
      <c r="M90" s="141"/>
      <c r="N90" s="141"/>
      <c r="O90" s="141"/>
      <c r="P90" s="141"/>
      <c r="Q90" s="90"/>
      <c r="R90" s="90"/>
      <c r="S90" s="90"/>
      <c r="T90" s="90"/>
      <c r="U90" s="90"/>
      <c r="V90" s="90"/>
      <c r="W90" s="90"/>
      <c r="X90" s="90"/>
    </row>
    <row r="91" spans="1:24" s="126" customFormat="1">
      <c r="A91" s="134"/>
      <c r="B91" s="111" t="str">
        <f>B49</f>
        <v>Adjusted Ordinary Opex (ordinary opex - depreciation - ANS - retail)</v>
      </c>
      <c r="C91" s="111"/>
      <c r="D91" s="159">
        <f>D49*D72*D76</f>
        <v>219047.9739597342</v>
      </c>
      <c r="E91" s="159">
        <f t="shared" ref="E91:O91" si="40">E49*E72*E76</f>
        <v>210386.25965657749</v>
      </c>
      <c r="F91" s="159">
        <f t="shared" si="40"/>
        <v>204619.41314265065</v>
      </c>
      <c r="G91" s="159">
        <f t="shared" si="40"/>
        <v>195778.54010568617</v>
      </c>
      <c r="H91" s="159">
        <f t="shared" si="40"/>
        <v>201916.0631562733</v>
      </c>
      <c r="I91" s="159">
        <f t="shared" si="40"/>
        <v>197670.52692977685</v>
      </c>
      <c r="J91" s="159">
        <f t="shared" si="40"/>
        <v>213197.14750313325</v>
      </c>
      <c r="K91" s="159">
        <f t="shared" si="40"/>
        <v>214214.02955920424</v>
      </c>
      <c r="L91" s="159">
        <f t="shared" si="40"/>
        <v>223200.34449550195</v>
      </c>
      <c r="M91" s="159">
        <f t="shared" si="40"/>
        <v>223452.13761200698</v>
      </c>
      <c r="N91" s="159">
        <f t="shared" si="40"/>
        <v>222632.25639178124</v>
      </c>
      <c r="O91" s="159">
        <f t="shared" si="40"/>
        <v>237624.40825812879</v>
      </c>
      <c r="P91" s="159">
        <f t="shared" ref="P91" si="41">P49*P72*P76</f>
        <v>248579.8018376932</v>
      </c>
      <c r="Q91" s="90"/>
      <c r="R91" s="90"/>
      <c r="S91" s="90"/>
      <c r="T91" s="90"/>
      <c r="U91" s="90"/>
      <c r="V91" s="90"/>
      <c r="W91" s="90"/>
      <c r="X91" s="90"/>
    </row>
    <row r="92" spans="1:24" s="126" customFormat="1">
      <c r="A92" s="90"/>
      <c r="B92" s="111"/>
      <c r="C92" s="111"/>
      <c r="D92" s="141"/>
      <c r="E92" s="141"/>
      <c r="F92" s="141"/>
      <c r="G92" s="141"/>
      <c r="H92" s="141"/>
      <c r="I92" s="141"/>
      <c r="J92" s="141"/>
      <c r="K92" s="141"/>
      <c r="L92" s="141"/>
      <c r="M92" s="141"/>
      <c r="N92" s="141"/>
      <c r="O92" s="141"/>
      <c r="P92" s="141"/>
      <c r="Q92" s="90"/>
      <c r="R92" s="90"/>
      <c r="S92" s="90"/>
      <c r="T92" s="90"/>
      <c r="U92" s="90"/>
      <c r="V92" s="90"/>
      <c r="W92" s="90"/>
      <c r="X92" s="90"/>
    </row>
    <row r="93" spans="1:24" s="126" customFormat="1">
      <c r="A93" s="90"/>
      <c r="B93" s="111" t="str">
        <f>B51</f>
        <v>Turnover (per accounts)</v>
      </c>
      <c r="C93" s="111"/>
      <c r="D93" s="159">
        <f>D51*D72*D76</f>
        <v>566727.70934901724</v>
      </c>
      <c r="E93" s="159">
        <f t="shared" ref="E93:O93" si="42">E51*E72*E76</f>
        <v>570053.3296385858</v>
      </c>
      <c r="F93" s="159">
        <f t="shared" si="42"/>
        <v>573605.75017283927</v>
      </c>
      <c r="G93" s="159">
        <f t="shared" si="42"/>
        <v>518819.20508828538</v>
      </c>
      <c r="H93" s="159">
        <f t="shared" si="42"/>
        <v>654419.66090884956</v>
      </c>
      <c r="I93" s="159">
        <f t="shared" si="42"/>
        <v>698284.67142403207</v>
      </c>
      <c r="J93" s="159">
        <f t="shared" si="42"/>
        <v>732896.79123206437</v>
      </c>
      <c r="K93" s="159">
        <f t="shared" si="42"/>
        <v>778894.07790339971</v>
      </c>
      <c r="L93" s="159">
        <f t="shared" si="42"/>
        <v>785603.61226606101</v>
      </c>
      <c r="M93" s="159">
        <f t="shared" si="42"/>
        <v>807738.32787944353</v>
      </c>
      <c r="N93" s="159">
        <f t="shared" si="42"/>
        <v>903395.32762663637</v>
      </c>
      <c r="O93" s="159">
        <f t="shared" si="42"/>
        <v>989998.54545454553</v>
      </c>
      <c r="P93" s="159">
        <f t="shared" ref="P93" si="43">P51*P72*P76</f>
        <v>1037759.5226320631</v>
      </c>
      <c r="Q93" s="90"/>
      <c r="R93" s="90"/>
      <c r="S93" s="90"/>
      <c r="T93" s="90"/>
      <c r="U93" s="90"/>
      <c r="V93" s="90"/>
      <c r="W93" s="90"/>
      <c r="X93" s="90"/>
    </row>
    <row r="94" spans="1:24" s="126" customFormat="1">
      <c r="A94" s="90"/>
      <c r="B94" s="111"/>
      <c r="C94" s="111"/>
      <c r="D94" s="141"/>
      <c r="E94" s="141"/>
      <c r="F94" s="141"/>
      <c r="G94" s="141"/>
      <c r="H94" s="141"/>
      <c r="I94" s="141"/>
      <c r="J94" s="141"/>
      <c r="K94" s="141"/>
      <c r="L94" s="141"/>
      <c r="M94" s="141"/>
      <c r="N94" s="141"/>
      <c r="O94" s="141"/>
      <c r="P94" s="141"/>
      <c r="Q94" s="90"/>
      <c r="R94" s="90"/>
      <c r="S94" s="90"/>
      <c r="T94" s="90"/>
      <c r="U94" s="90"/>
      <c r="V94" s="90"/>
      <c r="W94" s="90"/>
      <c r="X94" s="90"/>
    </row>
    <row r="95" spans="1:24">
      <c r="B95" s="111" t="str">
        <f>B53</f>
        <v>Operating Profit (pre-exceptional)</v>
      </c>
      <c r="C95" s="111"/>
      <c r="D95" s="159">
        <f>D53*D72*D76</f>
        <v>64188.454565619257</v>
      </c>
      <c r="E95" s="159">
        <f t="shared" ref="E95:O95" si="44">E53*E72*E76</f>
        <v>71937.68368951921</v>
      </c>
      <c r="F95" s="159">
        <f t="shared" si="44"/>
        <v>91807.413593260586</v>
      </c>
      <c r="G95" s="159">
        <f t="shared" si="44"/>
        <v>78294.341956349381</v>
      </c>
      <c r="H95" s="159">
        <f t="shared" si="44"/>
        <v>207042.8036946666</v>
      </c>
      <c r="I95" s="159">
        <f t="shared" si="44"/>
        <v>234063.01961138166</v>
      </c>
      <c r="J95" s="159">
        <f t="shared" si="44"/>
        <v>252856.14867369091</v>
      </c>
      <c r="K95" s="159">
        <f t="shared" si="44"/>
        <v>276931.87824552099</v>
      </c>
      <c r="L95" s="159">
        <f t="shared" si="44"/>
        <v>289470.80855266406</v>
      </c>
      <c r="M95" s="159">
        <f t="shared" si="44"/>
        <v>306609.04692218034</v>
      </c>
      <c r="N95" s="159">
        <f t="shared" si="44"/>
        <v>410253.98701442074</v>
      </c>
      <c r="O95" s="159">
        <f t="shared" si="44"/>
        <v>489867.63636363641</v>
      </c>
      <c r="P95" s="159">
        <f t="shared" ref="P95" si="45">P53*P72*P76</f>
        <v>525911.93715844466</v>
      </c>
      <c r="Q95" s="90"/>
    </row>
    <row r="96" spans="1:24">
      <c r="B96" s="111"/>
      <c r="C96" s="111"/>
      <c r="D96" s="193"/>
      <c r="E96" s="193"/>
      <c r="F96" s="193"/>
      <c r="G96" s="193"/>
      <c r="H96" s="193"/>
      <c r="I96" s="193"/>
      <c r="J96" s="193"/>
      <c r="K96" s="193"/>
      <c r="L96" s="193"/>
      <c r="M96" s="193"/>
      <c r="N96" s="193"/>
      <c r="O96" s="193"/>
      <c r="P96" s="193"/>
      <c r="Q96" s="90"/>
    </row>
    <row r="97" spans="2:17">
      <c r="B97" s="111" t="str">
        <f>B55</f>
        <v>Profit Margin</v>
      </c>
      <c r="C97" s="111"/>
      <c r="D97" s="162">
        <f>D95/D93</f>
        <v>0.11326154254809698</v>
      </c>
      <c r="E97" s="162">
        <f t="shared" ref="E97:O97" si="46">E95/E93</f>
        <v>0.12619465574409985</v>
      </c>
      <c r="F97" s="162">
        <f t="shared" si="46"/>
        <v>0.1600531611923296</v>
      </c>
      <c r="G97" s="162">
        <f>G95/G93</f>
        <v>0.15090871962425975</v>
      </c>
      <c r="H97" s="162">
        <f t="shared" si="46"/>
        <v>0.31637619720521265</v>
      </c>
      <c r="I97" s="162">
        <f t="shared" si="46"/>
        <v>0.33519713261648748</v>
      </c>
      <c r="J97" s="162">
        <f t="shared" si="46"/>
        <v>0.34500921780352911</v>
      </c>
      <c r="K97" s="162">
        <f t="shared" si="46"/>
        <v>0.35554497858162781</v>
      </c>
      <c r="L97" s="162">
        <f t="shared" si="46"/>
        <v>0.36846929422548119</v>
      </c>
      <c r="M97" s="162">
        <f t="shared" si="46"/>
        <v>0.37958957293399886</v>
      </c>
      <c r="N97" s="162">
        <f t="shared" si="46"/>
        <v>0.45412453935557029</v>
      </c>
      <c r="O97" s="162">
        <f t="shared" si="46"/>
        <v>0.49481652130985687</v>
      </c>
      <c r="P97" s="162">
        <f t="shared" ref="P97" si="47">P95/P93</f>
        <v>0.50677630577128063</v>
      </c>
      <c r="Q97" s="90"/>
    </row>
    <row r="98" spans="2:17" s="133" customFormat="1">
      <c r="B98" s="138"/>
      <c r="C98" s="138"/>
      <c r="D98" s="141"/>
      <c r="E98" s="141"/>
      <c r="F98" s="141"/>
      <c r="G98" s="141"/>
      <c r="H98" s="141"/>
      <c r="I98" s="141"/>
      <c r="J98" s="141"/>
      <c r="K98" s="141"/>
      <c r="L98" s="141"/>
      <c r="M98" s="141"/>
      <c r="N98" s="141"/>
      <c r="O98" s="141"/>
      <c r="P98" s="141"/>
    </row>
    <row r="99" spans="2:17" s="133" customFormat="1">
      <c r="B99" s="153" t="s">
        <v>1153</v>
      </c>
      <c r="C99" s="94"/>
      <c r="D99" s="94"/>
      <c r="E99" s="94"/>
      <c r="F99" s="94"/>
      <c r="G99" s="94"/>
      <c r="H99" s="94"/>
      <c r="I99" s="94"/>
      <c r="J99" s="94"/>
      <c r="K99" s="94"/>
      <c r="L99" s="94"/>
      <c r="M99" s="94"/>
      <c r="N99" s="94"/>
      <c r="O99" s="94"/>
      <c r="P99" s="94"/>
    </row>
    <row r="100" spans="2:17" s="133" customFormat="1">
      <c r="B100" s="90"/>
      <c r="C100" s="90"/>
      <c r="D100" s="90"/>
      <c r="E100" s="90"/>
      <c r="F100" s="90"/>
      <c r="G100" s="90"/>
      <c r="H100" s="90"/>
      <c r="I100" s="90"/>
      <c r="J100" s="90"/>
      <c r="K100" s="90"/>
      <c r="L100" s="90"/>
      <c r="M100" s="90"/>
      <c r="N100" s="90"/>
      <c r="O100" s="90"/>
      <c r="P100" s="90"/>
    </row>
    <row r="101" spans="2:17" s="133" customFormat="1">
      <c r="B101" s="90" t="s">
        <v>1127</v>
      </c>
      <c r="C101" s="90"/>
      <c r="D101" s="209">
        <f t="shared" ref="D101:O101" si="48">(D87/D57)*1000</f>
        <v>14.848695626503899</v>
      </c>
      <c r="E101" s="209">
        <f t="shared" si="48"/>
        <v>15.048356422738484</v>
      </c>
      <c r="F101" s="209">
        <f t="shared" si="48"/>
        <v>14.088494548791704</v>
      </c>
      <c r="G101" s="209">
        <f t="shared" si="48"/>
        <v>15.918941319406496</v>
      </c>
      <c r="H101" s="209">
        <f t="shared" si="48"/>
        <v>11.680857890709735</v>
      </c>
      <c r="I101" s="209">
        <f t="shared" si="48"/>
        <v>11.159174322419481</v>
      </c>
      <c r="J101" s="209">
        <f t="shared" si="48"/>
        <v>10.643916686438438</v>
      </c>
      <c r="K101" s="209">
        <f t="shared" si="48"/>
        <v>10.265075657625333</v>
      </c>
      <c r="L101" s="209">
        <f t="shared" si="48"/>
        <v>10.401106996087984</v>
      </c>
      <c r="M101" s="209">
        <f t="shared" si="48"/>
        <v>10.685059295464034</v>
      </c>
      <c r="N101" s="209">
        <f t="shared" si="48"/>
        <v>9.5755600118876831</v>
      </c>
      <c r="O101" s="209">
        <f t="shared" si="48"/>
        <v>9.1098526246067237</v>
      </c>
      <c r="P101" s="209">
        <f t="shared" ref="P101" si="49">(P87/P57)*1000</f>
        <v>8.9483843614268981</v>
      </c>
    </row>
    <row r="102" spans="2:17" s="133" customFormat="1">
      <c r="B102" s="90" t="s">
        <v>299</v>
      </c>
      <c r="C102" s="90"/>
      <c r="D102" s="209">
        <f t="shared" ref="D102:O102" si="50">(D85/D57)*1000</f>
        <v>14.848695626503899</v>
      </c>
      <c r="E102" s="209">
        <f t="shared" si="50"/>
        <v>15.048356422738484</v>
      </c>
      <c r="F102" s="209">
        <f t="shared" si="50"/>
        <v>14.088494548791704</v>
      </c>
      <c r="G102" s="209">
        <f t="shared" si="50"/>
        <v>15.918941319406496</v>
      </c>
      <c r="H102" s="209">
        <f t="shared" si="50"/>
        <v>11.680857890709735</v>
      </c>
      <c r="I102" s="209">
        <f t="shared" si="50"/>
        <v>11.159174322419481</v>
      </c>
      <c r="J102" s="209">
        <f t="shared" si="50"/>
        <v>10.643916686438438</v>
      </c>
      <c r="K102" s="209">
        <f t="shared" si="50"/>
        <v>10.265075657625333</v>
      </c>
      <c r="L102" s="209">
        <f t="shared" si="50"/>
        <v>10.401106996087984</v>
      </c>
      <c r="M102" s="209">
        <f t="shared" si="50"/>
        <v>10.685059295464034</v>
      </c>
      <c r="N102" s="209">
        <f t="shared" si="50"/>
        <v>9.5755600118876831</v>
      </c>
      <c r="O102" s="209">
        <f t="shared" si="50"/>
        <v>9.1098526246067237</v>
      </c>
      <c r="P102" s="209">
        <f t="shared" ref="P102" si="51">(P85/P57)*1000</f>
        <v>8.9483843614268981</v>
      </c>
    </row>
    <row r="103" spans="2:17" s="133" customFormat="1">
      <c r="B103" s="90" t="s">
        <v>300</v>
      </c>
      <c r="C103" s="90"/>
      <c r="D103" s="209">
        <f t="shared" ref="D103:O103" si="52">(D91/D57)*1000</f>
        <v>6.4722838305086334</v>
      </c>
      <c r="E103" s="209">
        <f t="shared" si="52"/>
        <v>6.3558883313669527</v>
      </c>
      <c r="F103" s="209">
        <f t="shared" si="52"/>
        <v>5.9833736809945215</v>
      </c>
      <c r="G103" s="209">
        <f t="shared" si="52"/>
        <v>7.0747132622298334</v>
      </c>
      <c r="H103" s="209">
        <f t="shared" si="52"/>
        <v>5.27195987353194</v>
      </c>
      <c r="I103" s="209">
        <f t="shared" si="52"/>
        <v>4.7516953588888668</v>
      </c>
      <c r="J103" s="209">
        <f t="shared" si="52"/>
        <v>4.7272094790051717</v>
      </c>
      <c r="K103" s="209">
        <f t="shared" si="52"/>
        <v>4.3806550012107204</v>
      </c>
      <c r="L103" s="209">
        <f t="shared" si="52"/>
        <v>4.6792525051467919</v>
      </c>
      <c r="M103" s="209">
        <f t="shared" si="52"/>
        <v>4.764437902174989</v>
      </c>
      <c r="N103" s="209">
        <f t="shared" si="52"/>
        <v>4.3229564347918688</v>
      </c>
      <c r="O103" s="209">
        <f t="shared" si="52"/>
        <v>4.3283134473247502</v>
      </c>
      <c r="P103" s="209">
        <f t="shared" ref="P103" si="53">(P91/P57)*1000</f>
        <v>4.345800731428203</v>
      </c>
    </row>
    <row r="104" spans="2:17" s="133" customFormat="1">
      <c r="B104" s="90" t="s">
        <v>265</v>
      </c>
      <c r="C104" s="90"/>
      <c r="D104" s="209">
        <f t="shared" ref="D104:O104" si="54">D78*1000/D57</f>
        <v>1.6015332816790384</v>
      </c>
      <c r="E104" s="209">
        <f t="shared" si="54"/>
        <v>1.6895810894280041</v>
      </c>
      <c r="F104" s="209">
        <f t="shared" si="54"/>
        <v>1.6145720470699354</v>
      </c>
      <c r="G104" s="209">
        <f t="shared" si="54"/>
        <v>1.9180831171290658</v>
      </c>
      <c r="H104" s="209">
        <f t="shared" si="54"/>
        <v>1.4004152087621684</v>
      </c>
      <c r="I104" s="209">
        <f t="shared" si="54"/>
        <v>1.3091634313987917</v>
      </c>
      <c r="J104" s="209">
        <f t="shared" si="54"/>
        <v>1.2625474155606511</v>
      </c>
      <c r="K104" s="209">
        <f t="shared" si="54"/>
        <v>1.1523570900731541</v>
      </c>
      <c r="L104" s="209">
        <f t="shared" si="54"/>
        <v>1.2133366833244874</v>
      </c>
      <c r="M104" s="209">
        <f t="shared" si="54"/>
        <v>2.2122829723131328</v>
      </c>
      <c r="N104" s="209">
        <f t="shared" si="54"/>
        <v>1.9691475323044085</v>
      </c>
      <c r="O104" s="209">
        <f t="shared" si="54"/>
        <v>1.8872528564331845</v>
      </c>
      <c r="P104" s="209">
        <f t="shared" ref="P104" si="55">P78*1000/P57</f>
        <v>1.9380338467245966</v>
      </c>
    </row>
    <row r="105" spans="2:17" s="133" customFormat="1">
      <c r="B105" s="111" t="s">
        <v>1136</v>
      </c>
      <c r="C105" s="111"/>
      <c r="D105" s="159" t="e">
        <f t="shared" ref="D105:O105" si="56">D78/D59*1000</f>
        <v>#DIV/0!</v>
      </c>
      <c r="E105" s="159" t="e">
        <f t="shared" si="56"/>
        <v>#DIV/0!</v>
      </c>
      <c r="F105" s="159" t="e">
        <f t="shared" si="56"/>
        <v>#DIV/0!</v>
      </c>
      <c r="G105" s="159" t="e">
        <f t="shared" si="56"/>
        <v>#DIV/0!</v>
      </c>
      <c r="H105" s="159" t="e">
        <f t="shared" si="56"/>
        <v>#DIV/0!</v>
      </c>
      <c r="I105" s="159" t="e">
        <f t="shared" si="56"/>
        <v>#DIV/0!</v>
      </c>
      <c r="J105" s="159" t="e">
        <f t="shared" si="56"/>
        <v>#DIV/0!</v>
      </c>
      <c r="K105" s="159" t="e">
        <f t="shared" si="56"/>
        <v>#DIV/0!</v>
      </c>
      <c r="L105" s="159" t="e">
        <f t="shared" si="56"/>
        <v>#DIV/0!</v>
      </c>
      <c r="M105" s="159" t="e">
        <f t="shared" si="56"/>
        <v>#DIV/0!</v>
      </c>
      <c r="N105" s="159">
        <f t="shared" si="56"/>
        <v>92191.907194251849</v>
      </c>
      <c r="O105" s="159">
        <f t="shared" si="56"/>
        <v>92261.960657330201</v>
      </c>
      <c r="P105" s="159">
        <f t="shared" ref="P105" si="57">P78/P59*1000</f>
        <v>85934.524056315437</v>
      </c>
    </row>
    <row r="106" spans="2:17" s="133" customFormat="1">
      <c r="B106" s="138"/>
      <c r="C106" s="138"/>
      <c r="D106" s="141"/>
      <c r="E106" s="141"/>
      <c r="F106" s="141"/>
      <c r="G106" s="141"/>
      <c r="H106" s="141"/>
      <c r="I106" s="141"/>
      <c r="J106" s="141"/>
      <c r="K106" s="141"/>
      <c r="L106" s="141"/>
      <c r="M106" s="141"/>
      <c r="N106" s="141"/>
      <c r="O106" s="141"/>
      <c r="P106" s="141"/>
    </row>
    <row r="107" spans="2:17" s="133" customFormat="1">
      <c r="B107" s="153" t="s">
        <v>1149</v>
      </c>
      <c r="C107" s="94"/>
      <c r="D107" s="94"/>
      <c r="E107" s="94"/>
      <c r="F107" s="94"/>
      <c r="G107" s="94"/>
      <c r="H107" s="94"/>
      <c r="I107" s="94"/>
      <c r="J107" s="94"/>
      <c r="K107" s="94"/>
      <c r="L107" s="94"/>
      <c r="M107" s="94"/>
      <c r="N107" s="94"/>
      <c r="O107" s="94"/>
      <c r="P107" s="94"/>
    </row>
    <row r="108" spans="2:17" s="133" customFormat="1">
      <c r="B108" s="138"/>
      <c r="C108" s="138"/>
      <c r="D108" s="141"/>
      <c r="E108" s="141"/>
      <c r="F108" s="141"/>
      <c r="G108" s="141"/>
      <c r="H108" s="141"/>
      <c r="I108" s="141"/>
      <c r="J108" s="141"/>
      <c r="K108" s="141"/>
      <c r="L108" s="141"/>
      <c r="M108" s="141"/>
      <c r="N108" s="141"/>
      <c r="O108" s="141"/>
      <c r="P108" s="141"/>
    </row>
    <row r="109" spans="2:17">
      <c r="B109" s="138" t="s">
        <v>1093</v>
      </c>
      <c r="D109" s="214">
        <f>PPP!X383</f>
        <v>0.99604629184381388</v>
      </c>
      <c r="E109" s="214">
        <f>PPP!Y383</f>
        <v>1.0195506431075165</v>
      </c>
      <c r="F109" s="214">
        <f>PPP!Z383</f>
        <v>0.92935424834090852</v>
      </c>
      <c r="G109" s="214">
        <f>PPP!AA383</f>
        <v>0.77036187945722634</v>
      </c>
      <c r="H109" s="214">
        <f>PPP!AB383</f>
        <v>0.65255063579938422</v>
      </c>
      <c r="I109" s="214">
        <f>PPP!AC383</f>
        <v>0.63226583277355042</v>
      </c>
      <c r="J109" s="214">
        <f>PPP!AD383</f>
        <v>0.61116703579478548</v>
      </c>
      <c r="K109" s="214">
        <f>PPP!AE383</f>
        <v>0.54526478864787109</v>
      </c>
      <c r="L109" s="214">
        <f>PPP!AF383</f>
        <v>0.584247527523298</v>
      </c>
      <c r="M109" s="214">
        <f>PPP!AG383</f>
        <v>0.67199766887231038</v>
      </c>
      <c r="N109" s="214">
        <f>PPP!AH383</f>
        <v>0.66856725881166035</v>
      </c>
      <c r="O109" s="214">
        <f>PPP!AI383</f>
        <v>0.63522455045263126</v>
      </c>
      <c r="P109" s="214">
        <f>PPP!AJ383</f>
        <v>0.63522455045263126</v>
      </c>
      <c r="Q109" s="90"/>
    </row>
    <row r="110" spans="2:17">
      <c r="B110" s="138" t="s">
        <v>377</v>
      </c>
      <c r="D110" s="214">
        <f>'GDP per cap'!AQ382</f>
        <v>1.027897718471074</v>
      </c>
      <c r="E110" s="214">
        <f>'GDP per cap'!AR382</f>
        <v>1.0158581141174174</v>
      </c>
      <c r="F110" s="214">
        <f>'GDP per cap'!AS382</f>
        <v>0.91365394499772001</v>
      </c>
      <c r="G110" s="214">
        <f>'GDP per cap'!AT382</f>
        <v>0.76965392919520137</v>
      </c>
      <c r="H110" s="214">
        <f>'GDP per cap'!AU382</f>
        <v>0.67932966427220909</v>
      </c>
      <c r="I110" s="214">
        <f>'GDP per cap'!AV382</f>
        <v>0.69907287947349406</v>
      </c>
      <c r="J110" s="214">
        <f>'GDP per cap'!AW382</f>
        <v>0.69722195639545759</v>
      </c>
      <c r="K110" s="214">
        <f>'GDP per cap'!AX382</f>
        <v>0.65943123949237947</v>
      </c>
      <c r="L110" s="214">
        <f>'GDP per cap'!AY382</f>
        <v>0.728345102529668</v>
      </c>
      <c r="M110" s="214">
        <f>'GDP per cap'!AZ382</f>
        <v>0.86500982436119978</v>
      </c>
      <c r="N110" s="214">
        <f>'GDP per cap'!BA382</f>
        <v>0.89294104418359643</v>
      </c>
      <c r="O110" s="214">
        <f>'GDP per cap'!BB382</f>
        <v>0.90055773531224359</v>
      </c>
      <c r="P110" s="214">
        <f>'GDP per cap'!BC382</f>
        <v>0.90055773531224359</v>
      </c>
      <c r="Q110" s="90"/>
    </row>
    <row r="111" spans="2:17" s="133" customFormat="1">
      <c r="B111" s="138"/>
      <c r="C111" s="138"/>
      <c r="D111" s="141"/>
      <c r="E111" s="141"/>
      <c r="F111" s="141"/>
      <c r="G111" s="141"/>
      <c r="H111" s="141"/>
      <c r="I111" s="141"/>
      <c r="J111" s="141"/>
      <c r="K111" s="141"/>
      <c r="L111" s="141"/>
      <c r="M111" s="141"/>
      <c r="N111" s="141"/>
      <c r="O111" s="141"/>
      <c r="P111" s="141"/>
    </row>
    <row r="112" spans="2:17" s="133" customFormat="1">
      <c r="B112" s="70" t="str">
        <f>B20</f>
        <v>Cost Category</v>
      </c>
      <c r="C112" s="70" t="str">
        <f>C20</f>
        <v>Sub-Category</v>
      </c>
      <c r="D112" s="138"/>
      <c r="E112" s="138"/>
      <c r="F112" s="138"/>
      <c r="G112" s="138"/>
      <c r="H112" s="138"/>
      <c r="I112" s="138"/>
      <c r="J112" s="138"/>
      <c r="K112" s="138"/>
      <c r="L112" s="138"/>
      <c r="M112" s="138"/>
      <c r="N112" s="138"/>
      <c r="O112" s="138"/>
      <c r="P112" s="138"/>
    </row>
    <row r="113" spans="2:16" s="133" customFormat="1">
      <c r="B113" s="138" t="str">
        <f>B21</f>
        <v>Staff Costs</v>
      </c>
      <c r="C113" s="138" t="str">
        <f>C21</f>
        <v>Wages and Salaries</v>
      </c>
      <c r="D113" s="159">
        <f t="shared" ref="D113:P113" si="58">D21*D72/D110*D76</f>
        <v>52731.211881438445</v>
      </c>
      <c r="E113" s="159">
        <f t="shared" si="58"/>
        <v>55053.774600940073</v>
      </c>
      <c r="F113" s="159">
        <f t="shared" si="58"/>
        <v>60433.31303717562</v>
      </c>
      <c r="G113" s="159">
        <f t="shared" si="58"/>
        <v>68964.910184783308</v>
      </c>
      <c r="H113" s="159">
        <f t="shared" si="58"/>
        <v>78954.159249107979</v>
      </c>
      <c r="I113" s="159">
        <f t="shared" si="58"/>
        <v>77904.894246801749</v>
      </c>
      <c r="J113" s="159">
        <f t="shared" si="58"/>
        <v>81668.237667330483</v>
      </c>
      <c r="K113" s="159">
        <f t="shared" si="58"/>
        <v>85452.824085123488</v>
      </c>
      <c r="L113" s="159">
        <f t="shared" si="58"/>
        <v>79462.550916542416</v>
      </c>
      <c r="M113" s="159">
        <f t="shared" si="58"/>
        <v>119947.85316815175</v>
      </c>
      <c r="N113" s="159">
        <f t="shared" si="58"/>
        <v>113569.75757161637</v>
      </c>
      <c r="O113" s="159">
        <f t="shared" si="58"/>
        <v>115051.12638031792</v>
      </c>
      <c r="P113" s="159">
        <f t="shared" si="58"/>
        <v>123096.53416525351</v>
      </c>
    </row>
    <row r="114" spans="2:16" s="133" customFormat="1">
      <c r="B114" s="70" t="str">
        <f>B22</f>
        <v>Staff Costs Total</v>
      </c>
      <c r="C114" s="138"/>
      <c r="D114" s="159">
        <f>D113</f>
        <v>52731.211881438445</v>
      </c>
      <c r="E114" s="159">
        <f t="shared" ref="E114:O114" si="59">E113</f>
        <v>55053.774600940073</v>
      </c>
      <c r="F114" s="159">
        <f t="shared" si="59"/>
        <v>60433.31303717562</v>
      </c>
      <c r="G114" s="159">
        <f t="shared" si="59"/>
        <v>68964.910184783308</v>
      </c>
      <c r="H114" s="159">
        <f t="shared" si="59"/>
        <v>78954.159249107979</v>
      </c>
      <c r="I114" s="159">
        <f t="shared" si="59"/>
        <v>77904.894246801749</v>
      </c>
      <c r="J114" s="159">
        <f t="shared" si="59"/>
        <v>81668.237667330483</v>
      </c>
      <c r="K114" s="159">
        <f t="shared" si="59"/>
        <v>85452.824085123488</v>
      </c>
      <c r="L114" s="159">
        <f t="shared" si="59"/>
        <v>79462.550916542416</v>
      </c>
      <c r="M114" s="159">
        <f t="shared" si="59"/>
        <v>119947.85316815175</v>
      </c>
      <c r="N114" s="159">
        <f t="shared" si="59"/>
        <v>113569.75757161637</v>
      </c>
      <c r="O114" s="159">
        <f t="shared" si="59"/>
        <v>115051.12638031792</v>
      </c>
      <c r="P114" s="159">
        <f t="shared" ref="P114" si="60">P113</f>
        <v>123096.53416525351</v>
      </c>
    </row>
    <row r="115" spans="2:16" s="133" customFormat="1">
      <c r="B115" s="138"/>
      <c r="C115" s="138"/>
      <c r="D115" s="141"/>
      <c r="E115" s="141"/>
      <c r="F115" s="141"/>
      <c r="G115" s="141"/>
      <c r="H115" s="141"/>
      <c r="I115" s="141"/>
      <c r="J115" s="141"/>
      <c r="K115" s="141"/>
      <c r="L115" s="141"/>
      <c r="M115" s="141"/>
      <c r="N115" s="141"/>
      <c r="O115" s="141"/>
      <c r="P115" s="141"/>
    </row>
    <row r="116" spans="2:16" s="133" customFormat="1">
      <c r="B116" s="138" t="str">
        <f>B24</f>
        <v>Depreciation</v>
      </c>
      <c r="C116" s="138" t="str">
        <f>C24</f>
        <v>Depreciation</v>
      </c>
      <c r="D116" s="159">
        <f t="shared" ref="D116:P116" si="61">D24*D72/D109*D76</f>
        <v>200651.29950717097</v>
      </c>
      <c r="E116" s="159">
        <f t="shared" si="61"/>
        <v>200114.90401953197</v>
      </c>
      <c r="F116" s="159">
        <f t="shared" si="61"/>
        <v>211517.39815051842</v>
      </c>
      <c r="G116" s="159">
        <f t="shared" si="61"/>
        <v>220732.45452482856</v>
      </c>
      <c r="H116" s="159">
        <f t="shared" si="61"/>
        <v>264533.18090272875</v>
      </c>
      <c r="I116" s="159">
        <f t="shared" si="61"/>
        <v>303061.32429781987</v>
      </c>
      <c r="J116" s="159">
        <f t="shared" si="61"/>
        <v>318032.69672844984</v>
      </c>
      <c r="K116" s="159">
        <f t="shared" si="61"/>
        <v>387712.84547437984</v>
      </c>
      <c r="L116" s="159">
        <f t="shared" si="61"/>
        <v>339087.58830702642</v>
      </c>
      <c r="M116" s="159">
        <f t="shared" si="61"/>
        <v>292132.29531105066</v>
      </c>
      <c r="N116" s="159">
        <f t="shared" si="61"/>
        <v>281790.45133597637</v>
      </c>
      <c r="O116" s="159">
        <f t="shared" si="61"/>
        <v>284797.78579974134</v>
      </c>
      <c r="P116" s="159">
        <f t="shared" si="61"/>
        <v>274644.88162005384</v>
      </c>
    </row>
    <row r="117" spans="2:16" s="133" customFormat="1">
      <c r="B117" s="70" t="str">
        <f>B25</f>
        <v>Depreciation Total</v>
      </c>
      <c r="C117" s="138"/>
      <c r="D117" s="159">
        <f>D116</f>
        <v>200651.29950717097</v>
      </c>
      <c r="E117" s="159">
        <f t="shared" ref="E117:O117" si="62">E116</f>
        <v>200114.90401953197</v>
      </c>
      <c r="F117" s="159">
        <f t="shared" si="62"/>
        <v>211517.39815051842</v>
      </c>
      <c r="G117" s="159">
        <f t="shared" si="62"/>
        <v>220732.45452482856</v>
      </c>
      <c r="H117" s="159">
        <f t="shared" si="62"/>
        <v>264533.18090272875</v>
      </c>
      <c r="I117" s="159">
        <f t="shared" si="62"/>
        <v>303061.32429781987</v>
      </c>
      <c r="J117" s="159">
        <f t="shared" si="62"/>
        <v>318032.69672844984</v>
      </c>
      <c r="K117" s="159">
        <f t="shared" si="62"/>
        <v>387712.84547437984</v>
      </c>
      <c r="L117" s="159">
        <f t="shared" si="62"/>
        <v>339087.58830702642</v>
      </c>
      <c r="M117" s="159">
        <f t="shared" si="62"/>
        <v>292132.29531105066</v>
      </c>
      <c r="N117" s="159">
        <f t="shared" si="62"/>
        <v>281790.45133597637</v>
      </c>
      <c r="O117" s="159">
        <f t="shared" si="62"/>
        <v>284797.78579974134</v>
      </c>
      <c r="P117" s="159">
        <f t="shared" ref="P117" si="63">P116</f>
        <v>274644.88162005384</v>
      </c>
    </row>
    <row r="118" spans="2:16" s="133" customFormat="1">
      <c r="B118" s="138"/>
      <c r="C118" s="138"/>
      <c r="D118" s="141"/>
      <c r="E118" s="141"/>
      <c r="F118" s="141"/>
      <c r="G118" s="141"/>
      <c r="H118" s="141"/>
      <c r="I118" s="141"/>
      <c r="J118" s="141"/>
      <c r="K118" s="141"/>
      <c r="L118" s="141"/>
      <c r="M118" s="141"/>
      <c r="N118" s="141"/>
      <c r="O118" s="141"/>
      <c r="P118" s="141"/>
    </row>
    <row r="119" spans="2:16" s="133" customFormat="1">
      <c r="B119" s="138" t="str">
        <f t="shared" ref="B119:C124" si="64">B27</f>
        <v>Other Costs</v>
      </c>
      <c r="C119" s="138" t="str">
        <f t="shared" si="64"/>
        <v>Maintenance Expenditure</v>
      </c>
      <c r="D119" s="159">
        <f t="shared" ref="D119:O119" si="65">D27*D72/D109*D76</f>
        <v>54330.319333043954</v>
      </c>
      <c r="E119" s="159">
        <f t="shared" si="65"/>
        <v>42967.450781305502</v>
      </c>
      <c r="F119" s="159">
        <f t="shared" si="65"/>
        <v>42655.032092403715</v>
      </c>
      <c r="G119" s="159">
        <f t="shared" si="65"/>
        <v>46897.051085960462</v>
      </c>
      <c r="H119" s="159">
        <f t="shared" si="65"/>
        <v>48970.130512350377</v>
      </c>
      <c r="I119" s="159">
        <f t="shared" si="65"/>
        <v>50351.881466408944</v>
      </c>
      <c r="J119" s="159">
        <f t="shared" si="65"/>
        <v>51005.24381494007</v>
      </c>
      <c r="K119" s="159">
        <f t="shared" si="65"/>
        <v>65780.303024368695</v>
      </c>
      <c r="L119" s="159">
        <f t="shared" si="65"/>
        <v>62856.763302710933</v>
      </c>
      <c r="M119" s="159">
        <f t="shared" si="65"/>
        <v>58933.123928564302</v>
      </c>
      <c r="N119" s="159">
        <f t="shared" si="65"/>
        <v>65755.361322169381</v>
      </c>
      <c r="O119" s="159">
        <f t="shared" si="65"/>
        <v>67705.191761487353</v>
      </c>
      <c r="P119" s="159">
        <f>P27*P72/P109*P76</f>
        <v>76373.169073692494</v>
      </c>
    </row>
    <row r="120" spans="2:16" s="133" customFormat="1">
      <c r="B120" s="138" t="str">
        <f t="shared" si="64"/>
        <v>Other Costs</v>
      </c>
      <c r="C120" s="138" t="str">
        <f t="shared" si="64"/>
        <v>Operational contracted services</v>
      </c>
      <c r="D120" s="159">
        <f t="shared" ref="D120:P120" si="66">D28*D72/D109*D76</f>
        <v>72267.953248820573</v>
      </c>
      <c r="E120" s="159">
        <f t="shared" si="66"/>
        <v>61942.923968988653</v>
      </c>
      <c r="F120" s="159">
        <f t="shared" si="66"/>
        <v>63982.548138605576</v>
      </c>
      <c r="G120" s="159">
        <f t="shared" si="66"/>
        <v>67938.83647057027</v>
      </c>
      <c r="H120" s="159">
        <f t="shared" si="66"/>
        <v>82351.698578647076</v>
      </c>
      <c r="I120" s="159">
        <f t="shared" si="66"/>
        <v>93261.818187782614</v>
      </c>
      <c r="J120" s="159">
        <f t="shared" si="66"/>
        <v>100905.11082893718</v>
      </c>
      <c r="K120" s="159">
        <f t="shared" si="66"/>
        <v>120342.25979651947</v>
      </c>
      <c r="L120" s="159">
        <f t="shared" si="66"/>
        <v>110153.39647411354</v>
      </c>
      <c r="M120" s="159">
        <f t="shared" si="66"/>
        <v>45333.172252741773</v>
      </c>
      <c r="N120" s="159">
        <f t="shared" si="66"/>
        <v>46220.273395388962</v>
      </c>
      <c r="O120" s="159">
        <f t="shared" si="66"/>
        <v>51804.73005992594</v>
      </c>
      <c r="P120" s="159">
        <f t="shared" si="66"/>
        <v>55227.503369249956</v>
      </c>
    </row>
    <row r="121" spans="2:16" s="133" customFormat="1">
      <c r="B121" s="138" t="str">
        <f t="shared" si="64"/>
        <v>Other Costs</v>
      </c>
      <c r="C121" s="138" t="str">
        <f t="shared" si="64"/>
        <v>Other operating expenses</v>
      </c>
      <c r="D121" s="159">
        <f t="shared" ref="D121:P121" si="67">D29*D72/D109*D76</f>
        <v>42849.812170100216</v>
      </c>
      <c r="E121" s="159">
        <f t="shared" si="67"/>
        <v>50601.261833821714</v>
      </c>
      <c r="F121" s="159">
        <f t="shared" si="67"/>
        <v>57068.683046704966</v>
      </c>
      <c r="G121" s="159">
        <f t="shared" si="67"/>
        <v>40158.178642523322</v>
      </c>
      <c r="H121" s="159">
        <f t="shared" si="67"/>
        <v>55268.539581462959</v>
      </c>
      <c r="I121" s="159">
        <f t="shared" si="67"/>
        <v>41643.222722218721</v>
      </c>
      <c r="J121" s="159">
        <f t="shared" si="67"/>
        <v>63322.299596876059</v>
      </c>
      <c r="K121" s="159">
        <f t="shared" si="67"/>
        <v>59321.25518218262</v>
      </c>
      <c r="L121" s="159">
        <f t="shared" si="67"/>
        <v>79187.196905866236</v>
      </c>
      <c r="M121" s="159">
        <f t="shared" si="67"/>
        <v>50399.820916283497</v>
      </c>
      <c r="N121" s="159">
        <f t="shared" si="67"/>
        <v>49412.281226562234</v>
      </c>
      <c r="O121" s="159">
        <f t="shared" si="67"/>
        <v>65012.371634610026</v>
      </c>
      <c r="P121" s="159">
        <f t="shared" si="67"/>
        <v>45649.760667825976</v>
      </c>
    </row>
    <row r="122" spans="2:16" s="133" customFormat="1">
      <c r="B122" s="138" t="str">
        <f t="shared" si="64"/>
        <v>Other Costs</v>
      </c>
      <c r="C122" s="138" t="str">
        <f t="shared" si="64"/>
        <v>Government Services</v>
      </c>
      <c r="D122" s="159">
        <f t="shared" ref="D122:P122" si="68">D30*D72/D109*D76</f>
        <v>80017.207780297875</v>
      </c>
      <c r="E122" s="159">
        <f t="shared" si="68"/>
        <v>78082.981622880048</v>
      </c>
      <c r="F122" s="159">
        <f t="shared" si="68"/>
        <v>83786.670181507288</v>
      </c>
      <c r="G122" s="159">
        <f t="shared" si="68"/>
        <v>95444.438280517759</v>
      </c>
      <c r="H122" s="159">
        <f t="shared" si="68"/>
        <v>109749.77802928686</v>
      </c>
      <c r="I122" s="159">
        <f t="shared" si="68"/>
        <v>115112.63467320536</v>
      </c>
      <c r="J122" s="159">
        <f t="shared" si="68"/>
        <v>109748.12523648096</v>
      </c>
      <c r="K122" s="159">
        <f t="shared" si="68"/>
        <v>124081.70854725878</v>
      </c>
      <c r="L122" s="159">
        <f t="shared" si="68"/>
        <v>111231.82133469927</v>
      </c>
      <c r="M122" s="159">
        <f t="shared" si="68"/>
        <v>97999.651781662353</v>
      </c>
      <c r="N122" s="159">
        <f t="shared" si="68"/>
        <v>95760.234935198139</v>
      </c>
      <c r="O122" s="159">
        <f t="shared" si="68"/>
        <v>103994.14870940578</v>
      </c>
      <c r="P122" s="159">
        <f t="shared" si="68"/>
        <v>102867.44433867051</v>
      </c>
    </row>
    <row r="123" spans="2:16" s="133" customFormat="1">
      <c r="B123" s="138" t="str">
        <f t="shared" si="64"/>
        <v>Other Costs</v>
      </c>
      <c r="C123" s="138" t="str">
        <f t="shared" si="64"/>
        <v>Rent and Rates</v>
      </c>
      <c r="D123" s="159">
        <f t="shared" ref="D123:P123" si="69">D31*D72/D109*D76</f>
        <v>0</v>
      </c>
      <c r="E123" s="159">
        <f t="shared" si="69"/>
        <v>0</v>
      </c>
      <c r="F123" s="159">
        <f t="shared" si="69"/>
        <v>0</v>
      </c>
      <c r="G123" s="159">
        <f t="shared" si="69"/>
        <v>13477.744886874265</v>
      </c>
      <c r="H123" s="159">
        <f t="shared" si="69"/>
        <v>21886.971515166246</v>
      </c>
      <c r="I123" s="159">
        <f t="shared" si="69"/>
        <v>22642.512734894586</v>
      </c>
      <c r="J123" s="159">
        <f t="shared" si="69"/>
        <v>25739.488364814955</v>
      </c>
      <c r="K123" s="159">
        <f t="shared" si="69"/>
        <v>31445.364494853253</v>
      </c>
      <c r="L123" s="159">
        <f t="shared" si="69"/>
        <v>19719.768879281863</v>
      </c>
      <c r="M123" s="159">
        <f t="shared" si="69"/>
        <v>20533.260373300684</v>
      </c>
      <c r="N123" s="159">
        <f t="shared" si="69"/>
        <v>20301.169806262002</v>
      </c>
      <c r="O123" s="159">
        <f t="shared" si="69"/>
        <v>22696.626783680422</v>
      </c>
      <c r="P123" s="159">
        <f t="shared" si="69"/>
        <v>22265.142124089507</v>
      </c>
    </row>
    <row r="124" spans="2:16" s="133" customFormat="1">
      <c r="B124" s="138" t="str">
        <f t="shared" si="64"/>
        <v>Other Costs</v>
      </c>
      <c r="C124" s="138" t="str">
        <f t="shared" si="64"/>
        <v>Occupancy Expenses</v>
      </c>
      <c r="D124" s="159">
        <f t="shared" ref="D124:P124" si="70">D32*D72/D109*D76</f>
        <v>0</v>
      </c>
      <c r="E124" s="159">
        <f t="shared" si="70"/>
        <v>0</v>
      </c>
      <c r="F124" s="159">
        <f t="shared" si="70"/>
        <v>0</v>
      </c>
      <c r="G124" s="159">
        <f t="shared" si="70"/>
        <v>18291.225203615075</v>
      </c>
      <c r="H124" s="159">
        <f t="shared" si="70"/>
        <v>20627.289701343729</v>
      </c>
      <c r="I124" s="159">
        <f t="shared" si="70"/>
        <v>22009.155735317119</v>
      </c>
      <c r="J124" s="159">
        <f t="shared" si="70"/>
        <v>23528.734762929009</v>
      </c>
      <c r="K124" s="159">
        <f t="shared" si="70"/>
        <v>28555.790460191063</v>
      </c>
      <c r="L124" s="159">
        <f t="shared" si="70"/>
        <v>27884.98568085951</v>
      </c>
      <c r="M124" s="159">
        <f t="shared" si="70"/>
        <v>25999.90761554307</v>
      </c>
      <c r="N124" s="159">
        <f t="shared" si="70"/>
        <v>26685.185468608546</v>
      </c>
      <c r="O124" s="159">
        <f t="shared" si="70"/>
        <v>28210.496567286398</v>
      </c>
      <c r="P124" s="159">
        <f t="shared" si="70"/>
        <v>28235.683028873289</v>
      </c>
    </row>
    <row r="125" spans="2:16" s="133" customFormat="1">
      <c r="B125" s="70" t="str">
        <f>B34</f>
        <v>Other Costs Total</v>
      </c>
      <c r="C125" s="138"/>
      <c r="D125" s="159">
        <f>SUM(D119:D124)</f>
        <v>249465.29253226263</v>
      </c>
      <c r="E125" s="159">
        <f t="shared" ref="E125:O125" si="71">SUM(E119:E124)</f>
        <v>233594.61820699589</v>
      </c>
      <c r="F125" s="159">
        <f t="shared" si="71"/>
        <v>247492.93345922156</v>
      </c>
      <c r="G125" s="159">
        <f t="shared" si="71"/>
        <v>282207.4745700612</v>
      </c>
      <c r="H125" s="159">
        <f t="shared" si="71"/>
        <v>338854.40791825729</v>
      </c>
      <c r="I125" s="159">
        <f t="shared" si="71"/>
        <v>345021.22551982733</v>
      </c>
      <c r="J125" s="159">
        <f t="shared" si="71"/>
        <v>374249.00260497822</v>
      </c>
      <c r="K125" s="159">
        <f t="shared" si="71"/>
        <v>429526.68150537391</v>
      </c>
      <c r="L125" s="159">
        <f t="shared" si="71"/>
        <v>411033.93257753138</v>
      </c>
      <c r="M125" s="159">
        <f t="shared" si="71"/>
        <v>299198.93686809565</v>
      </c>
      <c r="N125" s="159">
        <f t="shared" si="71"/>
        <v>304134.50615418929</v>
      </c>
      <c r="O125" s="159">
        <f t="shared" si="71"/>
        <v>339423.5655163959</v>
      </c>
      <c r="P125" s="159">
        <f t="shared" ref="P125" si="72">SUM(P119:P124)</f>
        <v>330618.70260240178</v>
      </c>
    </row>
    <row r="126" spans="2:16" s="133" customFormat="1">
      <c r="B126" s="138"/>
      <c r="C126" s="138"/>
      <c r="D126" s="141"/>
      <c r="E126" s="141"/>
      <c r="F126" s="141"/>
      <c r="G126" s="141"/>
      <c r="H126" s="141"/>
      <c r="I126" s="141"/>
      <c r="J126" s="141"/>
      <c r="K126" s="141"/>
      <c r="L126" s="141"/>
      <c r="M126" s="141"/>
      <c r="N126" s="141"/>
      <c r="O126" s="141"/>
      <c r="P126" s="141"/>
    </row>
    <row r="127" spans="2:16" s="133" customFormat="1">
      <c r="B127" s="138" t="str">
        <f>B36</f>
        <v>Exceptional Items</v>
      </c>
      <c r="C127" s="138" t="str">
        <f>C36</f>
        <v>Exceptional Items</v>
      </c>
      <c r="D127" s="159">
        <f t="shared" ref="D127:O127" si="73">D36*D72/D109*D76</f>
        <v>0</v>
      </c>
      <c r="E127" s="159">
        <f t="shared" si="73"/>
        <v>0</v>
      </c>
      <c r="F127" s="159">
        <f t="shared" si="73"/>
        <v>0</v>
      </c>
      <c r="G127" s="159">
        <f t="shared" si="73"/>
        <v>0</v>
      </c>
      <c r="H127" s="159">
        <f t="shared" si="73"/>
        <v>0</v>
      </c>
      <c r="I127" s="159">
        <f t="shared" si="73"/>
        <v>0</v>
      </c>
      <c r="J127" s="159">
        <f t="shared" si="73"/>
        <v>0</v>
      </c>
      <c r="K127" s="159">
        <f t="shared" si="73"/>
        <v>0</v>
      </c>
      <c r="L127" s="159">
        <f t="shared" si="73"/>
        <v>0</v>
      </c>
      <c r="M127" s="159">
        <f t="shared" si="73"/>
        <v>0</v>
      </c>
      <c r="N127" s="159">
        <f t="shared" si="73"/>
        <v>0</v>
      </c>
      <c r="O127" s="159">
        <f t="shared" si="73"/>
        <v>0</v>
      </c>
      <c r="P127" s="159">
        <f t="shared" ref="P127" si="74">P36*P72/P109*P76</f>
        <v>0</v>
      </c>
    </row>
    <row r="128" spans="2:16" s="133" customFormat="1">
      <c r="B128" s="70" t="str">
        <f>B37</f>
        <v>Exceptional Items Total</v>
      </c>
      <c r="C128" s="138"/>
      <c r="D128" s="159">
        <f>D127</f>
        <v>0</v>
      </c>
      <c r="E128" s="159">
        <f t="shared" ref="E128:O128" si="75">E127</f>
        <v>0</v>
      </c>
      <c r="F128" s="159">
        <f t="shared" si="75"/>
        <v>0</v>
      </c>
      <c r="G128" s="159">
        <f t="shared" si="75"/>
        <v>0</v>
      </c>
      <c r="H128" s="159">
        <f t="shared" si="75"/>
        <v>0</v>
      </c>
      <c r="I128" s="159">
        <f t="shared" si="75"/>
        <v>0</v>
      </c>
      <c r="J128" s="159">
        <f t="shared" si="75"/>
        <v>0</v>
      </c>
      <c r="K128" s="159">
        <f t="shared" si="75"/>
        <v>0</v>
      </c>
      <c r="L128" s="159">
        <f t="shared" si="75"/>
        <v>0</v>
      </c>
      <c r="M128" s="159">
        <f t="shared" si="75"/>
        <v>0</v>
      </c>
      <c r="N128" s="159">
        <f t="shared" si="75"/>
        <v>0</v>
      </c>
      <c r="O128" s="159">
        <f t="shared" si="75"/>
        <v>0</v>
      </c>
      <c r="P128" s="159">
        <f t="shared" ref="P128" si="76">P127</f>
        <v>0</v>
      </c>
    </row>
    <row r="129" spans="1:16" s="133" customFormat="1">
      <c r="B129" s="138"/>
      <c r="C129" s="138"/>
      <c r="D129" s="141"/>
      <c r="E129" s="141"/>
      <c r="F129" s="141"/>
      <c r="G129" s="141"/>
      <c r="H129" s="141"/>
      <c r="I129" s="141"/>
      <c r="J129" s="141"/>
      <c r="K129" s="141"/>
      <c r="L129" s="141"/>
      <c r="M129" s="141"/>
      <c r="N129" s="141"/>
      <c r="O129" s="141"/>
      <c r="P129" s="141"/>
    </row>
    <row r="130" spans="1:16" s="133" customFormat="1">
      <c r="B130" s="70" t="str">
        <f>B39</f>
        <v>Grand Total</v>
      </c>
      <c r="C130" s="138"/>
      <c r="D130" s="159">
        <f>D114+D117+D125+D128</f>
        <v>502847.80392087204</v>
      </c>
      <c r="E130" s="159">
        <f t="shared" ref="E130:O130" si="77">E114+E117+E125+E128</f>
        <v>488763.29682746792</v>
      </c>
      <c r="F130" s="159">
        <f t="shared" si="77"/>
        <v>519443.64464691561</v>
      </c>
      <c r="G130" s="159">
        <f t="shared" si="77"/>
        <v>571904.83927967306</v>
      </c>
      <c r="H130" s="159">
        <f t="shared" si="77"/>
        <v>682341.74807009404</v>
      </c>
      <c r="I130" s="159">
        <f t="shared" si="77"/>
        <v>725987.44406444894</v>
      </c>
      <c r="J130" s="159">
        <f t="shared" si="77"/>
        <v>773949.93700075848</v>
      </c>
      <c r="K130" s="159">
        <f t="shared" si="77"/>
        <v>902692.35106487724</v>
      </c>
      <c r="L130" s="159">
        <f t="shared" si="77"/>
        <v>829584.07180110016</v>
      </c>
      <c r="M130" s="159">
        <f t="shared" si="77"/>
        <v>711279.08534729807</v>
      </c>
      <c r="N130" s="159">
        <f t="shared" si="77"/>
        <v>699494.71506178204</v>
      </c>
      <c r="O130" s="159">
        <f t="shared" si="77"/>
        <v>739272.47769645508</v>
      </c>
      <c r="P130" s="159">
        <f t="shared" ref="P130" si="78">P114+P117+P125+P128</f>
        <v>728360.11838770914</v>
      </c>
    </row>
    <row r="131" spans="1:16" s="133" customFormat="1">
      <c r="B131" s="138"/>
      <c r="C131" s="138"/>
      <c r="D131" s="141"/>
      <c r="E131" s="141"/>
      <c r="F131" s="141"/>
      <c r="G131" s="141"/>
      <c r="H131" s="141"/>
      <c r="I131" s="141"/>
      <c r="J131" s="141"/>
      <c r="K131" s="141"/>
      <c r="L131" s="141"/>
      <c r="M131" s="141"/>
      <c r="N131" s="141"/>
      <c r="O131" s="141"/>
      <c r="P131" s="141"/>
    </row>
    <row r="132" spans="1:16" s="133" customFormat="1">
      <c r="B132" s="138" t="str">
        <f>B41</f>
        <v>Cost Residual (Ordinary Opex - Elements)</v>
      </c>
      <c r="C132" s="138"/>
      <c r="D132" s="159">
        <f t="shared" ref="D132:O132" si="79">D41*D72/D109*D76</f>
        <v>0</v>
      </c>
      <c r="E132" s="159">
        <f t="shared" si="79"/>
        <v>0</v>
      </c>
      <c r="F132" s="159">
        <f t="shared" si="79"/>
        <v>0</v>
      </c>
      <c r="G132" s="159">
        <f t="shared" si="79"/>
        <v>0</v>
      </c>
      <c r="H132" s="159">
        <f t="shared" si="79"/>
        <v>0</v>
      </c>
      <c r="I132" s="159">
        <f t="shared" si="79"/>
        <v>0</v>
      </c>
      <c r="J132" s="159">
        <f t="shared" si="79"/>
        <v>0</v>
      </c>
      <c r="K132" s="159">
        <f t="shared" si="79"/>
        <v>0</v>
      </c>
      <c r="L132" s="159">
        <f t="shared" si="79"/>
        <v>0</v>
      </c>
      <c r="M132" s="159">
        <f t="shared" si="79"/>
        <v>0</v>
      </c>
      <c r="N132" s="159">
        <f t="shared" si="79"/>
        <v>0</v>
      </c>
      <c r="O132" s="159">
        <f t="shared" si="79"/>
        <v>0</v>
      </c>
      <c r="P132" s="159">
        <f t="shared" ref="P132" si="80">P41*P72/P109*P76</f>
        <v>0</v>
      </c>
    </row>
    <row r="133" spans="1:16" s="133" customFormat="1">
      <c r="B133" s="138"/>
      <c r="C133" s="138"/>
      <c r="D133" s="141"/>
      <c r="E133" s="141"/>
      <c r="F133" s="141"/>
      <c r="G133" s="141"/>
      <c r="H133" s="141"/>
      <c r="I133" s="141"/>
      <c r="J133" s="141"/>
      <c r="K133" s="141"/>
      <c r="L133" s="141"/>
      <c r="M133" s="141"/>
      <c r="N133" s="141"/>
      <c r="O133" s="141"/>
      <c r="P133" s="141"/>
    </row>
    <row r="134" spans="1:16" s="133" customFormat="1">
      <c r="B134" s="138" t="str">
        <f>B43</f>
        <v>Ordinary Opex (per accounts - including staff, depreciation and other, excluding exceptional)</v>
      </c>
      <c r="C134" s="138"/>
      <c r="D134" s="159">
        <f>D114+D117+D125+D132</f>
        <v>502847.80392087204</v>
      </c>
      <c r="E134" s="159">
        <f t="shared" ref="E134:O134" si="81">E114+E117+E125+E132</f>
        <v>488763.29682746792</v>
      </c>
      <c r="F134" s="159">
        <f t="shared" si="81"/>
        <v>519443.64464691561</v>
      </c>
      <c r="G134" s="159">
        <f t="shared" si="81"/>
        <v>571904.83927967306</v>
      </c>
      <c r="H134" s="159">
        <f t="shared" si="81"/>
        <v>682341.74807009404</v>
      </c>
      <c r="I134" s="159">
        <f t="shared" si="81"/>
        <v>725987.44406444894</v>
      </c>
      <c r="J134" s="159">
        <f t="shared" si="81"/>
        <v>773949.93700075848</v>
      </c>
      <c r="K134" s="159">
        <f t="shared" si="81"/>
        <v>902692.35106487724</v>
      </c>
      <c r="L134" s="159">
        <f t="shared" si="81"/>
        <v>829584.07180110016</v>
      </c>
      <c r="M134" s="159">
        <f t="shared" si="81"/>
        <v>711279.08534729807</v>
      </c>
      <c r="N134" s="159">
        <f t="shared" si="81"/>
        <v>699494.71506178204</v>
      </c>
      <c r="O134" s="159">
        <f t="shared" si="81"/>
        <v>739272.47769645508</v>
      </c>
      <c r="P134" s="159">
        <f t="shared" ref="P134" si="82">P114+P117+P125+P132</f>
        <v>728360.11838770914</v>
      </c>
    </row>
    <row r="135" spans="1:16" s="133" customFormat="1">
      <c r="B135" s="138"/>
      <c r="C135" s="138"/>
      <c r="D135" s="141"/>
      <c r="E135" s="141"/>
      <c r="F135" s="141"/>
      <c r="G135" s="141"/>
      <c r="H135" s="141"/>
      <c r="I135" s="141"/>
      <c r="J135" s="141"/>
      <c r="K135" s="141"/>
      <c r="L135" s="141"/>
      <c r="M135" s="141"/>
      <c r="N135" s="141"/>
      <c r="O135" s="141"/>
      <c r="P135" s="141"/>
    </row>
    <row r="136" spans="1:16" s="133" customFormat="1">
      <c r="B136" s="138" t="str">
        <f>B45</f>
        <v>Total Opex (ordinary + exceptional)</v>
      </c>
      <c r="C136" s="138"/>
      <c r="D136" s="159">
        <f>D134+D128</f>
        <v>502847.80392087204</v>
      </c>
      <c r="E136" s="159">
        <f t="shared" ref="E136:O136" si="83">E134+E128</f>
        <v>488763.29682746792</v>
      </c>
      <c r="F136" s="159">
        <f t="shared" si="83"/>
        <v>519443.64464691561</v>
      </c>
      <c r="G136" s="159">
        <f t="shared" si="83"/>
        <v>571904.83927967306</v>
      </c>
      <c r="H136" s="159">
        <f t="shared" si="83"/>
        <v>682341.74807009404</v>
      </c>
      <c r="I136" s="159">
        <f t="shared" si="83"/>
        <v>725987.44406444894</v>
      </c>
      <c r="J136" s="159">
        <f t="shared" si="83"/>
        <v>773949.93700075848</v>
      </c>
      <c r="K136" s="159">
        <f t="shared" si="83"/>
        <v>902692.35106487724</v>
      </c>
      <c r="L136" s="159">
        <f t="shared" si="83"/>
        <v>829584.07180110016</v>
      </c>
      <c r="M136" s="159">
        <f t="shared" si="83"/>
        <v>711279.08534729807</v>
      </c>
      <c r="N136" s="159">
        <f t="shared" si="83"/>
        <v>699494.71506178204</v>
      </c>
      <c r="O136" s="159">
        <f t="shared" si="83"/>
        <v>739272.47769645508</v>
      </c>
      <c r="P136" s="159">
        <f t="shared" ref="P136" si="84">P134+P128</f>
        <v>728360.11838770914</v>
      </c>
    </row>
    <row r="137" spans="1:16" s="133" customFormat="1">
      <c r="B137" s="138"/>
      <c r="C137" s="138"/>
      <c r="D137" s="141"/>
      <c r="E137" s="141"/>
      <c r="F137" s="141"/>
      <c r="G137" s="141"/>
      <c r="H137" s="141"/>
      <c r="I137" s="141"/>
      <c r="J137" s="141"/>
      <c r="K137" s="141"/>
      <c r="L137" s="141"/>
      <c r="M137" s="141"/>
      <c r="N137" s="141"/>
      <c r="O137" s="141"/>
      <c r="P137" s="141"/>
    </row>
    <row r="138" spans="1:16" s="133" customFormat="1">
      <c r="B138" s="138" t="str">
        <f t="shared" ref="B138:B146" si="85">B47</f>
        <v>Retail Estimate</v>
      </c>
      <c r="C138" s="138"/>
      <c r="D138" s="159">
        <f t="shared" ref="D138:O138" si="86">D47*D72/D109*D76</f>
        <v>3948.0643970497426</v>
      </c>
      <c r="E138" s="159">
        <f t="shared" si="86"/>
        <v>4014.0753206165127</v>
      </c>
      <c r="F138" s="159">
        <f t="shared" si="86"/>
        <v>2944.8759556345872</v>
      </c>
      <c r="G138" s="159">
        <f t="shared" si="86"/>
        <v>1526.1628010535064</v>
      </c>
      <c r="H138" s="159">
        <f t="shared" si="86"/>
        <v>1872.9753231345585</v>
      </c>
      <c r="I138" s="159">
        <f t="shared" si="86"/>
        <v>3406.8240891600622</v>
      </c>
      <c r="J138" s="159">
        <f t="shared" si="86"/>
        <v>8832.2141230292909</v>
      </c>
      <c r="K138" s="159">
        <f t="shared" si="86"/>
        <v>15927.345667176023</v>
      </c>
      <c r="L138" s="159">
        <f t="shared" si="86"/>
        <v>16832.690042617811</v>
      </c>
      <c r="M138" s="159">
        <f t="shared" si="86"/>
        <v>23079.521053047822</v>
      </c>
      <c r="N138" s="159">
        <f t="shared" si="86"/>
        <v>27059.441812645706</v>
      </c>
      <c r="O138" s="159">
        <f t="shared" si="86"/>
        <v>24457.995213705213</v>
      </c>
      <c r="P138" s="159">
        <f t="shared" ref="P138" si="87">P47*P72/P109*P76</f>
        <v>36936.050522211415</v>
      </c>
    </row>
    <row r="139" spans="1:16" s="133" customFormat="1">
      <c r="B139" s="138"/>
      <c r="C139" s="138"/>
      <c r="D139" s="141"/>
      <c r="E139" s="141"/>
      <c r="F139" s="141"/>
      <c r="G139" s="141"/>
      <c r="H139" s="141"/>
      <c r="I139" s="141"/>
      <c r="J139" s="141"/>
      <c r="K139" s="141"/>
      <c r="L139" s="141"/>
      <c r="M139" s="141"/>
      <c r="N139" s="141"/>
      <c r="O139" s="141"/>
      <c r="P139" s="141"/>
    </row>
    <row r="140" spans="1:16" s="133" customFormat="1">
      <c r="A140" s="134"/>
      <c r="B140" s="138" t="str">
        <f t="shared" si="85"/>
        <v>Adjusted Ordinary Opex (ordinary opex - depreciation - ANS - retail)</v>
      </c>
      <c r="C140" s="138"/>
      <c r="D140" s="159">
        <f>D134-D117-D122-D138</f>
        <v>218231.23223635345</v>
      </c>
      <c r="E140" s="159">
        <f t="shared" ref="E140:N140" si="88">E134-E117-E122-E138</f>
        <v>206551.3358644394</v>
      </c>
      <c r="F140" s="159">
        <f t="shared" si="88"/>
        <v>221194.70035925531</v>
      </c>
      <c r="G140" s="159">
        <f t="shared" si="88"/>
        <v>254201.7836732732</v>
      </c>
      <c r="H140" s="159">
        <f t="shared" si="88"/>
        <v>306185.81381494389</v>
      </c>
      <c r="I140" s="159">
        <f>I134-I117-I122-I138</f>
        <v>304406.66100426362</v>
      </c>
      <c r="J140" s="159">
        <f t="shared" si="88"/>
        <v>337336.90091279836</v>
      </c>
      <c r="K140" s="159">
        <f t="shared" si="88"/>
        <v>374970.45137606264</v>
      </c>
      <c r="L140" s="159">
        <f t="shared" si="88"/>
        <v>362431.97211675666</v>
      </c>
      <c r="M140" s="159">
        <f t="shared" si="88"/>
        <v>298067.61720153724</v>
      </c>
      <c r="N140" s="159">
        <f t="shared" si="88"/>
        <v>294884.58697796182</v>
      </c>
      <c r="O140" s="159">
        <f>O134-O117-O122-O138</f>
        <v>326022.54797360272</v>
      </c>
      <c r="P140" s="159">
        <f>P134-P117-P122-P138</f>
        <v>313911.74190677336</v>
      </c>
    </row>
    <row r="141" spans="1:16" s="133" customFormat="1">
      <c r="B141" s="138"/>
      <c r="C141" s="138"/>
      <c r="D141" s="141"/>
      <c r="E141" s="141"/>
      <c r="F141" s="141"/>
      <c r="G141" s="141"/>
      <c r="H141" s="141"/>
      <c r="I141" s="141"/>
      <c r="J141" s="141"/>
      <c r="K141" s="141"/>
      <c r="L141" s="141"/>
      <c r="M141" s="141"/>
      <c r="N141" s="141"/>
      <c r="O141" s="141"/>
      <c r="P141" s="141"/>
    </row>
    <row r="142" spans="1:16" s="133" customFormat="1">
      <c r="B142" s="138" t="str">
        <f t="shared" si="85"/>
        <v>Turnover (per accounts)</v>
      </c>
      <c r="C142" s="138"/>
      <c r="D142" s="159">
        <f t="shared" ref="D142:O142" si="89">D51*D72*D76</f>
        <v>566727.70934901724</v>
      </c>
      <c r="E142" s="159">
        <f t="shared" si="89"/>
        <v>570053.3296385858</v>
      </c>
      <c r="F142" s="159">
        <f t="shared" si="89"/>
        <v>573605.75017283927</v>
      </c>
      <c r="G142" s="159">
        <f t="shared" si="89"/>
        <v>518819.20508828538</v>
      </c>
      <c r="H142" s="159">
        <f t="shared" si="89"/>
        <v>654419.66090884956</v>
      </c>
      <c r="I142" s="159">
        <f t="shared" si="89"/>
        <v>698284.67142403207</v>
      </c>
      <c r="J142" s="159">
        <f t="shared" si="89"/>
        <v>732896.79123206437</v>
      </c>
      <c r="K142" s="159">
        <f t="shared" si="89"/>
        <v>778894.07790339971</v>
      </c>
      <c r="L142" s="159">
        <f t="shared" si="89"/>
        <v>785603.61226606101</v>
      </c>
      <c r="M142" s="159">
        <f t="shared" si="89"/>
        <v>807738.32787944353</v>
      </c>
      <c r="N142" s="159">
        <f t="shared" si="89"/>
        <v>903395.32762663637</v>
      </c>
      <c r="O142" s="159">
        <f t="shared" si="89"/>
        <v>989998.54545454553</v>
      </c>
      <c r="P142" s="159">
        <f t="shared" ref="P142" si="90">P51*P72*P76</f>
        <v>1037759.5226320631</v>
      </c>
    </row>
    <row r="143" spans="1:16" s="133" customFormat="1">
      <c r="B143" s="138"/>
      <c r="C143" s="138"/>
      <c r="D143" s="141"/>
      <c r="E143" s="141"/>
      <c r="F143" s="141"/>
      <c r="G143" s="141"/>
      <c r="H143" s="141"/>
      <c r="I143" s="141"/>
      <c r="J143" s="141"/>
      <c r="K143" s="141"/>
      <c r="L143" s="141"/>
      <c r="M143" s="141"/>
      <c r="N143" s="141"/>
      <c r="O143" s="141"/>
      <c r="P143" s="141"/>
    </row>
    <row r="144" spans="1:16" s="133" customFormat="1">
      <c r="B144" s="138" t="str">
        <f t="shared" si="85"/>
        <v>Operating Profit (pre-exceptional)</v>
      </c>
      <c r="C144" s="138"/>
      <c r="D144" s="159">
        <f>D142-D134</f>
        <v>63879.905428145197</v>
      </c>
      <c r="E144" s="159">
        <f t="shared" ref="E144:O144" si="91">E142-E134</f>
        <v>81290.032811117882</v>
      </c>
      <c r="F144" s="159">
        <f t="shared" si="91"/>
        <v>54162.10552592366</v>
      </c>
      <c r="G144" s="159">
        <f>G142-G134</f>
        <v>-53085.634191387682</v>
      </c>
      <c r="H144" s="159">
        <f t="shared" si="91"/>
        <v>-27922.087161244475</v>
      </c>
      <c r="I144" s="159">
        <f t="shared" si="91"/>
        <v>-27702.772640416864</v>
      </c>
      <c r="J144" s="159">
        <f t="shared" si="91"/>
        <v>-41053.145768694114</v>
      </c>
      <c r="K144" s="159">
        <f t="shared" si="91"/>
        <v>-123798.27316147753</v>
      </c>
      <c r="L144" s="159">
        <f t="shared" si="91"/>
        <v>-43980.459535039146</v>
      </c>
      <c r="M144" s="159">
        <f t="shared" si="91"/>
        <v>96459.242532145465</v>
      </c>
      <c r="N144" s="159">
        <f t="shared" si="91"/>
        <v>203900.61256485432</v>
      </c>
      <c r="O144" s="159">
        <f t="shared" si="91"/>
        <v>250726.06775809044</v>
      </c>
      <c r="P144" s="159">
        <f t="shared" ref="P144" si="92">P142-P134</f>
        <v>309399.40424435399</v>
      </c>
    </row>
    <row r="145" spans="1:24" s="133" customFormat="1">
      <c r="B145" s="138"/>
      <c r="C145" s="138"/>
      <c r="D145" s="138"/>
      <c r="E145" s="138"/>
      <c r="F145" s="138"/>
      <c r="G145" s="138"/>
      <c r="H145" s="138"/>
      <c r="I145" s="138"/>
      <c r="J145" s="138"/>
      <c r="K145" s="138"/>
      <c r="L145" s="138"/>
      <c r="M145" s="138"/>
      <c r="N145" s="138"/>
      <c r="O145" s="138"/>
      <c r="P145" s="138"/>
    </row>
    <row r="146" spans="1:24" s="133" customFormat="1">
      <c r="B146" s="138" t="str">
        <f t="shared" si="85"/>
        <v>Profit Margin</v>
      </c>
      <c r="C146" s="138"/>
      <c r="D146" s="162">
        <f>D144/D142</f>
        <v>0.11271710271855613</v>
      </c>
      <c r="E146" s="162">
        <f t="shared" ref="E146:O146" si="93">E144/E142</f>
        <v>0.14260075081511378</v>
      </c>
      <c r="F146" s="162">
        <f t="shared" si="93"/>
        <v>9.4423923591427553E-2</v>
      </c>
      <c r="G146" s="162">
        <f>G144/G142</f>
        <v>-0.10232010239935954</v>
      </c>
      <c r="H146" s="162">
        <f t="shared" si="93"/>
        <v>-4.2666944208960104E-2</v>
      </c>
      <c r="I146" s="162">
        <f t="shared" si="93"/>
        <v>-3.96726059930856E-2</v>
      </c>
      <c r="J146" s="162">
        <f t="shared" si="93"/>
        <v>-5.6014907228178937E-2</v>
      </c>
      <c r="K146" s="162">
        <f t="shared" si="93"/>
        <v>-0.15894108926173051</v>
      </c>
      <c r="L146" s="162">
        <f t="shared" si="93"/>
        <v>-5.5983015923486167E-2</v>
      </c>
      <c r="M146" s="162">
        <f t="shared" si="93"/>
        <v>0.11941892467252363</v>
      </c>
      <c r="N146" s="162">
        <f t="shared" si="93"/>
        <v>0.22570474556309003</v>
      </c>
      <c r="O146" s="162">
        <f t="shared" si="93"/>
        <v>0.25325902639884457</v>
      </c>
      <c r="P146" s="162">
        <f t="shared" ref="P146" si="94">P144/P142</f>
        <v>0.29814171539435858</v>
      </c>
    </row>
    <row r="147" spans="1:24" s="134" customFormat="1">
      <c r="B147" s="168"/>
      <c r="C147" s="168"/>
      <c r="D147" s="243"/>
      <c r="E147" s="243"/>
      <c r="F147" s="243"/>
      <c r="G147" s="243"/>
      <c r="H147" s="243"/>
      <c r="I147" s="243"/>
      <c r="J147" s="243"/>
      <c r="K147" s="243"/>
      <c r="L147" s="243"/>
      <c r="M147" s="243"/>
      <c r="N147" s="243"/>
      <c r="O147" s="243"/>
      <c r="P147" s="243"/>
    </row>
    <row r="148" spans="1:24" s="133" customFormat="1">
      <c r="B148" s="153" t="s">
        <v>1148</v>
      </c>
      <c r="C148" s="94"/>
      <c r="D148" s="94"/>
      <c r="E148" s="94"/>
      <c r="F148" s="94"/>
      <c r="G148" s="94"/>
      <c r="H148" s="94"/>
      <c r="I148" s="94"/>
      <c r="J148" s="94"/>
      <c r="K148" s="94"/>
      <c r="L148" s="94"/>
      <c r="M148" s="94"/>
      <c r="N148" s="94"/>
      <c r="O148" s="94"/>
      <c r="P148" s="94"/>
    </row>
    <row r="149" spans="1:24" s="134" customFormat="1">
      <c r="B149" s="168"/>
      <c r="C149" s="168"/>
      <c r="D149" s="243"/>
      <c r="E149" s="243"/>
      <c r="F149" s="243"/>
      <c r="G149" s="243"/>
      <c r="H149" s="243"/>
      <c r="I149" s="243"/>
      <c r="J149" s="243"/>
      <c r="K149" s="243"/>
      <c r="L149" s="243"/>
      <c r="M149" s="243"/>
      <c r="N149" s="243"/>
      <c r="O149" s="243"/>
      <c r="P149" s="243"/>
    </row>
    <row r="150" spans="1:24" s="134" customFormat="1">
      <c r="B150" s="90" t="s">
        <v>1127</v>
      </c>
      <c r="C150" s="90"/>
      <c r="D150" s="209">
        <f>(D136/D57)*1000</f>
        <v>14.857812431180477</v>
      </c>
      <c r="E150" s="209">
        <f t="shared" ref="E150:O150" si="95">(E136/E57)*1000</f>
        <v>14.765816646852601</v>
      </c>
      <c r="F150" s="209">
        <f t="shared" si="95"/>
        <v>15.189298925285561</v>
      </c>
      <c r="G150" s="209">
        <f t="shared" si="95"/>
        <v>20.666528359038523</v>
      </c>
      <c r="H150" s="209">
        <f t="shared" si="95"/>
        <v>17.815711437861463</v>
      </c>
      <c r="I150" s="209">
        <f t="shared" si="95"/>
        <v>17.451621251549255</v>
      </c>
      <c r="J150" s="209">
        <f t="shared" si="95"/>
        <v>17.160752483387107</v>
      </c>
      <c r="K150" s="209">
        <f t="shared" si="95"/>
        <v>18.459966279445343</v>
      </c>
      <c r="L150" s="209">
        <f t="shared" si="95"/>
        <v>17.391699618471701</v>
      </c>
      <c r="M150" s="209">
        <f t="shared" si="95"/>
        <v>15.165865359217443</v>
      </c>
      <c r="N150" s="209">
        <f t="shared" si="95"/>
        <v>13.582421651685088</v>
      </c>
      <c r="O150" s="209">
        <f t="shared" si="95"/>
        <v>13.46580105093725</v>
      </c>
      <c r="P150" s="209">
        <f t="shared" ref="P150" si="96">(P136/P57)*1000</f>
        <v>12.73356850328163</v>
      </c>
    </row>
    <row r="151" spans="1:24" s="134" customFormat="1">
      <c r="B151" s="90" t="s">
        <v>299</v>
      </c>
      <c r="C151" s="90"/>
      <c r="D151" s="209">
        <f>(D134/D57)*1000</f>
        <v>14.857812431180477</v>
      </c>
      <c r="E151" s="209">
        <f t="shared" ref="E151:O151" si="97">(E134/E57)*1000</f>
        <v>14.765816646852601</v>
      </c>
      <c r="F151" s="209">
        <f t="shared" si="97"/>
        <v>15.189298925285561</v>
      </c>
      <c r="G151" s="209">
        <f t="shared" si="97"/>
        <v>20.666528359038523</v>
      </c>
      <c r="H151" s="209">
        <f t="shared" si="97"/>
        <v>17.815711437861463</v>
      </c>
      <c r="I151" s="209">
        <f t="shared" si="97"/>
        <v>17.451621251549255</v>
      </c>
      <c r="J151" s="209">
        <f t="shared" si="97"/>
        <v>17.160752483387107</v>
      </c>
      <c r="K151" s="209">
        <f t="shared" si="97"/>
        <v>18.459966279445343</v>
      </c>
      <c r="L151" s="209">
        <f t="shared" si="97"/>
        <v>17.391699618471701</v>
      </c>
      <c r="M151" s="209">
        <f t="shared" si="97"/>
        <v>15.165865359217443</v>
      </c>
      <c r="N151" s="209">
        <f t="shared" si="97"/>
        <v>13.582421651685088</v>
      </c>
      <c r="O151" s="209">
        <f t="shared" si="97"/>
        <v>13.46580105093725</v>
      </c>
      <c r="P151" s="209">
        <f t="shared" ref="P151" si="98">(P134/P57)*1000</f>
        <v>12.73356850328163</v>
      </c>
    </row>
    <row r="152" spans="1:24" s="134" customFormat="1">
      <c r="B152" s="90" t="s">
        <v>300</v>
      </c>
      <c r="C152" s="90"/>
      <c r="D152" s="209">
        <f>(D140/D57)*1000</f>
        <v>6.4481512893379458</v>
      </c>
      <c r="E152" s="209">
        <f t="shared" ref="E152:N152" si="99">(E140/E57)*1000</f>
        <v>6.2400331066867887</v>
      </c>
      <c r="F152" s="209">
        <f t="shared" si="99"/>
        <v>6.4680595461505144</v>
      </c>
      <c r="G152" s="209">
        <f t="shared" si="99"/>
        <v>9.1859134778763849</v>
      </c>
      <c r="H152" s="209">
        <f t="shared" si="99"/>
        <v>7.9944076714084567</v>
      </c>
      <c r="I152" s="209">
        <f t="shared" si="99"/>
        <v>7.3174678126024908</v>
      </c>
      <c r="J152" s="209">
        <f t="shared" si="99"/>
        <v>7.4797539005055063</v>
      </c>
      <c r="K152" s="209">
        <f t="shared" si="99"/>
        <v>7.6681073901035308</v>
      </c>
      <c r="L152" s="209">
        <f t="shared" si="99"/>
        <v>7.5981545517139759</v>
      </c>
      <c r="M152" s="209">
        <f t="shared" si="99"/>
        <v>6.3553862942758474</v>
      </c>
      <c r="N152" s="209">
        <f t="shared" si="99"/>
        <v>5.7259143102516861</v>
      </c>
      <c r="O152" s="209">
        <f>(O140/O57)*1000</f>
        <v>5.938479926659431</v>
      </c>
      <c r="P152" s="209">
        <f>(P140/P57)*1000</f>
        <v>5.4879675158526808</v>
      </c>
    </row>
    <row r="153" spans="1:24" s="134" customFormat="1">
      <c r="B153" s="90" t="s">
        <v>265</v>
      </c>
      <c r="C153" s="90"/>
      <c r="D153" s="209">
        <f t="shared" ref="D153:O153" si="100">D114*1000/D57</f>
        <v>1.5580667734735387</v>
      </c>
      <c r="E153" s="209">
        <f t="shared" si="100"/>
        <v>1.6632057823310495</v>
      </c>
      <c r="F153" s="209">
        <f t="shared" si="100"/>
        <v>1.7671592794074396</v>
      </c>
      <c r="G153" s="209">
        <f t="shared" si="100"/>
        <v>2.4921371078229071</v>
      </c>
      <c r="H153" s="209">
        <f t="shared" si="100"/>
        <v>2.0614662989323231</v>
      </c>
      <c r="I153" s="209">
        <f t="shared" si="100"/>
        <v>1.8727138040096574</v>
      </c>
      <c r="J153" s="209">
        <f t="shared" si="100"/>
        <v>1.8108256688986804</v>
      </c>
      <c r="K153" s="209">
        <f t="shared" si="100"/>
        <v>1.7475015150332003</v>
      </c>
      <c r="L153" s="209">
        <f t="shared" si="100"/>
        <v>1.665881570577409</v>
      </c>
      <c r="M153" s="209">
        <f t="shared" si="100"/>
        <v>2.5575235217089927</v>
      </c>
      <c r="N153" s="209">
        <f t="shared" si="100"/>
        <v>2.2052380110993468</v>
      </c>
      <c r="O153" s="209">
        <f t="shared" si="100"/>
        <v>2.0956489322462279</v>
      </c>
      <c r="P153" s="209">
        <f t="shared" ref="P153" si="101">P114*1000/P57</f>
        <v>2.1520373105813553</v>
      </c>
    </row>
    <row r="154" spans="1:24" s="134" customFormat="1">
      <c r="B154" s="111" t="s">
        <v>1136</v>
      </c>
      <c r="C154" s="111"/>
      <c r="D154" s="159" t="e">
        <f t="shared" ref="D154:O154" si="102">D114/D59*1000</f>
        <v>#DIV/0!</v>
      </c>
      <c r="E154" s="159" t="e">
        <f t="shared" si="102"/>
        <v>#DIV/0!</v>
      </c>
      <c r="F154" s="159" t="e">
        <f t="shared" si="102"/>
        <v>#DIV/0!</v>
      </c>
      <c r="G154" s="159" t="e">
        <f t="shared" si="102"/>
        <v>#DIV/0!</v>
      </c>
      <c r="H154" s="159" t="e">
        <f t="shared" si="102"/>
        <v>#DIV/0!</v>
      </c>
      <c r="I154" s="159" t="e">
        <f t="shared" si="102"/>
        <v>#DIV/0!</v>
      </c>
      <c r="J154" s="159" t="e">
        <f t="shared" si="102"/>
        <v>#DIV/0!</v>
      </c>
      <c r="K154" s="159" t="e">
        <f t="shared" si="102"/>
        <v>#DIV/0!</v>
      </c>
      <c r="L154" s="159" t="e">
        <f t="shared" si="102"/>
        <v>#DIV/0!</v>
      </c>
      <c r="M154" s="159" t="e">
        <f t="shared" si="102"/>
        <v>#DIV/0!</v>
      </c>
      <c r="N154" s="159">
        <f t="shared" si="102"/>
        <v>103245.23415601489</v>
      </c>
      <c r="O154" s="159">
        <f t="shared" si="102"/>
        <v>102449.80087294561</v>
      </c>
      <c r="P154" s="159">
        <f t="shared" ref="P154" si="103">P114/P59*1000</f>
        <v>95423.669895545361</v>
      </c>
    </row>
    <row r="155" spans="1:24" s="133" customFormat="1">
      <c r="B155" s="138"/>
      <c r="C155" s="138"/>
      <c r="D155" s="141"/>
      <c r="E155" s="141"/>
      <c r="F155" s="141"/>
      <c r="G155" s="141"/>
      <c r="H155" s="141"/>
      <c r="I155" s="141"/>
      <c r="J155" s="141"/>
      <c r="K155" s="141"/>
      <c r="L155" s="141"/>
      <c r="M155" s="141"/>
      <c r="N155" s="141"/>
      <c r="O155" s="141"/>
      <c r="P155" s="141"/>
    </row>
    <row r="156" spans="1:24" s="126" customFormat="1">
      <c r="A156" s="90"/>
      <c r="B156" s="153" t="s">
        <v>163</v>
      </c>
      <c r="C156" s="94"/>
      <c r="D156" s="94"/>
      <c r="E156" s="94"/>
      <c r="F156" s="94"/>
      <c r="G156" s="94"/>
      <c r="H156" s="94"/>
      <c r="I156" s="94"/>
      <c r="J156" s="94"/>
      <c r="K156" s="94"/>
      <c r="L156" s="94"/>
      <c r="M156" s="94"/>
      <c r="N156" s="94"/>
      <c r="O156" s="94"/>
      <c r="P156" s="94"/>
      <c r="Q156" s="90"/>
      <c r="R156" s="90"/>
      <c r="S156" s="90"/>
      <c r="T156" s="90"/>
      <c r="U156" s="90"/>
      <c r="V156" s="90"/>
      <c r="W156" s="90"/>
      <c r="X156" s="90"/>
    </row>
    <row r="226" spans="1:25" s="126" customFormat="1">
      <c r="A226" s="90"/>
      <c r="B226" s="153" t="s">
        <v>163</v>
      </c>
      <c r="C226" s="94"/>
      <c r="D226" s="94"/>
      <c r="E226" s="94"/>
      <c r="F226" s="94"/>
      <c r="G226" s="94"/>
      <c r="H226" s="94"/>
      <c r="I226" s="94"/>
      <c r="J226" s="94"/>
      <c r="K226" s="94"/>
      <c r="L226" s="94"/>
      <c r="M226" s="94"/>
      <c r="N226" s="94"/>
      <c r="O226" s="94"/>
      <c r="P226" s="94"/>
      <c r="R226" s="90"/>
      <c r="S226" s="90"/>
      <c r="T226" s="90"/>
      <c r="U226" s="90"/>
      <c r="V226" s="90"/>
      <c r="W226" s="90"/>
      <c r="X226" s="90"/>
      <c r="Y226"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8.xml><?xml version="1.0" encoding="utf-8"?>
<worksheet xmlns="http://schemas.openxmlformats.org/spreadsheetml/2006/main" xmlns:r="http://schemas.openxmlformats.org/officeDocument/2006/relationships">
  <sheetPr>
    <pageSetUpPr autoPageBreaks="0" fitToPage="1"/>
  </sheetPr>
  <dimension ref="A1:Y230"/>
  <sheetViews>
    <sheetView showGridLines="0" zoomScale="70" zoomScaleNormal="70" workbookViewId="0">
      <pane xSplit="3" ySplit="17" topLeftCell="D150" activePane="bottomRight" state="frozen"/>
      <selection pane="topRight" activeCell="D1" sqref="D1"/>
      <selection pane="bottomLeft" activeCell="A15" sqref="A15"/>
      <selection pane="bottomRight" activeCell="B161" sqref="B161"/>
    </sheetView>
  </sheetViews>
  <sheetFormatPr defaultRowHeight="12.75" outlineLevelRow="2"/>
  <cols>
    <col min="1" max="1" width="7" style="90" customWidth="1"/>
    <col min="2" max="2" width="13.5703125" style="90" customWidth="1"/>
    <col min="3" max="3" width="41.5703125" style="90" customWidth="1"/>
    <col min="4" max="15" width="15.7109375" style="90" customWidth="1"/>
    <col min="16" max="16" width="11.7109375" style="90" customWidth="1"/>
    <col min="17" max="17" width="10.7109375" style="126" customWidth="1"/>
    <col min="18" max="22" width="10.7109375" style="90" customWidth="1"/>
    <col min="23" max="16384" width="9.140625" style="90"/>
  </cols>
  <sheetData>
    <row r="1" spans="1:16" ht="12.75" customHeight="1">
      <c r="A1" s="145"/>
    </row>
    <row r="2" spans="1:16">
      <c r="B2" s="146" t="s">
        <v>134</v>
      </c>
      <c r="C2" s="91"/>
      <c r="D2" s="91"/>
      <c r="E2" s="147" t="str">
        <f>Info!$D$10</f>
        <v>Duncan Kernohan</v>
      </c>
      <c r="F2" s="91"/>
      <c r="G2" s="91"/>
      <c r="H2" s="91"/>
      <c r="I2" s="91"/>
      <c r="J2" s="91"/>
      <c r="K2" s="91"/>
      <c r="L2" s="91"/>
      <c r="M2" s="91"/>
      <c r="N2" s="91"/>
      <c r="O2" s="91"/>
      <c r="P2" s="91"/>
    </row>
    <row r="3" spans="1:16">
      <c r="B3" s="148" t="s">
        <v>137</v>
      </c>
      <c r="C3" s="92"/>
      <c r="D3" s="92"/>
      <c r="E3" s="149" t="str">
        <f>Info!$D$11 &amp; " - " &amp; Info!$D$12</f>
        <v>Airport Opex Benchmarking 2013 - duncan.kernohan@caa.co.uk</v>
      </c>
      <c r="F3" s="92"/>
      <c r="G3" s="92"/>
      <c r="H3" s="92"/>
      <c r="I3" s="92"/>
      <c r="J3" s="92"/>
      <c r="K3" s="92"/>
      <c r="L3" s="92"/>
      <c r="M3" s="92"/>
      <c r="N3" s="92"/>
      <c r="O3" s="92"/>
      <c r="P3" s="92"/>
    </row>
    <row r="4" spans="1:16">
      <c r="B4" s="148" t="s">
        <v>130</v>
      </c>
      <c r="C4" s="92"/>
      <c r="D4" s="92"/>
      <c r="E4" s="150">
        <f>Info!$D$16</f>
        <v>2.8</v>
      </c>
      <c r="F4" s="92"/>
      <c r="G4" s="92"/>
      <c r="H4" s="92"/>
      <c r="I4" s="92"/>
      <c r="J4" s="92"/>
      <c r="K4" s="92"/>
      <c r="L4" s="92"/>
      <c r="M4" s="92"/>
      <c r="N4" s="92"/>
      <c r="O4" s="92"/>
      <c r="P4" s="92"/>
    </row>
    <row r="5" spans="1:16">
      <c r="B5" s="151" t="s">
        <v>138</v>
      </c>
      <c r="C5" s="93"/>
      <c r="D5" s="93"/>
      <c r="E5" s="152" t="str">
        <f ca="1">IF(CELL("filename",D1)="","",MID(CELL("filename",A1),FIND("]",CELL("filename",A1))+1,99))</f>
        <v>Copenhagen</v>
      </c>
      <c r="F5" s="93"/>
      <c r="G5" s="93"/>
      <c r="H5" s="93"/>
      <c r="I5" s="93"/>
      <c r="J5" s="93"/>
      <c r="K5" s="93"/>
      <c r="L5" s="93"/>
      <c r="M5" s="93"/>
      <c r="N5" s="93"/>
      <c r="O5" s="93"/>
      <c r="P5" s="93"/>
    </row>
    <row r="8" spans="1:16">
      <c r="B8" s="153" t="s">
        <v>1044</v>
      </c>
      <c r="C8" s="94"/>
      <c r="D8" s="94"/>
      <c r="E8" s="94"/>
      <c r="F8" s="94"/>
      <c r="G8" s="94"/>
      <c r="H8" s="94"/>
      <c r="I8" s="94"/>
      <c r="J8" s="94"/>
      <c r="K8" s="94"/>
      <c r="L8" s="94"/>
      <c r="M8" s="94"/>
      <c r="N8" s="94"/>
      <c r="O8" s="94"/>
      <c r="P8" s="94"/>
    </row>
    <row r="10" spans="1:16">
      <c r="B10" s="138" t="s">
        <v>143</v>
      </c>
      <c r="C10" s="138"/>
      <c r="D10" s="90" t="s">
        <v>270</v>
      </c>
    </row>
    <row r="11" spans="1:16">
      <c r="B11" s="138"/>
      <c r="C11" s="138"/>
      <c r="D11" s="138"/>
    </row>
    <row r="12" spans="1:16">
      <c r="B12" s="138"/>
      <c r="C12" s="138"/>
      <c r="D12" s="138"/>
    </row>
    <row r="13" spans="1:16">
      <c r="B13" s="153" t="s">
        <v>356</v>
      </c>
      <c r="C13" s="94"/>
      <c r="D13" s="94"/>
      <c r="E13" s="94"/>
      <c r="F13" s="94"/>
      <c r="G13" s="94"/>
      <c r="H13" s="94"/>
      <c r="I13" s="94"/>
      <c r="J13" s="94"/>
      <c r="K13" s="94"/>
      <c r="L13" s="94"/>
      <c r="M13" s="94"/>
      <c r="N13" s="94"/>
      <c r="O13" s="94"/>
      <c r="P13" s="94"/>
    </row>
    <row r="14" spans="1:16">
      <c r="B14" s="138"/>
      <c r="C14" s="138"/>
      <c r="D14" s="138"/>
    </row>
    <row r="15" spans="1:16">
      <c r="B15" s="101" t="s">
        <v>375</v>
      </c>
      <c r="C15" s="101"/>
    </row>
    <row r="16" spans="1:16">
      <c r="B16" s="101"/>
      <c r="C16" s="101"/>
    </row>
    <row r="17" spans="1:24">
      <c r="B17" s="138" t="s">
        <v>271</v>
      </c>
      <c r="C17" s="138"/>
      <c r="D17" s="119">
        <v>2000</v>
      </c>
      <c r="E17" s="119">
        <v>2001</v>
      </c>
      <c r="F17" s="119">
        <v>2002</v>
      </c>
      <c r="G17" s="119">
        <v>2003</v>
      </c>
      <c r="H17" s="119">
        <v>2004</v>
      </c>
      <c r="I17" s="119">
        <v>2005</v>
      </c>
      <c r="J17" s="119">
        <v>2006</v>
      </c>
      <c r="K17" s="119">
        <v>2007</v>
      </c>
      <c r="L17" s="119">
        <v>2008</v>
      </c>
      <c r="M17" s="119">
        <v>2009</v>
      </c>
      <c r="N17" s="119">
        <v>2010</v>
      </c>
      <c r="O17" s="119">
        <v>2011</v>
      </c>
      <c r="P17" s="119">
        <v>2012</v>
      </c>
      <c r="Q17" s="90"/>
    </row>
    <row r="18" spans="1:24">
      <c r="B18" s="138" t="s">
        <v>157</v>
      </c>
      <c r="C18" s="138"/>
      <c r="D18" s="154">
        <v>2000</v>
      </c>
      <c r="E18" s="154">
        <v>2001</v>
      </c>
      <c r="F18" s="154">
        <v>2002</v>
      </c>
      <c r="G18" s="154">
        <v>2003</v>
      </c>
      <c r="H18" s="154">
        <v>2004</v>
      </c>
      <c r="I18" s="154">
        <v>2005</v>
      </c>
      <c r="J18" s="154">
        <v>2006</v>
      </c>
      <c r="K18" s="154">
        <v>2007</v>
      </c>
      <c r="L18" s="154">
        <v>2008</v>
      </c>
      <c r="M18" s="154">
        <v>2009</v>
      </c>
      <c r="N18" s="154">
        <v>2010</v>
      </c>
      <c r="O18" s="154">
        <v>2011</v>
      </c>
      <c r="P18" s="154">
        <v>2012</v>
      </c>
      <c r="Q18" s="90"/>
    </row>
    <row r="19" spans="1:24">
      <c r="B19" s="138" t="s">
        <v>164</v>
      </c>
      <c r="C19" s="138"/>
      <c r="D19" s="154" t="s">
        <v>174</v>
      </c>
      <c r="E19" s="154" t="s">
        <v>174</v>
      </c>
      <c r="F19" s="154" t="s">
        <v>174</v>
      </c>
      <c r="G19" s="154" t="s">
        <v>174</v>
      </c>
      <c r="H19" s="154" t="s">
        <v>174</v>
      </c>
      <c r="I19" s="154" t="s">
        <v>174</v>
      </c>
      <c r="J19" s="154" t="s">
        <v>174</v>
      </c>
      <c r="K19" s="154" t="s">
        <v>174</v>
      </c>
      <c r="L19" s="154" t="s">
        <v>174</v>
      </c>
      <c r="M19" s="154" t="s">
        <v>174</v>
      </c>
      <c r="N19" s="154" t="s">
        <v>174</v>
      </c>
      <c r="O19" s="154" t="s">
        <v>174</v>
      </c>
      <c r="P19" s="154" t="s">
        <v>174</v>
      </c>
      <c r="Q19" s="90"/>
    </row>
    <row r="20" spans="1:24">
      <c r="B20" s="133"/>
      <c r="C20" s="133"/>
      <c r="D20" s="133"/>
      <c r="E20" s="133"/>
      <c r="F20" s="133"/>
      <c r="G20" s="133"/>
      <c r="H20" s="133"/>
      <c r="I20" s="133"/>
      <c r="J20" s="133"/>
      <c r="K20" s="133"/>
      <c r="L20" s="133"/>
      <c r="M20" s="133"/>
      <c r="N20" s="133"/>
      <c r="O20" s="133"/>
      <c r="P20" s="126"/>
      <c r="Q20" s="90"/>
    </row>
    <row r="21" spans="1:24">
      <c r="B21" s="106" t="s">
        <v>1314</v>
      </c>
      <c r="C21" s="106" t="s">
        <v>1315</v>
      </c>
      <c r="D21" s="133"/>
      <c r="E21" s="133"/>
      <c r="F21" s="133"/>
      <c r="G21" s="133"/>
      <c r="H21" s="133"/>
      <c r="I21" s="133"/>
      <c r="J21" s="133"/>
      <c r="K21" s="133"/>
      <c r="L21" s="133"/>
      <c r="M21" s="133"/>
      <c r="N21" s="133"/>
      <c r="O21" s="133"/>
      <c r="P21" s="126"/>
      <c r="Q21" s="90"/>
    </row>
    <row r="22" spans="1:24" hidden="1" outlineLevel="2">
      <c r="B22" s="90" t="s">
        <v>240</v>
      </c>
      <c r="C22" s="138" t="s">
        <v>165</v>
      </c>
      <c r="D22" s="141">
        <v>451737</v>
      </c>
      <c r="E22" s="141">
        <v>478040</v>
      </c>
      <c r="F22" s="141">
        <v>482311</v>
      </c>
      <c r="G22" s="141">
        <v>496500</v>
      </c>
      <c r="H22" s="141">
        <v>562200</v>
      </c>
      <c r="I22" s="141">
        <v>654900</v>
      </c>
      <c r="J22" s="141">
        <v>785400</v>
      </c>
      <c r="K22" s="141">
        <v>822200</v>
      </c>
      <c r="L22" s="141">
        <v>877700</v>
      </c>
      <c r="M22" s="141">
        <v>900100</v>
      </c>
      <c r="N22" s="141">
        <v>933900</v>
      </c>
      <c r="O22" s="141">
        <v>963100</v>
      </c>
      <c r="P22" s="82">
        <v>1021200</v>
      </c>
      <c r="Q22" s="82"/>
      <c r="R22" s="82"/>
      <c r="S22" s="82"/>
      <c r="T22" s="82"/>
      <c r="U22" s="82"/>
    </row>
    <row r="23" spans="1:24" hidden="1" outlineLevel="2">
      <c r="B23" s="90" t="s">
        <v>240</v>
      </c>
      <c r="C23" s="138" t="s">
        <v>357</v>
      </c>
      <c r="D23" s="141">
        <v>28903</v>
      </c>
      <c r="E23" s="141">
        <v>31005</v>
      </c>
      <c r="F23" s="141">
        <v>33221</v>
      </c>
      <c r="G23" s="141">
        <v>35900</v>
      </c>
      <c r="H23" s="141">
        <v>40600</v>
      </c>
      <c r="I23" s="141">
        <v>48600</v>
      </c>
      <c r="J23" s="141">
        <v>55400</v>
      </c>
      <c r="K23" s="141">
        <v>66000</v>
      </c>
      <c r="L23" s="141">
        <v>69600</v>
      </c>
      <c r="M23" s="141">
        <v>73800</v>
      </c>
      <c r="N23" s="141">
        <v>77900</v>
      </c>
      <c r="O23" s="141">
        <v>81500</v>
      </c>
      <c r="P23" s="82">
        <v>85300</v>
      </c>
      <c r="Q23" s="82"/>
      <c r="R23" s="82"/>
      <c r="S23" s="82"/>
      <c r="T23" s="82"/>
      <c r="U23" s="82"/>
    </row>
    <row r="24" spans="1:24" hidden="1" outlineLevel="2">
      <c r="B24" s="90" t="s">
        <v>240</v>
      </c>
      <c r="C24" s="138" t="s">
        <v>358</v>
      </c>
      <c r="D24" s="141">
        <v>3152</v>
      </c>
      <c r="E24" s="141">
        <v>2701</v>
      </c>
      <c r="F24" s="141">
        <v>2470</v>
      </c>
      <c r="G24" s="141">
        <v>3000</v>
      </c>
      <c r="H24" s="141">
        <v>3000</v>
      </c>
      <c r="I24" s="141">
        <v>4100</v>
      </c>
      <c r="J24" s="141">
        <v>3500</v>
      </c>
      <c r="K24" s="141">
        <v>4300</v>
      </c>
      <c r="L24" s="141">
        <v>4800</v>
      </c>
      <c r="M24" s="141">
        <v>6600</v>
      </c>
      <c r="N24" s="141">
        <v>6700</v>
      </c>
      <c r="O24" s="141">
        <v>7100</v>
      </c>
      <c r="P24" s="82">
        <v>7500</v>
      </c>
      <c r="Q24" s="82"/>
      <c r="R24" s="82"/>
      <c r="S24" s="82"/>
      <c r="T24" s="82"/>
      <c r="U24" s="82"/>
    </row>
    <row r="25" spans="1:24" hidden="1" outlineLevel="2">
      <c r="B25" s="90" t="s">
        <v>240</v>
      </c>
      <c r="C25" s="138" t="s">
        <v>266</v>
      </c>
      <c r="D25" s="141">
        <v>23713</v>
      </c>
      <c r="E25" s="141">
        <v>23888</v>
      </c>
      <c r="F25" s="141">
        <v>27139</v>
      </c>
      <c r="G25" s="141">
        <v>28200</v>
      </c>
      <c r="H25" s="141">
        <v>34000</v>
      </c>
      <c r="I25" s="141">
        <v>63200</v>
      </c>
      <c r="J25" s="141">
        <v>38000</v>
      </c>
      <c r="K25" s="141">
        <v>54300</v>
      </c>
      <c r="L25" s="141">
        <v>54000</v>
      </c>
      <c r="M25" s="141">
        <v>32800</v>
      </c>
      <c r="N25" s="141">
        <v>42600</v>
      </c>
      <c r="O25" s="141">
        <v>39400</v>
      </c>
      <c r="P25" s="82">
        <v>48000</v>
      </c>
      <c r="Q25" s="82"/>
      <c r="R25" s="82"/>
      <c r="S25" s="82"/>
      <c r="T25" s="82"/>
      <c r="U25" s="82"/>
    </row>
    <row r="26" spans="1:24" hidden="1" outlineLevel="2">
      <c r="B26" s="90" t="s">
        <v>240</v>
      </c>
      <c r="C26" s="138" t="s">
        <v>360</v>
      </c>
      <c r="D26" s="141">
        <v>-33486</v>
      </c>
      <c r="E26" s="141">
        <v>-25787</v>
      </c>
      <c r="F26" s="141">
        <v>-18202</v>
      </c>
      <c r="G26" s="141">
        <v>-29100</v>
      </c>
      <c r="H26" s="141">
        <v>-28300</v>
      </c>
      <c r="I26" s="141">
        <v>-29600</v>
      </c>
      <c r="J26" s="141">
        <v>-48300</v>
      </c>
      <c r="K26" s="141">
        <v>-58500</v>
      </c>
      <c r="L26" s="141">
        <v>-94400</v>
      </c>
      <c r="M26" s="141">
        <v>-89600</v>
      </c>
      <c r="N26" s="141">
        <v>-111700</v>
      </c>
      <c r="O26" s="141">
        <v>-115900</v>
      </c>
      <c r="P26" s="82">
        <v>-126700</v>
      </c>
      <c r="Q26" s="82"/>
      <c r="R26" s="82"/>
      <c r="S26" s="82"/>
      <c r="T26" s="82"/>
      <c r="U26" s="82"/>
    </row>
    <row r="27" spans="1:24" outlineLevel="1" collapsed="1">
      <c r="B27" s="173" t="s">
        <v>287</v>
      </c>
      <c r="C27" s="138"/>
      <c r="D27" s="159">
        <f t="shared" ref="D27:O27" si="0">SUBTOTAL(9,D22:D26)</f>
        <v>474019</v>
      </c>
      <c r="E27" s="159">
        <f t="shared" si="0"/>
        <v>509847</v>
      </c>
      <c r="F27" s="159">
        <f t="shared" si="0"/>
        <v>526939</v>
      </c>
      <c r="G27" s="159">
        <f t="shared" si="0"/>
        <v>534500</v>
      </c>
      <c r="H27" s="159">
        <f t="shared" si="0"/>
        <v>611500</v>
      </c>
      <c r="I27" s="159">
        <f t="shared" si="0"/>
        <v>741200</v>
      </c>
      <c r="J27" s="159">
        <f t="shared" si="0"/>
        <v>834000</v>
      </c>
      <c r="K27" s="159">
        <f t="shared" si="0"/>
        <v>888300</v>
      </c>
      <c r="L27" s="159">
        <f t="shared" si="0"/>
        <v>911700</v>
      </c>
      <c r="M27" s="159">
        <f t="shared" si="0"/>
        <v>923700</v>
      </c>
      <c r="N27" s="159">
        <f t="shared" si="0"/>
        <v>949400</v>
      </c>
      <c r="O27" s="159">
        <f t="shared" si="0"/>
        <v>975200</v>
      </c>
      <c r="P27" s="159">
        <f>SUBTOTAL(9,P22:P26)</f>
        <v>1035300</v>
      </c>
      <c r="Q27" s="82"/>
      <c r="R27" s="82"/>
      <c r="S27" s="82"/>
      <c r="T27" s="82"/>
      <c r="U27" s="82"/>
    </row>
    <row r="28" spans="1:24" s="133" customFormat="1" outlineLevel="1">
      <c r="C28" s="138"/>
      <c r="D28" s="141"/>
      <c r="E28" s="141"/>
      <c r="F28" s="141"/>
      <c r="G28" s="141"/>
      <c r="H28" s="141"/>
      <c r="I28" s="141"/>
      <c r="J28" s="141"/>
      <c r="K28" s="141"/>
      <c r="L28" s="141"/>
      <c r="M28" s="141"/>
      <c r="N28" s="141"/>
      <c r="O28" s="141"/>
      <c r="P28" s="142"/>
      <c r="Q28" s="142"/>
      <c r="R28" s="142"/>
      <c r="S28" s="142"/>
      <c r="T28" s="142"/>
      <c r="U28" s="142"/>
    </row>
    <row r="29" spans="1:24" s="133" customFormat="1" hidden="1" outlineLevel="2">
      <c r="B29" s="133" t="s">
        <v>30</v>
      </c>
      <c r="C29" s="138" t="s">
        <v>30</v>
      </c>
      <c r="D29" s="141">
        <v>407195</v>
      </c>
      <c r="E29" s="141">
        <v>471676</v>
      </c>
      <c r="F29" s="141">
        <v>472888</v>
      </c>
      <c r="G29" s="141">
        <v>468700</v>
      </c>
      <c r="H29" s="141">
        <v>476200</v>
      </c>
      <c r="I29" s="141">
        <v>357800</v>
      </c>
      <c r="J29" s="141">
        <v>326200</v>
      </c>
      <c r="K29" s="141">
        <v>354500</v>
      </c>
      <c r="L29" s="141">
        <v>392800</v>
      </c>
      <c r="M29" s="141">
        <v>471100</v>
      </c>
      <c r="N29" s="141">
        <v>491900</v>
      </c>
      <c r="O29" s="141">
        <v>511900</v>
      </c>
      <c r="P29" s="299">
        <v>558700</v>
      </c>
      <c r="Q29" s="142"/>
      <c r="R29" s="142"/>
      <c r="S29" s="142"/>
      <c r="T29" s="142"/>
      <c r="U29" s="142"/>
    </row>
    <row r="30" spans="1:24" s="133" customFormat="1" outlineLevel="1" collapsed="1">
      <c r="B30" s="106" t="s">
        <v>288</v>
      </c>
      <c r="C30" s="138"/>
      <c r="D30" s="159">
        <f>SUBTOTAL(9,D29:D29)</f>
        <v>407195</v>
      </c>
      <c r="E30" s="159">
        <f t="shared" ref="E30:P30" si="1">SUBTOTAL(9,E29:E29)</f>
        <v>471676</v>
      </c>
      <c r="F30" s="159">
        <f t="shared" si="1"/>
        <v>472888</v>
      </c>
      <c r="G30" s="159">
        <f t="shared" si="1"/>
        <v>468700</v>
      </c>
      <c r="H30" s="159">
        <f t="shared" si="1"/>
        <v>476200</v>
      </c>
      <c r="I30" s="159">
        <f t="shared" si="1"/>
        <v>357800</v>
      </c>
      <c r="J30" s="159">
        <f t="shared" si="1"/>
        <v>326200</v>
      </c>
      <c r="K30" s="159">
        <f t="shared" si="1"/>
        <v>354500</v>
      </c>
      <c r="L30" s="159">
        <f t="shared" si="1"/>
        <v>392800</v>
      </c>
      <c r="M30" s="159">
        <f t="shared" si="1"/>
        <v>471100</v>
      </c>
      <c r="N30" s="159">
        <f t="shared" si="1"/>
        <v>491900</v>
      </c>
      <c r="O30" s="159">
        <f t="shared" si="1"/>
        <v>511900</v>
      </c>
      <c r="P30" s="159">
        <f t="shared" si="1"/>
        <v>558700</v>
      </c>
      <c r="Q30" s="142"/>
      <c r="R30" s="142"/>
      <c r="S30" s="142"/>
      <c r="T30" s="142"/>
      <c r="U30" s="142"/>
    </row>
    <row r="31" spans="1:24" s="133" customFormat="1" outlineLevel="1">
      <c r="C31" s="138"/>
      <c r="D31" s="141"/>
      <c r="E31" s="141"/>
      <c r="F31" s="141"/>
      <c r="G31" s="141"/>
      <c r="H31" s="141"/>
      <c r="I31" s="141"/>
      <c r="J31" s="141"/>
      <c r="K31" s="141"/>
      <c r="L31" s="141"/>
      <c r="M31" s="141"/>
      <c r="N31" s="141"/>
      <c r="O31" s="141"/>
      <c r="P31" s="142"/>
      <c r="Q31" s="142"/>
      <c r="R31" s="142"/>
      <c r="S31" s="142"/>
      <c r="T31" s="142"/>
      <c r="U31" s="142"/>
    </row>
    <row r="32" spans="1:24" s="133" customFormat="1" hidden="1" outlineLevel="2">
      <c r="A32" s="138"/>
      <c r="B32" s="133" t="s">
        <v>256</v>
      </c>
      <c r="C32" s="138" t="s">
        <v>201</v>
      </c>
      <c r="D32" s="141">
        <v>181844</v>
      </c>
      <c r="E32" s="141">
        <v>237668</v>
      </c>
      <c r="F32" s="141">
        <v>250339</v>
      </c>
      <c r="G32" s="141">
        <v>254300</v>
      </c>
      <c r="H32" s="141">
        <v>284500</v>
      </c>
      <c r="I32" s="141">
        <v>412000</v>
      </c>
      <c r="J32" s="141">
        <v>314700</v>
      </c>
      <c r="K32" s="141">
        <v>303000</v>
      </c>
      <c r="L32" s="141">
        <v>318300</v>
      </c>
      <c r="M32" s="141">
        <v>334700</v>
      </c>
      <c r="N32" s="141">
        <v>418300</v>
      </c>
      <c r="O32" s="141">
        <v>397300</v>
      </c>
      <c r="P32" s="123">
        <v>392500</v>
      </c>
      <c r="Q32" s="131"/>
      <c r="R32" s="131"/>
      <c r="U32" s="156"/>
      <c r="X32" s="131"/>
    </row>
    <row r="33" spans="1:22" s="133" customFormat="1" hidden="1" outlineLevel="2">
      <c r="A33" s="138"/>
      <c r="B33" s="133" t="s">
        <v>256</v>
      </c>
      <c r="C33" s="138" t="s">
        <v>341</v>
      </c>
      <c r="D33" s="141">
        <v>36516</v>
      </c>
      <c r="E33" s="141">
        <v>49349</v>
      </c>
      <c r="F33" s="141">
        <v>50033</v>
      </c>
      <c r="G33" s="141">
        <v>38100</v>
      </c>
      <c r="H33" s="141">
        <v>42600</v>
      </c>
      <c r="I33" s="141">
        <v>48400</v>
      </c>
      <c r="J33" s="141">
        <v>53200</v>
      </c>
      <c r="K33" s="141">
        <v>52600</v>
      </c>
      <c r="L33" s="141">
        <v>56500</v>
      </c>
      <c r="M33" s="141">
        <v>57700</v>
      </c>
      <c r="N33" s="141">
        <v>75600</v>
      </c>
      <c r="O33" s="141">
        <v>72700</v>
      </c>
      <c r="P33" s="123">
        <v>72500</v>
      </c>
      <c r="Q33" s="131"/>
      <c r="S33" s="131"/>
      <c r="U33" s="156"/>
    </row>
    <row r="34" spans="1:22" s="133" customFormat="1" hidden="1" outlineLevel="2">
      <c r="A34" s="138"/>
      <c r="B34" s="133" t="s">
        <v>256</v>
      </c>
      <c r="C34" s="138" t="s">
        <v>359</v>
      </c>
      <c r="D34" s="141">
        <v>71337</v>
      </c>
      <c r="E34" s="141">
        <v>16381</v>
      </c>
      <c r="F34" s="141">
        <v>27851</v>
      </c>
      <c r="G34" s="141">
        <v>30900</v>
      </c>
      <c r="H34" s="141">
        <v>13200</v>
      </c>
      <c r="I34" s="141">
        <v>175400</v>
      </c>
      <c r="J34" s="141">
        <v>91900</v>
      </c>
      <c r="K34" s="141">
        <v>27500</v>
      </c>
      <c r="L34" s="141">
        <v>99400</v>
      </c>
      <c r="M34" s="141">
        <v>-4600</v>
      </c>
      <c r="N34" s="141">
        <v>6600</v>
      </c>
      <c r="O34" s="141">
        <v>17600</v>
      </c>
      <c r="P34" s="123">
        <v>6200</v>
      </c>
      <c r="Q34" s="131"/>
      <c r="S34" s="131"/>
      <c r="U34" s="156"/>
    </row>
    <row r="35" spans="1:22" s="133" customFormat="1" hidden="1" outlineLevel="2">
      <c r="A35" s="138"/>
      <c r="B35" s="133" t="s">
        <v>256</v>
      </c>
      <c r="C35" s="138" t="s">
        <v>361</v>
      </c>
      <c r="D35" s="141"/>
      <c r="E35" s="141">
        <v>97641</v>
      </c>
      <c r="F35" s="141">
        <v>80158</v>
      </c>
      <c r="G35" s="141">
        <v>79900</v>
      </c>
      <c r="H35" s="141">
        <v>83400</v>
      </c>
      <c r="I35" s="141">
        <v>32600</v>
      </c>
      <c r="J35" s="141">
        <v>29900</v>
      </c>
      <c r="K35" s="141">
        <v>95700</v>
      </c>
      <c r="L35" s="141">
        <v>107900</v>
      </c>
      <c r="M35" s="141">
        <v>94100</v>
      </c>
      <c r="N35" s="141">
        <v>111900</v>
      </c>
      <c r="O35" s="141">
        <v>119000</v>
      </c>
      <c r="P35" s="123">
        <v>102600</v>
      </c>
      <c r="Q35" s="131"/>
      <c r="S35" s="131"/>
      <c r="U35" s="156"/>
    </row>
    <row r="36" spans="1:22" s="133" customFormat="1" outlineLevel="1" collapsed="1">
      <c r="A36" s="138"/>
      <c r="B36" s="106" t="s">
        <v>289</v>
      </c>
      <c r="C36" s="138"/>
      <c r="D36" s="159">
        <f>SUBTOTAL(9,D32:D35)</f>
        <v>289697</v>
      </c>
      <c r="E36" s="159">
        <f>SUBTOTAL(9,E32:E35)</f>
        <v>401039</v>
      </c>
      <c r="F36" s="159">
        <f>SUBTOTAL(9,F32:F35)</f>
        <v>408381</v>
      </c>
      <c r="G36" s="159">
        <f>SUBTOTAL(9,G32:G35)</f>
        <v>403200</v>
      </c>
      <c r="H36" s="159">
        <f>SUBTOTAL(9,H32:H35)</f>
        <v>423700</v>
      </c>
      <c r="I36" s="159">
        <f t="shared" ref="I36:P36" si="2">SUBTOTAL(9,I32:I35)</f>
        <v>668400</v>
      </c>
      <c r="J36" s="159">
        <f t="shared" si="2"/>
        <v>489700</v>
      </c>
      <c r="K36" s="159">
        <f t="shared" si="2"/>
        <v>478800</v>
      </c>
      <c r="L36" s="159">
        <f t="shared" si="2"/>
        <v>582100</v>
      </c>
      <c r="M36" s="159">
        <f t="shared" si="2"/>
        <v>481900</v>
      </c>
      <c r="N36" s="159">
        <f t="shared" si="2"/>
        <v>612400</v>
      </c>
      <c r="O36" s="159">
        <f t="shared" si="2"/>
        <v>606600</v>
      </c>
      <c r="P36" s="159">
        <f t="shared" si="2"/>
        <v>573800</v>
      </c>
      <c r="Q36" s="131"/>
      <c r="S36" s="131"/>
      <c r="U36" s="156"/>
    </row>
    <row r="37" spans="1:22" outlineLevel="1">
      <c r="C37" s="138"/>
      <c r="D37" s="141"/>
      <c r="E37" s="141"/>
      <c r="F37" s="141"/>
      <c r="G37" s="141"/>
      <c r="H37" s="141"/>
      <c r="I37" s="141"/>
      <c r="J37" s="141"/>
      <c r="K37" s="141"/>
      <c r="L37" s="141"/>
      <c r="M37" s="141"/>
      <c r="N37" s="141"/>
      <c r="O37" s="141"/>
      <c r="R37" s="126"/>
      <c r="U37" s="156"/>
      <c r="V37" s="133"/>
    </row>
    <row r="38" spans="1:22" s="30" customFormat="1" hidden="1" outlineLevel="2">
      <c r="B38" s="90" t="s">
        <v>172</v>
      </c>
      <c r="C38" s="157" t="s">
        <v>172</v>
      </c>
      <c r="D38" s="141">
        <v>0</v>
      </c>
      <c r="E38" s="141">
        <v>0</v>
      </c>
      <c r="F38" s="141">
        <v>0</v>
      </c>
      <c r="G38" s="141">
        <v>0</v>
      </c>
      <c r="H38" s="141">
        <v>0</v>
      </c>
      <c r="I38" s="141">
        <v>0</v>
      </c>
      <c r="J38" s="141">
        <v>0</v>
      </c>
      <c r="K38" s="141">
        <v>0</v>
      </c>
      <c r="L38" s="141">
        <v>0</v>
      </c>
      <c r="M38" s="141">
        <v>0</v>
      </c>
      <c r="N38" s="141">
        <v>0</v>
      </c>
      <c r="O38" s="141">
        <v>0</v>
      </c>
      <c r="P38" s="358">
        <v>0</v>
      </c>
      <c r="Q38" s="123"/>
    </row>
    <row r="39" spans="1:22" s="30" customFormat="1" outlineLevel="1" collapsed="1">
      <c r="B39" s="30" t="s">
        <v>290</v>
      </c>
      <c r="C39" s="157"/>
      <c r="D39" s="159">
        <f t="shared" ref="D39:O39" si="3">SUBTOTAL(9,D38:D38)</f>
        <v>0</v>
      </c>
      <c r="E39" s="159">
        <f t="shared" si="3"/>
        <v>0</v>
      </c>
      <c r="F39" s="159">
        <f t="shared" si="3"/>
        <v>0</v>
      </c>
      <c r="G39" s="159">
        <f t="shared" si="3"/>
        <v>0</v>
      </c>
      <c r="H39" s="159">
        <f t="shared" si="3"/>
        <v>0</v>
      </c>
      <c r="I39" s="159">
        <f t="shared" si="3"/>
        <v>0</v>
      </c>
      <c r="J39" s="159">
        <f t="shared" si="3"/>
        <v>0</v>
      </c>
      <c r="K39" s="159">
        <f t="shared" si="3"/>
        <v>0</v>
      </c>
      <c r="L39" s="159">
        <f t="shared" si="3"/>
        <v>0</v>
      </c>
      <c r="M39" s="159">
        <f t="shared" si="3"/>
        <v>0</v>
      </c>
      <c r="N39" s="159">
        <f t="shared" si="3"/>
        <v>0</v>
      </c>
      <c r="O39" s="159">
        <f t="shared" si="3"/>
        <v>0</v>
      </c>
      <c r="P39" s="159">
        <f t="shared" ref="P39" si="4">SUBTOTAL(9,P38:P38)</f>
        <v>0</v>
      </c>
      <c r="Q39" s="123"/>
    </row>
    <row r="40" spans="1:22" s="106" customFormat="1" outlineLevel="1">
      <c r="C40" s="186"/>
      <c r="D40" s="141"/>
      <c r="E40" s="141"/>
      <c r="F40" s="141"/>
      <c r="G40" s="141"/>
      <c r="H40" s="141"/>
      <c r="I40" s="141"/>
      <c r="J40" s="141"/>
      <c r="K40" s="141"/>
      <c r="L40" s="141"/>
      <c r="M40" s="141"/>
      <c r="N40" s="141"/>
      <c r="O40" s="141"/>
      <c r="P40" s="141"/>
      <c r="Q40" s="125"/>
    </row>
    <row r="41" spans="1:22" s="30" customFormat="1">
      <c r="B41" s="30" t="s">
        <v>286</v>
      </c>
      <c r="C41" s="157"/>
      <c r="D41" s="159">
        <f>SUBTOTAL(9,D22:D39)</f>
        <v>1170911</v>
      </c>
      <c r="E41" s="159">
        <f t="shared" ref="E41:O41" si="5">SUBTOTAL(9,E22:E39)</f>
        <v>1382562</v>
      </c>
      <c r="F41" s="159">
        <f t="shared" si="5"/>
        <v>1408208</v>
      </c>
      <c r="G41" s="159">
        <f t="shared" si="5"/>
        <v>1406400</v>
      </c>
      <c r="H41" s="159">
        <f t="shared" si="5"/>
        <v>1511400</v>
      </c>
      <c r="I41" s="159">
        <f t="shared" si="5"/>
        <v>1767400</v>
      </c>
      <c r="J41" s="159">
        <f t="shared" si="5"/>
        <v>1649900</v>
      </c>
      <c r="K41" s="159">
        <f t="shared" si="5"/>
        <v>1721600</v>
      </c>
      <c r="L41" s="159">
        <f t="shared" si="5"/>
        <v>1886600</v>
      </c>
      <c r="M41" s="159">
        <f t="shared" si="5"/>
        <v>1876700</v>
      </c>
      <c r="N41" s="159">
        <f t="shared" si="5"/>
        <v>2053700</v>
      </c>
      <c r="O41" s="159">
        <f t="shared" si="5"/>
        <v>2093700</v>
      </c>
      <c r="P41" s="159">
        <f>SUBTOTAL(9,P22:P39)</f>
        <v>2167800</v>
      </c>
      <c r="Q41" s="123"/>
    </row>
    <row r="42" spans="1:22" s="30" customFormat="1">
      <c r="B42" s="138"/>
      <c r="C42" s="138"/>
      <c r="D42" s="141"/>
      <c r="E42" s="141"/>
      <c r="F42" s="141"/>
      <c r="G42" s="141"/>
      <c r="H42" s="141"/>
      <c r="I42" s="141"/>
      <c r="J42" s="141"/>
      <c r="K42" s="141"/>
      <c r="L42" s="141"/>
      <c r="M42" s="141"/>
      <c r="N42" s="141"/>
      <c r="O42" s="141"/>
      <c r="P42" s="141"/>
      <c r="Q42" s="123"/>
    </row>
    <row r="43" spans="1:22" s="106" customFormat="1">
      <c r="B43" s="138" t="s">
        <v>1123</v>
      </c>
      <c r="C43" s="138"/>
      <c r="D43" s="159">
        <f t="shared" ref="D43:O43" si="6">D45-D36-D30-D27</f>
        <v>0</v>
      </c>
      <c r="E43" s="159">
        <f t="shared" si="6"/>
        <v>450</v>
      </c>
      <c r="F43" s="159">
        <f t="shared" si="6"/>
        <v>0</v>
      </c>
      <c r="G43" s="159">
        <f t="shared" si="6"/>
        <v>0</v>
      </c>
      <c r="H43" s="159">
        <f t="shared" si="6"/>
        <v>0</v>
      </c>
      <c r="I43" s="159">
        <f t="shared" si="6"/>
        <v>0</v>
      </c>
      <c r="J43" s="159">
        <f t="shared" si="6"/>
        <v>0</v>
      </c>
      <c r="K43" s="159">
        <f t="shared" si="6"/>
        <v>0</v>
      </c>
      <c r="L43" s="159">
        <f t="shared" si="6"/>
        <v>0</v>
      </c>
      <c r="M43" s="159">
        <f t="shared" si="6"/>
        <v>0</v>
      </c>
      <c r="N43" s="159">
        <f t="shared" si="6"/>
        <v>0</v>
      </c>
      <c r="O43" s="159">
        <f t="shared" si="6"/>
        <v>0</v>
      </c>
      <c r="P43" s="159">
        <f t="shared" ref="P43" si="7">P45-P36-P30-P27</f>
        <v>0</v>
      </c>
    </row>
    <row r="44" spans="1:22" s="106" customFormat="1">
      <c r="B44" s="138"/>
      <c r="C44" s="138"/>
      <c r="D44" s="141"/>
      <c r="E44" s="141"/>
      <c r="F44" s="141"/>
      <c r="G44" s="141"/>
      <c r="H44" s="141"/>
      <c r="I44" s="141"/>
      <c r="J44" s="141"/>
      <c r="K44" s="141"/>
      <c r="L44" s="141"/>
      <c r="M44" s="141"/>
      <c r="N44" s="141"/>
      <c r="O44" s="141"/>
      <c r="P44" s="125"/>
    </row>
    <row r="45" spans="1:22" s="106" customFormat="1">
      <c r="B45" s="138" t="s">
        <v>1316</v>
      </c>
      <c r="C45" s="138"/>
      <c r="D45" s="141">
        <f>289697+474019+407195</f>
        <v>1170911</v>
      </c>
      <c r="E45" s="141">
        <f>401489+509847+471676</f>
        <v>1383012</v>
      </c>
      <c r="F45" s="141">
        <f>408381+526939+472888</f>
        <v>1408208</v>
      </c>
      <c r="G45" s="141">
        <f>403200+534500+468700</f>
        <v>1406400</v>
      </c>
      <c r="H45" s="141">
        <f>423700+611500+476200</f>
        <v>1511400</v>
      </c>
      <c r="I45" s="141">
        <f>668400+741200+357800</f>
        <v>1767400</v>
      </c>
      <c r="J45" s="141">
        <f>489700+834000+326200</f>
        <v>1649900</v>
      </c>
      <c r="K45" s="141">
        <f>478800+888300+354500</f>
        <v>1721600</v>
      </c>
      <c r="L45" s="141">
        <f>582100+911700+392800</f>
        <v>1886600</v>
      </c>
      <c r="M45" s="141">
        <f>481900+923700+471100</f>
        <v>1876700</v>
      </c>
      <c r="N45" s="141">
        <f>612400+949400+491900</f>
        <v>2053700</v>
      </c>
      <c r="O45" s="141">
        <f>606600+975200+511900</f>
        <v>2093700</v>
      </c>
      <c r="P45" s="125">
        <f>573800+1035300+558700</f>
        <v>2167800</v>
      </c>
      <c r="Q45" s="125"/>
      <c r="R45" s="125"/>
      <c r="S45" s="125"/>
      <c r="T45" s="131"/>
      <c r="U45" s="132"/>
    </row>
    <row r="46" spans="1:22" s="30" customFormat="1">
      <c r="B46" s="138"/>
      <c r="C46" s="133"/>
      <c r="D46" s="141"/>
      <c r="E46" s="141"/>
      <c r="F46" s="141"/>
      <c r="G46" s="141"/>
      <c r="H46" s="141"/>
      <c r="I46" s="141"/>
      <c r="J46" s="141"/>
      <c r="K46" s="141"/>
      <c r="L46" s="141"/>
      <c r="M46" s="141"/>
      <c r="N46" s="141"/>
      <c r="O46" s="141"/>
      <c r="P46" s="123"/>
      <c r="Q46" s="124"/>
      <c r="R46" s="79"/>
    </row>
    <row r="47" spans="1:22" s="122" customFormat="1">
      <c r="B47" s="138" t="s">
        <v>1317</v>
      </c>
      <c r="C47" s="138"/>
      <c r="D47" s="97">
        <f t="shared" ref="D47:P47" si="8">D45+D38</f>
        <v>1170911</v>
      </c>
      <c r="E47" s="97">
        <f t="shared" si="8"/>
        <v>1383012</v>
      </c>
      <c r="F47" s="97">
        <f t="shared" si="8"/>
        <v>1408208</v>
      </c>
      <c r="G47" s="97">
        <f t="shared" si="8"/>
        <v>1406400</v>
      </c>
      <c r="H47" s="97">
        <f t="shared" si="8"/>
        <v>1511400</v>
      </c>
      <c r="I47" s="97">
        <f t="shared" si="8"/>
        <v>1767400</v>
      </c>
      <c r="J47" s="97">
        <f t="shared" si="8"/>
        <v>1649900</v>
      </c>
      <c r="K47" s="97">
        <f>K45+K38</f>
        <v>1721600</v>
      </c>
      <c r="L47" s="97">
        <f>L45+L38</f>
        <v>1886600</v>
      </c>
      <c r="M47" s="97">
        <f>M45+M38</f>
        <v>1876700</v>
      </c>
      <c r="N47" s="97">
        <f>N45+N38</f>
        <v>2053700</v>
      </c>
      <c r="O47" s="97">
        <f t="shared" si="8"/>
        <v>2093700</v>
      </c>
      <c r="P47" s="97">
        <f t="shared" si="8"/>
        <v>2167800</v>
      </c>
      <c r="Q47" s="128"/>
      <c r="R47" s="128"/>
      <c r="S47" s="128"/>
      <c r="T47" s="129"/>
      <c r="U47" s="130"/>
    </row>
    <row r="48" spans="1:22" s="122" customFormat="1">
      <c r="B48" s="168"/>
      <c r="C48" s="168"/>
      <c r="D48" s="185"/>
      <c r="E48" s="185"/>
      <c r="F48" s="185"/>
      <c r="G48" s="185"/>
      <c r="H48" s="185"/>
      <c r="I48" s="185"/>
      <c r="J48" s="185"/>
      <c r="K48" s="185"/>
      <c r="L48" s="185"/>
      <c r="M48" s="185"/>
      <c r="N48" s="185"/>
      <c r="O48" s="185"/>
      <c r="P48" s="128"/>
      <c r="Q48" s="128"/>
      <c r="R48" s="128"/>
      <c r="S48" s="128"/>
      <c r="T48" s="129"/>
      <c r="U48" s="130"/>
    </row>
    <row r="49" spans="1:21" s="122" customFormat="1">
      <c r="B49" s="168" t="s">
        <v>1146</v>
      </c>
      <c r="C49" s="168"/>
      <c r="D49" s="95">
        <f>D41*Parameters!C21</f>
        <v>9162.5771692045328</v>
      </c>
      <c r="E49" s="95">
        <f>E41*Parameters!D21</f>
        <v>11359.226336220336</v>
      </c>
      <c r="F49" s="95">
        <f>F41*Parameters!E21</f>
        <v>7999.2598661729817</v>
      </c>
      <c r="G49" s="95">
        <f>G41*Parameters!F21</f>
        <v>3753.4797796717176</v>
      </c>
      <c r="H49" s="95">
        <f>H41*Parameters!G21</f>
        <v>4129.0693410863032</v>
      </c>
      <c r="I49" s="95">
        <f>I41*Parameters!H21</f>
        <v>8200.8502376831311</v>
      </c>
      <c r="J49" s="95">
        <f>J41*Parameters!I21</f>
        <v>18552.785578943927</v>
      </c>
      <c r="K49" s="95">
        <f>K41*Parameters!J21</f>
        <v>29785.994096742234</v>
      </c>
      <c r="L49" s="95">
        <f>L41*Parameters!K21</f>
        <v>37396.615289583402</v>
      </c>
      <c r="M49" s="95">
        <f>M41*Parameters!L21</f>
        <v>58081.741995143777</v>
      </c>
      <c r="N49" s="95">
        <f>N41*Parameters!M21</f>
        <v>75340.678965112951</v>
      </c>
      <c r="O49" s="95">
        <f>O41*Parameters!N21</f>
        <v>65039.753651682775</v>
      </c>
      <c r="P49" s="95">
        <f>P41*Parameters!O21</f>
        <v>99370.227282631589</v>
      </c>
      <c r="Q49" s="128"/>
      <c r="R49" s="128"/>
      <c r="S49" s="128"/>
      <c r="T49" s="129"/>
      <c r="U49" s="130"/>
    </row>
    <row r="50" spans="1:21" s="122" customFormat="1">
      <c r="B50" s="168"/>
      <c r="C50" s="168"/>
      <c r="D50" s="185"/>
      <c r="E50" s="185"/>
      <c r="F50" s="185"/>
      <c r="G50" s="185"/>
      <c r="H50" s="185"/>
      <c r="I50" s="185"/>
      <c r="J50" s="185"/>
      <c r="K50" s="185"/>
      <c r="L50" s="185"/>
      <c r="M50" s="185"/>
      <c r="N50" s="185"/>
      <c r="O50" s="185"/>
      <c r="P50" s="128"/>
      <c r="Q50" s="128"/>
      <c r="R50" s="128"/>
      <c r="S50" s="128"/>
      <c r="T50" s="129"/>
      <c r="U50" s="130"/>
    </row>
    <row r="51" spans="1:21" s="133" customFormat="1">
      <c r="A51" s="134"/>
      <c r="B51" s="138" t="s">
        <v>1131</v>
      </c>
      <c r="C51" s="138"/>
      <c r="D51" s="159">
        <f>D45-D30-D49</f>
        <v>754553.42283079552</v>
      </c>
      <c r="E51" s="159">
        <f t="shared" ref="E51:O51" si="9">E45-E30-E49</f>
        <v>899976.77366377972</v>
      </c>
      <c r="F51" s="159">
        <f t="shared" si="9"/>
        <v>927320.74013382697</v>
      </c>
      <c r="G51" s="159">
        <f t="shared" si="9"/>
        <v>933946.52022032824</v>
      </c>
      <c r="H51" s="159">
        <f t="shared" si="9"/>
        <v>1031070.9306589137</v>
      </c>
      <c r="I51" s="159">
        <f t="shared" si="9"/>
        <v>1401399.1497623168</v>
      </c>
      <c r="J51" s="159">
        <f t="shared" si="9"/>
        <v>1305147.214421056</v>
      </c>
      <c r="K51" s="159">
        <f t="shared" si="9"/>
        <v>1337314.0059032578</v>
      </c>
      <c r="L51" s="159">
        <f t="shared" si="9"/>
        <v>1456403.3847104167</v>
      </c>
      <c r="M51" s="159">
        <f t="shared" si="9"/>
        <v>1347518.2580048563</v>
      </c>
      <c r="N51" s="159">
        <f t="shared" si="9"/>
        <v>1486459.3210348871</v>
      </c>
      <c r="O51" s="159">
        <f t="shared" si="9"/>
        <v>1516760.2463483172</v>
      </c>
      <c r="P51" s="159">
        <f>P45-P30-P49</f>
        <v>1509729.7727173683</v>
      </c>
    </row>
    <row r="52" spans="1:21" s="122" customFormat="1">
      <c r="B52" s="168"/>
      <c r="C52" s="168"/>
      <c r="D52" s="185"/>
      <c r="E52" s="185"/>
      <c r="F52" s="185"/>
      <c r="G52" s="185"/>
      <c r="H52" s="185"/>
      <c r="I52" s="185"/>
      <c r="J52" s="185"/>
      <c r="K52" s="185"/>
      <c r="L52" s="185"/>
      <c r="M52" s="185"/>
      <c r="N52" s="185"/>
      <c r="O52" s="185"/>
      <c r="P52" s="128"/>
      <c r="Q52" s="128"/>
      <c r="R52" s="128"/>
      <c r="S52" s="128"/>
      <c r="T52" s="129"/>
      <c r="U52" s="130"/>
    </row>
    <row r="53" spans="1:21" s="133" customFormat="1">
      <c r="B53" s="138" t="s">
        <v>292</v>
      </c>
      <c r="C53" s="138"/>
      <c r="D53" s="141">
        <v>1877242</v>
      </c>
      <c r="E53" s="141">
        <v>2041044</v>
      </c>
      <c r="F53" s="141">
        <v>2145339</v>
      </c>
      <c r="G53" s="141">
        <v>2213500</v>
      </c>
      <c r="H53" s="141">
        <v>2485300</v>
      </c>
      <c r="I53" s="141">
        <v>2738400</v>
      </c>
      <c r="J53" s="141">
        <v>2883800</v>
      </c>
      <c r="K53" s="141">
        <v>2924600</v>
      </c>
      <c r="L53" s="141">
        <v>3113500</v>
      </c>
      <c r="M53" s="141">
        <v>2922800</v>
      </c>
      <c r="N53" s="141">
        <v>3238700</v>
      </c>
      <c r="O53" s="141">
        <f>3343800</f>
        <v>3343800</v>
      </c>
      <c r="P53" s="123">
        <v>3515800</v>
      </c>
    </row>
    <row r="54" spans="1:21" s="133" customFormat="1">
      <c r="B54" s="138"/>
      <c r="C54" s="138"/>
      <c r="D54" s="141"/>
      <c r="E54" s="141"/>
      <c r="F54" s="141"/>
      <c r="G54" s="141"/>
      <c r="H54" s="141"/>
      <c r="I54" s="141"/>
      <c r="J54" s="141"/>
      <c r="K54" s="141"/>
      <c r="L54" s="141"/>
      <c r="M54" s="141"/>
      <c r="N54" s="141"/>
      <c r="O54" s="141"/>
      <c r="P54" s="123"/>
      <c r="Q54" s="131"/>
    </row>
    <row r="55" spans="1:21" s="133" customFormat="1">
      <c r="B55" s="138" t="s">
        <v>1318</v>
      </c>
      <c r="C55" s="138"/>
      <c r="D55" s="159">
        <f t="shared" ref="D55:O55" si="10">D53-D45</f>
        <v>706331</v>
      </c>
      <c r="E55" s="159">
        <f t="shared" si="10"/>
        <v>658032</v>
      </c>
      <c r="F55" s="159">
        <f t="shared" si="10"/>
        <v>737131</v>
      </c>
      <c r="G55" s="159">
        <f t="shared" si="10"/>
        <v>807100</v>
      </c>
      <c r="H55" s="159">
        <f t="shared" si="10"/>
        <v>973900</v>
      </c>
      <c r="I55" s="159">
        <f t="shared" si="10"/>
        <v>971000</v>
      </c>
      <c r="J55" s="159">
        <f t="shared" si="10"/>
        <v>1233900</v>
      </c>
      <c r="K55" s="159">
        <f t="shared" si="10"/>
        <v>1203000</v>
      </c>
      <c r="L55" s="159">
        <f t="shared" si="10"/>
        <v>1226900</v>
      </c>
      <c r="M55" s="159">
        <f t="shared" si="10"/>
        <v>1046100</v>
      </c>
      <c r="N55" s="159">
        <f t="shared" si="10"/>
        <v>1185000</v>
      </c>
      <c r="O55" s="159">
        <f t="shared" si="10"/>
        <v>1250100</v>
      </c>
      <c r="P55" s="159">
        <f t="shared" ref="P55" si="11">P53-P45</f>
        <v>1348000</v>
      </c>
      <c r="Q55" s="143"/>
    </row>
    <row r="56" spans="1:21" s="179" customFormat="1">
      <c r="B56" s="176"/>
      <c r="C56" s="176"/>
      <c r="D56" s="175"/>
      <c r="E56" s="175"/>
      <c r="F56" s="175"/>
      <c r="G56" s="175"/>
      <c r="H56" s="175"/>
      <c r="I56" s="175"/>
      <c r="J56" s="175"/>
      <c r="K56" s="175"/>
      <c r="L56" s="175"/>
      <c r="M56" s="175"/>
      <c r="N56" s="175"/>
      <c r="O56" s="175"/>
      <c r="P56" s="175"/>
      <c r="Q56" s="184"/>
    </row>
    <row r="57" spans="1:21">
      <c r="B57" s="138" t="s">
        <v>253</v>
      </c>
      <c r="C57" s="138"/>
      <c r="D57" s="162">
        <f t="shared" ref="D57:O57" si="12">D55/D53</f>
        <v>0.37625996009038792</v>
      </c>
      <c r="E57" s="162">
        <f t="shared" si="12"/>
        <v>0.32239971308800791</v>
      </c>
      <c r="F57" s="162">
        <f t="shared" si="12"/>
        <v>0.34359651318509571</v>
      </c>
      <c r="G57" s="162">
        <f t="shared" si="12"/>
        <v>0.36462615766885026</v>
      </c>
      <c r="H57" s="162">
        <f t="shared" si="12"/>
        <v>0.39186416126825735</v>
      </c>
      <c r="I57" s="162">
        <f t="shared" si="12"/>
        <v>0.35458661992404322</v>
      </c>
      <c r="J57" s="162">
        <f t="shared" si="12"/>
        <v>0.42787294541923848</v>
      </c>
      <c r="K57" s="162">
        <f t="shared" si="12"/>
        <v>0.41133830267386995</v>
      </c>
      <c r="L57" s="162">
        <f t="shared" si="12"/>
        <v>0.39405813393287298</v>
      </c>
      <c r="M57" s="162">
        <f t="shared" si="12"/>
        <v>0.35791022307376491</v>
      </c>
      <c r="N57" s="162">
        <f t="shared" si="12"/>
        <v>0.36588754747275143</v>
      </c>
      <c r="O57" s="162">
        <f t="shared" si="12"/>
        <v>0.37385609187152341</v>
      </c>
      <c r="P57" s="162">
        <f t="shared" ref="P57" si="13">P55/P53</f>
        <v>0.38341202571249788</v>
      </c>
      <c r="Q57" s="144"/>
    </row>
    <row r="58" spans="1:21">
      <c r="B58" s="154"/>
      <c r="C58" s="154"/>
      <c r="D58" s="141"/>
      <c r="E58" s="141"/>
      <c r="F58" s="141"/>
      <c r="G58" s="141"/>
      <c r="H58" s="141"/>
      <c r="I58" s="141"/>
      <c r="J58" s="141"/>
      <c r="K58" s="141"/>
      <c r="L58" s="141"/>
      <c r="M58" s="141"/>
      <c r="N58" s="141"/>
      <c r="O58" s="141"/>
      <c r="P58" s="127"/>
      <c r="Q58" s="127"/>
      <c r="R58" s="127"/>
    </row>
    <row r="59" spans="1:21">
      <c r="B59" s="90" t="s">
        <v>228</v>
      </c>
      <c r="D59" s="195">
        <v>18400000</v>
      </c>
      <c r="E59" s="195">
        <v>18100000</v>
      </c>
      <c r="F59" s="195">
        <v>18300000</v>
      </c>
      <c r="G59" s="195">
        <v>17700000</v>
      </c>
      <c r="H59" s="195">
        <v>19000000</v>
      </c>
      <c r="I59" s="195">
        <v>20000000</v>
      </c>
      <c r="J59" s="195">
        <v>20900000</v>
      </c>
      <c r="K59" s="195">
        <v>21400000</v>
      </c>
      <c r="L59" s="195">
        <v>21500000</v>
      </c>
      <c r="M59" s="195">
        <v>19700000</v>
      </c>
      <c r="N59" s="195">
        <v>21500000</v>
      </c>
      <c r="O59" s="195">
        <v>22700000</v>
      </c>
      <c r="P59" s="126">
        <v>23300000</v>
      </c>
      <c r="Q59" s="90"/>
    </row>
    <row r="60" spans="1:21">
      <c r="B60" s="90" t="s">
        <v>264</v>
      </c>
      <c r="D60" s="195"/>
      <c r="E60" s="195"/>
      <c r="F60" s="195"/>
      <c r="G60" s="195"/>
      <c r="H60" s="195"/>
      <c r="I60" s="195"/>
      <c r="J60" s="195"/>
      <c r="K60" s="195"/>
      <c r="L60" s="195"/>
      <c r="M60" s="195"/>
      <c r="N60" s="195"/>
      <c r="O60" s="195"/>
      <c r="P60" s="126"/>
      <c r="Q60" s="90"/>
    </row>
    <row r="61" spans="1:21">
      <c r="B61" s="111" t="s">
        <v>210</v>
      </c>
      <c r="C61" s="111"/>
      <c r="D61" s="141">
        <v>1399</v>
      </c>
      <c r="E61" s="141">
        <v>1307</v>
      </c>
      <c r="F61" s="141">
        <v>1347</v>
      </c>
      <c r="G61" s="141">
        <v>850</v>
      </c>
      <c r="H61" s="141">
        <v>985</v>
      </c>
      <c r="I61" s="141">
        <v>1132</v>
      </c>
      <c r="J61" s="141">
        <v>1226</v>
      </c>
      <c r="K61" s="141">
        <v>1842</v>
      </c>
      <c r="L61" s="141">
        <v>1956</v>
      </c>
      <c r="M61" s="141">
        <v>1898</v>
      </c>
      <c r="N61" s="141">
        <v>1930</v>
      </c>
      <c r="O61" s="141">
        <v>2037</v>
      </c>
      <c r="P61" s="126">
        <v>2073</v>
      </c>
      <c r="Q61" s="90"/>
    </row>
    <row r="62" spans="1:21">
      <c r="B62" s="154"/>
      <c r="C62" s="154"/>
      <c r="D62" s="141"/>
      <c r="E62" s="141"/>
      <c r="F62" s="141"/>
      <c r="G62" s="141"/>
      <c r="H62" s="141"/>
      <c r="I62" s="141"/>
      <c r="J62" s="141"/>
      <c r="K62" s="141"/>
      <c r="L62" s="141"/>
      <c r="M62" s="141"/>
      <c r="N62" s="141"/>
      <c r="O62" s="141"/>
      <c r="P62" s="127"/>
      <c r="Q62" s="127"/>
      <c r="R62" s="127"/>
    </row>
    <row r="63" spans="1:21">
      <c r="B63" s="153" t="s">
        <v>373</v>
      </c>
      <c r="C63" s="94"/>
      <c r="D63" s="94"/>
      <c r="E63" s="94"/>
      <c r="F63" s="94"/>
      <c r="G63" s="94"/>
      <c r="H63" s="94"/>
      <c r="I63" s="94"/>
      <c r="J63" s="94"/>
      <c r="K63" s="94"/>
      <c r="L63" s="94"/>
      <c r="M63" s="94"/>
      <c r="N63" s="94"/>
      <c r="O63" s="94"/>
      <c r="P63" s="94"/>
      <c r="Q63" s="90"/>
    </row>
    <row r="64" spans="1:21">
      <c r="B64" s="136"/>
      <c r="C64" s="136"/>
      <c r="D64" s="136"/>
      <c r="E64" s="136"/>
      <c r="F64" s="136"/>
      <c r="G64" s="136"/>
      <c r="H64" s="136"/>
      <c r="I64" s="136"/>
      <c r="J64" s="136"/>
      <c r="K64" s="136"/>
      <c r="L64" s="136"/>
      <c r="M64" s="136"/>
      <c r="N64" s="136"/>
      <c r="O64" s="136"/>
      <c r="P64" s="200"/>
      <c r="Q64" s="90"/>
    </row>
    <row r="65" spans="2:17">
      <c r="B65" s="90" t="s">
        <v>1127</v>
      </c>
      <c r="C65" s="136"/>
      <c r="D65" s="345">
        <f t="shared" ref="D65:O65" si="14">(D47/D59)*1000</f>
        <v>63.63646739130435</v>
      </c>
      <c r="E65" s="345">
        <f t="shared" si="14"/>
        <v>76.409502762430947</v>
      </c>
      <c r="F65" s="345">
        <f t="shared" si="14"/>
        <v>76.951256830601096</v>
      </c>
      <c r="G65" s="345">
        <f t="shared" si="14"/>
        <v>79.457627118644069</v>
      </c>
      <c r="H65" s="345">
        <f t="shared" si="14"/>
        <v>79.547368421052624</v>
      </c>
      <c r="I65" s="345">
        <f t="shared" si="14"/>
        <v>88.37</v>
      </c>
      <c r="J65" s="345">
        <f t="shared" si="14"/>
        <v>78.942583732057415</v>
      </c>
      <c r="K65" s="345">
        <f t="shared" si="14"/>
        <v>80.44859813084112</v>
      </c>
      <c r="L65" s="345">
        <f t="shared" si="14"/>
        <v>87.748837209302323</v>
      </c>
      <c r="M65" s="345">
        <f t="shared" si="14"/>
        <v>95.263959390862951</v>
      </c>
      <c r="N65" s="345">
        <f t="shared" si="14"/>
        <v>95.520930232558143</v>
      </c>
      <c r="O65" s="345">
        <f t="shared" si="14"/>
        <v>92.233480176211458</v>
      </c>
      <c r="P65" s="345">
        <f>(P47/P59)*1000</f>
        <v>93.038626609442062</v>
      </c>
      <c r="Q65" s="90"/>
    </row>
    <row r="66" spans="2:17">
      <c r="B66" s="90" t="s">
        <v>299</v>
      </c>
      <c r="D66" s="345">
        <f t="shared" ref="D66:O66" si="15">(D45/D59)*1000</f>
        <v>63.63646739130435</v>
      </c>
      <c r="E66" s="345">
        <f t="shared" si="15"/>
        <v>76.409502762430947</v>
      </c>
      <c r="F66" s="345">
        <f t="shared" si="15"/>
        <v>76.951256830601096</v>
      </c>
      <c r="G66" s="345">
        <f t="shared" si="15"/>
        <v>79.457627118644069</v>
      </c>
      <c r="H66" s="345">
        <f t="shared" si="15"/>
        <v>79.547368421052624</v>
      </c>
      <c r="I66" s="345">
        <f t="shared" si="15"/>
        <v>88.37</v>
      </c>
      <c r="J66" s="345">
        <f t="shared" si="15"/>
        <v>78.942583732057415</v>
      </c>
      <c r="K66" s="345">
        <f t="shared" si="15"/>
        <v>80.44859813084112</v>
      </c>
      <c r="L66" s="345">
        <f t="shared" si="15"/>
        <v>87.748837209302323</v>
      </c>
      <c r="M66" s="345">
        <f t="shared" si="15"/>
        <v>95.263959390862951</v>
      </c>
      <c r="N66" s="345">
        <f t="shared" si="15"/>
        <v>95.520930232558143</v>
      </c>
      <c r="O66" s="345">
        <f t="shared" si="15"/>
        <v>92.233480176211458</v>
      </c>
      <c r="P66" s="345">
        <f t="shared" ref="P66" si="16">(P45/P59)*1000</f>
        <v>93.038626609442062</v>
      </c>
      <c r="Q66" s="90"/>
    </row>
    <row r="67" spans="2:17">
      <c r="B67" s="90" t="s">
        <v>300</v>
      </c>
      <c r="D67" s="345">
        <f t="shared" ref="D67:O67" si="17">(D51/D59)*1000</f>
        <v>41.008338197325841</v>
      </c>
      <c r="E67" s="345">
        <f t="shared" si="17"/>
        <v>49.722473683081752</v>
      </c>
      <c r="F67" s="345">
        <f t="shared" si="17"/>
        <v>50.673264488187264</v>
      </c>
      <c r="G67" s="345">
        <f t="shared" si="17"/>
        <v>52.765340125442279</v>
      </c>
      <c r="H67" s="345">
        <f t="shared" si="17"/>
        <v>54.266891087311244</v>
      </c>
      <c r="I67" s="345">
        <f t="shared" si="17"/>
        <v>70.069957488115847</v>
      </c>
      <c r="J67" s="345">
        <f t="shared" si="17"/>
        <v>62.447235139763443</v>
      </c>
      <c r="K67" s="345">
        <f t="shared" si="17"/>
        <v>62.49130868706812</v>
      </c>
      <c r="L67" s="345">
        <f t="shared" si="17"/>
        <v>67.73969231211241</v>
      </c>
      <c r="M67" s="345">
        <f t="shared" si="17"/>
        <v>68.401942030703367</v>
      </c>
      <c r="N67" s="345">
        <f t="shared" si="17"/>
        <v>69.137642838831965</v>
      </c>
      <c r="O67" s="345">
        <f t="shared" si="17"/>
        <v>66.817631997723225</v>
      </c>
      <c r="P67" s="345">
        <f t="shared" ref="P67" si="18">(P51/P59)*1000</f>
        <v>64.795269215337697</v>
      </c>
      <c r="Q67" s="90"/>
    </row>
    <row r="68" spans="2:17">
      <c r="B68" s="90" t="s">
        <v>265</v>
      </c>
      <c r="D68" s="345">
        <f t="shared" ref="D68:O68" si="19">D27*1000/D59</f>
        <v>25.761902173913043</v>
      </c>
      <c r="E68" s="345">
        <f t="shared" si="19"/>
        <v>28.168342541436463</v>
      </c>
      <c r="F68" s="345">
        <f t="shared" si="19"/>
        <v>28.794480874316939</v>
      </c>
      <c r="G68" s="345">
        <f t="shared" si="19"/>
        <v>30.197740112994349</v>
      </c>
      <c r="H68" s="345">
        <f t="shared" si="19"/>
        <v>32.184210526315788</v>
      </c>
      <c r="I68" s="345">
        <f t="shared" si="19"/>
        <v>37.06</v>
      </c>
      <c r="J68" s="345">
        <f t="shared" si="19"/>
        <v>39.904306220095691</v>
      </c>
      <c r="K68" s="345">
        <f t="shared" si="19"/>
        <v>41.509345794392523</v>
      </c>
      <c r="L68" s="345">
        <f t="shared" si="19"/>
        <v>42.404651162790699</v>
      </c>
      <c r="M68" s="345">
        <f t="shared" si="19"/>
        <v>46.888324873096444</v>
      </c>
      <c r="N68" s="345">
        <f t="shared" si="19"/>
        <v>44.158139534883723</v>
      </c>
      <c r="O68" s="345">
        <f t="shared" si="19"/>
        <v>42.960352422907491</v>
      </c>
      <c r="P68" s="345">
        <f t="shared" ref="P68" si="20">P27*1000/P59</f>
        <v>44.433476394849784</v>
      </c>
      <c r="Q68" s="90"/>
    </row>
    <row r="69" spans="2:17">
      <c r="B69" s="111" t="s">
        <v>255</v>
      </c>
      <c r="C69" s="111"/>
      <c r="D69" s="159">
        <f t="shared" ref="D69:O69" si="21">D27/D61</f>
        <v>338.82701929949963</v>
      </c>
      <c r="E69" s="159">
        <f t="shared" si="21"/>
        <v>390.08951798010713</v>
      </c>
      <c r="F69" s="159">
        <f t="shared" si="21"/>
        <v>391.19450631031924</v>
      </c>
      <c r="G69" s="159">
        <f t="shared" si="21"/>
        <v>628.82352941176475</v>
      </c>
      <c r="H69" s="159">
        <f t="shared" si="21"/>
        <v>620.81218274111677</v>
      </c>
      <c r="I69" s="159">
        <f t="shared" si="21"/>
        <v>654.77031802120143</v>
      </c>
      <c r="J69" s="159">
        <f t="shared" si="21"/>
        <v>680.2610114192496</v>
      </c>
      <c r="K69" s="159">
        <f t="shared" si="21"/>
        <v>482.24755700325733</v>
      </c>
      <c r="L69" s="159">
        <f t="shared" si="21"/>
        <v>466.10429447852761</v>
      </c>
      <c r="M69" s="159">
        <f t="shared" si="21"/>
        <v>486.67017913593259</v>
      </c>
      <c r="N69" s="159">
        <f t="shared" si="21"/>
        <v>491.91709844559585</v>
      </c>
      <c r="O69" s="159">
        <f t="shared" si="21"/>
        <v>478.7432498772705</v>
      </c>
      <c r="P69" s="159">
        <f t="shared" ref="P69" si="22">P27/P61</f>
        <v>499.42112879884223</v>
      </c>
      <c r="Q69" s="90"/>
    </row>
    <row r="70" spans="2:17">
      <c r="B70" s="111" t="s">
        <v>254</v>
      </c>
      <c r="C70" s="111"/>
      <c r="D70" s="159">
        <f t="shared" ref="D70:O70" si="23">D59/D61</f>
        <v>13152.251608291637</v>
      </c>
      <c r="E70" s="159">
        <f t="shared" si="23"/>
        <v>13848.508033664881</v>
      </c>
      <c r="F70" s="159">
        <f t="shared" si="23"/>
        <v>13585.746102449888</v>
      </c>
      <c r="G70" s="159">
        <f t="shared" si="23"/>
        <v>20823.529411764706</v>
      </c>
      <c r="H70" s="159">
        <f t="shared" si="23"/>
        <v>19289.340101522841</v>
      </c>
      <c r="I70" s="159">
        <f t="shared" si="23"/>
        <v>17667.844522968197</v>
      </c>
      <c r="J70" s="159">
        <f t="shared" si="23"/>
        <v>17047.30831973899</v>
      </c>
      <c r="K70" s="159">
        <f t="shared" si="23"/>
        <v>11617.806731813247</v>
      </c>
      <c r="L70" s="159">
        <f t="shared" si="23"/>
        <v>10991.820040899796</v>
      </c>
      <c r="M70" s="159">
        <f t="shared" si="23"/>
        <v>10379.346680716544</v>
      </c>
      <c r="N70" s="159">
        <f t="shared" si="23"/>
        <v>11139.896373056994</v>
      </c>
      <c r="O70" s="159">
        <f t="shared" si="23"/>
        <v>11143.838978890526</v>
      </c>
      <c r="P70" s="159">
        <f t="shared" ref="P70" si="24">P59/P61</f>
        <v>11239.749155812831</v>
      </c>
      <c r="Q70" s="90"/>
    </row>
    <row r="71" spans="2:17" s="133" customFormat="1">
      <c r="B71" s="138"/>
      <c r="C71" s="138"/>
      <c r="D71" s="141"/>
      <c r="E71" s="141"/>
      <c r="F71" s="141"/>
      <c r="G71" s="141"/>
      <c r="H71" s="141"/>
      <c r="I71" s="141"/>
      <c r="J71" s="141"/>
      <c r="K71" s="141"/>
      <c r="L71" s="141"/>
      <c r="M71" s="141"/>
      <c r="N71" s="141"/>
      <c r="O71" s="141"/>
      <c r="P71" s="131"/>
    </row>
    <row r="72" spans="2:17">
      <c r="B72" s="153" t="s">
        <v>1155</v>
      </c>
      <c r="C72" s="94"/>
      <c r="D72" s="94"/>
      <c r="E72" s="94"/>
      <c r="F72" s="94"/>
      <c r="G72" s="94"/>
      <c r="H72" s="94"/>
      <c r="I72" s="94"/>
      <c r="J72" s="94"/>
      <c r="K72" s="94"/>
      <c r="L72" s="94"/>
      <c r="M72" s="94"/>
      <c r="N72" s="94"/>
      <c r="O72" s="94"/>
      <c r="P72" s="94"/>
      <c r="Q72" s="90"/>
    </row>
    <row r="73" spans="2:17">
      <c r="B73" s="111"/>
      <c r="C73" s="111"/>
      <c r="D73" s="141"/>
      <c r="E73" s="141"/>
      <c r="F73" s="141"/>
      <c r="G73" s="141"/>
      <c r="H73" s="141"/>
      <c r="I73" s="141"/>
      <c r="J73" s="141"/>
      <c r="K73" s="141"/>
      <c r="L73" s="141"/>
      <c r="M73" s="141"/>
      <c r="N73" s="141"/>
      <c r="O73" s="141"/>
      <c r="P73" s="126"/>
      <c r="Q73" s="90"/>
    </row>
    <row r="74" spans="2:17">
      <c r="B74" s="138" t="s">
        <v>1095</v>
      </c>
      <c r="D74" s="214">
        <f>FX!$E$28</f>
        <v>0.11668181818181819</v>
      </c>
      <c r="E74" s="214">
        <f>FX!$E$28</f>
        <v>0.11668181818181819</v>
      </c>
      <c r="F74" s="214">
        <f>FX!$E$28</f>
        <v>0.11668181818181819</v>
      </c>
      <c r="G74" s="214">
        <f>FX!$E$28</f>
        <v>0.11668181818181819</v>
      </c>
      <c r="H74" s="214">
        <f>FX!$E$28</f>
        <v>0.11668181818181819</v>
      </c>
      <c r="I74" s="214">
        <f>FX!$E$28</f>
        <v>0.11668181818181819</v>
      </c>
      <c r="J74" s="214">
        <f>FX!$E$28</f>
        <v>0.11668181818181819</v>
      </c>
      <c r="K74" s="214">
        <f>FX!$E$28</f>
        <v>0.11668181818181819</v>
      </c>
      <c r="L74" s="214">
        <f>FX!$E$28</f>
        <v>0.11668181818181819</v>
      </c>
      <c r="M74" s="214">
        <f>FX!$E$28</f>
        <v>0.11668181818181819</v>
      </c>
      <c r="N74" s="214">
        <f>FX!$E$28</f>
        <v>0.11668181818181819</v>
      </c>
      <c r="O74" s="214">
        <f>FX!$E$28</f>
        <v>0.11668181818181819</v>
      </c>
      <c r="P74" s="214">
        <f>FX!$E$28</f>
        <v>0.11668181818181819</v>
      </c>
      <c r="Q74" s="90"/>
    </row>
    <row r="75" spans="2:17" s="133" customFormat="1">
      <c r="B75" s="138"/>
      <c r="D75" s="214"/>
      <c r="E75" s="214"/>
      <c r="F75" s="214"/>
      <c r="G75" s="214"/>
      <c r="H75" s="214"/>
      <c r="I75" s="214"/>
      <c r="J75" s="214"/>
      <c r="K75" s="214"/>
      <c r="L75" s="214"/>
      <c r="M75" s="214"/>
      <c r="N75" s="214"/>
      <c r="O75" s="214"/>
      <c r="P75" s="214"/>
    </row>
    <row r="76" spans="2:17">
      <c r="B76" s="138" t="s">
        <v>1133</v>
      </c>
      <c r="D76" s="213">
        <f>RPI!$C$33</f>
        <v>170.25</v>
      </c>
      <c r="E76" s="213">
        <f>RPI!$C$34</f>
        <v>173.35</v>
      </c>
      <c r="F76" s="213">
        <f>RPI!$C$35</f>
        <v>176.18333333333337</v>
      </c>
      <c r="G76" s="213">
        <f>RPI!$C$36</f>
        <v>181.31666666666663</v>
      </c>
      <c r="H76" s="213">
        <f>RPI!$C$37</f>
        <v>186.69166666666663</v>
      </c>
      <c r="I76" s="213">
        <f>RPI!$C$38</f>
        <v>191.97499999999999</v>
      </c>
      <c r="J76" s="213">
        <f>RPI!$C$39</f>
        <v>198.10833333333332</v>
      </c>
      <c r="K76" s="213">
        <f>RPI!$C$40</f>
        <v>206.57499999999996</v>
      </c>
      <c r="L76" s="213">
        <f>RPI!$C$41</f>
        <v>214.82500000000002</v>
      </c>
      <c r="M76" s="213">
        <f>RPI!$C$42</f>
        <v>213.68333333333337</v>
      </c>
      <c r="N76" s="213">
        <f>RPI!$C$43</f>
        <v>223.55833333333331</v>
      </c>
      <c r="O76" s="213">
        <f>RPI!$C$44</f>
        <v>235.18333333333331</v>
      </c>
      <c r="P76" s="213">
        <f>RPI!$C$45</f>
        <v>242.72499999999999</v>
      </c>
      <c r="Q76" s="90"/>
    </row>
    <row r="77" spans="2:17">
      <c r="B77" s="138" t="s">
        <v>1132</v>
      </c>
      <c r="D77" s="214">
        <f>RPI!$R$44</f>
        <v>237.3416666666667</v>
      </c>
      <c r="E77" s="214">
        <f>RPI!$R$44</f>
        <v>237.3416666666667</v>
      </c>
      <c r="F77" s="214">
        <f>RPI!$R$44</f>
        <v>237.3416666666667</v>
      </c>
      <c r="G77" s="214">
        <f>RPI!$R$44</f>
        <v>237.3416666666667</v>
      </c>
      <c r="H77" s="214">
        <f>RPI!$R$44</f>
        <v>237.3416666666667</v>
      </c>
      <c r="I77" s="214">
        <f>RPI!$R$44</f>
        <v>237.3416666666667</v>
      </c>
      <c r="J77" s="214">
        <f>RPI!$R$44</f>
        <v>237.3416666666667</v>
      </c>
      <c r="K77" s="214">
        <f>RPI!$R$44</f>
        <v>237.3416666666667</v>
      </c>
      <c r="L77" s="214">
        <f>RPI!$R$44</f>
        <v>237.3416666666667</v>
      </c>
      <c r="M77" s="214">
        <f>RPI!$R$44</f>
        <v>237.3416666666667</v>
      </c>
      <c r="N77" s="214">
        <f>RPI!$R$44</f>
        <v>237.3416666666667</v>
      </c>
      <c r="O77" s="214">
        <f>RPI!$R$44</f>
        <v>237.3416666666667</v>
      </c>
      <c r="P77" s="214">
        <f>RPI!$R$44</f>
        <v>237.3416666666667</v>
      </c>
      <c r="Q77" s="90"/>
    </row>
    <row r="78" spans="2:17">
      <c r="B78" s="138" t="s">
        <v>304</v>
      </c>
      <c r="D78" s="214">
        <f t="shared" ref="D78:O78" si="25">D77/D76</f>
        <v>1.3940773372491435</v>
      </c>
      <c r="E78" s="214">
        <f t="shared" si="25"/>
        <v>1.369147197384867</v>
      </c>
      <c r="F78" s="214">
        <f t="shared" si="25"/>
        <v>1.3471289376596347</v>
      </c>
      <c r="G78" s="214">
        <f t="shared" si="25"/>
        <v>1.3089897968563291</v>
      </c>
      <c r="H78" s="214">
        <f t="shared" si="25"/>
        <v>1.2713029504977016</v>
      </c>
      <c r="I78" s="214">
        <f t="shared" si="25"/>
        <v>1.2363154924686377</v>
      </c>
      <c r="J78" s="214">
        <f t="shared" si="25"/>
        <v>1.1980397930425275</v>
      </c>
      <c r="K78" s="214">
        <f t="shared" si="25"/>
        <v>1.1489370285207152</v>
      </c>
      <c r="L78" s="214">
        <f t="shared" si="25"/>
        <v>1.104813995888126</v>
      </c>
      <c r="M78" s="214">
        <f t="shared" si="25"/>
        <v>1.1107167927618751</v>
      </c>
      <c r="N78" s="214">
        <f t="shared" si="25"/>
        <v>1.0616543035002053</v>
      </c>
      <c r="O78" s="214">
        <f t="shared" si="25"/>
        <v>1.0091772376160444</v>
      </c>
      <c r="P78" s="214">
        <f t="shared" ref="P78" si="26">P77/P76</f>
        <v>0.97782126549249848</v>
      </c>
      <c r="Q78" s="90"/>
    </row>
    <row r="79" spans="2:17" s="133" customFormat="1">
      <c r="B79" s="138"/>
      <c r="D79" s="214"/>
      <c r="E79" s="214"/>
      <c r="F79" s="214"/>
      <c r="G79" s="214"/>
      <c r="H79" s="214"/>
      <c r="I79" s="214"/>
      <c r="J79" s="214"/>
      <c r="K79" s="214"/>
      <c r="L79" s="214"/>
      <c r="M79" s="214"/>
      <c r="N79" s="214"/>
      <c r="O79" s="214"/>
      <c r="P79" s="214"/>
    </row>
    <row r="80" spans="2:17">
      <c r="B80" s="111" t="str">
        <f>B27</f>
        <v>Staff Costs Total</v>
      </c>
      <c r="C80" s="111"/>
      <c r="D80" s="159">
        <f>D27*D74*D78</f>
        <v>77105.579365934682</v>
      </c>
      <c r="E80" s="159">
        <f t="shared" ref="E80:O80" si="27">E27*E74*E78</f>
        <v>81450.395566792111</v>
      </c>
      <c r="F80" s="159">
        <f>F27*F74*F78</f>
        <v>82827.14582488325</v>
      </c>
      <c r="G80" s="159">
        <f t="shared" si="27"/>
        <v>81637.022916335918</v>
      </c>
      <c r="H80" s="159">
        <f t="shared" si="27"/>
        <v>90708.650141214894</v>
      </c>
      <c r="I80" s="159">
        <f t="shared" si="27"/>
        <v>106922.20588302615</v>
      </c>
      <c r="J80" s="159">
        <f t="shared" si="27"/>
        <v>116584.41072951365</v>
      </c>
      <c r="K80" s="159">
        <f t="shared" si="27"/>
        <v>119085.55259866003</v>
      </c>
      <c r="L80" s="159">
        <f t="shared" si="27"/>
        <v>117528.80217142918</v>
      </c>
      <c r="M80" s="159">
        <f t="shared" si="27"/>
        <v>119711.94015836946</v>
      </c>
      <c r="N80" s="159">
        <f t="shared" si="27"/>
        <v>117607.64123966021</v>
      </c>
      <c r="O80" s="159">
        <f t="shared" si="27"/>
        <v>114832.36960591676</v>
      </c>
      <c r="P80" s="159">
        <f>P27*P74*P78</f>
        <v>118121.48001245332</v>
      </c>
      <c r="Q80" s="90"/>
    </row>
    <row r="81" spans="1:24" s="126" customFormat="1">
      <c r="A81" s="90"/>
      <c r="B81" s="111" t="str">
        <f>B30</f>
        <v>Depreciation Total</v>
      </c>
      <c r="C81" s="111"/>
      <c r="D81" s="159">
        <f>D30*D74*D78</f>
        <v>66235.755085580488</v>
      </c>
      <c r="E81" s="159">
        <f t="shared" ref="E81:O81" si="28">E30*E74*E78</f>
        <v>75352.403327590902</v>
      </c>
      <c r="F81" s="159">
        <f t="shared" si="28"/>
        <v>74331.114863081675</v>
      </c>
      <c r="G81" s="159">
        <f t="shared" si="28"/>
        <v>71587.039552641058</v>
      </c>
      <c r="H81" s="159">
        <f t="shared" si="28"/>
        <v>70638.526896560143</v>
      </c>
      <c r="I81" s="159">
        <f t="shared" si="28"/>
        <v>51614.632035815914</v>
      </c>
      <c r="J81" s="159">
        <f t="shared" si="28"/>
        <v>45599.322278138316</v>
      </c>
      <c r="K81" s="159">
        <f t="shared" si="28"/>
        <v>47524.291789063354</v>
      </c>
      <c r="L81" s="159">
        <f t="shared" si="28"/>
        <v>50636.518035469329</v>
      </c>
      <c r="M81" s="159">
        <f t="shared" si="28"/>
        <v>61054.774286681655</v>
      </c>
      <c r="N81" s="159">
        <f t="shared" si="28"/>
        <v>60934.483595732949</v>
      </c>
      <c r="O81" s="159">
        <f t="shared" si="28"/>
        <v>60277.573832310074</v>
      </c>
      <c r="P81" s="159">
        <f>P30*P74*P78</f>
        <v>63744.297192077342</v>
      </c>
      <c r="Q81" s="90"/>
      <c r="R81" s="90"/>
      <c r="S81" s="90"/>
      <c r="T81" s="90"/>
      <c r="U81" s="90"/>
      <c r="V81" s="90"/>
      <c r="W81" s="90"/>
      <c r="X81" s="90"/>
    </row>
    <row r="82" spans="1:24" s="126" customFormat="1">
      <c r="A82" s="90"/>
      <c r="B82" s="111" t="str">
        <f>B36</f>
        <v>Other Costs Total</v>
      </c>
      <c r="C82" s="111"/>
      <c r="D82" s="159">
        <f>D36*D74*D78</f>
        <v>47123.121700972282</v>
      </c>
      <c r="E82" s="159">
        <f t="shared" ref="E82:O82" si="29">E36*E74*E78</f>
        <v>64067.81875290184</v>
      </c>
      <c r="F82" s="159">
        <f t="shared" si="29"/>
        <v>64191.552796645621</v>
      </c>
      <c r="G82" s="159">
        <f t="shared" si="29"/>
        <v>61582.87678178979</v>
      </c>
      <c r="H82" s="159">
        <f t="shared" si="29"/>
        <v>62850.785061051094</v>
      </c>
      <c r="I82" s="159">
        <f t="shared" si="29"/>
        <v>96420.402606873555</v>
      </c>
      <c r="J82" s="159">
        <f t="shared" si="29"/>
        <v>68454.899201730019</v>
      </c>
      <c r="K82" s="159">
        <f t="shared" si="29"/>
        <v>64187.957429064969</v>
      </c>
      <c r="L82" s="159">
        <f>L36*L74*L78</f>
        <v>75039.50394207408</v>
      </c>
      <c r="M82" s="159">
        <f t="shared" si="29"/>
        <v>62454.459199218618</v>
      </c>
      <c r="N82" s="159">
        <f t="shared" si="29"/>
        <v>75861.512002494128</v>
      </c>
      <c r="O82" s="159">
        <f t="shared" si="29"/>
        <v>71428.748362335013</v>
      </c>
      <c r="P82" s="159">
        <f t="shared" ref="P82" si="30">P36*P74*P78</f>
        <v>65467.116035106461</v>
      </c>
      <c r="Q82" s="90"/>
      <c r="R82" s="90"/>
      <c r="S82" s="90"/>
      <c r="T82" s="90"/>
      <c r="U82" s="90"/>
      <c r="V82" s="90"/>
      <c r="W82" s="90"/>
      <c r="X82" s="90"/>
    </row>
    <row r="83" spans="1:24" s="126" customFormat="1">
      <c r="A83" s="90"/>
      <c r="B83" s="111" t="str">
        <f>B39</f>
        <v>Exceptional Items Total</v>
      </c>
      <c r="C83" s="111"/>
      <c r="D83" s="159">
        <f>D39*D74*D78</f>
        <v>0</v>
      </c>
      <c r="E83" s="159">
        <f t="shared" ref="E83:O83" si="31">E39*E74*E78</f>
        <v>0</v>
      </c>
      <c r="F83" s="159">
        <f t="shared" si="31"/>
        <v>0</v>
      </c>
      <c r="G83" s="159">
        <f t="shared" si="31"/>
        <v>0</v>
      </c>
      <c r="H83" s="159">
        <f t="shared" si="31"/>
        <v>0</v>
      </c>
      <c r="I83" s="159">
        <f t="shared" si="31"/>
        <v>0</v>
      </c>
      <c r="J83" s="159">
        <f t="shared" si="31"/>
        <v>0</v>
      </c>
      <c r="K83" s="159">
        <f t="shared" si="31"/>
        <v>0</v>
      </c>
      <c r="L83" s="159">
        <f t="shared" si="31"/>
        <v>0</v>
      </c>
      <c r="M83" s="159">
        <f t="shared" si="31"/>
        <v>0</v>
      </c>
      <c r="N83" s="159">
        <f t="shared" si="31"/>
        <v>0</v>
      </c>
      <c r="O83" s="159">
        <f t="shared" si="31"/>
        <v>0</v>
      </c>
      <c r="P83" s="159">
        <f t="shared" ref="P83" si="32">P39*P74*P78</f>
        <v>0</v>
      </c>
      <c r="Q83" s="90"/>
      <c r="R83" s="90"/>
      <c r="S83" s="90"/>
      <c r="T83" s="90"/>
      <c r="U83" s="90"/>
      <c r="V83" s="90"/>
      <c r="W83" s="90"/>
      <c r="X83" s="90"/>
    </row>
    <row r="84" spans="1:24" s="126" customFormat="1">
      <c r="A84" s="90"/>
      <c r="B84" s="111" t="str">
        <f>B41</f>
        <v>Grand Total</v>
      </c>
      <c r="C84" s="111"/>
      <c r="D84" s="159">
        <f>D41*D74*D78</f>
        <v>190464.45615248746</v>
      </c>
      <c r="E84" s="159">
        <f t="shared" ref="E84:O84" si="33">E41*E74*E78</f>
        <v>220870.61764728485</v>
      </c>
      <c r="F84" s="159">
        <f t="shared" si="33"/>
        <v>221349.81348461055</v>
      </c>
      <c r="G84" s="159">
        <f t="shared" si="33"/>
        <v>214806.93925076679</v>
      </c>
      <c r="H84" s="159">
        <f t="shared" si="33"/>
        <v>224197.96209882616</v>
      </c>
      <c r="I84" s="159">
        <f t="shared" si="33"/>
        <v>254957.24052571564</v>
      </c>
      <c r="J84" s="159">
        <f t="shared" si="33"/>
        <v>230638.63220938199</v>
      </c>
      <c r="K84" s="159">
        <f t="shared" si="33"/>
        <v>230797.80181678836</v>
      </c>
      <c r="L84" s="159">
        <f t="shared" si="33"/>
        <v>243204.82414897261</v>
      </c>
      <c r="M84" s="159">
        <f t="shared" si="33"/>
        <v>243221.1736442697</v>
      </c>
      <c r="N84" s="159">
        <f t="shared" si="33"/>
        <v>254403.63683788729</v>
      </c>
      <c r="O84" s="159">
        <f t="shared" si="33"/>
        <v>246538.69180056185</v>
      </c>
      <c r="P84" s="159">
        <f t="shared" ref="P84" si="34">P41*P74*P78</f>
        <v>247332.89323963714</v>
      </c>
      <c r="Q84" s="90"/>
      <c r="R84" s="90"/>
      <c r="S84" s="90"/>
      <c r="T84" s="90"/>
      <c r="U84" s="90"/>
      <c r="V84" s="90"/>
      <c r="W84" s="90"/>
      <c r="X84" s="90"/>
    </row>
    <row r="85" spans="1:24" s="126" customFormat="1">
      <c r="A85" s="90"/>
      <c r="B85" s="111" t="str">
        <f>B43</f>
        <v>Cost Residual (Ordinary Opex - Elements)</v>
      </c>
      <c r="C85" s="111"/>
      <c r="D85" s="159">
        <f>D43*D74*D78</f>
        <v>0</v>
      </c>
      <c r="E85" s="159">
        <f t="shared" ref="E85:O85" si="35">E43*E74*E78</f>
        <v>71.889562957233153</v>
      </c>
      <c r="F85" s="159">
        <f t="shared" si="35"/>
        <v>0</v>
      </c>
      <c r="G85" s="159">
        <f t="shared" si="35"/>
        <v>0</v>
      </c>
      <c r="H85" s="159">
        <f t="shared" si="35"/>
        <v>0</v>
      </c>
      <c r="I85" s="159">
        <f t="shared" si="35"/>
        <v>0</v>
      </c>
      <c r="J85" s="159">
        <f t="shared" si="35"/>
        <v>0</v>
      </c>
      <c r="K85" s="159">
        <f t="shared" si="35"/>
        <v>0</v>
      </c>
      <c r="L85" s="159">
        <f t="shared" si="35"/>
        <v>0</v>
      </c>
      <c r="M85" s="159">
        <f t="shared" si="35"/>
        <v>0</v>
      </c>
      <c r="N85" s="159">
        <f t="shared" si="35"/>
        <v>0</v>
      </c>
      <c r="O85" s="159">
        <f t="shared" si="35"/>
        <v>0</v>
      </c>
      <c r="P85" s="159">
        <f t="shared" ref="P85" si="36">P43*P74*P78</f>
        <v>0</v>
      </c>
      <c r="Q85" s="90"/>
      <c r="R85" s="90"/>
      <c r="S85" s="90"/>
      <c r="T85" s="90"/>
      <c r="U85" s="90"/>
      <c r="V85" s="90"/>
      <c r="W85" s="90"/>
      <c r="X85" s="90"/>
    </row>
    <row r="86" spans="1:24" s="126" customFormat="1">
      <c r="A86" s="90"/>
      <c r="B86" s="111"/>
      <c r="C86" s="111"/>
      <c r="D86" s="193"/>
      <c r="E86" s="193"/>
      <c r="F86" s="193"/>
      <c r="G86" s="193"/>
      <c r="H86" s="193"/>
      <c r="I86" s="193"/>
      <c r="J86" s="193"/>
      <c r="K86" s="193"/>
      <c r="L86" s="193"/>
      <c r="M86" s="193"/>
      <c r="N86" s="193"/>
      <c r="O86" s="193"/>
      <c r="P86" s="193"/>
      <c r="Q86" s="90"/>
      <c r="R86" s="90"/>
      <c r="S86" s="90"/>
      <c r="T86" s="90"/>
      <c r="U86" s="90"/>
      <c r="V86" s="90"/>
      <c r="W86" s="90"/>
      <c r="X86" s="90"/>
    </row>
    <row r="87" spans="1:24" s="126" customFormat="1">
      <c r="A87" s="90"/>
      <c r="B87" s="111" t="str">
        <f>B45</f>
        <v>Ordinary Opex (per accounts - including staff, depreciation and other, excluding exceptional)</v>
      </c>
      <c r="C87" s="111"/>
      <c r="D87" s="159">
        <f>D45*D74*D78</f>
        <v>190464.45615248746</v>
      </c>
      <c r="E87" s="159">
        <f t="shared" ref="E87:O87" si="37">E45*E74*E78</f>
        <v>220942.50721024207</v>
      </c>
      <c r="F87" s="159">
        <f t="shared" si="37"/>
        <v>221349.81348461055</v>
      </c>
      <c r="G87" s="159">
        <f t="shared" si="37"/>
        <v>214806.93925076679</v>
      </c>
      <c r="H87" s="159">
        <f t="shared" si="37"/>
        <v>224197.96209882616</v>
      </c>
      <c r="I87" s="159">
        <f t="shared" si="37"/>
        <v>254957.24052571564</v>
      </c>
      <c r="J87" s="159">
        <f t="shared" si="37"/>
        <v>230638.63220938199</v>
      </c>
      <c r="K87" s="159">
        <f t="shared" si="37"/>
        <v>230797.80181678836</v>
      </c>
      <c r="L87" s="159">
        <f t="shared" si="37"/>
        <v>243204.82414897261</v>
      </c>
      <c r="M87" s="159">
        <f t="shared" si="37"/>
        <v>243221.1736442697</v>
      </c>
      <c r="N87" s="159">
        <f t="shared" si="37"/>
        <v>254403.63683788729</v>
      </c>
      <c r="O87" s="159">
        <f t="shared" si="37"/>
        <v>246538.69180056185</v>
      </c>
      <c r="P87" s="159">
        <f t="shared" ref="P87" si="38">P45*P74*P78</f>
        <v>247332.89323963714</v>
      </c>
      <c r="Q87" s="90"/>
      <c r="R87" s="90"/>
      <c r="S87" s="90"/>
      <c r="T87" s="90"/>
      <c r="U87" s="90"/>
      <c r="V87" s="90"/>
      <c r="W87" s="90"/>
      <c r="X87" s="90"/>
    </row>
    <row r="88" spans="1:24" s="126" customFormat="1">
      <c r="A88" s="90"/>
      <c r="B88" s="111"/>
      <c r="C88" s="111"/>
      <c r="D88" s="141"/>
      <c r="E88" s="141"/>
      <c r="F88" s="141"/>
      <c r="G88" s="141"/>
      <c r="H88" s="141"/>
      <c r="I88" s="141"/>
      <c r="J88" s="141"/>
      <c r="K88" s="141"/>
      <c r="L88" s="141"/>
      <c r="M88" s="141"/>
      <c r="N88" s="141"/>
      <c r="O88" s="141"/>
      <c r="P88" s="141"/>
      <c r="Q88" s="90"/>
      <c r="R88" s="90"/>
      <c r="S88" s="90"/>
      <c r="T88" s="90"/>
      <c r="U88" s="90"/>
      <c r="V88" s="90"/>
      <c r="W88" s="90"/>
      <c r="X88" s="90"/>
    </row>
    <row r="89" spans="1:24" s="126" customFormat="1">
      <c r="A89" s="90"/>
      <c r="B89" s="111" t="str">
        <f>B47</f>
        <v>Total Opex (ordinary + exceptional)</v>
      </c>
      <c r="C89" s="111"/>
      <c r="D89" s="159">
        <f>D47*D74*D78</f>
        <v>190464.45615248746</v>
      </c>
      <c r="E89" s="159">
        <f t="shared" ref="E89:O89" si="39">E47*E74*E78</f>
        <v>220942.50721024207</v>
      </c>
      <c r="F89" s="159">
        <f t="shared" si="39"/>
        <v>221349.81348461055</v>
      </c>
      <c r="G89" s="159">
        <f t="shared" si="39"/>
        <v>214806.93925076679</v>
      </c>
      <c r="H89" s="159">
        <f t="shared" si="39"/>
        <v>224197.96209882616</v>
      </c>
      <c r="I89" s="159">
        <f t="shared" si="39"/>
        <v>254957.24052571564</v>
      </c>
      <c r="J89" s="159">
        <f t="shared" si="39"/>
        <v>230638.63220938199</v>
      </c>
      <c r="K89" s="159">
        <f t="shared" si="39"/>
        <v>230797.80181678836</v>
      </c>
      <c r="L89" s="159">
        <f t="shared" si="39"/>
        <v>243204.82414897261</v>
      </c>
      <c r="M89" s="159">
        <f t="shared" si="39"/>
        <v>243221.1736442697</v>
      </c>
      <c r="N89" s="159">
        <f t="shared" si="39"/>
        <v>254403.63683788729</v>
      </c>
      <c r="O89" s="159">
        <f t="shared" si="39"/>
        <v>246538.69180056185</v>
      </c>
      <c r="P89" s="159">
        <f t="shared" ref="P89" si="40">P47*P74*P78</f>
        <v>247332.89323963714</v>
      </c>
      <c r="Q89" s="90"/>
      <c r="R89" s="90"/>
      <c r="S89" s="90"/>
      <c r="T89" s="90"/>
      <c r="U89" s="90"/>
      <c r="V89" s="90"/>
      <c r="W89" s="90"/>
      <c r="X89" s="90"/>
    </row>
    <row r="90" spans="1:24" s="126" customFormat="1">
      <c r="A90" s="90"/>
      <c r="B90" s="111"/>
      <c r="C90" s="111"/>
      <c r="D90" s="141"/>
      <c r="E90" s="141"/>
      <c r="F90" s="141"/>
      <c r="G90" s="141"/>
      <c r="H90" s="141"/>
      <c r="I90" s="141"/>
      <c r="J90" s="141"/>
      <c r="K90" s="141"/>
      <c r="L90" s="141"/>
      <c r="M90" s="141"/>
      <c r="N90" s="141"/>
      <c r="O90" s="141"/>
      <c r="P90" s="141"/>
      <c r="Q90" s="90"/>
      <c r="R90" s="90"/>
      <c r="S90" s="90"/>
      <c r="T90" s="90"/>
      <c r="U90" s="90"/>
      <c r="V90" s="90"/>
      <c r="W90" s="90"/>
      <c r="X90" s="90"/>
    </row>
    <row r="91" spans="1:24" s="126" customFormat="1">
      <c r="A91" s="90"/>
      <c r="B91" s="111" t="s">
        <v>1146</v>
      </c>
      <c r="C91" s="111"/>
      <c r="D91" s="159">
        <f>D49*D74*D78</f>
        <v>1490.4166734173129</v>
      </c>
      <c r="E91" s="159">
        <f t="shared" ref="E91:O91" si="41">E49*E74*E78</f>
        <v>1814.6884818737169</v>
      </c>
      <c r="F91" s="159">
        <f t="shared" si="41"/>
        <v>1257.3672919002877</v>
      </c>
      <c r="G91" s="159">
        <f t="shared" si="41"/>
        <v>573.28889576999723</v>
      </c>
      <c r="H91" s="159">
        <f t="shared" si="41"/>
        <v>612.49763903420137</v>
      </c>
      <c r="I91" s="159">
        <f t="shared" si="41"/>
        <v>1183.0180754579326</v>
      </c>
      <c r="J91" s="159">
        <f t="shared" si="41"/>
        <v>2593.4839018131856</v>
      </c>
      <c r="K91" s="159">
        <f t="shared" si="41"/>
        <v>3993.1121993819361</v>
      </c>
      <c r="L91" s="159">
        <f t="shared" si="41"/>
        <v>4820.8614678627746</v>
      </c>
      <c r="M91" s="159">
        <f t="shared" si="41"/>
        <v>7527.4201818951024</v>
      </c>
      <c r="N91" s="159">
        <f t="shared" si="41"/>
        <v>9332.8834447876761</v>
      </c>
      <c r="O91" s="159">
        <f t="shared" si="41"/>
        <v>7658.6023691630544</v>
      </c>
      <c r="P91" s="159">
        <f t="shared" ref="P91" si="42">P49*P74*P78</f>
        <v>11337.543046265153</v>
      </c>
      <c r="Q91" s="90"/>
      <c r="R91" s="90"/>
      <c r="S91" s="90"/>
      <c r="T91" s="90"/>
      <c r="U91" s="90"/>
      <c r="V91" s="90"/>
      <c r="W91" s="90"/>
      <c r="X91" s="90"/>
    </row>
    <row r="92" spans="1:24" s="126" customFormat="1">
      <c r="A92" s="90"/>
      <c r="B92" s="111"/>
      <c r="C92" s="111"/>
      <c r="D92" s="141"/>
      <c r="E92" s="141"/>
      <c r="F92" s="141"/>
      <c r="G92" s="141"/>
      <c r="H92" s="141"/>
      <c r="I92" s="141"/>
      <c r="J92" s="141"/>
      <c r="K92" s="141"/>
      <c r="L92" s="141"/>
      <c r="M92" s="141"/>
      <c r="N92" s="141"/>
      <c r="O92" s="141"/>
      <c r="P92" s="141"/>
      <c r="Q92" s="90"/>
      <c r="R92" s="90"/>
      <c r="S92" s="90"/>
      <c r="T92" s="90"/>
      <c r="U92" s="90"/>
      <c r="V92" s="90"/>
      <c r="W92" s="90"/>
      <c r="X92" s="90"/>
    </row>
    <row r="93" spans="1:24" s="126" customFormat="1">
      <c r="A93" s="134"/>
      <c r="B93" s="111" t="str">
        <f>B51</f>
        <v>Adjusted Ordinary Opex (ordinary opex - depreciation - ANS - retail)</v>
      </c>
      <c r="C93" s="111"/>
      <c r="D93" s="159">
        <f>D51*D74*D78</f>
        <v>122738.28439348967</v>
      </c>
      <c r="E93" s="159">
        <f t="shared" ref="E93:O93" si="43">E51*E74*E78</f>
        <v>143775.41540077748</v>
      </c>
      <c r="F93" s="159">
        <f t="shared" si="43"/>
        <v>145761.33132962859</v>
      </c>
      <c r="G93" s="159">
        <f t="shared" si="43"/>
        <v>142646.61080235572</v>
      </c>
      <c r="H93" s="159">
        <f t="shared" si="43"/>
        <v>152946.9375632318</v>
      </c>
      <c r="I93" s="159">
        <f t="shared" si="43"/>
        <v>202159.59041444177</v>
      </c>
      <c r="J93" s="159">
        <f t="shared" si="43"/>
        <v>182445.82602943046</v>
      </c>
      <c r="K93" s="159">
        <f t="shared" si="43"/>
        <v>179280.39782834303</v>
      </c>
      <c r="L93" s="159">
        <f t="shared" si="43"/>
        <v>187747.4446456405</v>
      </c>
      <c r="M93" s="159">
        <f t="shared" si="43"/>
        <v>174638.97917569298</v>
      </c>
      <c r="N93" s="159">
        <f t="shared" si="43"/>
        <v>184136.26979736667</v>
      </c>
      <c r="O93" s="159">
        <f t="shared" si="43"/>
        <v>178602.51559908871</v>
      </c>
      <c r="P93" s="159">
        <f t="shared" ref="P93" si="44">P51*P74*P78</f>
        <v>172251.05300129461</v>
      </c>
      <c r="Q93" s="90"/>
      <c r="R93" s="90"/>
      <c r="S93" s="90"/>
      <c r="T93" s="90"/>
      <c r="U93" s="90"/>
      <c r="V93" s="90"/>
      <c r="W93" s="90"/>
      <c r="X93" s="90"/>
    </row>
    <row r="94" spans="1:24" s="126" customFormat="1">
      <c r="A94" s="90"/>
      <c r="B94" s="111"/>
      <c r="C94" s="111"/>
      <c r="D94" s="141"/>
      <c r="E94" s="141"/>
      <c r="F94" s="141"/>
      <c r="G94" s="141"/>
      <c r="H94" s="141"/>
      <c r="I94" s="141"/>
      <c r="J94" s="141"/>
      <c r="K94" s="141"/>
      <c r="L94" s="141"/>
      <c r="M94" s="141"/>
      <c r="N94" s="141"/>
      <c r="O94" s="141"/>
      <c r="P94" s="141"/>
      <c r="Q94" s="90"/>
      <c r="R94" s="90"/>
      <c r="S94" s="90"/>
      <c r="T94" s="90"/>
      <c r="U94" s="90"/>
      <c r="V94" s="90"/>
      <c r="W94" s="90"/>
      <c r="X94" s="90"/>
    </row>
    <row r="95" spans="1:24" s="126" customFormat="1">
      <c r="A95" s="90"/>
      <c r="B95" s="111" t="str">
        <f>B53</f>
        <v>Turnover (per accounts)</v>
      </c>
      <c r="C95" s="111"/>
      <c r="D95" s="159">
        <f>D53*D74*D78</f>
        <v>305358.71351162292</v>
      </c>
      <c r="E95" s="159">
        <f t="shared" ref="E95:O95" si="45">E53*E74*E78</f>
        <v>326066.13585885108</v>
      </c>
      <c r="F95" s="159">
        <f t="shared" si="45"/>
        <v>337216.08420862607</v>
      </c>
      <c r="G95" s="159">
        <f t="shared" si="45"/>
        <v>338079.60753098142</v>
      </c>
      <c r="H95" s="159">
        <f t="shared" si="45"/>
        <v>368664.28159601206</v>
      </c>
      <c r="I95" s="159">
        <f t="shared" si="45"/>
        <v>395029.36938758614</v>
      </c>
      <c r="J95" s="159">
        <f t="shared" si="45"/>
        <v>403124.84851531353</v>
      </c>
      <c r="K95" s="159">
        <f t="shared" si="45"/>
        <v>392072.05575823609</v>
      </c>
      <c r="L95" s="159">
        <f t="shared" si="45"/>
        <v>401366.59598633845</v>
      </c>
      <c r="M95" s="159">
        <f t="shared" si="45"/>
        <v>378796.2094780581</v>
      </c>
      <c r="N95" s="159">
        <f t="shared" si="45"/>
        <v>401196.40581723989</v>
      </c>
      <c r="O95" s="159">
        <f t="shared" si="45"/>
        <v>393741.26075498818</v>
      </c>
      <c r="P95" s="159">
        <f t="shared" ref="P95" si="46">P53*P74*P78</f>
        <v>401131.55551799806</v>
      </c>
      <c r="Q95" s="90"/>
      <c r="R95" s="90"/>
      <c r="S95" s="90"/>
      <c r="T95" s="90"/>
      <c r="U95" s="90"/>
      <c r="V95" s="90"/>
      <c r="W95" s="90"/>
      <c r="X95" s="90"/>
    </row>
    <row r="96" spans="1:24" s="126" customFormat="1">
      <c r="A96" s="90"/>
      <c r="B96" s="111"/>
      <c r="C96" s="111"/>
      <c r="D96" s="141"/>
      <c r="E96" s="141"/>
      <c r="F96" s="141"/>
      <c r="G96" s="141"/>
      <c r="H96" s="141"/>
      <c r="I96" s="141"/>
      <c r="J96" s="141"/>
      <c r="K96" s="141"/>
      <c r="L96" s="141"/>
      <c r="M96" s="141"/>
      <c r="N96" s="141"/>
      <c r="O96" s="141"/>
      <c r="P96" s="141"/>
      <c r="Q96" s="90"/>
      <c r="R96" s="90"/>
      <c r="S96" s="90"/>
      <c r="T96" s="90"/>
      <c r="U96" s="90"/>
      <c r="V96" s="90"/>
      <c r="W96" s="90"/>
      <c r="X96" s="90"/>
    </row>
    <row r="97" spans="2:17">
      <c r="B97" s="111" t="str">
        <f>B55</f>
        <v>Operating Profit (pre-exceptional)</v>
      </c>
      <c r="C97" s="111"/>
      <c r="D97" s="159">
        <f>D55*D74*D78</f>
        <v>114894.25735913543</v>
      </c>
      <c r="E97" s="159">
        <f t="shared" ref="E97:O97" si="47">E55*E74*E78</f>
        <v>105123.62864860898</v>
      </c>
      <c r="F97" s="159">
        <f t="shared" si="47"/>
        <v>115866.27072401553</v>
      </c>
      <c r="G97" s="159">
        <f t="shared" si="47"/>
        <v>123272.66828021464</v>
      </c>
      <c r="H97" s="159">
        <f t="shared" si="47"/>
        <v>144466.3194971859</v>
      </c>
      <c r="I97" s="159">
        <f t="shared" si="47"/>
        <v>140072.12886187047</v>
      </c>
      <c r="J97" s="159">
        <f t="shared" si="47"/>
        <v>172486.21630593154</v>
      </c>
      <c r="K97" s="159">
        <f t="shared" si="47"/>
        <v>161274.25394144771</v>
      </c>
      <c r="L97" s="159">
        <f t="shared" si="47"/>
        <v>158161.77183736587</v>
      </c>
      <c r="M97" s="159">
        <f t="shared" si="47"/>
        <v>135575.03583378834</v>
      </c>
      <c r="N97" s="159">
        <f t="shared" si="47"/>
        <v>146792.76897935261</v>
      </c>
      <c r="O97" s="159">
        <f t="shared" si="47"/>
        <v>147202.5689544263</v>
      </c>
      <c r="P97" s="159">
        <f t="shared" ref="P97" si="48">P55*P74*P78</f>
        <v>153798.66227836092</v>
      </c>
      <c r="Q97" s="90"/>
    </row>
    <row r="98" spans="2:17">
      <c r="B98" s="111"/>
      <c r="C98" s="111"/>
      <c r="D98" s="193"/>
      <c r="E98" s="193"/>
      <c r="F98" s="193"/>
      <c r="G98" s="193"/>
      <c r="H98" s="193"/>
      <c r="I98" s="193"/>
      <c r="J98" s="193"/>
      <c r="K98" s="193"/>
      <c r="L98" s="193"/>
      <c r="M98" s="193"/>
      <c r="N98" s="193"/>
      <c r="O98" s="193"/>
      <c r="P98" s="193"/>
      <c r="Q98" s="90"/>
    </row>
    <row r="99" spans="2:17">
      <c r="B99" s="111" t="str">
        <f>B57</f>
        <v>Profit Margin</v>
      </c>
      <c r="C99" s="111"/>
      <c r="D99" s="162">
        <f>D97/D95</f>
        <v>0.37625996009038787</v>
      </c>
      <c r="E99" s="162">
        <f t="shared" ref="E99:O99" si="49">E97/E95</f>
        <v>0.32239971308800786</v>
      </c>
      <c r="F99" s="162">
        <f t="shared" si="49"/>
        <v>0.34359651318509571</v>
      </c>
      <c r="G99" s="162">
        <f t="shared" si="49"/>
        <v>0.36462615766885026</v>
      </c>
      <c r="H99" s="162">
        <f t="shared" si="49"/>
        <v>0.39186416126825735</v>
      </c>
      <c r="I99" s="162">
        <f t="shared" si="49"/>
        <v>0.35458661992404322</v>
      </c>
      <c r="J99" s="162">
        <f t="shared" si="49"/>
        <v>0.42787294541923848</v>
      </c>
      <c r="K99" s="162">
        <f t="shared" si="49"/>
        <v>0.41133830267386989</v>
      </c>
      <c r="L99" s="162">
        <f t="shared" si="49"/>
        <v>0.39405813393287298</v>
      </c>
      <c r="M99" s="162">
        <f t="shared" si="49"/>
        <v>0.35791022307376485</v>
      </c>
      <c r="N99" s="162">
        <f t="shared" si="49"/>
        <v>0.36588754747275143</v>
      </c>
      <c r="O99" s="162">
        <f t="shared" si="49"/>
        <v>0.37385609187152335</v>
      </c>
      <c r="P99" s="162">
        <f t="shared" ref="P99" si="50">P97/P95</f>
        <v>0.38341202571249783</v>
      </c>
      <c r="Q99" s="90"/>
    </row>
    <row r="100" spans="2:17" s="133" customFormat="1">
      <c r="B100" s="138"/>
      <c r="C100" s="138"/>
      <c r="D100" s="141"/>
      <c r="E100" s="141"/>
      <c r="F100" s="141"/>
      <c r="G100" s="141"/>
      <c r="H100" s="141"/>
      <c r="I100" s="141"/>
      <c r="J100" s="141"/>
      <c r="K100" s="141"/>
      <c r="L100" s="141"/>
      <c r="M100" s="141"/>
      <c r="N100" s="141"/>
      <c r="O100" s="141"/>
      <c r="P100" s="131"/>
    </row>
    <row r="101" spans="2:17" s="133" customFormat="1">
      <c r="B101" s="153" t="s">
        <v>1153</v>
      </c>
      <c r="C101" s="94"/>
      <c r="D101" s="94"/>
      <c r="E101" s="94"/>
      <c r="F101" s="94"/>
      <c r="G101" s="94"/>
      <c r="H101" s="94"/>
      <c r="I101" s="94"/>
      <c r="J101" s="94"/>
      <c r="K101" s="94"/>
      <c r="L101" s="94"/>
      <c r="M101" s="94"/>
      <c r="N101" s="94"/>
      <c r="O101" s="94"/>
      <c r="P101" s="94"/>
    </row>
    <row r="102" spans="2:17" s="133" customFormat="1">
      <c r="B102" s="90"/>
      <c r="C102" s="90"/>
      <c r="D102" s="90"/>
      <c r="E102" s="90"/>
      <c r="F102" s="90"/>
      <c r="G102" s="90"/>
      <c r="H102" s="90"/>
      <c r="I102" s="90"/>
      <c r="J102" s="90"/>
      <c r="K102" s="90"/>
      <c r="L102" s="90"/>
      <c r="M102" s="90"/>
      <c r="N102" s="90"/>
      <c r="O102" s="90"/>
      <c r="P102" s="131"/>
    </row>
    <row r="103" spans="2:17" s="133" customFormat="1">
      <c r="B103" s="90" t="s">
        <v>1127</v>
      </c>
      <c r="C103" s="90"/>
      <c r="D103" s="209">
        <f t="shared" ref="D103:O103" si="51">(D89/D59)*1000</f>
        <v>10.351329138722145</v>
      </c>
      <c r="E103" s="209">
        <f t="shared" si="51"/>
        <v>12.206768354157019</v>
      </c>
      <c r="F103" s="209">
        <f t="shared" si="51"/>
        <v>12.095618223202763</v>
      </c>
      <c r="G103" s="209">
        <f t="shared" si="51"/>
        <v>12.135985268404905</v>
      </c>
      <c r="H103" s="209">
        <f t="shared" si="51"/>
        <v>11.799892742043481</v>
      </c>
      <c r="I103" s="209">
        <f t="shared" si="51"/>
        <v>12.747862026285782</v>
      </c>
      <c r="J103" s="209">
        <f t="shared" si="51"/>
        <v>11.035341254037416</v>
      </c>
      <c r="K103" s="209">
        <f t="shared" si="51"/>
        <v>10.784944010130298</v>
      </c>
      <c r="L103" s="209">
        <f t="shared" si="51"/>
        <v>11.311852285998725</v>
      </c>
      <c r="M103" s="209">
        <f t="shared" si="51"/>
        <v>12.346252469252269</v>
      </c>
      <c r="N103" s="209">
        <f t="shared" si="51"/>
        <v>11.832727294785457</v>
      </c>
      <c r="O103" s="209">
        <f t="shared" si="51"/>
        <v>10.860735321610655</v>
      </c>
      <c r="P103" s="209">
        <f t="shared" ref="P103" si="52">(P89/P59)*1000</f>
        <v>10.615145632602452</v>
      </c>
    </row>
    <row r="104" spans="2:17" s="133" customFormat="1">
      <c r="B104" s="90" t="s">
        <v>299</v>
      </c>
      <c r="C104" s="90"/>
      <c r="D104" s="209">
        <f t="shared" ref="D104:O104" si="53">(D87/D59)*1000</f>
        <v>10.351329138722145</v>
      </c>
      <c r="E104" s="209">
        <f t="shared" si="53"/>
        <v>12.206768354157019</v>
      </c>
      <c r="F104" s="209">
        <f t="shared" si="53"/>
        <v>12.095618223202763</v>
      </c>
      <c r="G104" s="209">
        <f t="shared" si="53"/>
        <v>12.135985268404905</v>
      </c>
      <c r="H104" s="209">
        <f t="shared" si="53"/>
        <v>11.799892742043481</v>
      </c>
      <c r="I104" s="209">
        <f t="shared" si="53"/>
        <v>12.747862026285782</v>
      </c>
      <c r="J104" s="209">
        <f t="shared" si="53"/>
        <v>11.035341254037416</v>
      </c>
      <c r="K104" s="209">
        <f t="shared" si="53"/>
        <v>10.784944010130298</v>
      </c>
      <c r="L104" s="209">
        <f t="shared" si="53"/>
        <v>11.311852285998725</v>
      </c>
      <c r="M104" s="209">
        <f t="shared" si="53"/>
        <v>12.346252469252269</v>
      </c>
      <c r="N104" s="209">
        <f t="shared" si="53"/>
        <v>11.832727294785457</v>
      </c>
      <c r="O104" s="209">
        <f t="shared" si="53"/>
        <v>10.860735321610655</v>
      </c>
      <c r="P104" s="209">
        <f t="shared" ref="P104" si="54">(P87/P59)*1000</f>
        <v>10.615145632602452</v>
      </c>
    </row>
    <row r="105" spans="2:17" s="133" customFormat="1">
      <c r="B105" s="90" t="s">
        <v>300</v>
      </c>
      <c r="C105" s="90"/>
      <c r="D105" s="209">
        <f t="shared" ref="D105:O105" si="55">(D93/D59)*1000</f>
        <v>6.6705589344287866</v>
      </c>
      <c r="E105" s="209">
        <f t="shared" si="55"/>
        <v>7.9433931160650531</v>
      </c>
      <c r="F105" s="209">
        <f t="shared" si="55"/>
        <v>7.9651000726572994</v>
      </c>
      <c r="G105" s="209">
        <f t="shared" si="55"/>
        <v>8.0591305538054065</v>
      </c>
      <c r="H105" s="209">
        <f t="shared" si="55"/>
        <v>8.049838819117463</v>
      </c>
      <c r="I105" s="209">
        <f t="shared" si="55"/>
        <v>10.107979520722088</v>
      </c>
      <c r="J105" s="209">
        <f t="shared" si="55"/>
        <v>8.729465360259832</v>
      </c>
      <c r="K105" s="209">
        <f t="shared" si="55"/>
        <v>8.3775886835674314</v>
      </c>
      <c r="L105" s="209">
        <f t="shared" si="55"/>
        <v>8.7324392858437445</v>
      </c>
      <c r="M105" s="209">
        <f t="shared" si="55"/>
        <v>8.8649228007965988</v>
      </c>
      <c r="N105" s="209">
        <f t="shared" si="55"/>
        <v>8.5644776649937988</v>
      </c>
      <c r="O105" s="209">
        <f t="shared" si="55"/>
        <v>7.8679522290347457</v>
      </c>
      <c r="P105" s="209">
        <f t="shared" ref="P105" si="56">(P93/P59)*1000</f>
        <v>7.3927490558495537</v>
      </c>
    </row>
    <row r="106" spans="2:17" s="133" customFormat="1">
      <c r="B106" s="90" t="s">
        <v>265</v>
      </c>
      <c r="C106" s="90"/>
      <c r="D106" s="209">
        <f t="shared" ref="D106:O106" si="57">D80*1000/D59</f>
        <v>4.1905206177138412</v>
      </c>
      <c r="E106" s="209">
        <f t="shared" si="57"/>
        <v>4.5000218545189012</v>
      </c>
      <c r="F106" s="209">
        <f t="shared" si="57"/>
        <v>4.5260735423433474</v>
      </c>
      <c r="G106" s="209">
        <f t="shared" si="57"/>
        <v>4.6122611817138939</v>
      </c>
      <c r="H106" s="209">
        <f t="shared" si="57"/>
        <v>4.7741394811165732</v>
      </c>
      <c r="I106" s="209">
        <f t="shared" si="57"/>
        <v>5.3461102941513072</v>
      </c>
      <c r="J106" s="209">
        <f t="shared" si="57"/>
        <v>5.578201470311658</v>
      </c>
      <c r="K106" s="209">
        <f t="shared" si="57"/>
        <v>5.5647454485355148</v>
      </c>
      <c r="L106" s="209">
        <f t="shared" si="57"/>
        <v>5.4664559149501946</v>
      </c>
      <c r="M106" s="209">
        <f t="shared" si="57"/>
        <v>6.0767482313893124</v>
      </c>
      <c r="N106" s="209">
        <f t="shared" si="57"/>
        <v>5.4701228483562883</v>
      </c>
      <c r="O106" s="209">
        <f t="shared" si="57"/>
        <v>5.0586946962958921</v>
      </c>
      <c r="P106" s="209">
        <f t="shared" ref="P106" si="58">P80*1000/P59</f>
        <v>5.0695914168434904</v>
      </c>
    </row>
    <row r="107" spans="2:17" s="133" customFormat="1">
      <c r="B107" s="111" t="s">
        <v>1136</v>
      </c>
      <c r="C107" s="111"/>
      <c r="D107" s="159">
        <f t="shared" ref="D107:O107" si="59">D80/D61*1000</f>
        <v>55114.781533906134</v>
      </c>
      <c r="E107" s="159">
        <f t="shared" si="59"/>
        <v>62318.58880397254</v>
      </c>
      <c r="F107" s="159">
        <f t="shared" si="59"/>
        <v>61490.085987292689</v>
      </c>
      <c r="G107" s="159">
        <f t="shared" si="59"/>
        <v>96043.556372159903</v>
      </c>
      <c r="H107" s="159">
        <f t="shared" si="59"/>
        <v>92090.000143365367</v>
      </c>
      <c r="I107" s="159">
        <f t="shared" si="59"/>
        <v>94454.245479705074</v>
      </c>
      <c r="J107" s="159">
        <f t="shared" si="59"/>
        <v>95093.320334024189</v>
      </c>
      <c r="K107" s="159">
        <f t="shared" si="59"/>
        <v>64650.137132823031</v>
      </c>
      <c r="L107" s="159">
        <f t="shared" si="59"/>
        <v>60086.299678644777</v>
      </c>
      <c r="M107" s="159">
        <f t="shared" si="59"/>
        <v>63072.676585020788</v>
      </c>
      <c r="N107" s="159">
        <f t="shared" si="59"/>
        <v>60936.601678580417</v>
      </c>
      <c r="O107" s="159">
        <f t="shared" si="59"/>
        <v>56373.279138888931</v>
      </c>
      <c r="P107" s="159">
        <f t="shared" ref="P107" si="60">P80/P61*1000</f>
        <v>56980.935847782595</v>
      </c>
    </row>
    <row r="108" spans="2:17" s="133" customFormat="1">
      <c r="B108" s="138"/>
      <c r="C108" s="138"/>
      <c r="D108" s="141"/>
      <c r="E108" s="141"/>
      <c r="F108" s="141"/>
      <c r="G108" s="141"/>
      <c r="H108" s="141"/>
      <c r="I108" s="141"/>
      <c r="J108" s="141"/>
      <c r="K108" s="141"/>
      <c r="L108" s="141"/>
      <c r="M108" s="141"/>
      <c r="N108" s="141"/>
      <c r="O108" s="141"/>
      <c r="P108" s="141"/>
    </row>
    <row r="109" spans="2:17" s="133" customFormat="1">
      <c r="B109" s="153" t="s">
        <v>1148</v>
      </c>
      <c r="C109" s="94"/>
      <c r="D109" s="94"/>
      <c r="E109" s="94"/>
      <c r="F109" s="94"/>
      <c r="G109" s="94"/>
      <c r="H109" s="94"/>
      <c r="I109" s="94"/>
      <c r="J109" s="94"/>
      <c r="K109" s="94"/>
      <c r="L109" s="94"/>
      <c r="M109" s="94"/>
      <c r="N109" s="94"/>
      <c r="O109" s="94"/>
      <c r="P109" s="94"/>
    </row>
    <row r="110" spans="2:17" s="133" customFormat="1">
      <c r="B110" s="138"/>
      <c r="D110" s="214"/>
      <c r="E110" s="214"/>
      <c r="F110" s="214"/>
      <c r="G110" s="214"/>
      <c r="H110" s="214"/>
      <c r="I110" s="214"/>
      <c r="J110" s="214"/>
      <c r="K110" s="214"/>
      <c r="L110" s="214"/>
      <c r="M110" s="214"/>
      <c r="N110" s="214"/>
      <c r="O110" s="214"/>
      <c r="P110" s="131"/>
    </row>
    <row r="111" spans="2:17">
      <c r="B111" s="138" t="s">
        <v>1093</v>
      </c>
      <c r="D111" s="214">
        <f>PPP!X352</f>
        <v>1.0810858984956992</v>
      </c>
      <c r="E111" s="214">
        <f>PPP!Y352</f>
        <v>1.1278656795972586</v>
      </c>
      <c r="F111" s="214">
        <f>PPP!Z352</f>
        <v>1.1179233456023558</v>
      </c>
      <c r="G111" s="214">
        <f>PPP!AA352</f>
        <v>1.2385380995318602</v>
      </c>
      <c r="H111" s="214">
        <f>PPP!AB352</f>
        <v>1.2113046911974497</v>
      </c>
      <c r="I111" s="214">
        <f>PPP!AC352</f>
        <v>1.238384783865105</v>
      </c>
      <c r="J111" s="214">
        <f>PPP!AD352</f>
        <v>1.2142447079401339</v>
      </c>
      <c r="K111" s="214">
        <f>PPP!AE352</f>
        <v>1.1714686822505256</v>
      </c>
      <c r="L111" s="214">
        <f>PPP!AF352</f>
        <v>1.3135292808128363</v>
      </c>
      <c r="M111" s="214">
        <f>PPP!AG352</f>
        <v>1.4299784574568266</v>
      </c>
      <c r="N111" s="214">
        <f>PPP!AH352</f>
        <v>1.3556214954808565</v>
      </c>
      <c r="O111" s="214">
        <f>PPP!AI352</f>
        <v>1.3363661517307592</v>
      </c>
      <c r="P111" s="214">
        <f>PPP!AJ352</f>
        <v>1.3363661517307592</v>
      </c>
      <c r="Q111" s="90"/>
    </row>
    <row r="112" spans="2:17">
      <c r="B112" s="138" t="s">
        <v>377</v>
      </c>
      <c r="D112" s="214">
        <f>'GDP per cap'!AQ351</f>
        <v>1.1964489529885396</v>
      </c>
      <c r="E112" s="214">
        <f>'GDP per cap'!AR351</f>
        <v>1.2057476864343279</v>
      </c>
      <c r="F112" s="214">
        <f>'GDP per cap'!AS351</f>
        <v>1.1980721303110469</v>
      </c>
      <c r="G112" s="214">
        <f>'GDP per cap'!AT351</f>
        <v>1.2661150978360907</v>
      </c>
      <c r="H112" s="214">
        <f>'GDP per cap'!AU351</f>
        <v>1.2340070681689426</v>
      </c>
      <c r="I112" s="214">
        <f>'GDP per cap'!AV351</f>
        <v>1.2472362326912774</v>
      </c>
      <c r="J112" s="214">
        <f>'GDP per cap'!AW351</f>
        <v>1.246567075176594</v>
      </c>
      <c r="K112" s="214">
        <f>'GDP per cap'!AX351</f>
        <v>1.2307548161192046</v>
      </c>
      <c r="L112" s="214">
        <f>'GDP per cap'!AY351</f>
        <v>1.4507784084235906</v>
      </c>
      <c r="M112" s="214">
        <f>'GDP per cap'!AZ351</f>
        <v>1.5914107446571251</v>
      </c>
      <c r="N112" s="214">
        <f>'GDP per cap'!BA351</f>
        <v>1.5579732282043917</v>
      </c>
      <c r="O112" s="214">
        <f>'GDP per cap'!BB351</f>
        <v>1.5331592516049688</v>
      </c>
      <c r="P112" s="214">
        <f>'GDP per cap'!BC351</f>
        <v>1.5331592516049688</v>
      </c>
      <c r="Q112" s="90"/>
    </row>
    <row r="113" spans="2:16" s="133" customFormat="1">
      <c r="B113" s="138"/>
      <c r="C113" s="138"/>
      <c r="D113" s="141"/>
      <c r="E113" s="141"/>
      <c r="F113" s="141"/>
      <c r="G113" s="141"/>
      <c r="H113" s="141"/>
      <c r="I113" s="141"/>
      <c r="J113" s="141"/>
      <c r="K113" s="141"/>
      <c r="L113" s="141"/>
      <c r="M113" s="141"/>
      <c r="N113" s="141"/>
      <c r="O113" s="141"/>
      <c r="P113" s="141"/>
    </row>
    <row r="114" spans="2:16" s="133" customFormat="1">
      <c r="B114" s="70" t="str">
        <f t="shared" ref="B114:C119" si="61">B21</f>
        <v>Cost Category</v>
      </c>
      <c r="C114" s="70" t="str">
        <f t="shared" si="61"/>
        <v>Sub-Category</v>
      </c>
      <c r="D114" s="138"/>
      <c r="E114" s="138"/>
      <c r="F114" s="138"/>
      <c r="G114" s="138"/>
      <c r="H114" s="138"/>
      <c r="I114" s="138"/>
      <c r="J114" s="138"/>
      <c r="K114" s="138"/>
      <c r="L114" s="138"/>
      <c r="M114" s="138"/>
      <c r="N114" s="138"/>
      <c r="O114" s="138"/>
      <c r="P114" s="138"/>
    </row>
    <row r="115" spans="2:16" s="133" customFormat="1">
      <c r="B115" s="138" t="str">
        <f t="shared" si="61"/>
        <v>Staff Costs</v>
      </c>
      <c r="C115" s="138" t="str">
        <f t="shared" si="61"/>
        <v>Wages and Salaries</v>
      </c>
      <c r="D115" s="159">
        <f>D22*D74/D112*D78</f>
        <v>61416.002376669923</v>
      </c>
      <c r="E115" s="159">
        <f t="shared" ref="E115:O115" si="62">E22*E74/E112*E78</f>
        <v>63337.531028760575</v>
      </c>
      <c r="F115" s="159">
        <f t="shared" si="62"/>
        <v>63278.555168700579</v>
      </c>
      <c r="G115" s="159">
        <f t="shared" si="62"/>
        <v>59894.302884274308</v>
      </c>
      <c r="H115" s="159">
        <f t="shared" si="62"/>
        <v>67581.128069685627</v>
      </c>
      <c r="I115" s="159">
        <f t="shared" si="62"/>
        <v>75745.837354057643</v>
      </c>
      <c r="J115" s="159">
        <f t="shared" si="62"/>
        <v>88074.396553808052</v>
      </c>
      <c r="K115" s="159">
        <f t="shared" si="62"/>
        <v>89558.197207330537</v>
      </c>
      <c r="L115" s="159">
        <f t="shared" si="62"/>
        <v>77989.721598774515</v>
      </c>
      <c r="M115" s="159">
        <f t="shared" si="62"/>
        <v>73301.861141260437</v>
      </c>
      <c r="N115" s="159">
        <f t="shared" si="62"/>
        <v>74255.170083758509</v>
      </c>
      <c r="O115" s="159">
        <f t="shared" si="62"/>
        <v>73969.85186259629</v>
      </c>
      <c r="P115" s="159">
        <f t="shared" ref="P115" si="63">P22*P74/P112*P78</f>
        <v>75995.207288850637</v>
      </c>
    </row>
    <row r="116" spans="2:16" s="133" customFormat="1">
      <c r="B116" s="138" t="str">
        <f t="shared" si="61"/>
        <v>Staff Costs</v>
      </c>
      <c r="C116" s="138" t="str">
        <f t="shared" si="61"/>
        <v>Pensions</v>
      </c>
      <c r="D116" s="159">
        <f t="shared" ref="D116:O116" si="64">D23*D74/D111*D78</f>
        <v>4348.8334485077912</v>
      </c>
      <c r="E116" s="159">
        <f t="shared" si="64"/>
        <v>4391.6496240244351</v>
      </c>
      <c r="F116" s="159">
        <f t="shared" si="64"/>
        <v>4671.0340027189368</v>
      </c>
      <c r="G116" s="159">
        <f t="shared" si="64"/>
        <v>4427.1529574713077</v>
      </c>
      <c r="H116" s="159">
        <f t="shared" si="64"/>
        <v>4971.9285300876927</v>
      </c>
      <c r="I116" s="159">
        <f t="shared" si="64"/>
        <v>5661.2607901944148</v>
      </c>
      <c r="J116" s="159">
        <f t="shared" si="64"/>
        <v>6377.9039807475028</v>
      </c>
      <c r="K116" s="159">
        <f t="shared" si="64"/>
        <v>7552.8814305475726</v>
      </c>
      <c r="L116" s="159">
        <f t="shared" si="64"/>
        <v>6830.6469100078748</v>
      </c>
      <c r="M116" s="159">
        <f t="shared" si="64"/>
        <v>6688.5717887056553</v>
      </c>
      <c r="N116" s="159">
        <f t="shared" si="64"/>
        <v>7118.4481073356719</v>
      </c>
      <c r="O116" s="159">
        <f t="shared" si="64"/>
        <v>7181.2951384765393</v>
      </c>
      <c r="P116" s="159">
        <f t="shared" ref="P116" si="65">P23*P74/P111*P78</f>
        <v>7282.5961964566177</v>
      </c>
    </row>
    <row r="117" spans="2:16" s="133" customFormat="1">
      <c r="B117" s="138" t="str">
        <f t="shared" si="61"/>
        <v>Staff Costs</v>
      </c>
      <c r="C117" s="138" t="str">
        <f t="shared" si="61"/>
        <v>Other Social Security Costs</v>
      </c>
      <c r="D117" s="159">
        <f t="shared" ref="D117:O117" si="66">D24*D74/D111*D78</f>
        <v>474.25952426033825</v>
      </c>
      <c r="E117" s="159">
        <f t="shared" si="66"/>
        <v>382.57847555200766</v>
      </c>
      <c r="F117" s="159">
        <f t="shared" si="66"/>
        <v>347.29400038276316</v>
      </c>
      <c r="G117" s="159">
        <f t="shared" si="66"/>
        <v>369.95707165498385</v>
      </c>
      <c r="H117" s="159">
        <f t="shared" si="66"/>
        <v>367.38388153357334</v>
      </c>
      <c r="I117" s="159">
        <f t="shared" si="66"/>
        <v>477.59607489294444</v>
      </c>
      <c r="J117" s="159">
        <f t="shared" si="66"/>
        <v>402.93617206888558</v>
      </c>
      <c r="K117" s="159">
        <f t="shared" si="66"/>
        <v>492.08166895991752</v>
      </c>
      <c r="L117" s="159">
        <f t="shared" si="66"/>
        <v>471.0790972419224</v>
      </c>
      <c r="M117" s="159">
        <f t="shared" si="66"/>
        <v>598.1649567135139</v>
      </c>
      <c r="N117" s="159">
        <f t="shared" si="66"/>
        <v>612.24136481577671</v>
      </c>
      <c r="O117" s="159">
        <f t="shared" si="66"/>
        <v>625.60976052985802</v>
      </c>
      <c r="P117" s="159">
        <f t="shared" ref="P117" si="67">P24*P74/P111*P78</f>
        <v>640.32205713276244</v>
      </c>
    </row>
    <row r="118" spans="2:16" s="133" customFormat="1">
      <c r="B118" s="138" t="str">
        <f t="shared" si="61"/>
        <v>Staff Costs</v>
      </c>
      <c r="C118" s="138" t="str">
        <f t="shared" si="61"/>
        <v>Other</v>
      </c>
      <c r="D118" s="159">
        <f t="shared" ref="D118:O118" si="68">D25*D74/D111*D78</f>
        <v>3567.9302343862319</v>
      </c>
      <c r="E118" s="159">
        <f t="shared" si="68"/>
        <v>3383.5744627865088</v>
      </c>
      <c r="F118" s="159">
        <f t="shared" si="68"/>
        <v>3815.875253598304</v>
      </c>
      <c r="G118" s="159">
        <f t="shared" si="68"/>
        <v>3477.5964735568482</v>
      </c>
      <c r="H118" s="159">
        <f t="shared" si="68"/>
        <v>4163.683990713831</v>
      </c>
      <c r="I118" s="159">
        <f t="shared" si="68"/>
        <v>7361.968764203436</v>
      </c>
      <c r="J118" s="159">
        <f t="shared" si="68"/>
        <v>4374.7355824621854</v>
      </c>
      <c r="K118" s="159">
        <f t="shared" si="68"/>
        <v>6213.9615405868662</v>
      </c>
      <c r="L118" s="159">
        <f t="shared" si="68"/>
        <v>5299.6398439716268</v>
      </c>
      <c r="M118" s="159">
        <f t="shared" si="68"/>
        <v>2972.6985727580691</v>
      </c>
      <c r="N118" s="159">
        <f t="shared" si="68"/>
        <v>3892.758528530162</v>
      </c>
      <c r="O118" s="159">
        <f t="shared" si="68"/>
        <v>3471.6936006868182</v>
      </c>
      <c r="P118" s="159">
        <f t="shared" ref="P118" si="69">P25*P74/P111*P78</f>
        <v>4098.0611656496794</v>
      </c>
    </row>
    <row r="119" spans="2:16" s="133" customFormat="1">
      <c r="B119" s="138" t="str">
        <f t="shared" si="61"/>
        <v>Staff Costs</v>
      </c>
      <c r="C119" s="138" t="str">
        <f t="shared" si="61"/>
        <v>Capitalisation</v>
      </c>
      <c r="D119" s="159">
        <f t="shared" ref="D119:O119" si="70">D26*D74/D111*D78</f>
        <v>-5038.4055930779468</v>
      </c>
      <c r="E119" s="159">
        <f t="shared" si="70"/>
        <v>-3652.555034823999</v>
      </c>
      <c r="F119" s="159">
        <f t="shared" si="70"/>
        <v>-2559.2896335899009</v>
      </c>
      <c r="G119" s="159">
        <f t="shared" si="70"/>
        <v>-3588.5835950533437</v>
      </c>
      <c r="H119" s="159">
        <f t="shared" si="70"/>
        <v>-3465.6546158000419</v>
      </c>
      <c r="I119" s="159">
        <f t="shared" si="70"/>
        <v>-3448.0106870319887</v>
      </c>
      <c r="J119" s="159">
        <f t="shared" si="70"/>
        <v>-5560.5191745506208</v>
      </c>
      <c r="K119" s="159">
        <f t="shared" si="70"/>
        <v>-6694.5994498035298</v>
      </c>
      <c r="L119" s="159">
        <f t="shared" si="70"/>
        <v>-9264.5555790911403</v>
      </c>
      <c r="M119" s="159">
        <f t="shared" si="70"/>
        <v>-8120.5424426561895</v>
      </c>
      <c r="N119" s="159">
        <f t="shared" si="70"/>
        <v>-10207.068723868992</v>
      </c>
      <c r="O119" s="159">
        <f t="shared" si="70"/>
        <v>-10212.418485269091</v>
      </c>
      <c r="P119" s="159">
        <f t="shared" ref="P119" si="71">P26*P74/P111*P78</f>
        <v>-10817.173951829467</v>
      </c>
    </row>
    <row r="120" spans="2:16" s="133" customFormat="1">
      <c r="B120" s="70" t="str">
        <f>B27</f>
        <v>Staff Costs Total</v>
      </c>
      <c r="C120" s="138"/>
      <c r="D120" s="159">
        <f>SUM(D115:D119)</f>
        <v>64768.619990746345</v>
      </c>
      <c r="E120" s="159">
        <f t="shared" ref="E120:O120" si="72">SUM(E115:E119)</f>
        <v>67842.778556299541</v>
      </c>
      <c r="F120" s="159">
        <f t="shared" si="72"/>
        <v>69553.468791810694</v>
      </c>
      <c r="G120" s="159">
        <f t="shared" si="72"/>
        <v>64580.425791904105</v>
      </c>
      <c r="H120" s="159">
        <f t="shared" si="72"/>
        <v>73618.46985622069</v>
      </c>
      <c r="I120" s="159">
        <f t="shared" si="72"/>
        <v>85798.652296316461</v>
      </c>
      <c r="J120" s="159">
        <f t="shared" si="72"/>
        <v>93669.453114536023</v>
      </c>
      <c r="K120" s="159">
        <f t="shared" si="72"/>
        <v>97122.52239762136</v>
      </c>
      <c r="L120" s="159">
        <f t="shared" si="72"/>
        <v>81326.531870904786</v>
      </c>
      <c r="M120" s="159">
        <f t="shared" si="72"/>
        <v>75440.754016781488</v>
      </c>
      <c r="N120" s="159">
        <f t="shared" si="72"/>
        <v>75671.549360571138</v>
      </c>
      <c r="O120" s="159">
        <f t="shared" si="72"/>
        <v>75036.031877020403</v>
      </c>
      <c r="P120" s="159">
        <f t="shared" ref="P120" si="73">SUM(P115:P119)</f>
        <v>77199.012756260243</v>
      </c>
    </row>
    <row r="121" spans="2:16" s="133" customFormat="1">
      <c r="B121" s="138"/>
      <c r="C121" s="138"/>
      <c r="D121" s="141"/>
      <c r="E121" s="141"/>
      <c r="F121" s="141"/>
      <c r="G121" s="141"/>
      <c r="H121" s="141"/>
      <c r="I121" s="141"/>
      <c r="J121" s="141"/>
      <c r="K121" s="141"/>
      <c r="L121" s="141"/>
      <c r="M121" s="141"/>
      <c r="N121" s="141"/>
      <c r="O121" s="141"/>
      <c r="P121" s="141"/>
    </row>
    <row r="122" spans="2:16" s="133" customFormat="1">
      <c r="B122" s="138" t="str">
        <f>B29</f>
        <v>Depreciation</v>
      </c>
      <c r="C122" s="138" t="str">
        <f>C29</f>
        <v>Depreciation</v>
      </c>
      <c r="D122" s="159">
        <f t="shared" ref="D122:O122" si="74">D29*D74/D111*D78</f>
        <v>61267.800438194303</v>
      </c>
      <c r="E122" s="159">
        <f t="shared" si="74"/>
        <v>66809.731593657445</v>
      </c>
      <c r="F122" s="159">
        <f t="shared" si="74"/>
        <v>66490.350304859952</v>
      </c>
      <c r="G122" s="159">
        <f t="shared" si="74"/>
        <v>57799.626494896984</v>
      </c>
      <c r="H122" s="159">
        <f t="shared" si="74"/>
        <v>58316.068128762541</v>
      </c>
      <c r="I122" s="159">
        <f t="shared" si="74"/>
        <v>41678.994047974513</v>
      </c>
      <c r="J122" s="159">
        <f t="shared" si="74"/>
        <v>37553.651236820137</v>
      </c>
      <c r="K122" s="159">
        <f t="shared" si="74"/>
        <v>40568.128289835069</v>
      </c>
      <c r="L122" s="159">
        <f t="shared" si="74"/>
        <v>38549.972790963984</v>
      </c>
      <c r="M122" s="159">
        <f t="shared" si="74"/>
        <v>42696.289561778241</v>
      </c>
      <c r="N122" s="159">
        <f t="shared" si="74"/>
        <v>44949.481694459784</v>
      </c>
      <c r="O122" s="159">
        <f t="shared" si="74"/>
        <v>45105.582593694977</v>
      </c>
      <c r="P122" s="159">
        <f t="shared" ref="P122" si="75">P29*P74/P111*P78</f>
        <v>47699.724442676583</v>
      </c>
    </row>
    <row r="123" spans="2:16" s="133" customFormat="1">
      <c r="B123" s="70" t="str">
        <f>B30</f>
        <v>Depreciation Total</v>
      </c>
      <c r="C123" s="138"/>
      <c r="D123" s="159">
        <f>D122</f>
        <v>61267.800438194303</v>
      </c>
      <c r="E123" s="159">
        <f t="shared" ref="E123:O123" si="76">E122</f>
        <v>66809.731593657445</v>
      </c>
      <c r="F123" s="159">
        <f t="shared" si="76"/>
        <v>66490.350304859952</v>
      </c>
      <c r="G123" s="159">
        <f t="shared" si="76"/>
        <v>57799.626494896984</v>
      </c>
      <c r="H123" s="159">
        <f t="shared" si="76"/>
        <v>58316.068128762541</v>
      </c>
      <c r="I123" s="159">
        <f t="shared" si="76"/>
        <v>41678.994047974513</v>
      </c>
      <c r="J123" s="159">
        <f t="shared" si="76"/>
        <v>37553.651236820137</v>
      </c>
      <c r="K123" s="159">
        <f t="shared" si="76"/>
        <v>40568.128289835069</v>
      </c>
      <c r="L123" s="159">
        <f t="shared" si="76"/>
        <v>38549.972790963984</v>
      </c>
      <c r="M123" s="159">
        <f t="shared" si="76"/>
        <v>42696.289561778241</v>
      </c>
      <c r="N123" s="159">
        <f t="shared" si="76"/>
        <v>44949.481694459784</v>
      </c>
      <c r="O123" s="159">
        <f t="shared" si="76"/>
        <v>45105.582593694977</v>
      </c>
      <c r="P123" s="159">
        <f t="shared" ref="P123" si="77">P122</f>
        <v>47699.724442676583</v>
      </c>
    </row>
    <row r="124" spans="2:16" s="133" customFormat="1">
      <c r="B124" s="138"/>
      <c r="C124" s="138"/>
      <c r="D124" s="141"/>
      <c r="E124" s="141"/>
      <c r="F124" s="141"/>
      <c r="G124" s="141"/>
      <c r="H124" s="141"/>
      <c r="I124" s="141"/>
      <c r="J124" s="141"/>
      <c r="K124" s="141"/>
      <c r="L124" s="141"/>
      <c r="M124" s="141"/>
      <c r="N124" s="141"/>
      <c r="O124" s="141"/>
      <c r="P124" s="141"/>
    </row>
    <row r="125" spans="2:16" s="133" customFormat="1">
      <c r="B125" s="138" t="str">
        <f t="shared" ref="B125:C128" si="78">B32</f>
        <v>Other Costs</v>
      </c>
      <c r="C125" s="138" t="str">
        <f t="shared" si="78"/>
        <v>Maintenance Expenditure</v>
      </c>
      <c r="D125" s="159">
        <f t="shared" ref="D125:O125" si="79">D32*D74/D111*D78</f>
        <v>27360.802325379747</v>
      </c>
      <c r="E125" s="159">
        <f t="shared" si="79"/>
        <v>33664.072983152371</v>
      </c>
      <c r="F125" s="159">
        <f t="shared" si="79"/>
        <v>35198.879660656094</v>
      </c>
      <c r="G125" s="159">
        <f t="shared" si="79"/>
        <v>31360.027773954134</v>
      </c>
      <c r="H125" s="159">
        <f t="shared" si="79"/>
        <v>34840.2380987672</v>
      </c>
      <c r="I125" s="159">
        <f t="shared" si="79"/>
        <v>47992.581184364171</v>
      </c>
      <c r="J125" s="159">
        <f t="shared" si="79"/>
        <v>36229.718100022372</v>
      </c>
      <c r="K125" s="159">
        <f t="shared" si="79"/>
        <v>34674.592022059303</v>
      </c>
      <c r="L125" s="159">
        <f t="shared" si="79"/>
        <v>31238.432635854977</v>
      </c>
      <c r="M125" s="159">
        <f t="shared" si="79"/>
        <v>30334.213789698955</v>
      </c>
      <c r="N125" s="159">
        <f t="shared" si="79"/>
        <v>38223.964612304379</v>
      </c>
      <c r="O125" s="159">
        <f t="shared" si="79"/>
        <v>35007.712374438393</v>
      </c>
      <c r="P125" s="159">
        <f t="shared" ref="P125" si="80">P32*P74/P111*P78</f>
        <v>33510.187656614566</v>
      </c>
    </row>
    <row r="126" spans="2:16" s="133" customFormat="1">
      <c r="B126" s="138" t="str">
        <f t="shared" si="78"/>
        <v>Other Costs</v>
      </c>
      <c r="C126" s="138" t="str">
        <f t="shared" si="78"/>
        <v>Energy</v>
      </c>
      <c r="D126" s="159">
        <f t="shared" ref="D126:O126" si="81">D33*D74/D111*D78</f>
        <v>5494.3086255997814</v>
      </c>
      <c r="E126" s="159">
        <f t="shared" si="81"/>
        <v>6989.9537911943817</v>
      </c>
      <c r="F126" s="159">
        <f t="shared" si="81"/>
        <v>7034.8828830570001</v>
      </c>
      <c r="G126" s="159">
        <f t="shared" si="81"/>
        <v>4698.4548100182956</v>
      </c>
      <c r="H126" s="159">
        <f t="shared" si="81"/>
        <v>5216.8511177767423</v>
      </c>
      <c r="I126" s="159">
        <f t="shared" si="81"/>
        <v>5637.9634206874407</v>
      </c>
      <c r="J126" s="159">
        <f t="shared" si="81"/>
        <v>6124.6298154470596</v>
      </c>
      <c r="K126" s="159">
        <f t="shared" si="81"/>
        <v>6019.4176249515504</v>
      </c>
      <c r="L126" s="159">
        <f t="shared" si="81"/>
        <v>5544.9935404517955</v>
      </c>
      <c r="M126" s="159">
        <f t="shared" si="81"/>
        <v>5229.4118185408724</v>
      </c>
      <c r="N126" s="159">
        <f t="shared" si="81"/>
        <v>6908.2756985183141</v>
      </c>
      <c r="O126" s="159">
        <f t="shared" si="81"/>
        <v>6405.8914916226313</v>
      </c>
      <c r="P126" s="159">
        <f t="shared" ref="P126" si="82">P33*P74/P111*P78</f>
        <v>6189.7798856167046</v>
      </c>
    </row>
    <row r="127" spans="2:16" s="133" customFormat="1">
      <c r="B127" s="138" t="str">
        <f t="shared" si="78"/>
        <v>Other Costs</v>
      </c>
      <c r="C127" s="138" t="str">
        <f t="shared" si="78"/>
        <v>Other  expenses</v>
      </c>
      <c r="D127" s="159">
        <f t="shared" ref="D127:O127" si="83">D34*D74/D111*D78</f>
        <v>10733.582386472004</v>
      </c>
      <c r="E127" s="159">
        <f t="shared" si="83"/>
        <v>2320.2584257746898</v>
      </c>
      <c r="F127" s="159">
        <f t="shared" si="83"/>
        <v>3915.9859128179501</v>
      </c>
      <c r="G127" s="159">
        <f t="shared" si="83"/>
        <v>3810.5578380463339</v>
      </c>
      <c r="H127" s="159">
        <f t="shared" si="83"/>
        <v>1616.4890787477227</v>
      </c>
      <c r="I127" s="159">
        <f t="shared" si="83"/>
        <v>20431.793057615232</v>
      </c>
      <c r="J127" s="159">
        <f t="shared" si="83"/>
        <v>10579.952632323024</v>
      </c>
      <c r="K127" s="159">
        <f t="shared" si="83"/>
        <v>3147.0339293948218</v>
      </c>
      <c r="L127" s="159">
        <f t="shared" si="83"/>
        <v>9755.2629720514742</v>
      </c>
      <c r="M127" s="159">
        <f t="shared" si="83"/>
        <v>-416.90284861850967</v>
      </c>
      <c r="N127" s="159">
        <f t="shared" si="83"/>
        <v>603.10343399763065</v>
      </c>
      <c r="O127" s="159">
        <f t="shared" si="83"/>
        <v>1550.8072937078173</v>
      </c>
      <c r="P127" s="159">
        <f t="shared" ref="P127" si="84">P34*P74/P111*P78</f>
        <v>529.33290056308363</v>
      </c>
    </row>
    <row r="128" spans="2:16" s="133" customFormat="1">
      <c r="B128" s="138" t="str">
        <f t="shared" si="78"/>
        <v>Other Costs</v>
      </c>
      <c r="C128" s="138" t="str">
        <f t="shared" si="78"/>
        <v>Administrative Expenses</v>
      </c>
      <c r="D128" s="159">
        <f t="shared" ref="D128:O128" si="85">D35*D74/D111*D78</f>
        <v>0</v>
      </c>
      <c r="E128" s="159">
        <f t="shared" si="85"/>
        <v>13830.190644714394</v>
      </c>
      <c r="F128" s="159">
        <f t="shared" si="85"/>
        <v>11270.604244000619</v>
      </c>
      <c r="G128" s="159">
        <f t="shared" si="85"/>
        <v>9853.1900084110712</v>
      </c>
      <c r="H128" s="159">
        <f t="shared" si="85"/>
        <v>10213.271906633339</v>
      </c>
      <c r="I128" s="159">
        <f t="shared" si="85"/>
        <v>3797.4712296365824</v>
      </c>
      <c r="J128" s="159">
        <f t="shared" si="85"/>
        <v>3442.2261556741942</v>
      </c>
      <c r="K128" s="159">
        <f t="shared" si="85"/>
        <v>10951.678074293979</v>
      </c>
      <c r="L128" s="159">
        <f t="shared" si="85"/>
        <v>10589.465540084049</v>
      </c>
      <c r="M128" s="159">
        <f t="shared" si="85"/>
        <v>8528.3821858699484</v>
      </c>
      <c r="N128" s="159">
        <f t="shared" si="85"/>
        <v>10225.344585505283</v>
      </c>
      <c r="O128" s="159">
        <f t="shared" si="85"/>
        <v>10485.572042683536</v>
      </c>
      <c r="P128" s="159">
        <f t="shared" ref="P128" si="86">P35*P74/P111*P78</f>
        <v>8759.6057415761898</v>
      </c>
    </row>
    <row r="129" spans="1:16" s="133" customFormat="1">
      <c r="B129" s="70" t="str">
        <f>B36</f>
        <v>Other Costs Total</v>
      </c>
      <c r="C129" s="138"/>
      <c r="D129" s="159">
        <f>SUM(D125:D128)</f>
        <v>43588.693337451536</v>
      </c>
      <c r="E129" s="159">
        <f t="shared" ref="E129:O129" si="87">SUM(E125:E128)</f>
        <v>56804.475844835841</v>
      </c>
      <c r="F129" s="159">
        <f t="shared" si="87"/>
        <v>57420.352700531665</v>
      </c>
      <c r="G129" s="159">
        <f t="shared" si="87"/>
        <v>49722.23043042983</v>
      </c>
      <c r="H129" s="159">
        <f t="shared" si="87"/>
        <v>51886.850201925001</v>
      </c>
      <c r="I129" s="159">
        <f t="shared" si="87"/>
        <v>77859.808892303423</v>
      </c>
      <c r="J129" s="159">
        <f t="shared" si="87"/>
        <v>56376.526703466647</v>
      </c>
      <c r="K129" s="159">
        <f t="shared" si="87"/>
        <v>54792.721650699656</v>
      </c>
      <c r="L129" s="159">
        <f t="shared" si="87"/>
        <v>57128.154688442293</v>
      </c>
      <c r="M129" s="159">
        <f t="shared" si="87"/>
        <v>43675.104945491257</v>
      </c>
      <c r="N129" s="159">
        <f t="shared" si="87"/>
        <v>55960.688330325611</v>
      </c>
      <c r="O129" s="159">
        <f t="shared" si="87"/>
        <v>53449.983202452378</v>
      </c>
      <c r="P129" s="159">
        <f t="shared" ref="P129" si="88">SUM(P125:P128)</f>
        <v>48988.906184370542</v>
      </c>
    </row>
    <row r="130" spans="1:16" s="133" customFormat="1">
      <c r="B130" s="138"/>
      <c r="C130" s="138"/>
      <c r="D130" s="141"/>
      <c r="E130" s="141"/>
      <c r="F130" s="141"/>
      <c r="G130" s="141"/>
      <c r="H130" s="141"/>
      <c r="I130" s="141"/>
      <c r="J130" s="141"/>
      <c r="K130" s="141"/>
      <c r="L130" s="141"/>
      <c r="M130" s="141"/>
      <c r="N130" s="141"/>
      <c r="O130" s="141"/>
      <c r="P130" s="141"/>
    </row>
    <row r="131" spans="1:16" s="133" customFormat="1">
      <c r="B131" s="138" t="str">
        <f>B38</f>
        <v>Exceptional Items</v>
      </c>
      <c r="C131" s="138" t="str">
        <f>C38</f>
        <v>Exceptional Items</v>
      </c>
      <c r="D131" s="159">
        <f t="shared" ref="D131:O131" si="89">D38*D74/D111*D78</f>
        <v>0</v>
      </c>
      <c r="E131" s="159">
        <f t="shared" si="89"/>
        <v>0</v>
      </c>
      <c r="F131" s="159">
        <f t="shared" si="89"/>
        <v>0</v>
      </c>
      <c r="G131" s="159">
        <f t="shared" si="89"/>
        <v>0</v>
      </c>
      <c r="H131" s="159">
        <f t="shared" si="89"/>
        <v>0</v>
      </c>
      <c r="I131" s="159">
        <f t="shared" si="89"/>
        <v>0</v>
      </c>
      <c r="J131" s="159">
        <f t="shared" si="89"/>
        <v>0</v>
      </c>
      <c r="K131" s="159">
        <f t="shared" si="89"/>
        <v>0</v>
      </c>
      <c r="L131" s="159">
        <f t="shared" si="89"/>
        <v>0</v>
      </c>
      <c r="M131" s="159">
        <f t="shared" si="89"/>
        <v>0</v>
      </c>
      <c r="N131" s="159">
        <f t="shared" si="89"/>
        <v>0</v>
      </c>
      <c r="O131" s="159">
        <f t="shared" si="89"/>
        <v>0</v>
      </c>
      <c r="P131" s="159">
        <f t="shared" ref="P131" si="90">P38*P74/P111*P78</f>
        <v>0</v>
      </c>
    </row>
    <row r="132" spans="1:16" s="133" customFormat="1">
      <c r="B132" s="70" t="str">
        <f>B39</f>
        <v>Exceptional Items Total</v>
      </c>
      <c r="C132" s="138"/>
      <c r="D132" s="159">
        <f>D131</f>
        <v>0</v>
      </c>
      <c r="E132" s="159">
        <f t="shared" ref="E132:O132" si="91">E131</f>
        <v>0</v>
      </c>
      <c r="F132" s="159">
        <f t="shared" si="91"/>
        <v>0</v>
      </c>
      <c r="G132" s="159">
        <f t="shared" si="91"/>
        <v>0</v>
      </c>
      <c r="H132" s="159">
        <f t="shared" si="91"/>
        <v>0</v>
      </c>
      <c r="I132" s="159">
        <f t="shared" si="91"/>
        <v>0</v>
      </c>
      <c r="J132" s="159">
        <f t="shared" si="91"/>
        <v>0</v>
      </c>
      <c r="K132" s="159">
        <f t="shared" si="91"/>
        <v>0</v>
      </c>
      <c r="L132" s="159">
        <f t="shared" si="91"/>
        <v>0</v>
      </c>
      <c r="M132" s="159">
        <f t="shared" si="91"/>
        <v>0</v>
      </c>
      <c r="N132" s="159">
        <f t="shared" si="91"/>
        <v>0</v>
      </c>
      <c r="O132" s="159">
        <f t="shared" si="91"/>
        <v>0</v>
      </c>
      <c r="P132" s="159">
        <f t="shared" ref="P132" si="92">P131</f>
        <v>0</v>
      </c>
    </row>
    <row r="133" spans="1:16" s="133" customFormat="1">
      <c r="B133" s="138"/>
      <c r="C133" s="138"/>
      <c r="D133" s="141"/>
      <c r="E133" s="141"/>
      <c r="F133" s="141"/>
      <c r="G133" s="141"/>
      <c r="H133" s="141"/>
      <c r="I133" s="141"/>
      <c r="J133" s="141"/>
      <c r="K133" s="141"/>
      <c r="L133" s="141"/>
      <c r="M133" s="141"/>
      <c r="N133" s="141"/>
      <c r="O133" s="141"/>
      <c r="P133" s="141"/>
    </row>
    <row r="134" spans="1:16" s="133" customFormat="1">
      <c r="B134" s="70" t="str">
        <f>B41</f>
        <v>Grand Total</v>
      </c>
      <c r="C134" s="138"/>
      <c r="D134" s="159">
        <f>D120+D123+D129+D132</f>
        <v>169625.11376639217</v>
      </c>
      <c r="E134" s="159">
        <f t="shared" ref="E134:O134" si="93">E120+E123+E129+E132</f>
        <v>191456.98599479281</v>
      </c>
      <c r="F134" s="159">
        <f t="shared" si="93"/>
        <v>193464.17179720232</v>
      </c>
      <c r="G134" s="159">
        <f t="shared" si="93"/>
        <v>172102.2827172309</v>
      </c>
      <c r="H134" s="159">
        <f t="shared" si="93"/>
        <v>183821.38818690824</v>
      </c>
      <c r="I134" s="159">
        <f t="shared" si="93"/>
        <v>205337.4552365944</v>
      </c>
      <c r="J134" s="159">
        <f t="shared" si="93"/>
        <v>187599.63105482282</v>
      </c>
      <c r="K134" s="159">
        <f t="shared" si="93"/>
        <v>192483.37233815607</v>
      </c>
      <c r="L134" s="159">
        <f t="shared" si="93"/>
        <v>177004.65935031106</v>
      </c>
      <c r="M134" s="159">
        <f t="shared" si="93"/>
        <v>161812.14852405101</v>
      </c>
      <c r="N134" s="159">
        <f t="shared" si="93"/>
        <v>176581.71938535653</v>
      </c>
      <c r="O134" s="159">
        <f t="shared" si="93"/>
        <v>173591.59767316777</v>
      </c>
      <c r="P134" s="159">
        <f t="shared" ref="P134" si="94">P120+P123+P129+P132</f>
        <v>173887.64338330738</v>
      </c>
    </row>
    <row r="135" spans="1:16" s="133" customFormat="1">
      <c r="B135" s="138"/>
      <c r="C135" s="138"/>
      <c r="D135" s="141"/>
      <c r="E135" s="141"/>
      <c r="F135" s="141"/>
      <c r="G135" s="141"/>
      <c r="H135" s="141"/>
      <c r="I135" s="141"/>
      <c r="J135" s="141"/>
      <c r="K135" s="141"/>
      <c r="L135" s="141"/>
      <c r="M135" s="141"/>
      <c r="N135" s="141"/>
      <c r="O135" s="141"/>
      <c r="P135" s="141"/>
    </row>
    <row r="136" spans="1:16" s="133" customFormat="1">
      <c r="B136" s="138" t="str">
        <f>B43</f>
        <v>Cost Residual (Ordinary Opex - Elements)</v>
      </c>
      <c r="C136" s="138"/>
      <c r="D136" s="159">
        <f>D43*D74/D111*D78</f>
        <v>0</v>
      </c>
      <c r="E136" s="159">
        <f t="shared" ref="E136:O136" si="95">E43*E74/E111</f>
        <v>46.55414127023306</v>
      </c>
      <c r="F136" s="159">
        <f t="shared" si="95"/>
        <v>0</v>
      </c>
      <c r="G136" s="159">
        <f t="shared" si="95"/>
        <v>0</v>
      </c>
      <c r="H136" s="159">
        <f t="shared" si="95"/>
        <v>0</v>
      </c>
      <c r="I136" s="159">
        <f t="shared" si="95"/>
        <v>0</v>
      </c>
      <c r="J136" s="159">
        <f t="shared" si="95"/>
        <v>0</v>
      </c>
      <c r="K136" s="159">
        <f t="shared" si="95"/>
        <v>0</v>
      </c>
      <c r="L136" s="159">
        <f t="shared" si="95"/>
        <v>0</v>
      </c>
      <c r="M136" s="159">
        <f t="shared" si="95"/>
        <v>0</v>
      </c>
      <c r="N136" s="159">
        <f t="shared" si="95"/>
        <v>0</v>
      </c>
      <c r="O136" s="159">
        <f t="shared" si="95"/>
        <v>0</v>
      </c>
      <c r="P136" s="159">
        <f t="shared" ref="P136" si="96">P43*P74/P111</f>
        <v>0</v>
      </c>
    </row>
    <row r="137" spans="1:16" s="133" customFormat="1">
      <c r="B137" s="138"/>
      <c r="C137" s="138"/>
      <c r="D137" s="141"/>
      <c r="E137" s="141"/>
      <c r="F137" s="141"/>
      <c r="G137" s="141"/>
      <c r="H137" s="141"/>
      <c r="I137" s="141"/>
      <c r="J137" s="141"/>
      <c r="K137" s="141"/>
      <c r="L137" s="141"/>
      <c r="M137" s="141"/>
      <c r="N137" s="141"/>
      <c r="O137" s="141"/>
      <c r="P137" s="141"/>
    </row>
    <row r="138" spans="1:16" s="133" customFormat="1">
      <c r="B138" s="138" t="str">
        <f>B45</f>
        <v>Ordinary Opex (per accounts - including staff, depreciation and other, excluding exceptional)</v>
      </c>
      <c r="C138" s="138"/>
      <c r="D138" s="159">
        <f>D120+D123+D129+D136</f>
        <v>169625.11376639217</v>
      </c>
      <c r="E138" s="159">
        <f t="shared" ref="E138:O138" si="97">E120+E123+E129+E136</f>
        <v>191503.54013606303</v>
      </c>
      <c r="F138" s="159">
        <f t="shared" si="97"/>
        <v>193464.17179720232</v>
      </c>
      <c r="G138" s="159">
        <f t="shared" si="97"/>
        <v>172102.2827172309</v>
      </c>
      <c r="H138" s="159">
        <f t="shared" si="97"/>
        <v>183821.38818690824</v>
      </c>
      <c r="I138" s="159">
        <f t="shared" si="97"/>
        <v>205337.4552365944</v>
      </c>
      <c r="J138" s="159">
        <f t="shared" si="97"/>
        <v>187599.63105482282</v>
      </c>
      <c r="K138" s="159">
        <f t="shared" si="97"/>
        <v>192483.37233815607</v>
      </c>
      <c r="L138" s="159">
        <f t="shared" si="97"/>
        <v>177004.65935031106</v>
      </c>
      <c r="M138" s="159">
        <f t="shared" si="97"/>
        <v>161812.14852405101</v>
      </c>
      <c r="N138" s="159">
        <f t="shared" si="97"/>
        <v>176581.71938535653</v>
      </c>
      <c r="O138" s="159">
        <f t="shared" si="97"/>
        <v>173591.59767316777</v>
      </c>
      <c r="P138" s="159">
        <f t="shared" ref="P138" si="98">P120+P123+P129+P136</f>
        <v>173887.64338330738</v>
      </c>
    </row>
    <row r="139" spans="1:16" s="133" customFormat="1">
      <c r="B139" s="138"/>
      <c r="C139" s="138"/>
      <c r="D139" s="141"/>
      <c r="E139" s="141"/>
      <c r="F139" s="141"/>
      <c r="G139" s="141"/>
      <c r="H139" s="141"/>
      <c r="I139" s="141"/>
      <c r="J139" s="141"/>
      <c r="K139" s="141"/>
      <c r="L139" s="141"/>
      <c r="M139" s="141"/>
      <c r="N139" s="141"/>
      <c r="O139" s="141"/>
      <c r="P139" s="141"/>
    </row>
    <row r="140" spans="1:16" s="133" customFormat="1">
      <c r="B140" s="138" t="str">
        <f>B47</f>
        <v>Total Opex (ordinary + exceptional)</v>
      </c>
      <c r="C140" s="138"/>
      <c r="D140" s="159">
        <f>D138+D132</f>
        <v>169625.11376639217</v>
      </c>
      <c r="E140" s="159">
        <f t="shared" ref="E140:O140" si="99">E138+E132</f>
        <v>191503.54013606303</v>
      </c>
      <c r="F140" s="159">
        <f t="shared" si="99"/>
        <v>193464.17179720232</v>
      </c>
      <c r="G140" s="159">
        <f t="shared" si="99"/>
        <v>172102.2827172309</v>
      </c>
      <c r="H140" s="159">
        <f t="shared" si="99"/>
        <v>183821.38818690824</v>
      </c>
      <c r="I140" s="159">
        <f t="shared" si="99"/>
        <v>205337.4552365944</v>
      </c>
      <c r="J140" s="159">
        <f t="shared" si="99"/>
        <v>187599.63105482282</v>
      </c>
      <c r="K140" s="159">
        <f t="shared" si="99"/>
        <v>192483.37233815607</v>
      </c>
      <c r="L140" s="159">
        <f t="shared" si="99"/>
        <v>177004.65935031106</v>
      </c>
      <c r="M140" s="159">
        <f t="shared" si="99"/>
        <v>161812.14852405101</v>
      </c>
      <c r="N140" s="159">
        <f t="shared" si="99"/>
        <v>176581.71938535653</v>
      </c>
      <c r="O140" s="159">
        <f t="shared" si="99"/>
        <v>173591.59767316777</v>
      </c>
      <c r="P140" s="159">
        <f t="shared" ref="P140" si="100">P138+P132</f>
        <v>173887.64338330738</v>
      </c>
    </row>
    <row r="141" spans="1:16" s="133" customFormat="1">
      <c r="B141" s="70"/>
      <c r="C141" s="138"/>
      <c r="D141" s="141"/>
      <c r="E141" s="141"/>
      <c r="F141" s="141"/>
      <c r="G141" s="141"/>
      <c r="H141" s="141"/>
      <c r="I141" s="141"/>
      <c r="J141" s="141"/>
      <c r="K141" s="141"/>
      <c r="L141" s="141"/>
      <c r="M141" s="141"/>
      <c r="N141" s="141"/>
      <c r="O141" s="141"/>
      <c r="P141" s="141"/>
    </row>
    <row r="142" spans="1:16" s="133" customFormat="1">
      <c r="B142" s="138" t="str">
        <f>B49</f>
        <v>Retail Estimate</v>
      </c>
      <c r="C142" s="138"/>
      <c r="D142" s="159">
        <f t="shared" ref="D142:O142" si="101">D49*D74/D111*D78</f>
        <v>1378.6292795893332</v>
      </c>
      <c r="E142" s="159">
        <f t="shared" si="101"/>
        <v>1608.9579767350585</v>
      </c>
      <c r="F142" s="159">
        <f t="shared" si="101"/>
        <v>1124.7348012244945</v>
      </c>
      <c r="G142" s="159">
        <f t="shared" si="101"/>
        <v>462.87546260118091</v>
      </c>
      <c r="H142" s="159">
        <f t="shared" si="101"/>
        <v>505.65117388318674</v>
      </c>
      <c r="I142" s="159">
        <f t="shared" si="101"/>
        <v>955.29119129325215</v>
      </c>
      <c r="J142" s="159">
        <f t="shared" si="101"/>
        <v>2135.8824006841396</v>
      </c>
      <c r="K142" s="159">
        <f t="shared" si="101"/>
        <v>3408.6376015709698</v>
      </c>
      <c r="L142" s="159">
        <f t="shared" si="101"/>
        <v>3670.1591188584207</v>
      </c>
      <c r="M142" s="159">
        <f t="shared" si="101"/>
        <v>5264.0094979349478</v>
      </c>
      <c r="N142" s="159">
        <f t="shared" si="101"/>
        <v>6884.5791217534361</v>
      </c>
      <c r="O142" s="159">
        <f t="shared" si="101"/>
        <v>5730.9161559084832</v>
      </c>
      <c r="P142" s="159">
        <f t="shared" ref="P142" si="102">P49*P74/P111*P78</f>
        <v>8483.859780181976</v>
      </c>
    </row>
    <row r="143" spans="1:16" s="133" customFormat="1">
      <c r="B143" s="138"/>
      <c r="C143" s="138"/>
      <c r="D143" s="141"/>
      <c r="E143" s="141"/>
      <c r="F143" s="141"/>
      <c r="G143" s="141"/>
      <c r="H143" s="141"/>
      <c r="I143" s="141"/>
      <c r="J143" s="141"/>
      <c r="K143" s="141"/>
      <c r="L143" s="141"/>
      <c r="M143" s="141"/>
      <c r="N143" s="141"/>
      <c r="O143" s="141"/>
      <c r="P143" s="141"/>
    </row>
    <row r="144" spans="1:16" s="133" customFormat="1">
      <c r="A144" s="134"/>
      <c r="B144" s="138" t="str">
        <f>B51</f>
        <v>Adjusted Ordinary Opex (ordinary opex - depreciation - ANS - retail)</v>
      </c>
      <c r="C144" s="138"/>
      <c r="D144" s="159">
        <f>D138-D123-D142</f>
        <v>106978.68404860853</v>
      </c>
      <c r="E144" s="159">
        <f t="shared" ref="E144:O144" si="103">E138-E123-E142</f>
        <v>123084.85056567054</v>
      </c>
      <c r="F144" s="159">
        <f>F138-F123-F142</f>
        <v>125849.08669111787</v>
      </c>
      <c r="G144" s="159">
        <f>G138-G123-G142</f>
        <v>113839.78075973275</v>
      </c>
      <c r="H144" s="159">
        <f t="shared" si="103"/>
        <v>124999.66888426252</v>
      </c>
      <c r="I144" s="159">
        <f t="shared" si="103"/>
        <v>162703.16999732665</v>
      </c>
      <c r="J144" s="159">
        <f t="shared" si="103"/>
        <v>147910.09741731852</v>
      </c>
      <c r="K144" s="159">
        <f t="shared" si="103"/>
        <v>148506.60644675003</v>
      </c>
      <c r="L144" s="159">
        <f t="shared" si="103"/>
        <v>134784.52744048866</v>
      </c>
      <c r="M144" s="159">
        <f t="shared" si="103"/>
        <v>113851.84946433781</v>
      </c>
      <c r="N144" s="159">
        <f t="shared" si="103"/>
        <v>124747.65856914328</v>
      </c>
      <c r="O144" s="159">
        <f t="shared" si="103"/>
        <v>122755.09892356431</v>
      </c>
      <c r="P144" s="159">
        <f t="shared" ref="P144" si="104">P138-P123-P142</f>
        <v>117704.05916044883</v>
      </c>
    </row>
    <row r="145" spans="1:24" s="133" customFormat="1">
      <c r="B145" s="138"/>
      <c r="C145" s="138"/>
      <c r="D145" s="141"/>
      <c r="E145" s="141"/>
      <c r="F145" s="141"/>
      <c r="G145" s="141"/>
      <c r="H145" s="141"/>
      <c r="I145" s="141"/>
      <c r="J145" s="141"/>
      <c r="K145" s="141"/>
      <c r="L145" s="141"/>
      <c r="M145" s="141"/>
      <c r="N145" s="141"/>
      <c r="O145" s="141"/>
      <c r="P145" s="141"/>
    </row>
    <row r="146" spans="1:24" s="133" customFormat="1">
      <c r="B146" s="138" t="str">
        <f>B53</f>
        <v>Turnover (per accounts)</v>
      </c>
      <c r="C146" s="138"/>
      <c r="D146" s="159">
        <f t="shared" ref="D146:O146" si="105">D53*D74*D78</f>
        <v>305358.71351162292</v>
      </c>
      <c r="E146" s="159">
        <f t="shared" si="105"/>
        <v>326066.13585885108</v>
      </c>
      <c r="F146" s="159">
        <f t="shared" si="105"/>
        <v>337216.08420862607</v>
      </c>
      <c r="G146" s="159">
        <f t="shared" si="105"/>
        <v>338079.60753098142</v>
      </c>
      <c r="H146" s="159">
        <f t="shared" si="105"/>
        <v>368664.28159601206</v>
      </c>
      <c r="I146" s="159">
        <f t="shared" si="105"/>
        <v>395029.36938758614</v>
      </c>
      <c r="J146" s="159">
        <f t="shared" si="105"/>
        <v>403124.84851531353</v>
      </c>
      <c r="K146" s="159">
        <f t="shared" si="105"/>
        <v>392072.05575823609</v>
      </c>
      <c r="L146" s="159">
        <f t="shared" si="105"/>
        <v>401366.59598633845</v>
      </c>
      <c r="M146" s="159">
        <f t="shared" si="105"/>
        <v>378796.2094780581</v>
      </c>
      <c r="N146" s="159">
        <f t="shared" si="105"/>
        <v>401196.40581723989</v>
      </c>
      <c r="O146" s="159">
        <f t="shared" si="105"/>
        <v>393741.26075498818</v>
      </c>
      <c r="P146" s="159">
        <f t="shared" ref="P146" si="106">P53*P74*P78</f>
        <v>401131.55551799806</v>
      </c>
    </row>
    <row r="147" spans="1:24" s="133" customFormat="1">
      <c r="B147" s="138"/>
      <c r="C147" s="138"/>
      <c r="D147" s="141"/>
      <c r="E147" s="141"/>
      <c r="F147" s="141"/>
      <c r="G147" s="141"/>
      <c r="H147" s="141"/>
      <c r="I147" s="141"/>
      <c r="J147" s="141"/>
      <c r="K147" s="141"/>
      <c r="L147" s="141"/>
      <c r="M147" s="141"/>
      <c r="N147" s="141"/>
      <c r="O147" s="141"/>
      <c r="P147" s="141"/>
    </row>
    <row r="148" spans="1:24" s="133" customFormat="1">
      <c r="B148" s="138" t="str">
        <f>B55</f>
        <v>Operating Profit (pre-exceptional)</v>
      </c>
      <c r="C148" s="138"/>
      <c r="D148" s="159">
        <f>D146-D138</f>
        <v>135733.59974523075</v>
      </c>
      <c r="E148" s="159">
        <f t="shared" ref="E148:O148" si="107">E146-E138</f>
        <v>134562.59572278804</v>
      </c>
      <c r="F148" s="159">
        <f t="shared" si="107"/>
        <v>143751.91241142375</v>
      </c>
      <c r="G148" s="159">
        <f t="shared" si="107"/>
        <v>165977.32481375051</v>
      </c>
      <c r="H148" s="159">
        <f t="shared" si="107"/>
        <v>184842.89340910382</v>
      </c>
      <c r="I148" s="159">
        <f t="shared" si="107"/>
        <v>189691.91415099174</v>
      </c>
      <c r="J148" s="159">
        <f t="shared" si="107"/>
        <v>215525.2174604907</v>
      </c>
      <c r="K148" s="159">
        <f t="shared" si="107"/>
        <v>199588.68342008002</v>
      </c>
      <c r="L148" s="159">
        <f t="shared" si="107"/>
        <v>224361.93663602739</v>
      </c>
      <c r="M148" s="159">
        <f t="shared" si="107"/>
        <v>216984.06095400709</v>
      </c>
      <c r="N148" s="159">
        <f t="shared" si="107"/>
        <v>224614.68643188337</v>
      </c>
      <c r="O148" s="159">
        <f t="shared" si="107"/>
        <v>220149.66308182041</v>
      </c>
      <c r="P148" s="159">
        <f t="shared" ref="P148" si="108">P146-P138</f>
        <v>227243.91213469068</v>
      </c>
    </row>
    <row r="149" spans="1:24" s="133" customFormat="1">
      <c r="B149" s="138"/>
      <c r="C149" s="138"/>
      <c r="D149" s="141"/>
      <c r="E149" s="141"/>
      <c r="F149" s="141"/>
      <c r="G149" s="141"/>
      <c r="H149" s="141"/>
      <c r="I149" s="141"/>
      <c r="J149" s="141"/>
      <c r="K149" s="141"/>
      <c r="L149" s="141"/>
      <c r="M149" s="141"/>
      <c r="N149" s="141"/>
      <c r="O149" s="141"/>
      <c r="P149" s="141"/>
    </row>
    <row r="150" spans="1:24" s="133" customFormat="1">
      <c r="B150" s="138" t="str">
        <f>B57</f>
        <v>Profit Margin</v>
      </c>
      <c r="C150" s="138"/>
      <c r="D150" s="244">
        <f>D148/D146</f>
        <v>0.44450540868572364</v>
      </c>
      <c r="E150" s="244">
        <f t="shared" ref="E150:O150" si="109">E148/E146</f>
        <v>0.4126849768325469</v>
      </c>
      <c r="F150" s="244">
        <f t="shared" si="109"/>
        <v>0.42629020127785039</v>
      </c>
      <c r="G150" s="244">
        <f t="shared" si="109"/>
        <v>0.49094154488019642</v>
      </c>
      <c r="H150" s="244">
        <f t="shared" si="109"/>
        <v>0.5013854138754279</v>
      </c>
      <c r="I150" s="244">
        <f t="shared" si="109"/>
        <v>0.48019699002398486</v>
      </c>
      <c r="J150" s="244">
        <f t="shared" si="109"/>
        <v>0.53463639925511452</v>
      </c>
      <c r="K150" s="244">
        <f t="shared" si="109"/>
        <v>0.50906123119152535</v>
      </c>
      <c r="L150" s="244">
        <f t="shared" si="109"/>
        <v>0.55899504064275474</v>
      </c>
      <c r="M150" s="244">
        <f t="shared" si="109"/>
        <v>0.57282532275861109</v>
      </c>
      <c r="N150" s="244">
        <f t="shared" si="109"/>
        <v>0.55986216021637003</v>
      </c>
      <c r="O150" s="244">
        <f t="shared" si="109"/>
        <v>0.55912266512198749</v>
      </c>
      <c r="P150" s="244">
        <f t="shared" ref="P150" si="110">P148/P146</f>
        <v>0.56650719448197251</v>
      </c>
    </row>
    <row r="151" spans="1:24" s="133" customFormat="1">
      <c r="B151" s="138"/>
      <c r="C151" s="138"/>
      <c r="D151" s="141"/>
      <c r="E151" s="141"/>
      <c r="F151" s="141"/>
      <c r="G151" s="141"/>
      <c r="H151" s="141"/>
      <c r="I151" s="141"/>
      <c r="J151" s="141"/>
      <c r="K151" s="141"/>
      <c r="L151" s="141"/>
      <c r="M151" s="141"/>
      <c r="N151" s="141"/>
      <c r="O151" s="141"/>
      <c r="P151" s="141"/>
    </row>
    <row r="152" spans="1:24" s="133" customFormat="1">
      <c r="B152" s="153" t="s">
        <v>1148</v>
      </c>
      <c r="C152" s="94"/>
      <c r="D152" s="94"/>
      <c r="E152" s="94"/>
      <c r="F152" s="94"/>
      <c r="G152" s="94"/>
      <c r="H152" s="94"/>
      <c r="I152" s="94"/>
      <c r="J152" s="94"/>
      <c r="K152" s="94"/>
      <c r="L152" s="94"/>
      <c r="M152" s="94"/>
      <c r="N152" s="94"/>
      <c r="O152" s="94"/>
      <c r="P152" s="94"/>
    </row>
    <row r="153" spans="1:24" s="133" customFormat="1">
      <c r="B153" s="90"/>
      <c r="C153" s="90"/>
      <c r="D153" s="90"/>
      <c r="E153" s="90"/>
      <c r="F153" s="90"/>
      <c r="G153" s="90"/>
      <c r="H153" s="90"/>
      <c r="I153" s="90"/>
      <c r="J153" s="90"/>
      <c r="K153" s="90"/>
      <c r="L153" s="90"/>
      <c r="M153" s="90"/>
      <c r="N153" s="90"/>
      <c r="O153" s="90"/>
      <c r="P153" s="90"/>
    </row>
    <row r="154" spans="1:24" s="133" customFormat="1">
      <c r="B154" s="90" t="s">
        <v>1127</v>
      </c>
      <c r="C154" s="90"/>
      <c r="D154" s="209">
        <f t="shared" ref="D154:O154" si="111">(D140/D59)*1000</f>
        <v>9.2187561829560956</v>
      </c>
      <c r="E154" s="209">
        <f t="shared" si="111"/>
        <v>10.580306084865361</v>
      </c>
      <c r="F154" s="209">
        <f t="shared" si="111"/>
        <v>10.571812666513788</v>
      </c>
      <c r="G154" s="209">
        <f t="shared" si="111"/>
        <v>9.7232928088831034</v>
      </c>
      <c r="H154" s="209">
        <f t="shared" si="111"/>
        <v>9.6748099045741185</v>
      </c>
      <c r="I154" s="209">
        <f t="shared" si="111"/>
        <v>10.26687276182972</v>
      </c>
      <c r="J154" s="209">
        <f t="shared" si="111"/>
        <v>8.9760589021446311</v>
      </c>
      <c r="K154" s="209">
        <f t="shared" si="111"/>
        <v>8.9945501092596292</v>
      </c>
      <c r="L154" s="209">
        <f t="shared" si="111"/>
        <v>8.2327748535028391</v>
      </c>
      <c r="M154" s="209">
        <f t="shared" si="111"/>
        <v>8.2138146458909134</v>
      </c>
      <c r="N154" s="209">
        <f t="shared" si="111"/>
        <v>8.2131032272258846</v>
      </c>
      <c r="O154" s="209">
        <f t="shared" si="111"/>
        <v>7.6472069459545278</v>
      </c>
      <c r="P154" s="209">
        <f t="shared" ref="P154" si="112">(P140/P59)*1000</f>
        <v>7.4629889864080425</v>
      </c>
    </row>
    <row r="155" spans="1:24" s="133" customFormat="1">
      <c r="B155" s="90" t="s">
        <v>299</v>
      </c>
      <c r="C155" s="90"/>
      <c r="D155" s="209">
        <f t="shared" ref="D155:O155" si="113">(D138/D59)*1000</f>
        <v>9.2187561829560956</v>
      </c>
      <c r="E155" s="209">
        <f t="shared" si="113"/>
        <v>10.580306084865361</v>
      </c>
      <c r="F155" s="209">
        <f t="shared" si="113"/>
        <v>10.571812666513788</v>
      </c>
      <c r="G155" s="209">
        <f t="shared" si="113"/>
        <v>9.7232928088831034</v>
      </c>
      <c r="H155" s="209">
        <f t="shared" si="113"/>
        <v>9.6748099045741185</v>
      </c>
      <c r="I155" s="209">
        <f t="shared" si="113"/>
        <v>10.26687276182972</v>
      </c>
      <c r="J155" s="209">
        <f t="shared" si="113"/>
        <v>8.9760589021446311</v>
      </c>
      <c r="K155" s="209">
        <f t="shared" si="113"/>
        <v>8.9945501092596292</v>
      </c>
      <c r="L155" s="209">
        <f t="shared" si="113"/>
        <v>8.2327748535028391</v>
      </c>
      <c r="M155" s="209">
        <f t="shared" si="113"/>
        <v>8.2138146458909134</v>
      </c>
      <c r="N155" s="209">
        <f t="shared" si="113"/>
        <v>8.2131032272258846</v>
      </c>
      <c r="O155" s="209">
        <f t="shared" si="113"/>
        <v>7.6472069459545278</v>
      </c>
      <c r="P155" s="209">
        <f t="shared" ref="P155" si="114">(P138/P59)*1000</f>
        <v>7.4629889864080425</v>
      </c>
    </row>
    <row r="156" spans="1:24" s="133" customFormat="1">
      <c r="B156" s="90" t="s">
        <v>300</v>
      </c>
      <c r="C156" s="90"/>
      <c r="D156" s="209">
        <f>(D144/D59)*1000</f>
        <v>5.814058915685246</v>
      </c>
      <c r="E156" s="209">
        <f t="shared" ref="E156:O156" si="115">(E144/E59)*1000</f>
        <v>6.8002679870536209</v>
      </c>
      <c r="F156" s="209">
        <f t="shared" si="115"/>
        <v>6.8769992727386811</v>
      </c>
      <c r="G156" s="209">
        <f t="shared" si="115"/>
        <v>6.4316260316233187</v>
      </c>
      <c r="H156" s="209">
        <f t="shared" si="115"/>
        <v>6.5789299412769751</v>
      </c>
      <c r="I156" s="209">
        <f t="shared" si="115"/>
        <v>8.135158499866332</v>
      </c>
      <c r="J156" s="209">
        <f t="shared" si="115"/>
        <v>7.0770381539386857</v>
      </c>
      <c r="K156" s="209">
        <f t="shared" si="115"/>
        <v>6.9395610489135526</v>
      </c>
      <c r="L156" s="209">
        <f t="shared" si="115"/>
        <v>6.2690477879297051</v>
      </c>
      <c r="M156" s="209">
        <f t="shared" si="115"/>
        <v>5.7792816986973508</v>
      </c>
      <c r="N156" s="209">
        <f t="shared" si="115"/>
        <v>5.8022166776345712</v>
      </c>
      <c r="O156" s="209">
        <f t="shared" si="115"/>
        <v>5.4077136089675903</v>
      </c>
      <c r="P156" s="209">
        <f t="shared" ref="P156" si="116">(P144/P59)*1000</f>
        <v>5.0516763588175468</v>
      </c>
    </row>
    <row r="157" spans="1:24" s="133" customFormat="1">
      <c r="B157" s="90" t="s">
        <v>265</v>
      </c>
      <c r="C157" s="90"/>
      <c r="D157" s="209">
        <f t="shared" ref="D157:O157" si="117">D120*1000/D59</f>
        <v>3.5200336951492579</v>
      </c>
      <c r="E157" s="209">
        <f t="shared" si="117"/>
        <v>3.7482198097403061</v>
      </c>
      <c r="F157" s="209">
        <f t="shared" si="117"/>
        <v>3.8007359995524967</v>
      </c>
      <c r="G157" s="209">
        <f t="shared" si="117"/>
        <v>3.6486116266612489</v>
      </c>
      <c r="H157" s="209">
        <f t="shared" si="117"/>
        <v>3.8746563082221419</v>
      </c>
      <c r="I157" s="209">
        <f t="shared" si="117"/>
        <v>4.2899326148158226</v>
      </c>
      <c r="J157" s="209">
        <f t="shared" si="117"/>
        <v>4.48179201504957</v>
      </c>
      <c r="K157" s="209">
        <f t="shared" si="117"/>
        <v>4.5384356260570726</v>
      </c>
      <c r="L157" s="209">
        <f t="shared" si="117"/>
        <v>3.7826293893444087</v>
      </c>
      <c r="M157" s="209">
        <f t="shared" si="117"/>
        <v>3.82947989932901</v>
      </c>
      <c r="N157" s="209">
        <f t="shared" si="117"/>
        <v>3.5196069470033082</v>
      </c>
      <c r="O157" s="209">
        <f t="shared" si="117"/>
        <v>3.3055520650669781</v>
      </c>
      <c r="P157" s="209">
        <f t="shared" ref="P157" si="118">P120*1000/P59</f>
        <v>3.3132623500540879</v>
      </c>
    </row>
    <row r="158" spans="1:24" s="133" customFormat="1">
      <c r="B158" s="111" t="s">
        <v>1136</v>
      </c>
      <c r="C158" s="111"/>
      <c r="D158" s="159">
        <f t="shared" ref="D158:O158" si="119">D120/D61*1000</f>
        <v>46296.368828267579</v>
      </c>
      <c r="E158" s="159">
        <f t="shared" si="119"/>
        <v>51907.252147130486</v>
      </c>
      <c r="F158" s="159">
        <f t="shared" si="119"/>
        <v>51635.834292361316</v>
      </c>
      <c r="G158" s="159">
        <f t="shared" si="119"/>
        <v>75976.971519887185</v>
      </c>
      <c r="H158" s="159">
        <f t="shared" si="119"/>
        <v>74739.563305807809</v>
      </c>
      <c r="I158" s="159">
        <f t="shared" si="119"/>
        <v>75793.862452576373</v>
      </c>
      <c r="J158" s="159">
        <f t="shared" si="119"/>
        <v>76402.490305494313</v>
      </c>
      <c r="K158" s="159">
        <f t="shared" si="119"/>
        <v>52726.667968306931</v>
      </c>
      <c r="L158" s="159">
        <f t="shared" si="119"/>
        <v>41577.981529092423</v>
      </c>
      <c r="M158" s="159">
        <f t="shared" si="119"/>
        <v>39747.499481971281</v>
      </c>
      <c r="N158" s="159">
        <f t="shared" si="119"/>
        <v>39208.05666350836</v>
      </c>
      <c r="O158" s="159">
        <f t="shared" si="119"/>
        <v>36836.539949445461</v>
      </c>
      <c r="P158" s="159">
        <f t="shared" ref="P158" si="120">P120/P61*1000</f>
        <v>37240.237702006874</v>
      </c>
    </row>
    <row r="159" spans="1:24" s="133" customFormat="1">
      <c r="B159" s="138"/>
      <c r="C159" s="138"/>
      <c r="D159" s="141"/>
      <c r="E159" s="141"/>
      <c r="F159" s="141"/>
      <c r="G159" s="141"/>
      <c r="H159" s="141"/>
      <c r="I159" s="141"/>
      <c r="J159" s="141"/>
      <c r="K159" s="141"/>
      <c r="L159" s="141"/>
      <c r="M159" s="141"/>
      <c r="N159" s="141"/>
      <c r="O159" s="141"/>
      <c r="P159" s="141"/>
    </row>
    <row r="160" spans="1:24" s="126" customFormat="1">
      <c r="A160" s="90"/>
      <c r="B160" s="153" t="s">
        <v>163</v>
      </c>
      <c r="C160" s="94"/>
      <c r="D160" s="94"/>
      <c r="E160" s="94"/>
      <c r="F160" s="94"/>
      <c r="G160" s="94"/>
      <c r="H160" s="94"/>
      <c r="I160" s="94"/>
      <c r="J160" s="94"/>
      <c r="K160" s="94"/>
      <c r="L160" s="94"/>
      <c r="M160" s="94"/>
      <c r="N160" s="94"/>
      <c r="O160" s="94"/>
      <c r="P160" s="94"/>
      <c r="Q160" s="90"/>
      <c r="R160" s="90"/>
      <c r="S160" s="90"/>
      <c r="T160" s="90"/>
      <c r="U160" s="90"/>
      <c r="V160" s="90"/>
      <c r="W160" s="90"/>
      <c r="X160" s="90"/>
    </row>
    <row r="230" spans="1:25" s="126" customFormat="1">
      <c r="A230" s="90"/>
      <c r="B230" s="153" t="s">
        <v>163</v>
      </c>
      <c r="C230" s="94"/>
      <c r="D230" s="94"/>
      <c r="E230" s="94"/>
      <c r="F230" s="94"/>
      <c r="G230" s="94"/>
      <c r="H230" s="94"/>
      <c r="I230" s="94"/>
      <c r="J230" s="94"/>
      <c r="K230" s="94"/>
      <c r="L230" s="94"/>
      <c r="M230" s="94"/>
      <c r="N230" s="94"/>
      <c r="O230" s="94"/>
      <c r="P230" s="94"/>
      <c r="R230" s="90"/>
      <c r="S230" s="90"/>
      <c r="T230" s="90"/>
      <c r="U230" s="90"/>
      <c r="V230" s="90"/>
      <c r="W230" s="90"/>
      <c r="X230" s="90"/>
      <c r="Y230"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29.xml><?xml version="1.0" encoding="utf-8"?>
<worksheet xmlns="http://schemas.openxmlformats.org/spreadsheetml/2006/main" xmlns:r="http://schemas.openxmlformats.org/officeDocument/2006/relationships">
  <sheetPr>
    <pageSetUpPr autoPageBreaks="0" fitToPage="1"/>
  </sheetPr>
  <dimension ref="A1:Y231"/>
  <sheetViews>
    <sheetView showGridLines="0" zoomScale="70" zoomScaleNormal="70" workbookViewId="0">
      <pane xSplit="3" ySplit="16" topLeftCell="E153" activePane="bottomRight" state="frozen"/>
      <selection pane="topRight" activeCell="D1" sqref="D1"/>
      <selection pane="bottomLeft" activeCell="A15" sqref="A15"/>
      <selection pane="bottomRight" activeCell="B161" sqref="B161"/>
    </sheetView>
  </sheetViews>
  <sheetFormatPr defaultRowHeight="12.75" outlineLevelRow="2"/>
  <cols>
    <col min="1" max="1" width="7" style="90" customWidth="1"/>
    <col min="2" max="2" width="13.5703125" style="90" customWidth="1"/>
    <col min="3" max="3" width="41.5703125" style="90" customWidth="1"/>
    <col min="4" max="15" width="15.7109375" style="90" customWidth="1"/>
    <col min="16" max="16" width="11.710937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row>
    <row r="4" spans="1:17">
      <c r="B4" s="148" t="s">
        <v>130</v>
      </c>
      <c r="C4" s="92"/>
      <c r="D4" s="92"/>
      <c r="E4" s="150">
        <f>Info!$D$16</f>
        <v>2.8</v>
      </c>
      <c r="F4" s="92"/>
      <c r="G4" s="92"/>
      <c r="H4" s="92"/>
      <c r="I4" s="92"/>
      <c r="J4" s="92"/>
      <c r="K4" s="92"/>
      <c r="L4" s="92"/>
      <c r="M4" s="92"/>
      <c r="N4" s="92"/>
      <c r="O4" s="92"/>
      <c r="P4" s="92"/>
    </row>
    <row r="5" spans="1:17">
      <c r="B5" s="151" t="s">
        <v>138</v>
      </c>
      <c r="C5" s="93"/>
      <c r="D5" s="93"/>
      <c r="E5" s="152" t="str">
        <f ca="1">IF(CELL("filename",D1)="","",MID(CELL("filename",A1),FIND("]",CELL("filename",A1))+1,99))</f>
        <v>Zurich</v>
      </c>
      <c r="F5" s="93"/>
      <c r="G5" s="93"/>
      <c r="H5" s="93"/>
      <c r="I5" s="93"/>
      <c r="J5" s="93"/>
      <c r="K5" s="93"/>
      <c r="L5" s="93"/>
      <c r="M5" s="93"/>
      <c r="N5" s="93"/>
      <c r="O5" s="93"/>
      <c r="P5" s="93"/>
    </row>
    <row r="8" spans="1:17">
      <c r="B8" s="153" t="s">
        <v>1045</v>
      </c>
      <c r="C8" s="94"/>
      <c r="D8" s="94"/>
      <c r="E8" s="94"/>
      <c r="F8" s="94"/>
      <c r="G8" s="94"/>
      <c r="H8" s="94"/>
      <c r="I8" s="94"/>
      <c r="J8" s="94"/>
      <c r="K8" s="94"/>
      <c r="L8" s="94"/>
      <c r="M8" s="94"/>
      <c r="N8" s="94"/>
      <c r="O8" s="94"/>
      <c r="P8" s="94"/>
    </row>
    <row r="10" spans="1:17">
      <c r="B10" s="138" t="s">
        <v>143</v>
      </c>
      <c r="C10" s="138"/>
      <c r="D10" s="90" t="s">
        <v>270</v>
      </c>
    </row>
    <row r="11" spans="1:17">
      <c r="B11" s="138"/>
      <c r="C11" s="138"/>
      <c r="D11" s="138"/>
    </row>
    <row r="12" spans="1:17">
      <c r="B12" s="153" t="s">
        <v>371</v>
      </c>
      <c r="C12" s="94"/>
      <c r="D12" s="94"/>
      <c r="E12" s="94"/>
      <c r="F12" s="94"/>
      <c r="G12" s="94"/>
      <c r="H12" s="94"/>
      <c r="I12" s="94"/>
      <c r="J12" s="94"/>
      <c r="K12" s="94"/>
      <c r="L12" s="94"/>
      <c r="M12" s="94"/>
      <c r="N12" s="94"/>
      <c r="O12" s="94"/>
      <c r="P12" s="94"/>
    </row>
    <row r="13" spans="1:17">
      <c r="B13" s="138"/>
      <c r="C13" s="138"/>
      <c r="D13" s="138"/>
    </row>
    <row r="14" spans="1:17">
      <c r="B14" s="101" t="s">
        <v>374</v>
      </c>
      <c r="C14" s="101"/>
    </row>
    <row r="15" spans="1:17">
      <c r="B15" s="101"/>
      <c r="C15" s="101"/>
    </row>
    <row r="16" spans="1:17">
      <c r="B16" s="138" t="s">
        <v>271</v>
      </c>
      <c r="C16" s="138"/>
      <c r="D16" s="119">
        <v>2000</v>
      </c>
      <c r="E16" s="119">
        <v>2001</v>
      </c>
      <c r="F16" s="119">
        <v>2002</v>
      </c>
      <c r="G16" s="119">
        <v>2003</v>
      </c>
      <c r="H16" s="119">
        <v>2004</v>
      </c>
      <c r="I16" s="119">
        <v>2005</v>
      </c>
      <c r="J16" s="119">
        <v>2006</v>
      </c>
      <c r="K16" s="119">
        <v>2007</v>
      </c>
      <c r="L16" s="119">
        <v>2008</v>
      </c>
      <c r="M16" s="119">
        <v>2009</v>
      </c>
      <c r="N16" s="119">
        <v>2010</v>
      </c>
      <c r="O16" s="119">
        <v>2011</v>
      </c>
      <c r="P16" s="119">
        <v>2012</v>
      </c>
      <c r="Q16" s="90"/>
    </row>
    <row r="17" spans="1:24">
      <c r="B17" s="138" t="s">
        <v>157</v>
      </c>
      <c r="C17" s="138"/>
      <c r="D17" s="154">
        <v>2000</v>
      </c>
      <c r="E17" s="154">
        <v>2001</v>
      </c>
      <c r="F17" s="154">
        <v>2002</v>
      </c>
      <c r="G17" s="154">
        <v>2003</v>
      </c>
      <c r="H17" s="154">
        <v>2004</v>
      </c>
      <c r="I17" s="154">
        <v>2005</v>
      </c>
      <c r="J17" s="154">
        <v>2006</v>
      </c>
      <c r="K17" s="154">
        <v>2007</v>
      </c>
      <c r="L17" s="154">
        <v>2008</v>
      </c>
      <c r="M17" s="154">
        <v>2009</v>
      </c>
      <c r="N17" s="154">
        <v>2010</v>
      </c>
      <c r="O17" s="154">
        <v>2011</v>
      </c>
      <c r="P17" s="154">
        <v>2012</v>
      </c>
      <c r="Q17" s="90"/>
    </row>
    <row r="18" spans="1:24">
      <c r="B18" s="138" t="s">
        <v>164</v>
      </c>
      <c r="C18" s="138"/>
      <c r="D18" s="154" t="s">
        <v>174</v>
      </c>
      <c r="E18" s="154" t="s">
        <v>174</v>
      </c>
      <c r="F18" s="154" t="s">
        <v>174</v>
      </c>
      <c r="G18" s="154" t="s">
        <v>174</v>
      </c>
      <c r="H18" s="154" t="s">
        <v>174</v>
      </c>
      <c r="I18" s="154" t="s">
        <v>174</v>
      </c>
      <c r="J18" s="154" t="s">
        <v>174</v>
      </c>
      <c r="K18" s="154" t="s">
        <v>174</v>
      </c>
      <c r="L18" s="154" t="s">
        <v>174</v>
      </c>
      <c r="M18" s="154" t="s">
        <v>174</v>
      </c>
      <c r="N18" s="154" t="s">
        <v>174</v>
      </c>
      <c r="O18" s="154" t="s">
        <v>174</v>
      </c>
      <c r="P18" s="154" t="s">
        <v>174</v>
      </c>
      <c r="Q18" s="90"/>
    </row>
    <row r="19" spans="1:24">
      <c r="B19" s="133"/>
      <c r="C19" s="133"/>
      <c r="D19" s="133"/>
      <c r="E19" s="133"/>
      <c r="F19" s="133"/>
      <c r="G19" s="133"/>
      <c r="H19" s="133"/>
      <c r="I19" s="133"/>
      <c r="J19" s="133"/>
      <c r="K19" s="133"/>
      <c r="L19" s="133"/>
      <c r="M19" s="133"/>
      <c r="N19" s="133"/>
      <c r="O19" s="133"/>
      <c r="P19" s="126"/>
      <c r="Q19" s="90"/>
    </row>
    <row r="20" spans="1:24">
      <c r="B20" s="106" t="s">
        <v>1314</v>
      </c>
      <c r="C20" s="106" t="s">
        <v>1315</v>
      </c>
      <c r="D20" s="133"/>
      <c r="E20" s="133"/>
      <c r="F20" s="133"/>
      <c r="G20" s="133"/>
      <c r="H20" s="133"/>
      <c r="I20" s="133"/>
      <c r="J20" s="133"/>
      <c r="K20" s="133"/>
      <c r="L20" s="133"/>
      <c r="M20" s="133"/>
      <c r="N20" s="133"/>
      <c r="O20" s="133"/>
      <c r="P20" s="126"/>
      <c r="Q20" s="90"/>
    </row>
    <row r="21" spans="1:24" hidden="1" outlineLevel="2">
      <c r="B21" s="90" t="s">
        <v>240</v>
      </c>
      <c r="C21" s="138" t="s">
        <v>165</v>
      </c>
      <c r="D21" s="141">
        <v>90288</v>
      </c>
      <c r="E21" s="141">
        <v>100334</v>
      </c>
      <c r="F21" s="141">
        <v>108383</v>
      </c>
      <c r="G21" s="141">
        <v>109606</v>
      </c>
      <c r="H21" s="141">
        <v>107303</v>
      </c>
      <c r="I21" s="141">
        <v>110695</v>
      </c>
      <c r="J21" s="141">
        <v>114846</v>
      </c>
      <c r="K21" s="141">
        <v>125738</v>
      </c>
      <c r="L21" s="141">
        <v>118129</v>
      </c>
      <c r="M21" s="141">
        <v>125001</v>
      </c>
      <c r="N21" s="141">
        <v>124094</v>
      </c>
      <c r="O21" s="141">
        <v>128808</v>
      </c>
      <c r="P21" s="82">
        <v>130772</v>
      </c>
      <c r="Q21" s="82"/>
      <c r="R21" s="82"/>
      <c r="S21" s="82"/>
      <c r="T21" s="82"/>
      <c r="U21" s="82"/>
    </row>
    <row r="22" spans="1:24" hidden="1" outlineLevel="2">
      <c r="B22" s="90" t="s">
        <v>240</v>
      </c>
      <c r="C22" s="138" t="s">
        <v>357</v>
      </c>
      <c r="D22" s="141">
        <f>0+6014</f>
        <v>6014</v>
      </c>
      <c r="E22" s="141">
        <f>-371+7046</f>
        <v>6675</v>
      </c>
      <c r="F22" s="141">
        <f>-42+9031</f>
        <v>8989</v>
      </c>
      <c r="G22" s="141">
        <f>878+7108</f>
        <v>7986</v>
      </c>
      <c r="H22" s="141">
        <f>52+8823</f>
        <v>8875</v>
      </c>
      <c r="I22" s="141">
        <f>70+9555</f>
        <v>9625</v>
      </c>
      <c r="J22" s="141">
        <f>70+10034</f>
        <v>10104</v>
      </c>
      <c r="K22" s="141">
        <f>92+10693</f>
        <v>10785</v>
      </c>
      <c r="L22" s="141">
        <f>117+10266</f>
        <v>10383</v>
      </c>
      <c r="M22" s="141">
        <f>109+11066</f>
        <v>11175</v>
      </c>
      <c r="N22" s="141">
        <f>112+11376</f>
        <v>11488</v>
      </c>
      <c r="O22" s="141">
        <f>1151+11366</f>
        <v>12517</v>
      </c>
      <c r="P22" s="82">
        <f>114134+11266</f>
        <v>125400</v>
      </c>
      <c r="Q22" s="82"/>
      <c r="R22" s="82"/>
      <c r="S22" s="82"/>
      <c r="T22" s="82"/>
      <c r="U22" s="82"/>
    </row>
    <row r="23" spans="1:24" hidden="1" outlineLevel="2">
      <c r="B23" s="90" t="s">
        <v>240</v>
      </c>
      <c r="C23" s="138" t="s">
        <v>358</v>
      </c>
      <c r="D23" s="141">
        <v>8789</v>
      </c>
      <c r="E23" s="141">
        <v>11084</v>
      </c>
      <c r="F23" s="141">
        <f>11785</f>
        <v>11785</v>
      </c>
      <c r="G23" s="141">
        <v>11816</v>
      </c>
      <c r="H23" s="141">
        <v>7954</v>
      </c>
      <c r="I23" s="141">
        <v>11626</v>
      </c>
      <c r="J23" s="141">
        <v>12914</v>
      </c>
      <c r="K23" s="141">
        <v>14261</v>
      </c>
      <c r="L23" s="141">
        <f>13295</f>
        <v>13295</v>
      </c>
      <c r="M23" s="141">
        <v>13315</v>
      </c>
      <c r="N23" s="141">
        <v>12806</v>
      </c>
      <c r="O23" s="141">
        <v>13061</v>
      </c>
      <c r="P23" s="82">
        <v>13321</v>
      </c>
      <c r="Q23" s="82"/>
      <c r="R23" s="82"/>
      <c r="S23" s="82"/>
      <c r="T23" s="82"/>
      <c r="U23" s="82"/>
    </row>
    <row r="24" spans="1:24" hidden="1" outlineLevel="2">
      <c r="B24" s="90" t="s">
        <v>240</v>
      </c>
      <c r="C24" s="138" t="s">
        <v>266</v>
      </c>
      <c r="D24" s="141">
        <v>7030</v>
      </c>
      <c r="E24" s="141">
        <v>9763</v>
      </c>
      <c r="F24" s="141">
        <v>8048</v>
      </c>
      <c r="G24" s="141">
        <v>7127</v>
      </c>
      <c r="H24" s="141">
        <v>7318</v>
      </c>
      <c r="I24" s="141">
        <v>7949</v>
      </c>
      <c r="J24" s="141">
        <f>8810</f>
        <v>8810</v>
      </c>
      <c r="K24" s="141">
        <v>9258</v>
      </c>
      <c r="L24" s="141">
        <v>10587</v>
      </c>
      <c r="M24" s="141">
        <v>8925</v>
      </c>
      <c r="N24" s="141">
        <v>9179</v>
      </c>
      <c r="O24" s="141">
        <v>9157</v>
      </c>
      <c r="P24" s="82">
        <v>20623</v>
      </c>
      <c r="Q24" s="82"/>
      <c r="R24" s="82"/>
      <c r="S24" s="82"/>
      <c r="T24" s="82"/>
      <c r="U24" s="82"/>
    </row>
    <row r="25" spans="1:24" outlineLevel="1" collapsed="1">
      <c r="B25" s="173" t="s">
        <v>287</v>
      </c>
      <c r="C25" s="138"/>
      <c r="D25" s="159">
        <f t="shared" ref="D25:P25" si="0">SUBTOTAL(9,D21:D24)</f>
        <v>112121</v>
      </c>
      <c r="E25" s="159">
        <f t="shared" si="0"/>
        <v>127856</v>
      </c>
      <c r="F25" s="159">
        <f t="shared" si="0"/>
        <v>137205</v>
      </c>
      <c r="G25" s="159">
        <f t="shared" si="0"/>
        <v>136535</v>
      </c>
      <c r="H25" s="159">
        <f t="shared" si="0"/>
        <v>131450</v>
      </c>
      <c r="I25" s="159">
        <f t="shared" si="0"/>
        <v>139895</v>
      </c>
      <c r="J25" s="159">
        <f t="shared" si="0"/>
        <v>146674</v>
      </c>
      <c r="K25" s="159">
        <f t="shared" si="0"/>
        <v>160042</v>
      </c>
      <c r="L25" s="159">
        <f t="shared" si="0"/>
        <v>152394</v>
      </c>
      <c r="M25" s="159">
        <f t="shared" si="0"/>
        <v>158416</v>
      </c>
      <c r="N25" s="159">
        <f t="shared" si="0"/>
        <v>157567</v>
      </c>
      <c r="O25" s="159">
        <f t="shared" si="0"/>
        <v>163543</v>
      </c>
      <c r="P25" s="159">
        <f t="shared" si="0"/>
        <v>290116</v>
      </c>
      <c r="Q25" s="82"/>
      <c r="R25" s="82"/>
      <c r="S25" s="82"/>
      <c r="T25" s="82"/>
      <c r="U25" s="82"/>
    </row>
    <row r="26" spans="1:24" s="133" customFormat="1" outlineLevel="1">
      <c r="C26" s="138"/>
      <c r="D26" s="141"/>
      <c r="E26" s="141"/>
      <c r="F26" s="141"/>
      <c r="G26" s="141"/>
      <c r="H26" s="141"/>
      <c r="I26" s="141"/>
      <c r="J26" s="141"/>
      <c r="K26" s="141"/>
      <c r="L26" s="141"/>
      <c r="M26" s="141"/>
      <c r="N26" s="141"/>
      <c r="O26" s="141"/>
      <c r="P26" s="142"/>
      <c r="Q26" s="142"/>
      <c r="R26" s="142"/>
      <c r="S26" s="142"/>
      <c r="T26" s="142"/>
      <c r="U26" s="142"/>
    </row>
    <row r="27" spans="1:24" s="133" customFormat="1" hidden="1" outlineLevel="2">
      <c r="B27" s="133" t="s">
        <v>30</v>
      </c>
      <c r="C27" s="138" t="s">
        <v>30</v>
      </c>
      <c r="D27" s="141">
        <v>109611</v>
      </c>
      <c r="E27" s="141">
        <f>112068+35884</f>
        <v>147952</v>
      </c>
      <c r="F27" s="141">
        <v>121026</v>
      </c>
      <c r="G27" s="141">
        <v>159874</v>
      </c>
      <c r="H27" s="141">
        <v>175880</v>
      </c>
      <c r="I27" s="141">
        <v>188921</v>
      </c>
      <c r="J27" s="141">
        <v>188856</v>
      </c>
      <c r="K27" s="141">
        <v>180913</v>
      </c>
      <c r="L27" s="141">
        <v>186168</v>
      </c>
      <c r="M27" s="141">
        <v>189078</v>
      </c>
      <c r="N27" s="141">
        <v>190718</v>
      </c>
      <c r="O27" s="141">
        <v>201211</v>
      </c>
      <c r="P27" s="142">
        <v>218741</v>
      </c>
      <c r="Q27" s="142"/>
      <c r="R27" s="142"/>
      <c r="S27" s="142"/>
      <c r="T27" s="142"/>
      <c r="U27" s="142"/>
    </row>
    <row r="28" spans="1:24" s="133" customFormat="1" outlineLevel="1" collapsed="1">
      <c r="B28" s="106" t="s">
        <v>288</v>
      </c>
      <c r="C28" s="138"/>
      <c r="D28" s="159">
        <f t="shared" ref="D28:P28" si="1">SUBTOTAL(9,D27:D27)</f>
        <v>109611</v>
      </c>
      <c r="E28" s="159">
        <f t="shared" si="1"/>
        <v>147952</v>
      </c>
      <c r="F28" s="159">
        <f t="shared" si="1"/>
        <v>121026</v>
      </c>
      <c r="G28" s="159">
        <f t="shared" si="1"/>
        <v>159874</v>
      </c>
      <c r="H28" s="159">
        <f t="shared" si="1"/>
        <v>175880</v>
      </c>
      <c r="I28" s="159">
        <f t="shared" si="1"/>
        <v>188921</v>
      </c>
      <c r="J28" s="159">
        <f t="shared" si="1"/>
        <v>188856</v>
      </c>
      <c r="K28" s="159">
        <f t="shared" si="1"/>
        <v>180913</v>
      </c>
      <c r="L28" s="159">
        <f t="shared" si="1"/>
        <v>186168</v>
      </c>
      <c r="M28" s="159">
        <f t="shared" si="1"/>
        <v>189078</v>
      </c>
      <c r="N28" s="159">
        <f t="shared" si="1"/>
        <v>190718</v>
      </c>
      <c r="O28" s="159">
        <f t="shared" si="1"/>
        <v>201211</v>
      </c>
      <c r="P28" s="159">
        <f t="shared" si="1"/>
        <v>218741</v>
      </c>
      <c r="Q28" s="142"/>
      <c r="R28" s="142"/>
      <c r="S28" s="142"/>
      <c r="T28" s="142"/>
      <c r="U28" s="142"/>
    </row>
    <row r="29" spans="1:24" s="133" customFormat="1" outlineLevel="1">
      <c r="C29" s="138"/>
      <c r="D29" s="141"/>
      <c r="E29" s="141"/>
      <c r="F29" s="141"/>
      <c r="G29" s="141"/>
      <c r="H29" s="141"/>
      <c r="I29" s="141"/>
      <c r="J29" s="141"/>
      <c r="K29" s="141"/>
      <c r="L29" s="141"/>
      <c r="M29" s="141"/>
      <c r="N29" s="141"/>
      <c r="O29" s="141"/>
      <c r="P29" s="142"/>
      <c r="Q29" s="142"/>
      <c r="R29" s="142"/>
      <c r="S29" s="142"/>
      <c r="T29" s="142"/>
      <c r="U29" s="142"/>
    </row>
    <row r="30" spans="1:24" s="133" customFormat="1" hidden="1" outlineLevel="2">
      <c r="A30" s="138"/>
      <c r="B30" s="133" t="s">
        <v>256</v>
      </c>
      <c r="C30" s="138" t="s">
        <v>365</v>
      </c>
      <c r="D30" s="141">
        <v>69735</v>
      </c>
      <c r="E30" s="141">
        <v>72497</v>
      </c>
      <c r="F30" s="141">
        <v>74119</v>
      </c>
      <c r="G30" s="141">
        <v>71629</v>
      </c>
      <c r="H30" s="141">
        <v>73135</v>
      </c>
      <c r="I30" s="141">
        <v>78336</v>
      </c>
      <c r="J30" s="141">
        <v>82907</v>
      </c>
      <c r="K30" s="141">
        <v>113016</v>
      </c>
      <c r="L30" s="141">
        <v>108538</v>
      </c>
      <c r="M30" s="141">
        <v>113458</v>
      </c>
      <c r="N30" s="141">
        <v>114549</v>
      </c>
      <c r="O30" s="141">
        <v>118040</v>
      </c>
      <c r="P30" s="123">
        <v>115347</v>
      </c>
      <c r="Q30" s="131"/>
      <c r="R30" s="131"/>
      <c r="U30" s="156"/>
      <c r="X30" s="131"/>
    </row>
    <row r="31" spans="1:24" s="133" customFormat="1" hidden="1" outlineLevel="2">
      <c r="A31" s="138"/>
      <c r="B31" s="133" t="s">
        <v>256</v>
      </c>
      <c r="C31" s="138" t="s">
        <v>366</v>
      </c>
      <c r="D31" s="141">
        <v>31961</v>
      </c>
      <c r="E31" s="141">
        <v>26023</v>
      </c>
      <c r="F31" s="141">
        <v>32702</v>
      </c>
      <c r="G31" s="141">
        <v>27947</v>
      </c>
      <c r="H31" s="141">
        <v>33330</v>
      </c>
      <c r="I31" s="141">
        <v>49232</v>
      </c>
      <c r="J31" s="141">
        <v>45966</v>
      </c>
      <c r="K31" s="141">
        <v>43907</v>
      </c>
      <c r="L31" s="141">
        <v>47727</v>
      </c>
      <c r="M31" s="141">
        <v>40697</v>
      </c>
      <c r="N31" s="141">
        <v>43350</v>
      </c>
      <c r="O31" s="141">
        <v>39400</v>
      </c>
      <c r="P31" s="123">
        <v>42758</v>
      </c>
      <c r="Q31" s="131"/>
      <c r="S31" s="131"/>
      <c r="U31" s="156"/>
    </row>
    <row r="32" spans="1:24" s="133" customFormat="1" hidden="1" outlineLevel="2">
      <c r="A32" s="138"/>
      <c r="B32" s="133" t="s">
        <v>256</v>
      </c>
      <c r="C32" s="138" t="s">
        <v>367</v>
      </c>
      <c r="D32" s="141">
        <v>21505</v>
      </c>
      <c r="E32" s="141">
        <v>29051</v>
      </c>
      <c r="F32" s="141">
        <v>28436</v>
      </c>
      <c r="G32" s="141">
        <v>50709</v>
      </c>
      <c r="H32" s="141">
        <v>29607</v>
      </c>
      <c r="I32" s="141">
        <v>32592</v>
      </c>
      <c r="J32" s="141">
        <v>36363</v>
      </c>
      <c r="K32" s="141">
        <v>40767</v>
      </c>
      <c r="L32" s="141">
        <v>41575</v>
      </c>
      <c r="M32" s="141">
        <v>38175</v>
      </c>
      <c r="N32" s="141">
        <v>37277</v>
      </c>
      <c r="O32" s="141">
        <v>39127</v>
      </c>
      <c r="P32" s="123">
        <v>41618</v>
      </c>
      <c r="Q32" s="131"/>
      <c r="S32" s="131"/>
      <c r="U32" s="156"/>
    </row>
    <row r="33" spans="1:22" s="133" customFormat="1" hidden="1" outlineLevel="2">
      <c r="A33" s="138"/>
      <c r="B33" s="133" t="s">
        <v>256</v>
      </c>
      <c r="C33" s="138" t="s">
        <v>368</v>
      </c>
      <c r="D33" s="141">
        <v>16931</v>
      </c>
      <c r="E33" s="141">
        <v>22481</v>
      </c>
      <c r="F33" s="141">
        <v>18560</v>
      </c>
      <c r="G33" s="141">
        <v>19893</v>
      </c>
      <c r="H33" s="141">
        <v>19635</v>
      </c>
      <c r="I33" s="141">
        <v>21135</v>
      </c>
      <c r="J33" s="141">
        <v>22506</v>
      </c>
      <c r="K33" s="141">
        <v>20806</v>
      </c>
      <c r="L33" s="141">
        <v>25015</v>
      </c>
      <c r="M33" s="141">
        <v>24553</v>
      </c>
      <c r="N33" s="141">
        <v>24359</v>
      </c>
      <c r="O33" s="141">
        <v>23888</v>
      </c>
      <c r="P33" s="123">
        <v>26109</v>
      </c>
      <c r="Q33" s="131"/>
      <c r="S33" s="131"/>
      <c r="U33" s="156"/>
    </row>
    <row r="34" spans="1:22" s="133" customFormat="1" hidden="1" outlineLevel="2">
      <c r="A34" s="138"/>
      <c r="B34" s="133" t="s">
        <v>256</v>
      </c>
      <c r="C34" s="138" t="s">
        <v>369</v>
      </c>
      <c r="D34" s="141">
        <v>16796</v>
      </c>
      <c r="E34" s="141">
        <v>20413</v>
      </c>
      <c r="F34" s="141">
        <v>15792</v>
      </c>
      <c r="G34" s="141">
        <v>17195</v>
      </c>
      <c r="H34" s="141">
        <v>16979</v>
      </c>
      <c r="I34" s="141">
        <v>21113</v>
      </c>
      <c r="J34" s="141">
        <v>21441</v>
      </c>
      <c r="K34" s="141">
        <v>19095</v>
      </c>
      <c r="L34" s="141">
        <v>36057</v>
      </c>
      <c r="M34" s="141">
        <v>40181</v>
      </c>
      <c r="N34" s="141">
        <v>49497</v>
      </c>
      <c r="O34" s="141">
        <v>49499</v>
      </c>
      <c r="P34" s="123">
        <v>51953</v>
      </c>
      <c r="Q34" s="131"/>
      <c r="S34" s="131"/>
      <c r="U34" s="156"/>
    </row>
    <row r="35" spans="1:22" s="133" customFormat="1" hidden="1" outlineLevel="2">
      <c r="A35" s="138"/>
      <c r="B35" s="133" t="s">
        <v>256</v>
      </c>
      <c r="C35" s="138" t="s">
        <v>370</v>
      </c>
      <c r="D35" s="141">
        <v>430</v>
      </c>
      <c r="E35" s="141">
        <f>8838+5500</f>
        <v>14338</v>
      </c>
      <c r="F35" s="141">
        <f>6979+5500</f>
        <v>12479</v>
      </c>
      <c r="G35" s="141">
        <f>10090+5500</f>
        <v>15590</v>
      </c>
      <c r="H35" s="141">
        <f>12023+5000</f>
        <v>17023</v>
      </c>
      <c r="I35" s="141">
        <v>-4021</v>
      </c>
      <c r="J35" s="141">
        <v>2980</v>
      </c>
      <c r="K35" s="141">
        <v>-4222</v>
      </c>
      <c r="L35" s="141">
        <v>22898</v>
      </c>
      <c r="M35" s="141">
        <v>-56</v>
      </c>
      <c r="N35" s="141">
        <v>2493</v>
      </c>
      <c r="O35" s="141">
        <v>12035</v>
      </c>
      <c r="P35" s="123">
        <v>9758</v>
      </c>
      <c r="Q35" s="131"/>
      <c r="S35" s="131"/>
      <c r="U35" s="156"/>
    </row>
    <row r="36" spans="1:22" s="133" customFormat="1" outlineLevel="1" collapsed="1">
      <c r="A36" s="138"/>
      <c r="B36" s="106" t="s">
        <v>289</v>
      </c>
      <c r="C36" s="138"/>
      <c r="D36" s="159">
        <f>SUBTOTAL(9,D30:D35)</f>
        <v>157358</v>
      </c>
      <c r="E36" s="159">
        <f t="shared" ref="E36:P36" si="2">SUBTOTAL(9,E30:E35)</f>
        <v>184803</v>
      </c>
      <c r="F36" s="159">
        <f t="shared" si="2"/>
        <v>182088</v>
      </c>
      <c r="G36" s="159">
        <f t="shared" si="2"/>
        <v>202963</v>
      </c>
      <c r="H36" s="159">
        <f t="shared" si="2"/>
        <v>189709</v>
      </c>
      <c r="I36" s="159">
        <f t="shared" si="2"/>
        <v>198387</v>
      </c>
      <c r="J36" s="159">
        <f t="shared" si="2"/>
        <v>212163</v>
      </c>
      <c r="K36" s="159">
        <f t="shared" si="2"/>
        <v>233369</v>
      </c>
      <c r="L36" s="159">
        <f t="shared" si="2"/>
        <v>281810</v>
      </c>
      <c r="M36" s="159">
        <f t="shared" si="2"/>
        <v>257008</v>
      </c>
      <c r="N36" s="159">
        <f t="shared" si="2"/>
        <v>271525</v>
      </c>
      <c r="O36" s="159">
        <f t="shared" si="2"/>
        <v>281989</v>
      </c>
      <c r="P36" s="159">
        <f t="shared" si="2"/>
        <v>287543</v>
      </c>
      <c r="Q36" s="131"/>
      <c r="S36" s="131"/>
      <c r="U36" s="156"/>
    </row>
    <row r="37" spans="1:22" outlineLevel="1">
      <c r="C37" s="138"/>
      <c r="D37" s="141"/>
      <c r="E37" s="141"/>
      <c r="F37" s="141"/>
      <c r="G37" s="141"/>
      <c r="H37" s="141"/>
      <c r="I37" s="141"/>
      <c r="J37" s="141"/>
      <c r="K37" s="141"/>
      <c r="L37" s="141"/>
      <c r="M37" s="141"/>
      <c r="N37" s="141"/>
      <c r="O37" s="141"/>
      <c r="R37" s="126"/>
      <c r="U37" s="156"/>
      <c r="V37" s="133"/>
    </row>
    <row r="38" spans="1:22" s="30" customFormat="1" hidden="1" outlineLevel="2">
      <c r="B38" s="90" t="s">
        <v>172</v>
      </c>
      <c r="C38" s="157" t="s">
        <v>172</v>
      </c>
      <c r="D38" s="141">
        <v>0</v>
      </c>
      <c r="E38" s="141">
        <v>0</v>
      </c>
      <c r="F38" s="141">
        <v>0</v>
      </c>
      <c r="G38" s="141">
        <v>0</v>
      </c>
      <c r="H38" s="141">
        <v>0</v>
      </c>
      <c r="I38" s="141">
        <v>0</v>
      </c>
      <c r="J38" s="141">
        <v>0</v>
      </c>
      <c r="K38" s="141">
        <v>0</v>
      </c>
      <c r="L38" s="141">
        <v>0</v>
      </c>
      <c r="M38" s="141">
        <v>0</v>
      </c>
      <c r="N38" s="141">
        <v>0</v>
      </c>
      <c r="O38" s="141">
        <v>0</v>
      </c>
      <c r="P38" s="358">
        <v>0</v>
      </c>
      <c r="Q38" s="123"/>
    </row>
    <row r="39" spans="1:22" s="30" customFormat="1" outlineLevel="1" collapsed="1">
      <c r="B39" s="30" t="s">
        <v>290</v>
      </c>
      <c r="C39" s="157"/>
      <c r="D39" s="159">
        <f t="shared" ref="D39:O39" si="3">SUBTOTAL(9,D38:D38)</f>
        <v>0</v>
      </c>
      <c r="E39" s="159">
        <f t="shared" si="3"/>
        <v>0</v>
      </c>
      <c r="F39" s="159">
        <f t="shared" si="3"/>
        <v>0</v>
      </c>
      <c r="G39" s="159">
        <f t="shared" si="3"/>
        <v>0</v>
      </c>
      <c r="H39" s="159">
        <f t="shared" si="3"/>
        <v>0</v>
      </c>
      <c r="I39" s="159">
        <f t="shared" si="3"/>
        <v>0</v>
      </c>
      <c r="J39" s="159">
        <f t="shared" si="3"/>
        <v>0</v>
      </c>
      <c r="K39" s="159">
        <f t="shared" si="3"/>
        <v>0</v>
      </c>
      <c r="L39" s="159">
        <f t="shared" si="3"/>
        <v>0</v>
      </c>
      <c r="M39" s="159">
        <f t="shared" si="3"/>
        <v>0</v>
      </c>
      <c r="N39" s="159">
        <f t="shared" si="3"/>
        <v>0</v>
      </c>
      <c r="O39" s="159">
        <f t="shared" si="3"/>
        <v>0</v>
      </c>
      <c r="P39" s="159">
        <f t="shared" ref="P39" si="4">SUBTOTAL(9,P38:P38)</f>
        <v>0</v>
      </c>
      <c r="Q39" s="123"/>
    </row>
    <row r="40" spans="1:22" s="106" customFormat="1" outlineLevel="1">
      <c r="C40" s="186"/>
      <c r="D40" s="141"/>
      <c r="E40" s="141"/>
      <c r="F40" s="141"/>
      <c r="G40" s="141"/>
      <c r="H40" s="141"/>
      <c r="I40" s="141"/>
      <c r="J40" s="141"/>
      <c r="K40" s="141"/>
      <c r="L40" s="141"/>
      <c r="M40" s="141"/>
      <c r="N40" s="141"/>
      <c r="O40" s="141"/>
      <c r="P40" s="141"/>
      <c r="Q40" s="125"/>
    </row>
    <row r="41" spans="1:22" s="30" customFormat="1">
      <c r="B41" s="30" t="s">
        <v>286</v>
      </c>
      <c r="C41" s="157"/>
      <c r="D41" s="159">
        <f>SUBTOTAL(9,D21:D39)</f>
        <v>379090</v>
      </c>
      <c r="E41" s="159">
        <f t="shared" ref="E41:O41" si="5">SUBTOTAL(9,E21:E39)</f>
        <v>460611</v>
      </c>
      <c r="F41" s="159">
        <f t="shared" si="5"/>
        <v>440319</v>
      </c>
      <c r="G41" s="159">
        <f t="shared" si="5"/>
        <v>499372</v>
      </c>
      <c r="H41" s="159">
        <f t="shared" si="5"/>
        <v>497039</v>
      </c>
      <c r="I41" s="159">
        <f t="shared" si="5"/>
        <v>527203</v>
      </c>
      <c r="J41" s="159">
        <f t="shared" si="5"/>
        <v>547693</v>
      </c>
      <c r="K41" s="159">
        <f t="shared" si="5"/>
        <v>574324</v>
      </c>
      <c r="L41" s="159">
        <f t="shared" si="5"/>
        <v>620372</v>
      </c>
      <c r="M41" s="159">
        <f t="shared" si="5"/>
        <v>604502</v>
      </c>
      <c r="N41" s="159">
        <f t="shared" si="5"/>
        <v>619810</v>
      </c>
      <c r="O41" s="159">
        <f t="shared" si="5"/>
        <v>646743</v>
      </c>
      <c r="P41" s="159">
        <f t="shared" ref="P41" si="6">SUBTOTAL(9,P21:P39)</f>
        <v>796400</v>
      </c>
      <c r="Q41" s="123"/>
    </row>
    <row r="42" spans="1:22" s="30" customFormat="1">
      <c r="B42" s="138"/>
      <c r="C42" s="138"/>
      <c r="D42" s="141"/>
      <c r="E42" s="141"/>
      <c r="F42" s="141"/>
      <c r="G42" s="141"/>
      <c r="H42" s="141"/>
      <c r="I42" s="141"/>
      <c r="J42" s="141"/>
      <c r="K42" s="141"/>
      <c r="L42" s="141"/>
      <c r="M42" s="141"/>
      <c r="N42" s="141"/>
      <c r="O42" s="141"/>
      <c r="P42" s="123"/>
      <c r="Q42" s="123"/>
    </row>
    <row r="43" spans="1:22" s="106" customFormat="1">
      <c r="B43" s="138" t="s">
        <v>1123</v>
      </c>
      <c r="C43" s="138"/>
      <c r="D43" s="159">
        <f t="shared" ref="D43:P43" si="7">D45-D36-D28-D25</f>
        <v>0</v>
      </c>
      <c r="E43" s="159">
        <f t="shared" si="7"/>
        <v>0</v>
      </c>
      <c r="F43" s="159">
        <f t="shared" si="7"/>
        <v>0</v>
      </c>
      <c r="G43" s="159">
        <f t="shared" si="7"/>
        <v>0</v>
      </c>
      <c r="H43" s="159">
        <f t="shared" si="7"/>
        <v>0</v>
      </c>
      <c r="I43" s="159">
        <f t="shared" si="7"/>
        <v>0</v>
      </c>
      <c r="J43" s="159">
        <f t="shared" si="7"/>
        <v>0</v>
      </c>
      <c r="K43" s="159">
        <f t="shared" si="7"/>
        <v>0</v>
      </c>
      <c r="L43" s="159">
        <f t="shared" si="7"/>
        <v>0</v>
      </c>
      <c r="M43" s="159">
        <f t="shared" si="7"/>
        <v>0</v>
      </c>
      <c r="N43" s="159">
        <f t="shared" si="7"/>
        <v>0</v>
      </c>
      <c r="O43" s="159">
        <f t="shared" si="7"/>
        <v>0</v>
      </c>
      <c r="P43" s="159">
        <f t="shared" si="7"/>
        <v>0</v>
      </c>
    </row>
    <row r="44" spans="1:22" s="106" customFormat="1">
      <c r="B44" s="138"/>
      <c r="C44" s="138"/>
      <c r="D44" s="141"/>
      <c r="E44" s="141"/>
      <c r="F44" s="141"/>
      <c r="G44" s="141"/>
      <c r="H44" s="141"/>
      <c r="I44" s="141"/>
      <c r="J44" s="141"/>
      <c r="K44" s="141"/>
      <c r="L44" s="141"/>
      <c r="M44" s="141"/>
      <c r="N44" s="141"/>
      <c r="O44" s="141"/>
      <c r="P44" s="125"/>
    </row>
    <row r="45" spans="1:22" s="106" customFormat="1">
      <c r="B45" s="138" t="s">
        <v>1316</v>
      </c>
      <c r="C45" s="138"/>
      <c r="D45" s="141">
        <f>D25+D28+D36</f>
        <v>379090</v>
      </c>
      <c r="E45" s="141">
        <f>E25+E28+E36</f>
        <v>460611</v>
      </c>
      <c r="F45" s="141">
        <f>F25+F28+F36</f>
        <v>440319</v>
      </c>
      <c r="G45" s="141">
        <f t="shared" ref="G45:N45" si="8">G25+G28+G36</f>
        <v>499372</v>
      </c>
      <c r="H45" s="141">
        <f t="shared" si="8"/>
        <v>497039</v>
      </c>
      <c r="I45" s="141">
        <f t="shared" si="8"/>
        <v>527203</v>
      </c>
      <c r="J45" s="141">
        <f t="shared" si="8"/>
        <v>547693</v>
      </c>
      <c r="K45" s="141">
        <f t="shared" si="8"/>
        <v>574324</v>
      </c>
      <c r="L45" s="141">
        <f t="shared" si="8"/>
        <v>620372</v>
      </c>
      <c r="M45" s="141">
        <f t="shared" si="8"/>
        <v>604502</v>
      </c>
      <c r="N45" s="141">
        <f t="shared" si="8"/>
        <v>619810</v>
      </c>
      <c r="O45" s="141">
        <f>O25+O28+O36</f>
        <v>646743</v>
      </c>
      <c r="P45" s="141">
        <f>P25+P28+P36</f>
        <v>796400</v>
      </c>
      <c r="Q45" s="125"/>
      <c r="R45" s="125"/>
      <c r="S45" s="125"/>
      <c r="T45" s="131"/>
      <c r="U45" s="132"/>
    </row>
    <row r="46" spans="1:22" s="30" customFormat="1">
      <c r="B46" s="138"/>
      <c r="C46" s="133"/>
      <c r="D46" s="141"/>
      <c r="E46" s="141"/>
      <c r="F46" s="141"/>
      <c r="G46" s="141"/>
      <c r="H46" s="141"/>
      <c r="I46" s="141"/>
      <c r="J46" s="141"/>
      <c r="K46" s="141"/>
      <c r="L46" s="141"/>
      <c r="M46" s="141"/>
      <c r="N46" s="141"/>
      <c r="O46" s="141"/>
      <c r="P46" s="123"/>
      <c r="Q46" s="124"/>
      <c r="R46" s="79"/>
    </row>
    <row r="47" spans="1:22" s="122" customFormat="1">
      <c r="B47" s="138" t="s">
        <v>1317</v>
      </c>
      <c r="C47" s="138"/>
      <c r="D47" s="97">
        <f t="shared" ref="D47:P47" si="9">D45+D38</f>
        <v>379090</v>
      </c>
      <c r="E47" s="97">
        <f t="shared" si="9"/>
        <v>460611</v>
      </c>
      <c r="F47" s="97">
        <f t="shared" si="9"/>
        <v>440319</v>
      </c>
      <c r="G47" s="97">
        <f t="shared" si="9"/>
        <v>499372</v>
      </c>
      <c r="H47" s="97">
        <f t="shared" si="9"/>
        <v>497039</v>
      </c>
      <c r="I47" s="97">
        <f t="shared" si="9"/>
        <v>527203</v>
      </c>
      <c r="J47" s="97">
        <f t="shared" si="9"/>
        <v>547693</v>
      </c>
      <c r="K47" s="97">
        <f>K45+K38</f>
        <v>574324</v>
      </c>
      <c r="L47" s="97">
        <f>L45+L38</f>
        <v>620372</v>
      </c>
      <c r="M47" s="97">
        <f>M45+M38</f>
        <v>604502</v>
      </c>
      <c r="N47" s="97">
        <f>N45+N38</f>
        <v>619810</v>
      </c>
      <c r="O47" s="97">
        <f t="shared" si="9"/>
        <v>646743</v>
      </c>
      <c r="P47" s="97">
        <f t="shared" si="9"/>
        <v>796400</v>
      </c>
      <c r="Q47" s="128"/>
      <c r="R47" s="128"/>
      <c r="S47" s="128"/>
      <c r="T47" s="129"/>
      <c r="U47" s="130"/>
    </row>
    <row r="48" spans="1:22" s="122" customFormat="1">
      <c r="B48" s="168"/>
      <c r="C48" s="168"/>
      <c r="D48" s="185"/>
      <c r="E48" s="185"/>
      <c r="F48" s="185"/>
      <c r="G48" s="185"/>
      <c r="H48" s="185"/>
      <c r="I48" s="185"/>
      <c r="J48" s="185"/>
      <c r="K48" s="185"/>
      <c r="L48" s="185"/>
      <c r="M48" s="185"/>
      <c r="N48" s="185"/>
      <c r="O48" s="185"/>
      <c r="P48" s="128"/>
      <c r="Q48" s="128"/>
      <c r="R48" s="128"/>
      <c r="S48" s="128"/>
      <c r="T48" s="129"/>
      <c r="U48" s="130"/>
    </row>
    <row r="49" spans="1:21" s="122" customFormat="1">
      <c r="B49" s="168" t="s">
        <v>1146</v>
      </c>
      <c r="C49" s="168"/>
      <c r="D49" s="95">
        <f>D41*Parameters!C21</f>
        <v>2966.4435461565795</v>
      </c>
      <c r="E49" s="95">
        <f>E41*Parameters!D21</f>
        <v>3784.4122737011326</v>
      </c>
      <c r="F49" s="95">
        <f>F41*Parameters!E21</f>
        <v>2501.2115433326762</v>
      </c>
      <c r="G49" s="95">
        <f>G41*Parameters!F21</f>
        <v>1332.7522074333226</v>
      </c>
      <c r="H49" s="95">
        <f>H41*Parameters!G21</f>
        <v>1357.8857325818412</v>
      </c>
      <c r="I49" s="95">
        <f>I41*Parameters!H21</f>
        <v>2446.255996298099</v>
      </c>
      <c r="J49" s="95">
        <f>J41*Parameters!I21</f>
        <v>6158.6949464140471</v>
      </c>
      <c r="K49" s="95">
        <f>K41*Parameters!J21</f>
        <v>9936.5771803074967</v>
      </c>
      <c r="L49" s="95">
        <f>L41*Parameters!K21</f>
        <v>12297.155210659088</v>
      </c>
      <c r="M49" s="95">
        <f>M41*Parameters!L21</f>
        <v>18708.653060983856</v>
      </c>
      <c r="N49" s="95">
        <f>N41*Parameters!M21</f>
        <v>22737.93944070052</v>
      </c>
      <c r="O49" s="95">
        <f>O41*Parameters!N21</f>
        <v>20090.751013015368</v>
      </c>
      <c r="P49" s="95">
        <f>P41*Parameters!O21</f>
        <v>36506.342378396439</v>
      </c>
      <c r="Q49" s="128"/>
      <c r="R49" s="128"/>
      <c r="S49" s="128"/>
      <c r="T49" s="129"/>
      <c r="U49" s="130"/>
    </row>
    <row r="50" spans="1:21" s="122" customFormat="1">
      <c r="B50" s="168"/>
      <c r="C50" s="168"/>
      <c r="D50" s="185"/>
      <c r="E50" s="185"/>
      <c r="F50" s="185"/>
      <c r="G50" s="185"/>
      <c r="H50" s="185"/>
      <c r="I50" s="185"/>
      <c r="J50" s="185"/>
      <c r="K50" s="185"/>
      <c r="L50" s="185"/>
      <c r="M50" s="185"/>
      <c r="N50" s="185"/>
      <c r="O50" s="185"/>
      <c r="P50" s="128"/>
      <c r="Q50" s="128"/>
      <c r="R50" s="128"/>
      <c r="S50" s="128"/>
      <c r="T50" s="129"/>
      <c r="U50" s="130"/>
    </row>
    <row r="51" spans="1:21" s="133" customFormat="1">
      <c r="A51" s="134"/>
      <c r="B51" s="138" t="s">
        <v>1131</v>
      </c>
      <c r="C51" s="138"/>
      <c r="D51" s="159">
        <f>D45-D28-D49</f>
        <v>266512.55645384343</v>
      </c>
      <c r="E51" s="159">
        <f t="shared" ref="E51:P51" si="10">E45-E28-E49</f>
        <v>308874.58772629889</v>
      </c>
      <c r="F51" s="159">
        <f t="shared" si="10"/>
        <v>316791.78845666733</v>
      </c>
      <c r="G51" s="159">
        <f t="shared" si="10"/>
        <v>338165.24779256666</v>
      </c>
      <c r="H51" s="159">
        <f t="shared" si="10"/>
        <v>319801.11426741816</v>
      </c>
      <c r="I51" s="159">
        <f t="shared" si="10"/>
        <v>335835.7440037019</v>
      </c>
      <c r="J51" s="159">
        <f t="shared" si="10"/>
        <v>352678.30505358597</v>
      </c>
      <c r="K51" s="159">
        <f t="shared" si="10"/>
        <v>383474.42281969253</v>
      </c>
      <c r="L51" s="159">
        <f t="shared" si="10"/>
        <v>421906.84478934092</v>
      </c>
      <c r="M51" s="159">
        <f t="shared" si="10"/>
        <v>396715.34693901613</v>
      </c>
      <c r="N51" s="159">
        <f t="shared" si="10"/>
        <v>406354.06055929948</v>
      </c>
      <c r="O51" s="159">
        <f t="shared" si="10"/>
        <v>425441.2489869846</v>
      </c>
      <c r="P51" s="159">
        <f t="shared" si="10"/>
        <v>541152.65762160358</v>
      </c>
    </row>
    <row r="52" spans="1:21" s="133" customFormat="1">
      <c r="B52" s="138"/>
      <c r="C52" s="138"/>
      <c r="D52" s="141"/>
      <c r="E52" s="141"/>
      <c r="F52" s="141"/>
      <c r="G52" s="141"/>
      <c r="H52" s="141"/>
      <c r="I52" s="141"/>
      <c r="J52" s="141"/>
      <c r="K52" s="141"/>
      <c r="L52" s="135"/>
      <c r="M52" s="135"/>
      <c r="N52" s="135"/>
      <c r="O52" s="135"/>
      <c r="P52" s="123"/>
    </row>
    <row r="53" spans="1:21" s="133" customFormat="1">
      <c r="B53" s="138" t="s">
        <v>292</v>
      </c>
      <c r="C53" s="138"/>
      <c r="D53" s="141">
        <v>522551</v>
      </c>
      <c r="E53" s="141">
        <v>537375</v>
      </c>
      <c r="F53" s="141">
        <v>521817</v>
      </c>
      <c r="G53" s="141">
        <v>552542</v>
      </c>
      <c r="H53" s="141">
        <v>625509</v>
      </c>
      <c r="I53" s="141">
        <v>702229</v>
      </c>
      <c r="J53" s="141">
        <v>737109</v>
      </c>
      <c r="K53" s="141">
        <v>802868</v>
      </c>
      <c r="L53" s="141">
        <v>855103</v>
      </c>
      <c r="M53" s="141">
        <v>820207</v>
      </c>
      <c r="N53" s="141">
        <v>862991</v>
      </c>
      <c r="O53" s="141">
        <v>905404</v>
      </c>
      <c r="P53" s="123">
        <v>948920</v>
      </c>
    </row>
    <row r="54" spans="1:21" s="133" customFormat="1">
      <c r="B54" s="138"/>
      <c r="C54" s="138"/>
      <c r="D54" s="141"/>
      <c r="E54" s="141"/>
      <c r="F54" s="141"/>
      <c r="G54" s="141"/>
      <c r="H54" s="141"/>
      <c r="I54" s="141"/>
      <c r="J54" s="141"/>
      <c r="K54" s="141"/>
      <c r="L54" s="141"/>
      <c r="M54" s="141"/>
      <c r="N54" s="141"/>
      <c r="O54" s="141"/>
      <c r="P54" s="123"/>
      <c r="Q54" s="131"/>
    </row>
    <row r="55" spans="1:21" s="133" customFormat="1">
      <c r="B55" s="138" t="s">
        <v>1318</v>
      </c>
      <c r="C55" s="138"/>
      <c r="D55" s="159">
        <f t="shared" ref="D55:O55" si="11">D53-D45</f>
        <v>143461</v>
      </c>
      <c r="E55" s="159">
        <f t="shared" si="11"/>
        <v>76764</v>
      </c>
      <c r="F55" s="159">
        <f t="shared" si="11"/>
        <v>81498</v>
      </c>
      <c r="G55" s="159">
        <f t="shared" si="11"/>
        <v>53170</v>
      </c>
      <c r="H55" s="159">
        <f t="shared" si="11"/>
        <v>128470</v>
      </c>
      <c r="I55" s="159">
        <f t="shared" si="11"/>
        <v>175026</v>
      </c>
      <c r="J55" s="159">
        <f t="shared" si="11"/>
        <v>189416</v>
      </c>
      <c r="K55" s="159">
        <f t="shared" si="11"/>
        <v>228544</v>
      </c>
      <c r="L55" s="159">
        <f t="shared" si="11"/>
        <v>234731</v>
      </c>
      <c r="M55" s="159">
        <f t="shared" si="11"/>
        <v>215705</v>
      </c>
      <c r="N55" s="159">
        <f t="shared" si="11"/>
        <v>243181</v>
      </c>
      <c r="O55" s="159">
        <f t="shared" si="11"/>
        <v>258661</v>
      </c>
      <c r="P55" s="159">
        <f t="shared" ref="P55" si="12">P53-P45</f>
        <v>152520</v>
      </c>
      <c r="Q55" s="143"/>
    </row>
    <row r="56" spans="1:21" s="179" customFormat="1">
      <c r="B56" s="176"/>
      <c r="C56" s="176"/>
      <c r="D56" s="175"/>
      <c r="E56" s="175"/>
      <c r="F56" s="175"/>
      <c r="G56" s="175"/>
      <c r="H56" s="175"/>
      <c r="I56" s="175"/>
      <c r="J56" s="175"/>
      <c r="K56" s="175"/>
      <c r="L56" s="175"/>
      <c r="M56" s="175"/>
      <c r="N56" s="175"/>
      <c r="O56" s="175"/>
      <c r="P56" s="175"/>
      <c r="Q56" s="184"/>
    </row>
    <row r="57" spans="1:21">
      <c r="B57" s="138" t="s">
        <v>253</v>
      </c>
      <c r="C57" s="138"/>
      <c r="D57" s="162">
        <f t="shared" ref="D57:O57" si="13">D55/D53</f>
        <v>0.27453970999959815</v>
      </c>
      <c r="E57" s="162">
        <f t="shared" si="13"/>
        <v>0.14284996510816469</v>
      </c>
      <c r="F57" s="162">
        <f t="shared" si="13"/>
        <v>0.15618118995739885</v>
      </c>
      <c r="G57" s="162">
        <f t="shared" si="13"/>
        <v>9.622797904955642E-2</v>
      </c>
      <c r="H57" s="162">
        <f t="shared" si="13"/>
        <v>0.20538473467208307</v>
      </c>
      <c r="I57" s="162">
        <f t="shared" si="13"/>
        <v>0.24924348040311636</v>
      </c>
      <c r="J57" s="162">
        <f t="shared" si="13"/>
        <v>0.25697149268290037</v>
      </c>
      <c r="K57" s="162">
        <f t="shared" si="13"/>
        <v>0.28465949570788723</v>
      </c>
      <c r="L57" s="162">
        <f t="shared" si="13"/>
        <v>0.27450611212918208</v>
      </c>
      <c r="M57" s="162">
        <f t="shared" si="13"/>
        <v>0.26298848949106751</v>
      </c>
      <c r="N57" s="162">
        <f t="shared" si="13"/>
        <v>0.2817885702168389</v>
      </c>
      <c r="O57" s="162">
        <f t="shared" si="13"/>
        <v>0.28568572703456135</v>
      </c>
      <c r="P57" s="162">
        <f t="shared" ref="P57" si="14">P55/P53</f>
        <v>0.16073009315853812</v>
      </c>
      <c r="Q57" s="144"/>
    </row>
    <row r="58" spans="1:21">
      <c r="B58" s="154"/>
      <c r="C58" s="154"/>
      <c r="D58" s="141"/>
      <c r="E58" s="141"/>
      <c r="F58" s="141"/>
      <c r="G58" s="141"/>
      <c r="H58" s="141"/>
      <c r="I58" s="141"/>
      <c r="J58" s="141"/>
      <c r="K58" s="141"/>
      <c r="L58" s="141"/>
      <c r="M58" s="141"/>
      <c r="N58" s="141"/>
      <c r="O58" s="141"/>
      <c r="P58" s="127"/>
      <c r="Q58" s="127"/>
      <c r="R58" s="127"/>
    </row>
    <row r="59" spans="1:21">
      <c r="B59" s="90" t="s">
        <v>228</v>
      </c>
      <c r="D59" s="195">
        <v>22675366</v>
      </c>
      <c r="E59" s="195">
        <v>21012282</v>
      </c>
      <c r="F59" s="195">
        <v>18401178</v>
      </c>
      <c r="G59" s="195">
        <v>17463807</v>
      </c>
      <c r="H59" s="195">
        <v>17721550</v>
      </c>
      <c r="I59" s="195">
        <v>17884652</v>
      </c>
      <c r="J59" s="195">
        <v>19237216</v>
      </c>
      <c r="K59" s="195">
        <v>20739113</v>
      </c>
      <c r="L59" s="195">
        <v>22099233</v>
      </c>
      <c r="M59" s="195">
        <v>21926872</v>
      </c>
      <c r="N59" s="195">
        <v>22878251</v>
      </c>
      <c r="O59" s="195">
        <v>24337954</v>
      </c>
      <c r="P59" s="102">
        <v>24802400</v>
      </c>
      <c r="Q59" s="90"/>
    </row>
    <row r="60" spans="1:21">
      <c r="B60" s="90" t="s">
        <v>264</v>
      </c>
      <c r="D60" s="195">
        <v>325622</v>
      </c>
      <c r="E60" s="195">
        <v>309230</v>
      </c>
      <c r="F60" s="195">
        <v>282154</v>
      </c>
      <c r="G60" s="195">
        <v>269392</v>
      </c>
      <c r="H60" s="195">
        <v>266660</v>
      </c>
      <c r="I60" s="195">
        <v>260786</v>
      </c>
      <c r="J60" s="195">
        <v>267363</v>
      </c>
      <c r="K60" s="195">
        <v>268476</v>
      </c>
      <c r="L60" s="195">
        <v>274991</v>
      </c>
      <c r="M60" s="195">
        <v>262121</v>
      </c>
      <c r="N60" s="195">
        <v>268765</v>
      </c>
      <c r="O60" s="195">
        <v>279001</v>
      </c>
      <c r="P60" s="102">
        <v>270027</v>
      </c>
      <c r="Q60" s="90"/>
    </row>
    <row r="61" spans="1:21">
      <c r="B61" s="111" t="s">
        <v>210</v>
      </c>
      <c r="C61" s="111"/>
      <c r="D61" s="141">
        <v>1045</v>
      </c>
      <c r="E61" s="141">
        <v>1173</v>
      </c>
      <c r="F61" s="141">
        <v>1273</v>
      </c>
      <c r="G61" s="141">
        <v>1260</v>
      </c>
      <c r="H61" s="141">
        <v>1289</v>
      </c>
      <c r="I61" s="141">
        <v>1262</v>
      </c>
      <c r="J61" s="141">
        <v>1290</v>
      </c>
      <c r="K61" s="141">
        <v>1319</v>
      </c>
      <c r="L61" s="141">
        <v>1254</v>
      </c>
      <c r="M61" s="141">
        <v>1292</v>
      </c>
      <c r="N61" s="141">
        <v>1302</v>
      </c>
      <c r="O61" s="141">
        <v>1321</v>
      </c>
      <c r="P61" s="102">
        <v>1385</v>
      </c>
      <c r="Q61" s="90"/>
    </row>
    <row r="62" spans="1:21">
      <c r="B62" s="154"/>
      <c r="C62" s="154"/>
      <c r="D62" s="141"/>
      <c r="E62" s="141"/>
      <c r="F62" s="141"/>
      <c r="G62" s="141"/>
      <c r="H62" s="141"/>
      <c r="I62" s="141"/>
      <c r="J62" s="141"/>
      <c r="K62" s="141"/>
      <c r="L62" s="141"/>
      <c r="M62" s="141"/>
      <c r="N62" s="141"/>
      <c r="O62" s="141"/>
      <c r="P62" s="127"/>
      <c r="Q62" s="127"/>
      <c r="R62" s="127"/>
    </row>
    <row r="63" spans="1:21">
      <c r="B63" s="153" t="s">
        <v>372</v>
      </c>
      <c r="C63" s="94"/>
      <c r="D63" s="94"/>
      <c r="E63" s="94"/>
      <c r="F63" s="94"/>
      <c r="G63" s="94"/>
      <c r="H63" s="94"/>
      <c r="I63" s="94"/>
      <c r="J63" s="94"/>
      <c r="K63" s="94"/>
      <c r="L63" s="94"/>
      <c r="M63" s="94"/>
      <c r="N63" s="94"/>
      <c r="O63" s="94"/>
      <c r="P63" s="94"/>
      <c r="Q63" s="90"/>
    </row>
    <row r="64" spans="1:21">
      <c r="B64" s="136"/>
      <c r="C64" s="136"/>
      <c r="D64" s="136"/>
      <c r="E64" s="136"/>
      <c r="F64" s="136"/>
      <c r="G64" s="136"/>
      <c r="H64" s="136"/>
      <c r="I64" s="136"/>
      <c r="J64" s="136"/>
      <c r="K64" s="136"/>
      <c r="L64" s="136"/>
      <c r="M64" s="136"/>
      <c r="N64" s="136"/>
      <c r="O64" s="136"/>
      <c r="P64" s="136"/>
      <c r="Q64" s="90"/>
    </row>
    <row r="65" spans="2:17">
      <c r="B65" s="90" t="s">
        <v>1127</v>
      </c>
      <c r="C65" s="136"/>
      <c r="D65" s="345">
        <f t="shared" ref="D65:O65" si="15">(D47/D59)*1000</f>
        <v>16.718142498780395</v>
      </c>
      <c r="E65" s="345">
        <f t="shared" si="15"/>
        <v>21.921036468099942</v>
      </c>
      <c r="F65" s="345">
        <f t="shared" si="15"/>
        <v>23.92884846828828</v>
      </c>
      <c r="G65" s="345">
        <f t="shared" si="15"/>
        <v>28.594681560555493</v>
      </c>
      <c r="H65" s="345">
        <f t="shared" si="15"/>
        <v>28.047151631770358</v>
      </c>
      <c r="I65" s="345">
        <f t="shared" si="15"/>
        <v>29.477956853731346</v>
      </c>
      <c r="J65" s="345">
        <f t="shared" si="15"/>
        <v>28.470491780099572</v>
      </c>
      <c r="K65" s="345">
        <f t="shared" si="15"/>
        <v>27.692794768995185</v>
      </c>
      <c r="L65" s="345">
        <f t="shared" si="15"/>
        <v>28.072105488909955</v>
      </c>
      <c r="M65" s="345">
        <f t="shared" si="15"/>
        <v>27.569003002343425</v>
      </c>
      <c r="N65" s="345">
        <f t="shared" si="15"/>
        <v>27.091668851784167</v>
      </c>
      <c r="O65" s="345">
        <f t="shared" si="15"/>
        <v>26.573433411863626</v>
      </c>
      <c r="P65" s="345">
        <f t="shared" ref="P65" si="16">(P47/P59)*1000</f>
        <v>32.109795826210366</v>
      </c>
      <c r="Q65" s="90"/>
    </row>
    <row r="66" spans="2:17">
      <c r="B66" s="90" t="s">
        <v>299</v>
      </c>
      <c r="D66" s="345">
        <f t="shared" ref="D66:O66" si="17">(D45/D59)*1000</f>
        <v>16.718142498780395</v>
      </c>
      <c r="E66" s="345">
        <f t="shared" si="17"/>
        <v>21.921036468099942</v>
      </c>
      <c r="F66" s="345">
        <f t="shared" si="17"/>
        <v>23.92884846828828</v>
      </c>
      <c r="G66" s="345">
        <f t="shared" si="17"/>
        <v>28.594681560555493</v>
      </c>
      <c r="H66" s="345">
        <f t="shared" si="17"/>
        <v>28.047151631770358</v>
      </c>
      <c r="I66" s="345">
        <f t="shared" si="17"/>
        <v>29.477956853731346</v>
      </c>
      <c r="J66" s="345">
        <f t="shared" si="17"/>
        <v>28.470491780099572</v>
      </c>
      <c r="K66" s="345">
        <f t="shared" si="17"/>
        <v>27.692794768995185</v>
      </c>
      <c r="L66" s="345">
        <f t="shared" si="17"/>
        <v>28.072105488909955</v>
      </c>
      <c r="M66" s="345">
        <f t="shared" si="17"/>
        <v>27.569003002343425</v>
      </c>
      <c r="N66" s="345">
        <f t="shared" si="17"/>
        <v>27.091668851784167</v>
      </c>
      <c r="O66" s="345">
        <f t="shared" si="17"/>
        <v>26.573433411863626</v>
      </c>
      <c r="P66" s="345">
        <f t="shared" ref="P66" si="18">(P45/P59)*1000</f>
        <v>32.109795826210366</v>
      </c>
      <c r="Q66" s="90"/>
    </row>
    <row r="67" spans="2:17">
      <c r="B67" s="90" t="s">
        <v>300</v>
      </c>
      <c r="D67" s="345">
        <f t="shared" ref="D67:O67" si="19">(D51/D59)*1000</f>
        <v>11.753396018121315</v>
      </c>
      <c r="E67" s="345">
        <f t="shared" si="19"/>
        <v>14.699716467078582</v>
      </c>
      <c r="F67" s="345">
        <f t="shared" si="19"/>
        <v>17.215842836619881</v>
      </c>
      <c r="G67" s="345">
        <f t="shared" si="19"/>
        <v>19.363776053672986</v>
      </c>
      <c r="H67" s="345">
        <f t="shared" si="19"/>
        <v>18.045888439070971</v>
      </c>
      <c r="I67" s="345">
        <f t="shared" si="19"/>
        <v>18.777874123785125</v>
      </c>
      <c r="J67" s="345">
        <f t="shared" si="19"/>
        <v>18.333126012287121</v>
      </c>
      <c r="K67" s="345">
        <f t="shared" si="19"/>
        <v>18.490396518871975</v>
      </c>
      <c r="L67" s="345">
        <f t="shared" si="19"/>
        <v>19.091470042844517</v>
      </c>
      <c r="M67" s="345">
        <f t="shared" si="19"/>
        <v>18.092655757693855</v>
      </c>
      <c r="N67" s="345">
        <f t="shared" si="19"/>
        <v>17.761587656298527</v>
      </c>
      <c r="O67" s="345">
        <f t="shared" si="19"/>
        <v>17.480567552514259</v>
      </c>
      <c r="P67" s="345">
        <f t="shared" ref="P67" si="20">(P51/P59)*1000</f>
        <v>21.818560204722267</v>
      </c>
      <c r="Q67" s="90"/>
    </row>
    <row r="68" spans="2:17">
      <c r="B68" s="90" t="s">
        <v>265</v>
      </c>
      <c r="D68" s="345">
        <f t="shared" ref="D68:O68" si="21">D25*1000/D59</f>
        <v>4.9446169909672024</v>
      </c>
      <c r="E68" s="345">
        <f t="shared" si="21"/>
        <v>6.0848222006538846</v>
      </c>
      <c r="F68" s="345">
        <f t="shared" si="21"/>
        <v>7.4563161119358767</v>
      </c>
      <c r="G68" s="345">
        <f t="shared" si="21"/>
        <v>7.8181693143997757</v>
      </c>
      <c r="H68" s="345">
        <f t="shared" si="21"/>
        <v>7.4175227336209302</v>
      </c>
      <c r="I68" s="345">
        <f t="shared" si="21"/>
        <v>7.8220700072889313</v>
      </c>
      <c r="J68" s="345">
        <f t="shared" si="21"/>
        <v>7.624492026289043</v>
      </c>
      <c r="K68" s="345">
        <f t="shared" si="21"/>
        <v>7.7169163406361694</v>
      </c>
      <c r="L68" s="345">
        <f t="shared" si="21"/>
        <v>6.8958954367330305</v>
      </c>
      <c r="M68" s="345">
        <f t="shared" si="21"/>
        <v>7.2247423161862763</v>
      </c>
      <c r="N68" s="345">
        <f t="shared" si="21"/>
        <v>6.8871960535794452</v>
      </c>
      <c r="O68" s="345">
        <f t="shared" si="21"/>
        <v>6.7196692047326572</v>
      </c>
      <c r="P68" s="345">
        <f t="shared" ref="P68" si="22">P25*1000/P59</f>
        <v>11.697093829629392</v>
      </c>
      <c r="Q68" s="90"/>
    </row>
    <row r="69" spans="2:17">
      <c r="B69" s="111" t="s">
        <v>1136</v>
      </c>
      <c r="C69" s="111"/>
      <c r="D69" s="159">
        <f t="shared" ref="D69:O69" si="23">D25/D61</f>
        <v>107.29282296650717</v>
      </c>
      <c r="E69" s="159">
        <f t="shared" si="23"/>
        <v>108.99914748508098</v>
      </c>
      <c r="F69" s="159">
        <f t="shared" si="23"/>
        <v>107.7808326787117</v>
      </c>
      <c r="G69" s="159">
        <f t="shared" si="23"/>
        <v>108.36111111111111</v>
      </c>
      <c r="H69" s="159">
        <f t="shared" si="23"/>
        <v>101.97827773467804</v>
      </c>
      <c r="I69" s="159">
        <f t="shared" si="23"/>
        <v>110.85182250396197</v>
      </c>
      <c r="J69" s="159">
        <f t="shared" si="23"/>
        <v>113.70077519379845</v>
      </c>
      <c r="K69" s="159">
        <f t="shared" si="23"/>
        <v>121.33586050037907</v>
      </c>
      <c r="L69" s="159">
        <f t="shared" si="23"/>
        <v>121.52631578947368</v>
      </c>
      <c r="M69" s="159">
        <f t="shared" si="23"/>
        <v>122.61300309597523</v>
      </c>
      <c r="N69" s="159">
        <f t="shared" si="23"/>
        <v>121.01920122887864</v>
      </c>
      <c r="O69" s="159">
        <f t="shared" si="23"/>
        <v>123.80242240726722</v>
      </c>
      <c r="P69" s="159">
        <f t="shared" ref="P69" si="24">P25/P61</f>
        <v>209.47003610108302</v>
      </c>
      <c r="Q69" s="90"/>
    </row>
    <row r="70" spans="2:17">
      <c r="B70" s="111" t="s">
        <v>1135</v>
      </c>
      <c r="C70" s="111"/>
      <c r="D70" s="159">
        <f t="shared" ref="D70:O70" si="25">D59/D61</f>
        <v>21698.914832535884</v>
      </c>
      <c r="E70" s="159">
        <f t="shared" si="25"/>
        <v>17913.283887468031</v>
      </c>
      <c r="F70" s="159">
        <f t="shared" si="25"/>
        <v>14454.970934799685</v>
      </c>
      <c r="G70" s="159">
        <f t="shared" si="25"/>
        <v>13860.164285714285</v>
      </c>
      <c r="H70" s="159">
        <f t="shared" si="25"/>
        <v>13748.293250581846</v>
      </c>
      <c r="I70" s="159">
        <f t="shared" si="25"/>
        <v>14171.673534072901</v>
      </c>
      <c r="J70" s="159">
        <f t="shared" si="25"/>
        <v>14912.570542635658</v>
      </c>
      <c r="K70" s="159">
        <f t="shared" si="25"/>
        <v>15723.360879454132</v>
      </c>
      <c r="L70" s="159">
        <f t="shared" si="25"/>
        <v>17622.992822966506</v>
      </c>
      <c r="M70" s="159">
        <f t="shared" si="25"/>
        <v>16971.263157894737</v>
      </c>
      <c r="N70" s="159">
        <f t="shared" si="25"/>
        <v>17571.621351766513</v>
      </c>
      <c r="O70" s="159">
        <f t="shared" si="25"/>
        <v>18423.886449659349</v>
      </c>
      <c r="P70" s="159">
        <f t="shared" ref="P70" si="26">P59/P61</f>
        <v>17907.870036101081</v>
      </c>
      <c r="Q70" s="90"/>
    </row>
    <row r="71" spans="2:17" s="133" customFormat="1">
      <c r="B71" s="138"/>
      <c r="C71" s="138"/>
      <c r="D71" s="141"/>
      <c r="E71" s="141"/>
      <c r="F71" s="141"/>
      <c r="G71" s="141"/>
      <c r="H71" s="141"/>
      <c r="I71" s="141"/>
      <c r="J71" s="141"/>
      <c r="K71" s="141"/>
      <c r="L71" s="141"/>
      <c r="M71" s="141"/>
      <c r="N71" s="141"/>
      <c r="O71" s="141"/>
      <c r="P71" s="141"/>
    </row>
    <row r="72" spans="2:17">
      <c r="B72" s="153" t="s">
        <v>1156</v>
      </c>
      <c r="C72" s="94"/>
      <c r="D72" s="94"/>
      <c r="E72" s="94"/>
      <c r="F72" s="94"/>
      <c r="G72" s="94"/>
      <c r="H72" s="94"/>
      <c r="I72" s="94"/>
      <c r="J72" s="94"/>
      <c r="K72" s="94"/>
      <c r="L72" s="94"/>
      <c r="M72" s="94"/>
      <c r="N72" s="94"/>
      <c r="O72" s="94"/>
      <c r="P72" s="94"/>
      <c r="Q72" s="90"/>
    </row>
    <row r="73" spans="2:17" s="133" customFormat="1">
      <c r="B73" s="138"/>
      <c r="D73" s="214"/>
      <c r="E73" s="214"/>
      <c r="F73" s="214"/>
      <c r="G73" s="214"/>
      <c r="H73" s="214"/>
      <c r="I73" s="214"/>
      <c r="J73" s="214"/>
      <c r="K73" s="214"/>
      <c r="L73" s="214"/>
      <c r="M73" s="214"/>
      <c r="N73" s="214"/>
      <c r="O73" s="214"/>
      <c r="P73" s="131"/>
    </row>
    <row r="74" spans="2:17">
      <c r="B74" s="138" t="s">
        <v>1095</v>
      </c>
      <c r="D74" s="214">
        <f>FX!$G$28</f>
        <v>0.67314545454545438</v>
      </c>
      <c r="E74" s="214">
        <f>FX!$G$28</f>
        <v>0.67314545454545438</v>
      </c>
      <c r="F74" s="214">
        <f>FX!$G$28</f>
        <v>0.67314545454545438</v>
      </c>
      <c r="G74" s="214">
        <f>FX!$G$28</f>
        <v>0.67314545454545438</v>
      </c>
      <c r="H74" s="214">
        <f>FX!$G$28</f>
        <v>0.67314545454545438</v>
      </c>
      <c r="I74" s="214">
        <f>FX!$G$28</f>
        <v>0.67314545454545438</v>
      </c>
      <c r="J74" s="214">
        <f>FX!$G$28</f>
        <v>0.67314545454545438</v>
      </c>
      <c r="K74" s="214">
        <f>FX!$G$28</f>
        <v>0.67314545454545438</v>
      </c>
      <c r="L74" s="214">
        <f>FX!$G$28</f>
        <v>0.67314545454545438</v>
      </c>
      <c r="M74" s="214">
        <f>FX!$G$28</f>
        <v>0.67314545454545438</v>
      </c>
      <c r="N74" s="214">
        <f>FX!$G$28</f>
        <v>0.67314545454545438</v>
      </c>
      <c r="O74" s="214">
        <f>FX!$G$28</f>
        <v>0.67314545454545438</v>
      </c>
      <c r="P74" s="214">
        <f>FX!$G$28</f>
        <v>0.67314545454545438</v>
      </c>
      <c r="Q74" s="90"/>
    </row>
    <row r="75" spans="2:17" s="133" customFormat="1">
      <c r="B75" s="138"/>
      <c r="D75" s="214"/>
      <c r="E75" s="214"/>
      <c r="F75" s="214"/>
      <c r="G75" s="214"/>
      <c r="H75" s="214"/>
      <c r="I75" s="214"/>
      <c r="J75" s="214"/>
      <c r="K75" s="214"/>
      <c r="L75" s="214"/>
      <c r="M75" s="214"/>
      <c r="N75" s="214"/>
      <c r="O75" s="214"/>
      <c r="P75" s="214"/>
    </row>
    <row r="76" spans="2:17">
      <c r="B76" s="138" t="s">
        <v>1133</v>
      </c>
      <c r="D76" s="213">
        <f>RPI!$C$33</f>
        <v>170.25</v>
      </c>
      <c r="E76" s="213">
        <f>RPI!$C$34</f>
        <v>173.35</v>
      </c>
      <c r="F76" s="213">
        <f>RPI!$C$35</f>
        <v>176.18333333333337</v>
      </c>
      <c r="G76" s="213">
        <f>RPI!$C$36</f>
        <v>181.31666666666663</v>
      </c>
      <c r="H76" s="213">
        <f>RPI!$C$37</f>
        <v>186.69166666666663</v>
      </c>
      <c r="I76" s="213">
        <f>RPI!$C$38</f>
        <v>191.97499999999999</v>
      </c>
      <c r="J76" s="213">
        <f>RPI!$C$39</f>
        <v>198.10833333333332</v>
      </c>
      <c r="K76" s="213">
        <f>RPI!$C$40</f>
        <v>206.57499999999996</v>
      </c>
      <c r="L76" s="213">
        <f>RPI!$C$41</f>
        <v>214.82500000000002</v>
      </c>
      <c r="M76" s="213">
        <f>RPI!$C$42</f>
        <v>213.68333333333337</v>
      </c>
      <c r="N76" s="213">
        <f>RPI!$C$43</f>
        <v>223.55833333333331</v>
      </c>
      <c r="O76" s="213">
        <f>RPI!$C$44</f>
        <v>235.18333333333331</v>
      </c>
      <c r="P76" s="213">
        <f>RPI!$C$45</f>
        <v>242.72499999999999</v>
      </c>
      <c r="Q76" s="90"/>
    </row>
    <row r="77" spans="2:17">
      <c r="B77" s="138" t="s">
        <v>1132</v>
      </c>
      <c r="D77" s="214">
        <f>RPI!$R$44</f>
        <v>237.3416666666667</v>
      </c>
      <c r="E77" s="214">
        <f>RPI!$R$44</f>
        <v>237.3416666666667</v>
      </c>
      <c r="F77" s="214">
        <f>RPI!$R$44</f>
        <v>237.3416666666667</v>
      </c>
      <c r="G77" s="214">
        <f>RPI!$R$44</f>
        <v>237.3416666666667</v>
      </c>
      <c r="H77" s="214">
        <f>RPI!$R$44</f>
        <v>237.3416666666667</v>
      </c>
      <c r="I77" s="214">
        <f>RPI!$R$44</f>
        <v>237.3416666666667</v>
      </c>
      <c r="J77" s="214">
        <f>RPI!$R$44</f>
        <v>237.3416666666667</v>
      </c>
      <c r="K77" s="214">
        <f>RPI!$R$44</f>
        <v>237.3416666666667</v>
      </c>
      <c r="L77" s="214">
        <f>RPI!$R$44</f>
        <v>237.3416666666667</v>
      </c>
      <c r="M77" s="214">
        <f>RPI!$R$44</f>
        <v>237.3416666666667</v>
      </c>
      <c r="N77" s="214">
        <f>RPI!$R$44</f>
        <v>237.3416666666667</v>
      </c>
      <c r="O77" s="214">
        <f>RPI!$R$44</f>
        <v>237.3416666666667</v>
      </c>
      <c r="P77" s="214">
        <f>RPI!$R$44</f>
        <v>237.3416666666667</v>
      </c>
      <c r="Q77" s="90"/>
    </row>
    <row r="78" spans="2:17">
      <c r="B78" s="138" t="s">
        <v>304</v>
      </c>
      <c r="D78" s="214">
        <f t="shared" ref="D78:O78" si="27">D77/D76</f>
        <v>1.3940773372491435</v>
      </c>
      <c r="E78" s="214">
        <f t="shared" si="27"/>
        <v>1.369147197384867</v>
      </c>
      <c r="F78" s="214">
        <f t="shared" si="27"/>
        <v>1.3471289376596347</v>
      </c>
      <c r="G78" s="214">
        <f t="shared" si="27"/>
        <v>1.3089897968563291</v>
      </c>
      <c r="H78" s="214">
        <f t="shared" si="27"/>
        <v>1.2713029504977016</v>
      </c>
      <c r="I78" s="214">
        <f t="shared" si="27"/>
        <v>1.2363154924686377</v>
      </c>
      <c r="J78" s="214">
        <f t="shared" si="27"/>
        <v>1.1980397930425275</v>
      </c>
      <c r="K78" s="214">
        <f t="shared" si="27"/>
        <v>1.1489370285207152</v>
      </c>
      <c r="L78" s="214">
        <f t="shared" si="27"/>
        <v>1.104813995888126</v>
      </c>
      <c r="M78" s="214">
        <f t="shared" si="27"/>
        <v>1.1107167927618751</v>
      </c>
      <c r="N78" s="214">
        <f t="shared" si="27"/>
        <v>1.0616543035002053</v>
      </c>
      <c r="O78" s="214">
        <f t="shared" si="27"/>
        <v>1.0091772376160444</v>
      </c>
      <c r="P78" s="214">
        <f t="shared" ref="P78" si="28">P77/P76</f>
        <v>0.97782126549249848</v>
      </c>
      <c r="Q78" s="90"/>
    </row>
    <row r="79" spans="2:17" s="133" customFormat="1">
      <c r="B79" s="138"/>
      <c r="D79" s="214"/>
      <c r="E79" s="214"/>
      <c r="F79" s="214"/>
      <c r="G79" s="214"/>
      <c r="H79" s="214"/>
      <c r="I79" s="214"/>
      <c r="J79" s="214"/>
      <c r="K79" s="214"/>
      <c r="L79" s="214"/>
      <c r="M79" s="214"/>
      <c r="N79" s="214"/>
      <c r="O79" s="214"/>
      <c r="P79" s="131"/>
    </row>
    <row r="80" spans="2:17">
      <c r="B80" s="111" t="str">
        <f>B25</f>
        <v>Staff Costs Total</v>
      </c>
      <c r="C80" s="111"/>
      <c r="D80" s="159">
        <f>D25*D74*D78</f>
        <v>105216.23259522358</v>
      </c>
      <c r="E80" s="159">
        <f t="shared" ref="E80:O80" si="29">E25*E74*E78</f>
        <v>117836.59173237537</v>
      </c>
      <c r="F80" s="159">
        <f t="shared" si="29"/>
        <v>124419.3765997153</v>
      </c>
      <c r="G80" s="159">
        <f t="shared" si="29"/>
        <v>120306.52250934244</v>
      </c>
      <c r="H80" s="159">
        <f t="shared" si="29"/>
        <v>112491.20343570058</v>
      </c>
      <c r="I80" s="159">
        <f t="shared" si="29"/>
        <v>116423.43846332974</v>
      </c>
      <c r="J80" s="159">
        <f t="shared" si="29"/>
        <v>118285.986691137</v>
      </c>
      <c r="K80" s="159">
        <f t="shared" si="29"/>
        <v>123776.76100223781</v>
      </c>
      <c r="L80" s="159">
        <f t="shared" si="29"/>
        <v>113335.49696110784</v>
      </c>
      <c r="M80" s="159">
        <f t="shared" si="29"/>
        <v>118443.51810042329</v>
      </c>
      <c r="N80" s="159">
        <f t="shared" si="29"/>
        <v>112604.90497071878</v>
      </c>
      <c r="O80" s="159">
        <f t="shared" si="29"/>
        <v>111098.5328913027</v>
      </c>
      <c r="P80" s="159">
        <f>P25*P74*P78</f>
        <v>190958.97571407221</v>
      </c>
      <c r="Q80" s="90"/>
    </row>
    <row r="81" spans="1:24" s="126" customFormat="1">
      <c r="A81" s="90"/>
      <c r="B81" s="111" t="str">
        <f>B28</f>
        <v>Depreciation Total</v>
      </c>
      <c r="C81" s="111"/>
      <c r="D81" s="159">
        <f>D28*D74*D78</f>
        <v>102860.80636985981</v>
      </c>
      <c r="E81" s="159">
        <f t="shared" ref="E81:O81" si="30">E28*E74*E78</f>
        <v>136357.77296324304</v>
      </c>
      <c r="F81" s="159">
        <f t="shared" si="30"/>
        <v>109748.03740648768</v>
      </c>
      <c r="G81" s="159">
        <f t="shared" si="30"/>
        <v>140871.46138102768</v>
      </c>
      <c r="H81" s="159">
        <f t="shared" si="30"/>
        <v>150513.14461978714</v>
      </c>
      <c r="I81" s="159">
        <f t="shared" si="30"/>
        <v>157223.86374016741</v>
      </c>
      <c r="J81" s="159">
        <f t="shared" si="30"/>
        <v>152303.87323275677</v>
      </c>
      <c r="K81" s="159">
        <f t="shared" si="30"/>
        <v>139918.42868245742</v>
      </c>
      <c r="L81" s="159">
        <f t="shared" si="30"/>
        <v>138453.23830502204</v>
      </c>
      <c r="M81" s="159">
        <f t="shared" si="30"/>
        <v>141368.69707221386</v>
      </c>
      <c r="N81" s="159">
        <f t="shared" si="30"/>
        <v>136296.19315088529</v>
      </c>
      <c r="O81" s="159">
        <f t="shared" si="30"/>
        <v>136687.27430456769</v>
      </c>
      <c r="P81" s="159">
        <f t="shared" ref="P81" si="31">P28*P74*P78</f>
        <v>143978.81298057284</v>
      </c>
      <c r="Q81" s="90"/>
      <c r="R81" s="90"/>
      <c r="S81" s="90"/>
      <c r="T81" s="90"/>
      <c r="U81" s="90"/>
      <c r="V81" s="90"/>
      <c r="W81" s="90"/>
      <c r="X81" s="90"/>
    </row>
    <row r="82" spans="1:24" s="126" customFormat="1">
      <c r="A82" s="90"/>
      <c r="B82" s="111" t="str">
        <f>B36</f>
        <v>Other Costs Total</v>
      </c>
      <c r="C82" s="111"/>
      <c r="D82" s="159">
        <f>D36*D74*D78</f>
        <v>147667.39441067411</v>
      </c>
      <c r="E82" s="159">
        <f t="shared" ref="E82:O82" si="32">E36*E74*E78</f>
        <v>170320.95217993809</v>
      </c>
      <c r="F82" s="159">
        <f t="shared" si="32"/>
        <v>165119.8968426002</v>
      </c>
      <c r="G82" s="159">
        <f t="shared" si="32"/>
        <v>178838.92575576715</v>
      </c>
      <c r="H82" s="159">
        <f t="shared" si="32"/>
        <v>162347.61287625198</v>
      </c>
      <c r="I82" s="159">
        <f t="shared" si="32"/>
        <v>165101.65971925083</v>
      </c>
      <c r="J82" s="159">
        <f t="shared" si="32"/>
        <v>171099.92087453607</v>
      </c>
      <c r="K82" s="159">
        <f t="shared" si="32"/>
        <v>180487.9902671251</v>
      </c>
      <c r="L82" s="159">
        <f t="shared" si="32"/>
        <v>209582.24338628689</v>
      </c>
      <c r="M82" s="159">
        <f t="shared" si="32"/>
        <v>192158.18919776782</v>
      </c>
      <c r="N82" s="159">
        <f t="shared" si="32"/>
        <v>194044.73539620871</v>
      </c>
      <c r="O82" s="159">
        <f t="shared" si="32"/>
        <v>191561.63327984419</v>
      </c>
      <c r="P82" s="159">
        <f t="shared" ref="P82" si="33">P36*P74*P78</f>
        <v>189265.38609987547</v>
      </c>
      <c r="Q82" s="90"/>
      <c r="R82" s="90"/>
      <c r="S82" s="90"/>
      <c r="T82" s="90"/>
      <c r="U82" s="90"/>
      <c r="V82" s="90"/>
      <c r="W82" s="90"/>
      <c r="X82" s="90"/>
    </row>
    <row r="83" spans="1:24" s="126" customFormat="1">
      <c r="A83" s="90"/>
      <c r="B83" s="111" t="str">
        <f>B39</f>
        <v>Exceptional Items Total</v>
      </c>
      <c r="C83" s="111"/>
      <c r="D83" s="159">
        <f>D39*D74*D78</f>
        <v>0</v>
      </c>
      <c r="E83" s="159">
        <f t="shared" ref="E83:O83" si="34">E39*E74*E78</f>
        <v>0</v>
      </c>
      <c r="F83" s="159">
        <f t="shared" si="34"/>
        <v>0</v>
      </c>
      <c r="G83" s="159">
        <f t="shared" si="34"/>
        <v>0</v>
      </c>
      <c r="H83" s="159">
        <f t="shared" si="34"/>
        <v>0</v>
      </c>
      <c r="I83" s="159">
        <f t="shared" si="34"/>
        <v>0</v>
      </c>
      <c r="J83" s="159">
        <f t="shared" si="34"/>
        <v>0</v>
      </c>
      <c r="K83" s="159">
        <f t="shared" si="34"/>
        <v>0</v>
      </c>
      <c r="L83" s="159">
        <f t="shared" si="34"/>
        <v>0</v>
      </c>
      <c r="M83" s="159">
        <f t="shared" si="34"/>
        <v>0</v>
      </c>
      <c r="N83" s="159">
        <f t="shared" si="34"/>
        <v>0</v>
      </c>
      <c r="O83" s="159">
        <f t="shared" si="34"/>
        <v>0</v>
      </c>
      <c r="P83" s="159">
        <f t="shared" ref="P83" si="35">P39*P74*P78</f>
        <v>0</v>
      </c>
      <c r="Q83" s="90"/>
      <c r="R83" s="90"/>
      <c r="S83" s="90"/>
      <c r="T83" s="90"/>
      <c r="U83" s="90"/>
      <c r="V83" s="90"/>
      <c r="W83" s="90"/>
      <c r="X83" s="90"/>
    </row>
    <row r="84" spans="1:24" s="126" customFormat="1">
      <c r="A84" s="90"/>
      <c r="B84" s="111" t="str">
        <f>B41</f>
        <v>Grand Total</v>
      </c>
      <c r="C84" s="111"/>
      <c r="D84" s="159">
        <f>D41*D74*D78</f>
        <v>355744.43337575748</v>
      </c>
      <c r="E84" s="159">
        <f t="shared" ref="E84:O84" si="36">E41*E74*E78</f>
        <v>424515.31687555648</v>
      </c>
      <c r="F84" s="159">
        <f t="shared" si="36"/>
        <v>399287.31084880314</v>
      </c>
      <c r="G84" s="159">
        <f t="shared" si="36"/>
        <v>440016.90964613727</v>
      </c>
      <c r="H84" s="159">
        <f t="shared" si="36"/>
        <v>425351.96093173971</v>
      </c>
      <c r="I84" s="159">
        <f t="shared" si="36"/>
        <v>438748.96192274796</v>
      </c>
      <c r="J84" s="159">
        <f t="shared" si="36"/>
        <v>441689.7807984298</v>
      </c>
      <c r="K84" s="159">
        <f t="shared" si="36"/>
        <v>444183.17995182029</v>
      </c>
      <c r="L84" s="159">
        <f t="shared" si="36"/>
        <v>461370.97865241673</v>
      </c>
      <c r="M84" s="159">
        <f t="shared" si="36"/>
        <v>451970.40437040501</v>
      </c>
      <c r="N84" s="159">
        <f t="shared" si="36"/>
        <v>442945.83351781277</v>
      </c>
      <c r="O84" s="159">
        <f t="shared" si="36"/>
        <v>439347.44047571457</v>
      </c>
      <c r="P84" s="159">
        <f t="shared" ref="P84" si="37">P41*P74*P78</f>
        <v>524203.17479452054</v>
      </c>
      <c r="Q84" s="90"/>
      <c r="R84" s="90"/>
      <c r="S84" s="90"/>
      <c r="T84" s="90"/>
      <c r="U84" s="90"/>
      <c r="V84" s="90"/>
      <c r="W84" s="90"/>
      <c r="X84" s="90"/>
    </row>
    <row r="85" spans="1:24" s="126" customFormat="1">
      <c r="A85" s="90"/>
      <c r="B85" s="111" t="str">
        <f>B43</f>
        <v>Cost Residual (Ordinary Opex - Elements)</v>
      </c>
      <c r="C85" s="111"/>
      <c r="D85" s="159">
        <f>D43*D74*D78</f>
        <v>0</v>
      </c>
      <c r="E85" s="159">
        <f t="shared" ref="E85:O85" si="38">E43*E74*E78</f>
        <v>0</v>
      </c>
      <c r="F85" s="159">
        <f t="shared" si="38"/>
        <v>0</v>
      </c>
      <c r="G85" s="159">
        <f t="shared" si="38"/>
        <v>0</v>
      </c>
      <c r="H85" s="159">
        <f t="shared" si="38"/>
        <v>0</v>
      </c>
      <c r="I85" s="159">
        <f t="shared" si="38"/>
        <v>0</v>
      </c>
      <c r="J85" s="159">
        <f t="shared" si="38"/>
        <v>0</v>
      </c>
      <c r="K85" s="159">
        <f t="shared" si="38"/>
        <v>0</v>
      </c>
      <c r="L85" s="159">
        <f t="shared" si="38"/>
        <v>0</v>
      </c>
      <c r="M85" s="159">
        <f t="shared" si="38"/>
        <v>0</v>
      </c>
      <c r="N85" s="159">
        <f t="shared" si="38"/>
        <v>0</v>
      </c>
      <c r="O85" s="159">
        <f t="shared" si="38"/>
        <v>0</v>
      </c>
      <c r="P85" s="159">
        <f t="shared" ref="P85" si="39">P43*P74*P78</f>
        <v>0</v>
      </c>
      <c r="Q85" s="90"/>
      <c r="R85" s="90"/>
      <c r="S85" s="90"/>
      <c r="T85" s="90"/>
      <c r="U85" s="90"/>
      <c r="V85" s="90"/>
      <c r="W85" s="90"/>
      <c r="X85" s="90"/>
    </row>
    <row r="86" spans="1:24" s="126" customFormat="1">
      <c r="A86" s="90"/>
      <c r="B86" s="111"/>
      <c r="C86" s="111"/>
      <c r="D86" s="193"/>
      <c r="E86" s="193"/>
      <c r="F86" s="193"/>
      <c r="G86" s="193"/>
      <c r="H86" s="193"/>
      <c r="I86" s="193"/>
      <c r="J86" s="193"/>
      <c r="K86" s="193"/>
      <c r="L86" s="193"/>
      <c r="M86" s="193"/>
      <c r="N86" s="193"/>
      <c r="O86" s="193"/>
      <c r="P86" s="193"/>
      <c r="Q86" s="90"/>
      <c r="R86" s="90"/>
      <c r="S86" s="90"/>
      <c r="T86" s="90"/>
      <c r="U86" s="90"/>
      <c r="V86" s="90"/>
      <c r="W86" s="90"/>
      <c r="X86" s="90"/>
    </row>
    <row r="87" spans="1:24" s="126" customFormat="1">
      <c r="A87" s="90"/>
      <c r="B87" s="111" t="str">
        <f>B45</f>
        <v>Ordinary Opex (per accounts - including staff, depreciation and other, excluding exceptional)</v>
      </c>
      <c r="C87" s="111"/>
      <c r="D87" s="159">
        <f>D45*D74*D78</f>
        <v>355744.43337575748</v>
      </c>
      <c r="E87" s="159">
        <f t="shared" ref="E87:O87" si="40">E45*E74*E78</f>
        <v>424515.31687555648</v>
      </c>
      <c r="F87" s="159">
        <f t="shared" si="40"/>
        <v>399287.31084880314</v>
      </c>
      <c r="G87" s="159">
        <f t="shared" si="40"/>
        <v>440016.90964613727</v>
      </c>
      <c r="H87" s="159">
        <f t="shared" si="40"/>
        <v>425351.96093173971</v>
      </c>
      <c r="I87" s="159">
        <f t="shared" si="40"/>
        <v>438748.96192274796</v>
      </c>
      <c r="J87" s="159">
        <f t="shared" si="40"/>
        <v>441689.7807984298</v>
      </c>
      <c r="K87" s="159">
        <f t="shared" si="40"/>
        <v>444183.17995182029</v>
      </c>
      <c r="L87" s="159">
        <f t="shared" si="40"/>
        <v>461370.97865241673</v>
      </c>
      <c r="M87" s="159">
        <f t="shared" si="40"/>
        <v>451970.40437040501</v>
      </c>
      <c r="N87" s="159">
        <f t="shared" si="40"/>
        <v>442945.83351781277</v>
      </c>
      <c r="O87" s="159">
        <f t="shared" si="40"/>
        <v>439347.44047571457</v>
      </c>
      <c r="P87" s="159">
        <f t="shared" ref="P87" si="41">P45*P74*P78</f>
        <v>524203.17479452054</v>
      </c>
      <c r="Q87" s="90"/>
      <c r="R87" s="90"/>
      <c r="S87" s="90"/>
      <c r="T87" s="90"/>
      <c r="U87" s="90"/>
      <c r="V87" s="90"/>
      <c r="W87" s="90"/>
      <c r="X87" s="90"/>
    </row>
    <row r="88" spans="1:24" s="126" customFormat="1">
      <c r="A88" s="90"/>
      <c r="B88" s="111"/>
      <c r="C88" s="111"/>
      <c r="D88" s="141"/>
      <c r="E88" s="141"/>
      <c r="F88" s="141"/>
      <c r="G88" s="141"/>
      <c r="H88" s="141"/>
      <c r="I88" s="141"/>
      <c r="J88" s="141"/>
      <c r="K88" s="141"/>
      <c r="L88" s="141"/>
      <c r="M88" s="141"/>
      <c r="N88" s="141"/>
      <c r="O88" s="141"/>
      <c r="P88" s="141"/>
      <c r="Q88" s="90"/>
      <c r="R88" s="90"/>
      <c r="S88" s="90"/>
      <c r="T88" s="90"/>
      <c r="U88" s="90"/>
      <c r="V88" s="90"/>
      <c r="W88" s="90"/>
      <c r="X88" s="90"/>
    </row>
    <row r="89" spans="1:24" s="126" customFormat="1">
      <c r="A89" s="90"/>
      <c r="B89" s="111" t="str">
        <f>B47</f>
        <v>Total Opex (ordinary + exceptional)</v>
      </c>
      <c r="C89" s="111"/>
      <c r="D89" s="159">
        <f>D47*D74*D78</f>
        <v>355744.43337575748</v>
      </c>
      <c r="E89" s="159">
        <f t="shared" ref="E89:O89" si="42">E47*E74*E78</f>
        <v>424515.31687555648</v>
      </c>
      <c r="F89" s="159">
        <f t="shared" si="42"/>
        <v>399287.31084880314</v>
      </c>
      <c r="G89" s="159">
        <f t="shared" si="42"/>
        <v>440016.90964613727</v>
      </c>
      <c r="H89" s="159">
        <f t="shared" si="42"/>
        <v>425351.96093173971</v>
      </c>
      <c r="I89" s="159">
        <f t="shared" si="42"/>
        <v>438748.96192274796</v>
      </c>
      <c r="J89" s="159">
        <f t="shared" si="42"/>
        <v>441689.7807984298</v>
      </c>
      <c r="K89" s="159">
        <f t="shared" si="42"/>
        <v>444183.17995182029</v>
      </c>
      <c r="L89" s="159">
        <f t="shared" si="42"/>
        <v>461370.97865241673</v>
      </c>
      <c r="M89" s="159">
        <f t="shared" si="42"/>
        <v>451970.40437040501</v>
      </c>
      <c r="N89" s="159">
        <f t="shared" si="42"/>
        <v>442945.83351781277</v>
      </c>
      <c r="O89" s="159">
        <f t="shared" si="42"/>
        <v>439347.44047571457</v>
      </c>
      <c r="P89" s="159">
        <f t="shared" ref="P89" si="43">P47*P74*P78</f>
        <v>524203.17479452054</v>
      </c>
      <c r="Q89" s="90"/>
      <c r="R89" s="90"/>
      <c r="S89" s="90"/>
      <c r="T89" s="90"/>
      <c r="U89" s="90"/>
      <c r="V89" s="90"/>
      <c r="W89" s="90"/>
      <c r="X89" s="90"/>
    </row>
    <row r="90" spans="1:24" s="126" customFormat="1">
      <c r="A90" s="90"/>
      <c r="B90" s="111"/>
      <c r="C90" s="111"/>
      <c r="D90" s="141"/>
      <c r="E90" s="141"/>
      <c r="F90" s="141"/>
      <c r="G90" s="141"/>
      <c r="H90" s="141"/>
      <c r="I90" s="141"/>
      <c r="J90" s="141"/>
      <c r="K90" s="141"/>
      <c r="L90" s="141"/>
      <c r="M90" s="141"/>
      <c r="N90" s="141"/>
      <c r="O90" s="141"/>
      <c r="P90" s="141"/>
      <c r="Q90" s="90"/>
      <c r="R90" s="90"/>
      <c r="S90" s="90"/>
      <c r="T90" s="90"/>
      <c r="U90" s="90"/>
      <c r="V90" s="90"/>
      <c r="W90" s="90"/>
      <c r="X90" s="90"/>
    </row>
    <row r="91" spans="1:24" s="126" customFormat="1">
      <c r="A91" s="90"/>
      <c r="B91" s="111" t="s">
        <v>1146</v>
      </c>
      <c r="C91" s="111"/>
      <c r="D91" s="159">
        <f>D49*D74*D78</f>
        <v>2783.7605277602815</v>
      </c>
      <c r="E91" s="159">
        <f t="shared" ref="E91:O91" si="44">E49*E74*E78</f>
        <v>3487.8476101482192</v>
      </c>
      <c r="F91" s="159">
        <f t="shared" si="44"/>
        <v>2268.1329467983192</v>
      </c>
      <c r="G91" s="159">
        <f t="shared" si="44"/>
        <v>1174.3419888157093</v>
      </c>
      <c r="H91" s="159">
        <f t="shared" si="44"/>
        <v>1162.0403209303859</v>
      </c>
      <c r="I91" s="159">
        <f t="shared" si="44"/>
        <v>2035.8235423036072</v>
      </c>
      <c r="J91" s="159">
        <f t="shared" si="44"/>
        <v>4966.7105858318773</v>
      </c>
      <c r="K91" s="159">
        <f t="shared" si="44"/>
        <v>7684.9660640782486</v>
      </c>
      <c r="L91" s="159">
        <f t="shared" si="44"/>
        <v>9145.4007179280325</v>
      </c>
      <c r="M91" s="159">
        <f t="shared" si="44"/>
        <v>13987.972726638603</v>
      </c>
      <c r="N91" s="159">
        <f t="shared" si="44"/>
        <v>16249.617686127429</v>
      </c>
      <c r="O91" s="159">
        <f t="shared" si="44"/>
        <v>13648.110663436903</v>
      </c>
      <c r="P91" s="159">
        <f t="shared" ref="P91" si="45">P49*P74*P78</f>
        <v>24029.056472741282</v>
      </c>
      <c r="Q91" s="90"/>
      <c r="R91" s="90"/>
      <c r="S91" s="90"/>
      <c r="T91" s="90"/>
      <c r="U91" s="90"/>
      <c r="V91" s="90"/>
      <c r="W91" s="90"/>
      <c r="X91" s="90"/>
    </row>
    <row r="92" spans="1:24" s="126" customFormat="1">
      <c r="A92" s="90"/>
      <c r="B92" s="111"/>
      <c r="C92" s="111"/>
      <c r="D92" s="141"/>
      <c r="E92" s="141"/>
      <c r="F92" s="141"/>
      <c r="G92" s="141"/>
      <c r="H92" s="141"/>
      <c r="I92" s="141"/>
      <c r="J92" s="141"/>
      <c r="K92" s="141"/>
      <c r="L92" s="141"/>
      <c r="M92" s="141"/>
      <c r="N92" s="141"/>
      <c r="O92" s="141"/>
      <c r="P92" s="141"/>
      <c r="Q92" s="90"/>
      <c r="R92" s="90"/>
      <c r="S92" s="90"/>
      <c r="T92" s="90"/>
      <c r="U92" s="90"/>
      <c r="V92" s="90"/>
      <c r="W92" s="90"/>
      <c r="X92" s="90"/>
    </row>
    <row r="93" spans="1:24" s="126" customFormat="1">
      <c r="A93" s="134"/>
      <c r="B93" s="111" t="str">
        <f>B51</f>
        <v>Adjusted Ordinary Opex (ordinary opex - depreciation - ANS - retail)</v>
      </c>
      <c r="C93" s="111"/>
      <c r="D93" s="159">
        <f>D51*D74*D78</f>
        <v>250099.86647813744</v>
      </c>
      <c r="E93" s="159">
        <f t="shared" ref="E93:O93" si="46">E51*E74*E78</f>
        <v>284669.69630216528</v>
      </c>
      <c r="F93" s="159">
        <f t="shared" si="46"/>
        <v>287271.14049551717</v>
      </c>
      <c r="G93" s="159">
        <f t="shared" si="46"/>
        <v>297971.10627629393</v>
      </c>
      <c r="H93" s="159">
        <f t="shared" si="46"/>
        <v>273676.77599102218</v>
      </c>
      <c r="I93" s="159">
        <f t="shared" si="46"/>
        <v>279489.27464027697</v>
      </c>
      <c r="J93" s="159">
        <f t="shared" si="46"/>
        <v>284419.19697984122</v>
      </c>
      <c r="K93" s="159">
        <f t="shared" si="46"/>
        <v>296579.78520528466</v>
      </c>
      <c r="L93" s="159">
        <f t="shared" si="46"/>
        <v>313772.3396294667</v>
      </c>
      <c r="M93" s="159">
        <f t="shared" si="46"/>
        <v>296613.73457155254</v>
      </c>
      <c r="N93" s="159">
        <f t="shared" si="46"/>
        <v>290400.02268080006</v>
      </c>
      <c r="O93" s="159">
        <f t="shared" si="46"/>
        <v>289012.05550770997</v>
      </c>
      <c r="P93" s="159">
        <f t="shared" ref="P93" si="47">P51*P74*P78</f>
        <v>356195.30534120637</v>
      </c>
      <c r="Q93" s="90"/>
      <c r="R93" s="90"/>
      <c r="S93" s="90"/>
      <c r="T93" s="90"/>
      <c r="U93" s="90"/>
      <c r="V93" s="90"/>
      <c r="W93" s="90"/>
      <c r="X93" s="90"/>
    </row>
    <row r="94" spans="1:24" s="126" customFormat="1">
      <c r="A94" s="90"/>
      <c r="B94" s="111"/>
      <c r="C94" s="111"/>
      <c r="D94" s="141"/>
      <c r="E94" s="141"/>
      <c r="F94" s="141"/>
      <c r="G94" s="141"/>
      <c r="H94" s="141"/>
      <c r="I94" s="141"/>
      <c r="J94" s="141"/>
      <c r="K94" s="141"/>
      <c r="L94" s="141"/>
      <c r="M94" s="141"/>
      <c r="N94" s="141"/>
      <c r="O94" s="141"/>
      <c r="P94" s="141"/>
      <c r="Q94" s="90"/>
      <c r="R94" s="90"/>
      <c r="S94" s="90"/>
      <c r="T94" s="90"/>
      <c r="U94" s="90"/>
      <c r="V94" s="90"/>
      <c r="W94" s="90"/>
      <c r="X94" s="90"/>
    </row>
    <row r="95" spans="1:24" s="126" customFormat="1">
      <c r="A95" s="90"/>
      <c r="B95" s="111" t="str">
        <f>B53</f>
        <v>Turnover (per accounts)</v>
      </c>
      <c r="C95" s="111"/>
      <c r="D95" s="159">
        <f>D53*D74*D78</f>
        <v>490370.64919922833</v>
      </c>
      <c r="E95" s="159">
        <f t="shared" ref="E95:O95" si="48">E53*E74*E78</f>
        <v>495263.72232969286</v>
      </c>
      <c r="F95" s="159">
        <f t="shared" si="48"/>
        <v>473190.81548874779</v>
      </c>
      <c r="G95" s="159">
        <f t="shared" si="48"/>
        <v>486867.15172195475</v>
      </c>
      <c r="H95" s="159">
        <f t="shared" si="48"/>
        <v>535292.96439605649</v>
      </c>
      <c r="I95" s="159">
        <f t="shared" si="48"/>
        <v>584409.12662114855</v>
      </c>
      <c r="J95" s="159">
        <f t="shared" si="48"/>
        <v>594445.26885417523</v>
      </c>
      <c r="K95" s="159">
        <f t="shared" si="48"/>
        <v>620939.50683161081</v>
      </c>
      <c r="L95" s="159">
        <f t="shared" si="48"/>
        <v>635940.54528350336</v>
      </c>
      <c r="M95" s="159">
        <f t="shared" si="48"/>
        <v>613247.41598445794</v>
      </c>
      <c r="N95" s="159">
        <f t="shared" si="48"/>
        <v>616734.59255799477</v>
      </c>
      <c r="O95" s="159">
        <f t="shared" si="48"/>
        <v>615061.82517085446</v>
      </c>
      <c r="P95" s="159">
        <f t="shared" ref="P95" si="49">P53*P74*P78</f>
        <v>624594.26999750931</v>
      </c>
      <c r="Q95" s="90"/>
      <c r="R95" s="90"/>
      <c r="S95" s="90"/>
      <c r="T95" s="90"/>
      <c r="U95" s="90"/>
      <c r="V95" s="90"/>
      <c r="W95" s="90"/>
      <c r="X95" s="90"/>
    </row>
    <row r="96" spans="1:24" s="126" customFormat="1">
      <c r="A96" s="90"/>
      <c r="B96" s="111"/>
      <c r="C96" s="111"/>
      <c r="D96" s="141"/>
      <c r="E96" s="141"/>
      <c r="F96" s="141"/>
      <c r="G96" s="141"/>
      <c r="H96" s="141"/>
      <c r="I96" s="141"/>
      <c r="J96" s="141"/>
      <c r="K96" s="141"/>
      <c r="L96" s="141"/>
      <c r="M96" s="141"/>
      <c r="N96" s="141"/>
      <c r="O96" s="141"/>
      <c r="P96" s="141"/>
      <c r="Q96" s="90"/>
      <c r="R96" s="90"/>
      <c r="S96" s="90"/>
      <c r="T96" s="90"/>
      <c r="U96" s="90"/>
      <c r="V96" s="90"/>
      <c r="W96" s="90"/>
      <c r="X96" s="90"/>
    </row>
    <row r="97" spans="2:17">
      <c r="B97" s="111" t="str">
        <f>B55</f>
        <v>Operating Profit (pre-exceptional)</v>
      </c>
      <c r="C97" s="111"/>
      <c r="D97" s="159">
        <f>D55*D74*D78</f>
        <v>134626.21582347082</v>
      </c>
      <c r="E97" s="159">
        <f t="shared" ref="E97:O97" si="50">E55*E74*E78</f>
        <v>70748.405454136402</v>
      </c>
      <c r="F97" s="159">
        <f t="shared" si="50"/>
        <v>73903.504639944586</v>
      </c>
      <c r="G97" s="159">
        <f t="shared" si="50"/>
        <v>46850.242075817463</v>
      </c>
      <c r="H97" s="159">
        <f t="shared" si="50"/>
        <v>109941.00346431689</v>
      </c>
      <c r="I97" s="159">
        <f t="shared" si="50"/>
        <v>145660.16469840059</v>
      </c>
      <c r="J97" s="159">
        <f t="shared" si="50"/>
        <v>152755.48805574543</v>
      </c>
      <c r="K97" s="159">
        <f t="shared" si="50"/>
        <v>176756.32687979055</v>
      </c>
      <c r="L97" s="159">
        <f t="shared" si="50"/>
        <v>174569.56663108658</v>
      </c>
      <c r="M97" s="159">
        <f t="shared" si="50"/>
        <v>161277.01161405293</v>
      </c>
      <c r="N97" s="159">
        <f t="shared" si="50"/>
        <v>173788.75904018205</v>
      </c>
      <c r="O97" s="159">
        <f t="shared" si="50"/>
        <v>175714.38469513983</v>
      </c>
      <c r="P97" s="159">
        <f t="shared" ref="P97" si="51">P55*P74*P78</f>
        <v>100391.09520298878</v>
      </c>
      <c r="Q97" s="90"/>
    </row>
    <row r="98" spans="2:17">
      <c r="B98" s="111"/>
      <c r="C98" s="111"/>
      <c r="D98" s="193"/>
      <c r="E98" s="193"/>
      <c r="F98" s="193"/>
      <c r="G98" s="193"/>
      <c r="H98" s="193"/>
      <c r="I98" s="193"/>
      <c r="J98" s="193"/>
      <c r="K98" s="193"/>
      <c r="L98" s="193"/>
      <c r="M98" s="193"/>
      <c r="N98" s="193"/>
      <c r="O98" s="193"/>
      <c r="P98" s="193"/>
      <c r="Q98" s="90"/>
    </row>
    <row r="99" spans="2:17">
      <c r="B99" s="111" t="str">
        <f>B57</f>
        <v>Profit Margin</v>
      </c>
      <c r="C99" s="111"/>
      <c r="D99" s="162">
        <f>D97/D95</f>
        <v>0.27453970999959815</v>
      </c>
      <c r="E99" s="162">
        <f t="shared" ref="E99:O99" si="52">E97/E95</f>
        <v>0.14284996510816472</v>
      </c>
      <c r="F99" s="162">
        <f t="shared" si="52"/>
        <v>0.15618118995739885</v>
      </c>
      <c r="G99" s="162">
        <f t="shared" si="52"/>
        <v>9.6227979049556406E-2</v>
      </c>
      <c r="H99" s="162">
        <f t="shared" si="52"/>
        <v>0.2053847346720831</v>
      </c>
      <c r="I99" s="162">
        <f t="shared" si="52"/>
        <v>0.24924348040311636</v>
      </c>
      <c r="J99" s="162">
        <f t="shared" si="52"/>
        <v>0.25697149268290037</v>
      </c>
      <c r="K99" s="162">
        <f t="shared" si="52"/>
        <v>0.28465949570788723</v>
      </c>
      <c r="L99" s="162">
        <f t="shared" si="52"/>
        <v>0.27450611212918208</v>
      </c>
      <c r="M99" s="162">
        <f t="shared" si="52"/>
        <v>0.26298848949106751</v>
      </c>
      <c r="N99" s="162">
        <f t="shared" si="52"/>
        <v>0.2817885702168389</v>
      </c>
      <c r="O99" s="162">
        <f t="shared" si="52"/>
        <v>0.28568572703456135</v>
      </c>
      <c r="P99" s="162">
        <f t="shared" ref="P99" si="53">P97/P95</f>
        <v>0.16073009315853812</v>
      </c>
      <c r="Q99" s="90"/>
    </row>
    <row r="100" spans="2:17" s="133" customFormat="1">
      <c r="B100" s="138"/>
      <c r="C100" s="138"/>
      <c r="D100" s="141"/>
      <c r="E100" s="141"/>
      <c r="F100" s="141"/>
      <c r="G100" s="141"/>
      <c r="H100" s="141"/>
      <c r="I100" s="141"/>
      <c r="J100" s="141"/>
      <c r="K100" s="141"/>
      <c r="L100" s="141"/>
      <c r="M100" s="141"/>
      <c r="N100" s="141"/>
      <c r="O100" s="141"/>
      <c r="P100" s="141"/>
    </row>
    <row r="101" spans="2:17" s="133" customFormat="1">
      <c r="B101" s="153" t="s">
        <v>1153</v>
      </c>
      <c r="C101" s="94"/>
      <c r="D101" s="94"/>
      <c r="E101" s="94"/>
      <c r="F101" s="94"/>
      <c r="G101" s="94"/>
      <c r="H101" s="94"/>
      <c r="I101" s="94"/>
      <c r="J101" s="94"/>
      <c r="K101" s="94"/>
      <c r="L101" s="94"/>
      <c r="M101" s="94"/>
      <c r="N101" s="94"/>
      <c r="O101" s="94"/>
      <c r="P101" s="94"/>
    </row>
    <row r="102" spans="2:17" s="133" customFormat="1">
      <c r="B102" s="90"/>
      <c r="C102" s="90"/>
      <c r="D102" s="90"/>
      <c r="E102" s="90"/>
      <c r="F102" s="90"/>
      <c r="G102" s="90"/>
      <c r="H102" s="90"/>
      <c r="I102" s="90"/>
      <c r="J102" s="90"/>
      <c r="K102" s="90"/>
      <c r="L102" s="90"/>
      <c r="M102" s="90"/>
      <c r="N102" s="90"/>
      <c r="O102" s="90"/>
      <c r="P102" s="131"/>
    </row>
    <row r="103" spans="2:17" s="133" customFormat="1">
      <c r="B103" s="90" t="s">
        <v>1127</v>
      </c>
      <c r="C103" s="90"/>
      <c r="D103" s="209">
        <f t="shared" ref="D103:O103" si="54">(D89/D59)*1000</f>
        <v>15.688586167727458</v>
      </c>
      <c r="E103" s="209">
        <f t="shared" si="54"/>
        <v>20.20319910400767</v>
      </c>
      <c r="F103" s="209">
        <f t="shared" si="54"/>
        <v>21.699008120502022</v>
      </c>
      <c r="G103" s="209">
        <f t="shared" si="54"/>
        <v>25.195932916925688</v>
      </c>
      <c r="H103" s="209">
        <f t="shared" si="54"/>
        <v>24.001961506286964</v>
      </c>
      <c r="I103" s="209">
        <f t="shared" si="54"/>
        <v>24.532149796526539</v>
      </c>
      <c r="J103" s="209">
        <f t="shared" si="54"/>
        <v>22.960171617266749</v>
      </c>
      <c r="K103" s="209">
        <f t="shared" si="54"/>
        <v>21.417655612938713</v>
      </c>
      <c r="L103" s="209">
        <f t="shared" si="54"/>
        <v>20.877239434165734</v>
      </c>
      <c r="M103" s="209">
        <f t="shared" si="54"/>
        <v>20.612625657248561</v>
      </c>
      <c r="N103" s="209">
        <f t="shared" si="54"/>
        <v>19.361000695280978</v>
      </c>
      <c r="O103" s="209">
        <f t="shared" si="54"/>
        <v>18.051946374609571</v>
      </c>
      <c r="P103" s="209">
        <f t="shared" ref="P103" si="55">(P89/P59)*1000</f>
        <v>21.135179450154844</v>
      </c>
    </row>
    <row r="104" spans="2:17" s="133" customFormat="1">
      <c r="B104" s="90" t="s">
        <v>299</v>
      </c>
      <c r="C104" s="90"/>
      <c r="D104" s="209">
        <f t="shared" ref="D104:O104" si="56">(D87/D59)*1000</f>
        <v>15.688586167727458</v>
      </c>
      <c r="E104" s="209">
        <f t="shared" si="56"/>
        <v>20.20319910400767</v>
      </c>
      <c r="F104" s="209">
        <f t="shared" si="56"/>
        <v>21.699008120502022</v>
      </c>
      <c r="G104" s="209">
        <f t="shared" si="56"/>
        <v>25.195932916925688</v>
      </c>
      <c r="H104" s="209">
        <f t="shared" si="56"/>
        <v>24.001961506286964</v>
      </c>
      <c r="I104" s="209">
        <f t="shared" si="56"/>
        <v>24.532149796526539</v>
      </c>
      <c r="J104" s="209">
        <f t="shared" si="56"/>
        <v>22.960171617266749</v>
      </c>
      <c r="K104" s="209">
        <f t="shared" si="56"/>
        <v>21.417655612938713</v>
      </c>
      <c r="L104" s="209">
        <f t="shared" si="56"/>
        <v>20.877239434165734</v>
      </c>
      <c r="M104" s="209">
        <f t="shared" si="56"/>
        <v>20.612625657248561</v>
      </c>
      <c r="N104" s="209">
        <f t="shared" si="56"/>
        <v>19.361000695280978</v>
      </c>
      <c r="O104" s="209">
        <f t="shared" si="56"/>
        <v>18.051946374609571</v>
      </c>
      <c r="P104" s="209">
        <f t="shared" ref="P104" si="57">(P87/P59)*1000</f>
        <v>21.135179450154844</v>
      </c>
    </row>
    <row r="105" spans="2:17" s="133" customFormat="1">
      <c r="B105" s="90" t="s">
        <v>300</v>
      </c>
      <c r="C105" s="90"/>
      <c r="D105" s="209">
        <f t="shared" ref="D105:O105" si="58">(D93/D59)*1000</f>
        <v>11.029584549071334</v>
      </c>
      <c r="E105" s="209">
        <f t="shared" si="58"/>
        <v>13.5477763101678</v>
      </c>
      <c r="F105" s="209">
        <f t="shared" si="58"/>
        <v>15.611562504069967</v>
      </c>
      <c r="G105" s="209">
        <f t="shared" si="58"/>
        <v>17.062207929593697</v>
      </c>
      <c r="H105" s="209">
        <f t="shared" si="58"/>
        <v>15.443162476816203</v>
      </c>
      <c r="I105" s="209">
        <f t="shared" si="58"/>
        <v>15.62732529770649</v>
      </c>
      <c r="J105" s="209">
        <f t="shared" si="58"/>
        <v>14.784841890834993</v>
      </c>
      <c r="K105" s="209">
        <f t="shared" si="58"/>
        <v>14.300504809693869</v>
      </c>
      <c r="L105" s="209">
        <f t="shared" si="58"/>
        <v>14.198336187933162</v>
      </c>
      <c r="M105" s="209">
        <f t="shared" si="58"/>
        <v>13.527407583332112</v>
      </c>
      <c r="N105" s="209">
        <f t="shared" si="58"/>
        <v>12.69327898713936</v>
      </c>
      <c r="O105" s="209">
        <f t="shared" si="58"/>
        <v>11.874952820919539</v>
      </c>
      <c r="P105" s="209">
        <f t="shared" ref="P105" si="59">(P93/P59)*1000</f>
        <v>14.361324119488692</v>
      </c>
    </row>
    <row r="106" spans="2:17" s="133" customFormat="1">
      <c r="B106" s="90" t="s">
        <v>265</v>
      </c>
      <c r="C106" s="90"/>
      <c r="D106" s="209">
        <f t="shared" ref="D106:O106" si="60">D80*1000/D59</f>
        <v>4.6401117668938001</v>
      </c>
      <c r="E106" s="209">
        <f t="shared" si="60"/>
        <v>5.6079864020659613</v>
      </c>
      <c r="F106" s="209">
        <f t="shared" si="60"/>
        <v>6.7614897589553937</v>
      </c>
      <c r="G106" s="209">
        <f t="shared" si="60"/>
        <v>6.8889058673943451</v>
      </c>
      <c r="H106" s="209">
        <f t="shared" si="60"/>
        <v>6.3477067996704903</v>
      </c>
      <c r="I106" s="209">
        <f t="shared" si="60"/>
        <v>6.5096843071550818</v>
      </c>
      <c r="J106" s="209">
        <f t="shared" si="60"/>
        <v>6.1488100300551283</v>
      </c>
      <c r="K106" s="209">
        <f t="shared" si="60"/>
        <v>5.9682765122229586</v>
      </c>
      <c r="L106" s="209">
        <f t="shared" si="60"/>
        <v>5.1284810183732548</v>
      </c>
      <c r="M106" s="209">
        <f t="shared" si="60"/>
        <v>5.4017516999425768</v>
      </c>
      <c r="N106" s="209">
        <f t="shared" si="60"/>
        <v>4.9219192922885053</v>
      </c>
      <c r="O106" s="209">
        <f t="shared" si="60"/>
        <v>4.5648263157742308</v>
      </c>
      <c r="P106" s="209">
        <f t="shared" ref="P106" si="61">P80*1000/P59</f>
        <v>7.6992136129597215</v>
      </c>
    </row>
    <row r="107" spans="2:17" s="133" customFormat="1">
      <c r="B107" s="111" t="s">
        <v>1136</v>
      </c>
      <c r="C107" s="111"/>
      <c r="D107" s="159">
        <f t="shared" ref="D107:O107" si="62">D80/D61*1000</f>
        <v>100685.39004327616</v>
      </c>
      <c r="E107" s="159">
        <f t="shared" si="62"/>
        <v>100457.45245726801</v>
      </c>
      <c r="F107" s="159">
        <f t="shared" si="62"/>
        <v>97737.137941645953</v>
      </c>
      <c r="G107" s="159">
        <f t="shared" si="62"/>
        <v>95481.367070906694</v>
      </c>
      <c r="H107" s="159">
        <f t="shared" si="62"/>
        <v>87270.134550582297</v>
      </c>
      <c r="I107" s="159">
        <f t="shared" si="62"/>
        <v>92253.120810879351</v>
      </c>
      <c r="J107" s="159">
        <f t="shared" si="62"/>
        <v>91694.563326462798</v>
      </c>
      <c r="K107" s="159">
        <f t="shared" si="62"/>
        <v>93841.365430051417</v>
      </c>
      <c r="L107" s="159">
        <f t="shared" si="62"/>
        <v>90379.184179511838</v>
      </c>
      <c r="M107" s="159">
        <f t="shared" si="62"/>
        <v>91674.549613330717</v>
      </c>
      <c r="N107" s="159">
        <f t="shared" si="62"/>
        <v>86486.102128048209</v>
      </c>
      <c r="O107" s="159">
        <f t="shared" si="62"/>
        <v>84101.841704241262</v>
      </c>
      <c r="P107" s="159">
        <f t="shared" ref="P107" si="63">P80/P61*1000</f>
        <v>137876.51676106296</v>
      </c>
    </row>
    <row r="108" spans="2:17" s="134" customFormat="1">
      <c r="B108" s="168"/>
      <c r="C108" s="168"/>
      <c r="D108" s="161"/>
      <c r="E108" s="161"/>
      <c r="F108" s="161"/>
      <c r="G108" s="161"/>
      <c r="H108" s="161"/>
      <c r="I108" s="161"/>
      <c r="J108" s="161"/>
      <c r="K108" s="161"/>
      <c r="L108" s="161"/>
      <c r="M108" s="161"/>
      <c r="N108" s="161"/>
      <c r="O108" s="161"/>
      <c r="P108" s="161"/>
    </row>
    <row r="109" spans="2:17" s="133" customFormat="1">
      <c r="B109" s="153" t="s">
        <v>1150</v>
      </c>
      <c r="C109" s="94"/>
      <c r="D109" s="94"/>
      <c r="E109" s="94"/>
      <c r="F109" s="94"/>
      <c r="G109" s="94"/>
      <c r="H109" s="94"/>
      <c r="I109" s="94"/>
      <c r="J109" s="94"/>
      <c r="K109" s="94"/>
      <c r="L109" s="94"/>
      <c r="M109" s="94"/>
      <c r="N109" s="94"/>
      <c r="O109" s="94"/>
      <c r="P109" s="94"/>
    </row>
    <row r="110" spans="2:17" s="133" customFormat="1">
      <c r="B110" s="138"/>
      <c r="D110" s="214"/>
      <c r="E110" s="214"/>
      <c r="F110" s="214"/>
      <c r="G110" s="214"/>
      <c r="H110" s="214"/>
      <c r="I110" s="214"/>
      <c r="J110" s="214"/>
      <c r="K110" s="214"/>
      <c r="L110" s="214"/>
      <c r="M110" s="214"/>
      <c r="N110" s="214"/>
      <c r="O110" s="214"/>
      <c r="P110" s="131"/>
    </row>
    <row r="111" spans="2:17">
      <c r="B111" s="138" t="s">
        <v>1093</v>
      </c>
      <c r="D111" s="214">
        <f>PPP!X485</f>
        <v>1.1392242583553942</v>
      </c>
      <c r="E111" s="214">
        <f>PPP!Y485</f>
        <v>1.2083647307438485</v>
      </c>
      <c r="F111" s="214">
        <f>PPP!Z485</f>
        <v>1.2079999067890697</v>
      </c>
      <c r="G111" s="214">
        <f>PPP!AA485</f>
        <v>1.2605515723658594</v>
      </c>
      <c r="H111" s="214">
        <f>PPP!AB485</f>
        <v>1.2179853635602791</v>
      </c>
      <c r="I111" s="214">
        <f>PPP!AC485</f>
        <v>1.2100136455989174</v>
      </c>
      <c r="J111" s="214">
        <f>PPP!AD485</f>
        <v>1.1471638137992848</v>
      </c>
      <c r="K111" s="214">
        <f>PPP!AE485</f>
        <v>1.0327951708659506</v>
      </c>
      <c r="L111" s="214">
        <f>PPP!AF485</f>
        <v>1.1950556366825187</v>
      </c>
      <c r="M111" s="214">
        <f>PPP!AG485</f>
        <v>1.3659150026102691</v>
      </c>
      <c r="N111" s="214">
        <f>PPP!AH485</f>
        <v>1.4110003621180873</v>
      </c>
      <c r="O111" s="214">
        <f>PPP!AI485</f>
        <v>1.4857025280735199</v>
      </c>
      <c r="P111" s="214">
        <f>PPP!AJ485</f>
        <v>1.4857025280735199</v>
      </c>
      <c r="Q111" s="90"/>
    </row>
    <row r="112" spans="2:17">
      <c r="B112" s="138" t="s">
        <v>377</v>
      </c>
      <c r="D112" s="214">
        <f>'GDP per cap'!AQ484</f>
        <v>1.4223014020937854</v>
      </c>
      <c r="E112" s="214">
        <f>'GDP per cap'!AR484</f>
        <v>1.4627000521456293</v>
      </c>
      <c r="F112" s="214">
        <f>'GDP per cap'!AS484</f>
        <v>1.4575872697169616</v>
      </c>
      <c r="G112" s="214">
        <f>'GDP per cap'!AT484</f>
        <v>1.463378733951028</v>
      </c>
      <c r="H112" s="214">
        <f>'GDP per cap'!AU484</f>
        <v>1.3800691489415204</v>
      </c>
      <c r="I112" s="214">
        <f>'GDP per cap'!AV484</f>
        <v>1.3570876912654755</v>
      </c>
      <c r="J112" s="214">
        <f>'GDP per cap'!AW484</f>
        <v>1.3374311369215788</v>
      </c>
      <c r="K112" s="214">
        <f>'GDP per cap'!AX484</f>
        <v>1.2877930862711198</v>
      </c>
      <c r="L112" s="214">
        <f>'GDP per cap'!AY484</f>
        <v>1.5888855048057084</v>
      </c>
      <c r="M112" s="214">
        <f>'GDP per cap'!AZ484</f>
        <v>1.8620911995893075</v>
      </c>
      <c r="N112" s="214">
        <f>'GDP per cap'!BA484</f>
        <v>1.9461997404157676</v>
      </c>
      <c r="O112" s="214">
        <f>'GDP per cap'!BB484</f>
        <v>2.1359146602645769</v>
      </c>
      <c r="P112" s="214">
        <f>'GDP per cap'!BC484</f>
        <v>2.1359146602645769</v>
      </c>
      <c r="Q112" s="90"/>
    </row>
    <row r="113" spans="2:16" s="133" customFormat="1">
      <c r="B113" s="111"/>
      <c r="C113" s="111"/>
      <c r="D113" s="161"/>
      <c r="E113" s="161"/>
      <c r="F113" s="161"/>
      <c r="G113" s="161"/>
      <c r="H113" s="161"/>
      <c r="I113" s="161"/>
      <c r="J113" s="161"/>
      <c r="K113" s="161"/>
      <c r="L113" s="161"/>
      <c r="M113" s="161"/>
      <c r="N113" s="161"/>
      <c r="O113" s="161"/>
      <c r="P113" s="161"/>
    </row>
    <row r="114" spans="2:16" s="133" customFormat="1">
      <c r="B114" s="245" t="str">
        <f t="shared" ref="B114:B119" si="64">B20</f>
        <v>Cost Category</v>
      </c>
      <c r="C114" s="245" t="str">
        <f>C20</f>
        <v>Sub-Category</v>
      </c>
      <c r="D114" s="246"/>
      <c r="E114" s="246"/>
      <c r="F114" s="246"/>
      <c r="G114" s="246"/>
      <c r="H114" s="246"/>
      <c r="I114" s="246"/>
      <c r="J114" s="246"/>
      <c r="K114" s="246"/>
      <c r="L114" s="246"/>
      <c r="M114" s="246"/>
      <c r="N114" s="246"/>
      <c r="O114" s="246"/>
      <c r="P114" s="246"/>
    </row>
    <row r="115" spans="2:16" s="133" customFormat="1">
      <c r="B115" s="241" t="str">
        <f t="shared" si="64"/>
        <v>Staff Costs</v>
      </c>
      <c r="C115" s="241" t="str">
        <f>C21</f>
        <v>Wages and Salaries</v>
      </c>
      <c r="D115" s="159">
        <f t="shared" ref="D115:O115" si="65">D21*D74/D112*D78</f>
        <v>59570.902466327825</v>
      </c>
      <c r="E115" s="159">
        <f t="shared" si="65"/>
        <v>63219.624062817275</v>
      </c>
      <c r="F115" s="159">
        <f t="shared" si="65"/>
        <v>67428.684081507105</v>
      </c>
      <c r="G115" s="159">
        <f t="shared" si="65"/>
        <v>65996.783257700677</v>
      </c>
      <c r="H115" s="159">
        <f t="shared" si="65"/>
        <v>66537.884563030253</v>
      </c>
      <c r="I115" s="159">
        <f t="shared" si="65"/>
        <v>67882.577194813304</v>
      </c>
      <c r="J115" s="159">
        <f t="shared" si="65"/>
        <v>69250.769694014976</v>
      </c>
      <c r="K115" s="159">
        <f t="shared" si="65"/>
        <v>75513.674369003333</v>
      </c>
      <c r="L115" s="159">
        <f t="shared" si="65"/>
        <v>55291.963075014872</v>
      </c>
      <c r="M115" s="159">
        <f t="shared" si="65"/>
        <v>50190.878264417748</v>
      </c>
      <c r="N115" s="159">
        <f t="shared" si="65"/>
        <v>45567.522370589475</v>
      </c>
      <c r="O115" s="159">
        <f t="shared" si="65"/>
        <v>40967.107755364399</v>
      </c>
      <c r="P115" s="159">
        <f t="shared" ref="P115" si="66">P21*P74/P112*P78</f>
        <v>40299.463520855956</v>
      </c>
    </row>
    <row r="116" spans="2:16" s="133" customFormat="1">
      <c r="B116" s="241" t="str">
        <f t="shared" si="64"/>
        <v>Staff Costs</v>
      </c>
      <c r="C116" s="241" t="str">
        <f>C22</f>
        <v>Pensions</v>
      </c>
      <c r="D116" s="159">
        <f t="shared" ref="D116:O116" si="67">D22*D74/D112*D78</f>
        <v>3967.9626022560642</v>
      </c>
      <c r="E116" s="159">
        <f t="shared" si="67"/>
        <v>4205.862326024132</v>
      </c>
      <c r="F116" s="159">
        <f t="shared" si="67"/>
        <v>5592.3571151256883</v>
      </c>
      <c r="G116" s="159">
        <f t="shared" si="67"/>
        <v>4808.5899594547536</v>
      </c>
      <c r="H116" s="159">
        <f t="shared" si="67"/>
        <v>5503.3291286999756</v>
      </c>
      <c r="I116" s="159">
        <f t="shared" si="67"/>
        <v>5902.4328605635128</v>
      </c>
      <c r="J116" s="159">
        <f t="shared" si="67"/>
        <v>6092.5916182394458</v>
      </c>
      <c r="K116" s="159">
        <f t="shared" si="67"/>
        <v>6477.079149260373</v>
      </c>
      <c r="L116" s="159">
        <f t="shared" si="67"/>
        <v>4859.9112208507595</v>
      </c>
      <c r="M116" s="159">
        <f t="shared" si="67"/>
        <v>4487.0286206099818</v>
      </c>
      <c r="N116" s="159">
        <f t="shared" si="67"/>
        <v>4218.4126306939252</v>
      </c>
      <c r="O116" s="159">
        <f t="shared" si="67"/>
        <v>3981.004966880133</v>
      </c>
      <c r="P116" s="159">
        <f t="shared" ref="P116" si="68">P22*P74/P112*P78</f>
        <v>38643.996616365403</v>
      </c>
    </row>
    <row r="117" spans="2:16" s="133" customFormat="1">
      <c r="B117" s="241" t="str">
        <f t="shared" si="64"/>
        <v>Staff Costs</v>
      </c>
      <c r="C117" s="241" t="str">
        <f>C23</f>
        <v>Other Social Security Costs</v>
      </c>
      <c r="D117" s="159">
        <f t="shared" ref="D117:O117" si="69">D23*D74/D112*D78</f>
        <v>5798.8731811154894</v>
      </c>
      <c r="E117" s="159">
        <f t="shared" si="69"/>
        <v>6983.9367822698841</v>
      </c>
      <c r="F117" s="159">
        <f t="shared" si="69"/>
        <v>7331.8420960903586</v>
      </c>
      <c r="G117" s="159">
        <f t="shared" si="69"/>
        <v>7114.7381618979925</v>
      </c>
      <c r="H117" s="159">
        <f t="shared" si="69"/>
        <v>4932.2230861610815</v>
      </c>
      <c r="I117" s="159">
        <f t="shared" si="69"/>
        <v>7129.5256557830016</v>
      </c>
      <c r="J117" s="159">
        <f t="shared" si="69"/>
        <v>7786.9881391472873</v>
      </c>
      <c r="K117" s="159">
        <f t="shared" si="69"/>
        <v>8564.6384559668222</v>
      </c>
      <c r="L117" s="159">
        <f t="shared" si="69"/>
        <v>6222.9143485708219</v>
      </c>
      <c r="M117" s="159">
        <f t="shared" si="69"/>
        <v>5346.2895824091192</v>
      </c>
      <c r="N117" s="159">
        <f t="shared" si="69"/>
        <v>4702.3844140552237</v>
      </c>
      <c r="O117" s="159">
        <f t="shared" si="69"/>
        <v>4154.0229985157312</v>
      </c>
      <c r="P117" s="159">
        <f t="shared" ref="P117" si="70">P23*P74/P112*P78</f>
        <v>4105.0771844226765</v>
      </c>
    </row>
    <row r="118" spans="2:16" s="133" customFormat="1">
      <c r="B118" s="241" t="str">
        <f t="shared" si="64"/>
        <v>Staff Costs</v>
      </c>
      <c r="C118" s="241" t="str">
        <f>C24</f>
        <v>Other</v>
      </c>
      <c r="D118" s="159">
        <f t="shared" ref="D118:O118" si="71">D24*D74/D112*D78</f>
        <v>4638.3067997772087</v>
      </c>
      <c r="E118" s="159">
        <f t="shared" si="71"/>
        <v>6151.585601344359</v>
      </c>
      <c r="F118" s="159">
        <f t="shared" si="71"/>
        <v>5006.9295875549597</v>
      </c>
      <c r="G118" s="159">
        <f t="shared" si="71"/>
        <v>4291.3624644420261</v>
      </c>
      <c r="H118" s="159">
        <f t="shared" si="71"/>
        <v>4537.8436691635397</v>
      </c>
      <c r="I118" s="159">
        <f t="shared" si="71"/>
        <v>4874.6429931033099</v>
      </c>
      <c r="J118" s="159">
        <f t="shared" si="71"/>
        <v>5312.3250353018129</v>
      </c>
      <c r="K118" s="159">
        <f t="shared" si="71"/>
        <v>5560.0184296571651</v>
      </c>
      <c r="L118" s="159">
        <f t="shared" si="71"/>
        <v>4955.3963300729065</v>
      </c>
      <c r="M118" s="159">
        <f t="shared" si="71"/>
        <v>3583.6000392791129</v>
      </c>
      <c r="N118" s="159">
        <f t="shared" si="71"/>
        <v>3370.5440056702241</v>
      </c>
      <c r="O118" s="159">
        <f t="shared" si="71"/>
        <v>2912.3641832484918</v>
      </c>
      <c r="P118" s="159">
        <f t="shared" ref="P118" si="72">P24*P74/P112*P78</f>
        <v>6355.3041644282603</v>
      </c>
    </row>
    <row r="119" spans="2:16" s="133" customFormat="1">
      <c r="B119" s="245" t="str">
        <f t="shared" si="64"/>
        <v>Staff Costs Total</v>
      </c>
      <c r="C119" s="245"/>
      <c r="D119" s="159">
        <f>SUM(D115:D118)</f>
        <v>73976.045049476583</v>
      </c>
      <c r="E119" s="159">
        <f t="shared" ref="E119:O119" si="73">SUM(E115:E118)</f>
        <v>80561.008772455651</v>
      </c>
      <c r="F119" s="159">
        <f t="shared" si="73"/>
        <v>85359.812880278114</v>
      </c>
      <c r="G119" s="159">
        <f t="shared" si="73"/>
        <v>82211.473843495434</v>
      </c>
      <c r="H119" s="159">
        <f t="shared" si="73"/>
        <v>81511.280447054858</v>
      </c>
      <c r="I119" s="159">
        <f t="shared" si="73"/>
        <v>85789.178704263119</v>
      </c>
      <c r="J119" s="159">
        <f t="shared" si="73"/>
        <v>88442.674486703516</v>
      </c>
      <c r="K119" s="159">
        <f t="shared" si="73"/>
        <v>96115.410403887698</v>
      </c>
      <c r="L119" s="159">
        <f t="shared" si="73"/>
        <v>71330.184974509364</v>
      </c>
      <c r="M119" s="159">
        <f t="shared" si="73"/>
        <v>63607.79650671596</v>
      </c>
      <c r="N119" s="159">
        <f t="shared" si="73"/>
        <v>57858.863421008849</v>
      </c>
      <c r="O119" s="159">
        <f t="shared" si="73"/>
        <v>52014.499904008764</v>
      </c>
      <c r="P119" s="159">
        <f t="shared" ref="P119" si="74">SUM(P115:P118)</f>
        <v>89403.841486072284</v>
      </c>
    </row>
    <row r="120" spans="2:16" s="133" customFormat="1">
      <c r="B120" s="241"/>
      <c r="C120" s="241"/>
      <c r="D120" s="242"/>
      <c r="E120" s="242"/>
      <c r="F120" s="242"/>
      <c r="G120" s="242"/>
      <c r="H120" s="242"/>
      <c r="I120" s="242"/>
      <c r="J120" s="242"/>
      <c r="K120" s="242"/>
      <c r="L120" s="242"/>
      <c r="M120" s="242"/>
      <c r="N120" s="242"/>
      <c r="O120" s="242"/>
      <c r="P120" s="242"/>
    </row>
    <row r="121" spans="2:16" s="133" customFormat="1">
      <c r="B121" s="241" t="str">
        <f>B27</f>
        <v>Depreciation</v>
      </c>
      <c r="C121" s="241" t="str">
        <f>C27</f>
        <v>Depreciation</v>
      </c>
      <c r="D121" s="159">
        <f t="shared" ref="D121:O121" si="75">D27*D74/D111*D78</f>
        <v>90290.217764807458</v>
      </c>
      <c r="E121" s="159">
        <f t="shared" si="75"/>
        <v>112844.87993894321</v>
      </c>
      <c r="F121" s="159">
        <f t="shared" si="75"/>
        <v>90851.031353308659</v>
      </c>
      <c r="G121" s="159">
        <f t="shared" si="75"/>
        <v>111753.82623706052</v>
      </c>
      <c r="H121" s="159">
        <f t="shared" si="75"/>
        <v>123575.49534078462</v>
      </c>
      <c r="I121" s="159">
        <f t="shared" si="75"/>
        <v>129935.61214125539</v>
      </c>
      <c r="J121" s="159">
        <f t="shared" si="75"/>
        <v>132765.58360775217</v>
      </c>
      <c r="K121" s="159">
        <f t="shared" si="75"/>
        <v>135475.48694010868</v>
      </c>
      <c r="L121" s="159">
        <f t="shared" si="75"/>
        <v>115855.05649709249</v>
      </c>
      <c r="M121" s="159">
        <f t="shared" si="75"/>
        <v>103497.43344355814</v>
      </c>
      <c r="N121" s="159">
        <f t="shared" si="75"/>
        <v>96595.434565507647</v>
      </c>
      <c r="O121" s="159">
        <f t="shared" si="75"/>
        <v>92001.778096054855</v>
      </c>
      <c r="P121" s="159">
        <f t="shared" ref="P121" si="76">P27*P74/P111*P78</f>
        <v>96909.583351969675</v>
      </c>
    </row>
    <row r="122" spans="2:16" s="133" customFormat="1">
      <c r="B122" s="245" t="str">
        <f>B28</f>
        <v>Depreciation Total</v>
      </c>
      <c r="C122" s="245"/>
      <c r="D122" s="159">
        <f>D121</f>
        <v>90290.217764807458</v>
      </c>
      <c r="E122" s="159">
        <f t="shared" ref="E122:O122" si="77">E121</f>
        <v>112844.87993894321</v>
      </c>
      <c r="F122" s="159">
        <f t="shared" si="77"/>
        <v>90851.031353308659</v>
      </c>
      <c r="G122" s="159">
        <f t="shared" si="77"/>
        <v>111753.82623706052</v>
      </c>
      <c r="H122" s="159">
        <f t="shared" si="77"/>
        <v>123575.49534078462</v>
      </c>
      <c r="I122" s="159">
        <f t="shared" si="77"/>
        <v>129935.61214125539</v>
      </c>
      <c r="J122" s="159">
        <f t="shared" si="77"/>
        <v>132765.58360775217</v>
      </c>
      <c r="K122" s="159">
        <f t="shared" si="77"/>
        <v>135475.48694010868</v>
      </c>
      <c r="L122" s="159">
        <f t="shared" si="77"/>
        <v>115855.05649709249</v>
      </c>
      <c r="M122" s="159">
        <f t="shared" si="77"/>
        <v>103497.43344355814</v>
      </c>
      <c r="N122" s="159">
        <f t="shared" si="77"/>
        <v>96595.434565507647</v>
      </c>
      <c r="O122" s="159">
        <f t="shared" si="77"/>
        <v>92001.778096054855</v>
      </c>
      <c r="P122" s="159">
        <f t="shared" ref="P122" si="78">P121</f>
        <v>96909.583351969675</v>
      </c>
    </row>
    <row r="123" spans="2:16" s="133" customFormat="1">
      <c r="B123" s="241"/>
      <c r="C123" s="241"/>
      <c r="D123" s="242"/>
      <c r="E123" s="242"/>
      <c r="F123" s="242"/>
      <c r="G123" s="242"/>
      <c r="H123" s="242"/>
      <c r="I123" s="242"/>
      <c r="J123" s="242"/>
      <c r="K123" s="242"/>
      <c r="L123" s="242"/>
      <c r="M123" s="242"/>
      <c r="N123" s="242"/>
      <c r="O123" s="242"/>
      <c r="P123" s="242"/>
    </row>
    <row r="124" spans="2:16" s="133" customFormat="1">
      <c r="B124" s="241" t="str">
        <f t="shared" ref="B124:C129" si="79">B30</f>
        <v>Other Costs</v>
      </c>
      <c r="C124" s="241" t="str">
        <f t="shared" si="79"/>
        <v>Police and Security</v>
      </c>
      <c r="D124" s="159">
        <f t="shared" ref="D124:O124" si="80">D30*D74/D111*D78</f>
        <v>57443.033416617378</v>
      </c>
      <c r="E124" s="159">
        <f t="shared" si="80"/>
        <v>55294.387780723249</v>
      </c>
      <c r="F124" s="159">
        <f t="shared" si="80"/>
        <v>55639.181604579877</v>
      </c>
      <c r="G124" s="159">
        <f t="shared" si="80"/>
        <v>50069.52237095718</v>
      </c>
      <c r="H124" s="159">
        <f t="shared" si="80"/>
        <v>51385.568863704131</v>
      </c>
      <c r="I124" s="159">
        <f t="shared" si="80"/>
        <v>53877.737851786638</v>
      </c>
      <c r="J124" s="159">
        <f t="shared" si="80"/>
        <v>58283.540052568671</v>
      </c>
      <c r="K124" s="159">
        <f t="shared" si="80"/>
        <v>84631.273772605186</v>
      </c>
      <c r="L124" s="159">
        <f t="shared" si="80"/>
        <v>67544.777416534649</v>
      </c>
      <c r="M124" s="159">
        <f t="shared" si="80"/>
        <v>62104.590717266001</v>
      </c>
      <c r="N124" s="159">
        <f t="shared" si="80"/>
        <v>58017.127035960606</v>
      </c>
      <c r="O124" s="159">
        <f t="shared" si="80"/>
        <v>53972.645066414429</v>
      </c>
      <c r="P124" s="159">
        <f t="shared" ref="P124" si="81">P30*P74/P111*P78</f>
        <v>51102.581184595692</v>
      </c>
    </row>
    <row r="125" spans="2:16" s="133" customFormat="1">
      <c r="B125" s="241" t="str">
        <f t="shared" si="79"/>
        <v>Other Costs</v>
      </c>
      <c r="C125" s="241" t="str">
        <f t="shared" si="79"/>
        <v>Maintenance and Materials</v>
      </c>
      <c r="D125" s="159">
        <f t="shared" ref="D125:O125" si="82">D31*D74/D111*D78</f>
        <v>26327.336216082429</v>
      </c>
      <c r="E125" s="159">
        <f t="shared" si="82"/>
        <v>19848.074447463496</v>
      </c>
      <c r="F125" s="159">
        <f t="shared" si="82"/>
        <v>24548.530293622025</v>
      </c>
      <c r="G125" s="159">
        <f t="shared" si="82"/>
        <v>19535.285173618791</v>
      </c>
      <c r="H125" s="159">
        <f t="shared" si="82"/>
        <v>23418.076300365879</v>
      </c>
      <c r="I125" s="159">
        <f t="shared" si="82"/>
        <v>33860.661636018682</v>
      </c>
      <c r="J125" s="159">
        <f t="shared" si="82"/>
        <v>32314.053120440636</v>
      </c>
      <c r="K125" s="159">
        <f t="shared" si="82"/>
        <v>32879.462532152756</v>
      </c>
      <c r="L125" s="159">
        <f t="shared" si="82"/>
        <v>29701.206874633303</v>
      </c>
      <c r="M125" s="159">
        <f t="shared" si="82"/>
        <v>22276.706168102508</v>
      </c>
      <c r="N125" s="159">
        <f t="shared" si="82"/>
        <v>21956.040271053367</v>
      </c>
      <c r="O125" s="159">
        <f t="shared" si="82"/>
        <v>18015.26783816273</v>
      </c>
      <c r="P125" s="159">
        <f t="shared" ref="P125" si="83">P31*P74/P111*P78</f>
        <v>18943.224932516172</v>
      </c>
    </row>
    <row r="126" spans="2:16" s="133" customFormat="1">
      <c r="B126" s="241" t="str">
        <f t="shared" si="79"/>
        <v>Other Costs</v>
      </c>
      <c r="C126" s="241" t="str">
        <f t="shared" si="79"/>
        <v>Sales Marketing and Admin</v>
      </c>
      <c r="D126" s="159">
        <f t="shared" ref="D126:O126" si="84">D32*D74/D111*D78</f>
        <v>17714.382069611482</v>
      </c>
      <c r="E126" s="159">
        <f t="shared" si="84"/>
        <v>22157.568718951006</v>
      </c>
      <c r="F126" s="159">
        <f t="shared" si="84"/>
        <v>21346.156425583631</v>
      </c>
      <c r="G126" s="159">
        <f t="shared" si="84"/>
        <v>35446.193719148221</v>
      </c>
      <c r="H126" s="159">
        <f t="shared" si="84"/>
        <v>20802.249775725551</v>
      </c>
      <c r="I126" s="159">
        <f t="shared" si="84"/>
        <v>22416.044118482307</v>
      </c>
      <c r="J126" s="159">
        <f t="shared" si="84"/>
        <v>25563.153496466581</v>
      </c>
      <c r="K126" s="159">
        <f t="shared" si="84"/>
        <v>30528.09458738405</v>
      </c>
      <c r="L126" s="159">
        <f t="shared" si="84"/>
        <v>25872.727718333012</v>
      </c>
      <c r="M126" s="159">
        <f t="shared" si="84"/>
        <v>20896.214904472399</v>
      </c>
      <c r="N126" s="159">
        <f t="shared" si="84"/>
        <v>18880.168700900958</v>
      </c>
      <c r="O126" s="159">
        <f t="shared" si="84"/>
        <v>17890.441236136885</v>
      </c>
      <c r="P126" s="159">
        <f t="shared" ref="P126" si="85">P32*P74/P111*P78</f>
        <v>18438.166781455118</v>
      </c>
    </row>
    <row r="127" spans="2:16" s="133" customFormat="1">
      <c r="B127" s="241" t="str">
        <f t="shared" si="79"/>
        <v>Other Costs</v>
      </c>
      <c r="C127" s="241" t="str">
        <f t="shared" si="79"/>
        <v>Energy and Waste</v>
      </c>
      <c r="D127" s="159">
        <f t="shared" ref="D127:O127" si="86">D33*D74/D111*D78</f>
        <v>13946.626497121228</v>
      </c>
      <c r="E127" s="159">
        <f t="shared" si="86"/>
        <v>17146.545811529293</v>
      </c>
      <c r="F127" s="159">
        <f t="shared" si="86"/>
        <v>13932.503279604452</v>
      </c>
      <c r="G127" s="159">
        <f t="shared" si="86"/>
        <v>13905.443445049508</v>
      </c>
      <c r="H127" s="159">
        <f t="shared" si="86"/>
        <v>13795.79742447297</v>
      </c>
      <c r="I127" s="159">
        <f t="shared" si="86"/>
        <v>14536.177357760296</v>
      </c>
      <c r="J127" s="159">
        <f t="shared" si="86"/>
        <v>15821.696025946067</v>
      </c>
      <c r="K127" s="159">
        <f t="shared" si="86"/>
        <v>15580.433585623485</v>
      </c>
      <c r="L127" s="159">
        <f t="shared" si="86"/>
        <v>15567.198650008426</v>
      </c>
      <c r="M127" s="159">
        <f t="shared" si="86"/>
        <v>13439.810466260926</v>
      </c>
      <c r="N127" s="159">
        <f t="shared" si="86"/>
        <v>12337.420645042421</v>
      </c>
      <c r="O127" s="159">
        <f t="shared" si="86"/>
        <v>10922.556297411962</v>
      </c>
      <c r="P127" s="159">
        <f t="shared" ref="P127" si="87">P33*P74/P111*P78</f>
        <v>11567.160759695606</v>
      </c>
    </row>
    <row r="128" spans="2:16" s="133" customFormat="1">
      <c r="B128" s="241" t="str">
        <f t="shared" si="79"/>
        <v>Other Costs</v>
      </c>
      <c r="C128" s="241" t="str">
        <f t="shared" si="79"/>
        <v>Other Operating Expenses</v>
      </c>
      <c r="D128" s="159">
        <f t="shared" ref="D128:O128" si="88">D34*D74/D111*D78</f>
        <v>13835.422517609601</v>
      </c>
      <c r="E128" s="159">
        <f t="shared" si="88"/>
        <v>15569.255800486968</v>
      </c>
      <c r="F128" s="159">
        <f t="shared" si="88"/>
        <v>11854.6385663531</v>
      </c>
      <c r="G128" s="159">
        <f t="shared" si="88"/>
        <v>12019.509377048525</v>
      </c>
      <c r="H128" s="159">
        <f t="shared" si="88"/>
        <v>11929.658490966465</v>
      </c>
      <c r="I128" s="159">
        <f t="shared" si="88"/>
        <v>14521.046252869321</v>
      </c>
      <c r="J128" s="159">
        <f t="shared" si="88"/>
        <v>15073.002065774001</v>
      </c>
      <c r="K128" s="159">
        <f t="shared" si="88"/>
        <v>14299.162708712891</v>
      </c>
      <c r="L128" s="159">
        <f t="shared" si="88"/>
        <v>22438.795991339346</v>
      </c>
      <c r="M128" s="159">
        <f t="shared" si="88"/>
        <v>21994.258312419264</v>
      </c>
      <c r="N128" s="159">
        <f t="shared" si="88"/>
        <v>25069.391586997204</v>
      </c>
      <c r="O128" s="159">
        <f t="shared" si="88"/>
        <v>22632.937632518195</v>
      </c>
      <c r="P128" s="159">
        <f t="shared" ref="P128" si="89">P34*P74/P111*P78</f>
        <v>23016.917650942803</v>
      </c>
    </row>
    <row r="129" spans="2:16" s="133" customFormat="1">
      <c r="B129" s="241" t="str">
        <f t="shared" si="79"/>
        <v>Other Costs</v>
      </c>
      <c r="C129" s="241" t="str">
        <f t="shared" si="79"/>
        <v>Other Expenses / Revenues</v>
      </c>
      <c r="D129" s="159">
        <f t="shared" ref="D129:O129" si="90">D35*D74/D111*D78</f>
        <v>354.20526807407288</v>
      </c>
      <c r="E129" s="159">
        <f t="shared" si="90"/>
        <v>10935.775714857302</v>
      </c>
      <c r="F129" s="159">
        <f t="shared" si="90"/>
        <v>9367.6567039969814</v>
      </c>
      <c r="G129" s="159">
        <f t="shared" si="90"/>
        <v>10897.595300272551</v>
      </c>
      <c r="H129" s="159">
        <f t="shared" si="90"/>
        <v>11960.573443178171</v>
      </c>
      <c r="I129" s="159">
        <f t="shared" si="90"/>
        <v>-2765.5533075729431</v>
      </c>
      <c r="J129" s="159">
        <f t="shared" si="90"/>
        <v>2094.9370904345187</v>
      </c>
      <c r="K129" s="159">
        <f t="shared" si="90"/>
        <v>-3161.6163894310462</v>
      </c>
      <c r="L129" s="159">
        <f t="shared" si="90"/>
        <v>14249.75873227635</v>
      </c>
      <c r="M129" s="159">
        <f t="shared" si="90"/>
        <v>-30.653255655545628</v>
      </c>
      <c r="N129" s="159">
        <f t="shared" si="90"/>
        <v>1262.6622467297821</v>
      </c>
      <c r="O129" s="159">
        <f t="shared" si="90"/>
        <v>5502.88701604793</v>
      </c>
      <c r="P129" s="159">
        <f t="shared" ref="P129" si="91">P35*P74/P111*P78</f>
        <v>4323.1205596962618</v>
      </c>
    </row>
    <row r="130" spans="2:16" s="133" customFormat="1">
      <c r="B130" s="245" t="str">
        <f>B36</f>
        <v>Other Costs Total</v>
      </c>
      <c r="C130" s="245"/>
      <c r="D130" s="159">
        <f>SUM(D124:D129)</f>
        <v>129621.00598511619</v>
      </c>
      <c r="E130" s="159">
        <f t="shared" ref="E130:O130" si="92">SUM(E124:E129)</f>
        <v>140951.60827401132</v>
      </c>
      <c r="F130" s="159">
        <f t="shared" si="92"/>
        <v>136688.66687374006</v>
      </c>
      <c r="G130" s="159">
        <f t="shared" si="92"/>
        <v>141873.54938609479</v>
      </c>
      <c r="H130" s="159">
        <f t="shared" si="92"/>
        <v>133291.92429841316</v>
      </c>
      <c r="I130" s="159">
        <f t="shared" si="92"/>
        <v>136446.11390934431</v>
      </c>
      <c r="J130" s="159">
        <f t="shared" si="92"/>
        <v>149150.38185163046</v>
      </c>
      <c r="K130" s="159">
        <f t="shared" si="92"/>
        <v>174756.81079704731</v>
      </c>
      <c r="L130" s="159">
        <f t="shared" si="92"/>
        <v>175374.46538312509</v>
      </c>
      <c r="M130" s="159">
        <f t="shared" si="92"/>
        <v>140680.92731286556</v>
      </c>
      <c r="N130" s="159">
        <f t="shared" si="92"/>
        <v>137522.81048668432</v>
      </c>
      <c r="O130" s="159">
        <f t="shared" si="92"/>
        <v>128936.73508669213</v>
      </c>
      <c r="P130" s="159">
        <f t="shared" ref="P130" si="93">SUM(P124:P129)</f>
        <v>127391.17186890166</v>
      </c>
    </row>
    <row r="131" spans="2:16" s="133" customFormat="1">
      <c r="B131" s="241"/>
      <c r="C131" s="241"/>
      <c r="D131" s="242"/>
      <c r="E131" s="242"/>
      <c r="F131" s="242"/>
      <c r="G131" s="242"/>
      <c r="H131" s="242"/>
      <c r="I131" s="242"/>
      <c r="J131" s="242"/>
      <c r="K131" s="242"/>
      <c r="L131" s="242"/>
      <c r="M131" s="242"/>
      <c r="N131" s="242"/>
      <c r="O131" s="242"/>
      <c r="P131" s="242"/>
    </row>
    <row r="132" spans="2:16" s="133" customFormat="1">
      <c r="B132" s="241" t="str">
        <f>B38</f>
        <v>Exceptional Items</v>
      </c>
      <c r="C132" s="241" t="str">
        <f>C38</f>
        <v>Exceptional Items</v>
      </c>
      <c r="D132" s="159">
        <f>D38*D74/D111*D78</f>
        <v>0</v>
      </c>
      <c r="E132" s="159">
        <f t="shared" ref="E132:O132" si="94">E38*E74/E111</f>
        <v>0</v>
      </c>
      <c r="F132" s="159">
        <f t="shared" si="94"/>
        <v>0</v>
      </c>
      <c r="G132" s="159">
        <f t="shared" si="94"/>
        <v>0</v>
      </c>
      <c r="H132" s="159">
        <f t="shared" si="94"/>
        <v>0</v>
      </c>
      <c r="I132" s="159">
        <f t="shared" si="94"/>
        <v>0</v>
      </c>
      <c r="J132" s="159">
        <f t="shared" si="94"/>
        <v>0</v>
      </c>
      <c r="K132" s="159">
        <f t="shared" si="94"/>
        <v>0</v>
      </c>
      <c r="L132" s="159">
        <f t="shared" si="94"/>
        <v>0</v>
      </c>
      <c r="M132" s="159">
        <f t="shared" si="94"/>
        <v>0</v>
      </c>
      <c r="N132" s="159">
        <f t="shared" si="94"/>
        <v>0</v>
      </c>
      <c r="O132" s="159">
        <f t="shared" si="94"/>
        <v>0</v>
      </c>
      <c r="P132" s="159">
        <f t="shared" ref="P132" si="95">P38*P74/P111</f>
        <v>0</v>
      </c>
    </row>
    <row r="133" spans="2:16" s="133" customFormat="1">
      <c r="B133" s="245" t="str">
        <f>B39</f>
        <v>Exceptional Items Total</v>
      </c>
      <c r="C133" s="245"/>
      <c r="D133" s="159">
        <f>D132</f>
        <v>0</v>
      </c>
      <c r="E133" s="159">
        <f t="shared" ref="E133:O133" si="96">E132</f>
        <v>0</v>
      </c>
      <c r="F133" s="159">
        <f t="shared" si="96"/>
        <v>0</v>
      </c>
      <c r="G133" s="159">
        <f t="shared" si="96"/>
        <v>0</v>
      </c>
      <c r="H133" s="159">
        <f t="shared" si="96"/>
        <v>0</v>
      </c>
      <c r="I133" s="159">
        <f t="shared" si="96"/>
        <v>0</v>
      </c>
      <c r="J133" s="159">
        <f t="shared" si="96"/>
        <v>0</v>
      </c>
      <c r="K133" s="159">
        <f t="shared" si="96"/>
        <v>0</v>
      </c>
      <c r="L133" s="159">
        <f t="shared" si="96"/>
        <v>0</v>
      </c>
      <c r="M133" s="159">
        <f t="shared" si="96"/>
        <v>0</v>
      </c>
      <c r="N133" s="159">
        <f t="shared" si="96"/>
        <v>0</v>
      </c>
      <c r="O133" s="159">
        <f t="shared" si="96"/>
        <v>0</v>
      </c>
      <c r="P133" s="159">
        <f t="shared" ref="P133" si="97">P132</f>
        <v>0</v>
      </c>
    </row>
    <row r="134" spans="2:16" s="133" customFormat="1">
      <c r="B134" s="241"/>
      <c r="C134" s="241"/>
      <c r="D134" s="242"/>
      <c r="E134" s="242"/>
      <c r="F134" s="242"/>
      <c r="G134" s="242"/>
      <c r="H134" s="242"/>
      <c r="I134" s="242"/>
      <c r="J134" s="242"/>
      <c r="K134" s="242"/>
      <c r="L134" s="242"/>
      <c r="M134" s="242"/>
      <c r="N134" s="242"/>
      <c r="O134" s="242"/>
      <c r="P134" s="242"/>
    </row>
    <row r="135" spans="2:16" s="133" customFormat="1">
      <c r="B135" s="245" t="str">
        <f>B41</f>
        <v>Grand Total</v>
      </c>
      <c r="C135" s="245"/>
      <c r="D135" s="159">
        <f>D119+D122+D130+D133</f>
        <v>293887.26879940025</v>
      </c>
      <c r="E135" s="159">
        <f t="shared" ref="E135:O135" si="98">E119+E122+E130+E133</f>
        <v>334357.49698541022</v>
      </c>
      <c r="F135" s="159">
        <f t="shared" si="98"/>
        <v>312899.51110732683</v>
      </c>
      <c r="G135" s="159">
        <f t="shared" si="98"/>
        <v>335838.84946665075</v>
      </c>
      <c r="H135" s="159">
        <f t="shared" si="98"/>
        <v>338378.70008625265</v>
      </c>
      <c r="I135" s="159">
        <f t="shared" si="98"/>
        <v>352170.90475486283</v>
      </c>
      <c r="J135" s="159">
        <f t="shared" si="98"/>
        <v>370358.63994608616</v>
      </c>
      <c r="K135" s="159">
        <f t="shared" si="98"/>
        <v>406347.70814104367</v>
      </c>
      <c r="L135" s="159">
        <f t="shared" si="98"/>
        <v>362559.70685472694</v>
      </c>
      <c r="M135" s="159">
        <f t="shared" si="98"/>
        <v>307786.15726313967</v>
      </c>
      <c r="N135" s="159">
        <f t="shared" si="98"/>
        <v>291977.10847320082</v>
      </c>
      <c r="O135" s="159">
        <f t="shared" si="98"/>
        <v>272953.01308675576</v>
      </c>
      <c r="P135" s="159">
        <f t="shared" ref="P135" si="99">P119+P122+P130+P133</f>
        <v>313704.59670694359</v>
      </c>
    </row>
    <row r="136" spans="2:16" s="133" customFormat="1">
      <c r="B136" s="241"/>
      <c r="C136" s="241"/>
      <c r="D136" s="242"/>
      <c r="E136" s="242"/>
      <c r="F136" s="242"/>
      <c r="G136" s="242"/>
      <c r="H136" s="242"/>
      <c r="I136" s="242"/>
      <c r="J136" s="242"/>
      <c r="K136" s="242"/>
      <c r="L136" s="242"/>
      <c r="M136" s="242"/>
      <c r="N136" s="242"/>
      <c r="O136" s="242"/>
      <c r="P136" s="242"/>
    </row>
    <row r="137" spans="2:16" s="133" customFormat="1">
      <c r="B137" s="241" t="str">
        <f>B43</f>
        <v>Cost Residual (Ordinary Opex - Elements)</v>
      </c>
      <c r="C137" s="241"/>
      <c r="D137" s="159">
        <f>D43*D74/D111*D78</f>
        <v>0</v>
      </c>
      <c r="E137" s="159">
        <f t="shared" ref="E137:O137" si="100">E43*E74/E111</f>
        <v>0</v>
      </c>
      <c r="F137" s="159">
        <f t="shared" si="100"/>
        <v>0</v>
      </c>
      <c r="G137" s="159">
        <f t="shared" si="100"/>
        <v>0</v>
      </c>
      <c r="H137" s="159">
        <f t="shared" si="100"/>
        <v>0</v>
      </c>
      <c r="I137" s="159">
        <f t="shared" si="100"/>
        <v>0</v>
      </c>
      <c r="J137" s="159">
        <f t="shared" si="100"/>
        <v>0</v>
      </c>
      <c r="K137" s="159">
        <f t="shared" si="100"/>
        <v>0</v>
      </c>
      <c r="L137" s="159">
        <f t="shared" si="100"/>
        <v>0</v>
      </c>
      <c r="M137" s="159">
        <f t="shared" si="100"/>
        <v>0</v>
      </c>
      <c r="N137" s="159">
        <f t="shared" si="100"/>
        <v>0</v>
      </c>
      <c r="O137" s="159">
        <f t="shared" si="100"/>
        <v>0</v>
      </c>
      <c r="P137" s="159">
        <f t="shared" ref="P137" si="101">P43*P74/P111</f>
        <v>0</v>
      </c>
    </row>
    <row r="138" spans="2:16" s="133" customFormat="1">
      <c r="B138" s="241"/>
      <c r="C138" s="241"/>
      <c r="D138" s="242"/>
      <c r="E138" s="242"/>
      <c r="F138" s="242"/>
      <c r="G138" s="242"/>
      <c r="H138" s="242"/>
      <c r="I138" s="242"/>
      <c r="J138" s="242"/>
      <c r="K138" s="242"/>
      <c r="L138" s="242"/>
      <c r="M138" s="242"/>
      <c r="N138" s="242"/>
      <c r="O138" s="242"/>
      <c r="P138" s="242"/>
    </row>
    <row r="139" spans="2:16" s="133" customFormat="1">
      <c r="B139" s="241" t="str">
        <f>B45</f>
        <v>Ordinary Opex (per accounts - including staff, depreciation and other, excluding exceptional)</v>
      </c>
      <c r="C139" s="241"/>
      <c r="D139" s="159">
        <f>D119+D122+D130+D137</f>
        <v>293887.26879940025</v>
      </c>
      <c r="E139" s="159">
        <f t="shared" ref="E139:O139" si="102">E119+E122+E130+E137</f>
        <v>334357.49698541022</v>
      </c>
      <c r="F139" s="159">
        <f t="shared" si="102"/>
        <v>312899.51110732683</v>
      </c>
      <c r="G139" s="159">
        <f t="shared" si="102"/>
        <v>335838.84946665075</v>
      </c>
      <c r="H139" s="159">
        <f t="shared" si="102"/>
        <v>338378.70008625265</v>
      </c>
      <c r="I139" s="159">
        <f t="shared" si="102"/>
        <v>352170.90475486283</v>
      </c>
      <c r="J139" s="159">
        <f t="shared" si="102"/>
        <v>370358.63994608616</v>
      </c>
      <c r="K139" s="159">
        <f t="shared" si="102"/>
        <v>406347.70814104367</v>
      </c>
      <c r="L139" s="159">
        <f t="shared" si="102"/>
        <v>362559.70685472694</v>
      </c>
      <c r="M139" s="159">
        <f t="shared" si="102"/>
        <v>307786.15726313967</v>
      </c>
      <c r="N139" s="159">
        <f t="shared" si="102"/>
        <v>291977.10847320082</v>
      </c>
      <c r="O139" s="159">
        <f t="shared" si="102"/>
        <v>272953.01308675576</v>
      </c>
      <c r="P139" s="159">
        <f t="shared" ref="P139" si="103">P119+P122+P130+P137</f>
        <v>313704.59670694359</v>
      </c>
    </row>
    <row r="140" spans="2:16" s="133" customFormat="1">
      <c r="B140" s="241"/>
      <c r="C140" s="241"/>
      <c r="D140" s="242"/>
      <c r="E140" s="242"/>
      <c r="F140" s="242"/>
      <c r="G140" s="242"/>
      <c r="H140" s="242"/>
      <c r="I140" s="242"/>
      <c r="J140" s="242"/>
      <c r="K140" s="242"/>
      <c r="L140" s="242"/>
      <c r="M140" s="242"/>
      <c r="N140" s="242"/>
      <c r="O140" s="242"/>
      <c r="P140" s="242"/>
    </row>
    <row r="141" spans="2:16" s="133" customFormat="1">
      <c r="B141" s="241" t="str">
        <f>B47</f>
        <v>Total Opex (ordinary + exceptional)</v>
      </c>
      <c r="C141" s="241"/>
      <c r="D141" s="159">
        <f>D139+D133</f>
        <v>293887.26879940025</v>
      </c>
      <c r="E141" s="159">
        <f t="shared" ref="E141:O141" si="104">E139+E133</f>
        <v>334357.49698541022</v>
      </c>
      <c r="F141" s="159">
        <f t="shared" si="104"/>
        <v>312899.51110732683</v>
      </c>
      <c r="G141" s="159">
        <f t="shared" si="104"/>
        <v>335838.84946665075</v>
      </c>
      <c r="H141" s="159">
        <f t="shared" si="104"/>
        <v>338378.70008625265</v>
      </c>
      <c r="I141" s="159">
        <f t="shared" si="104"/>
        <v>352170.90475486283</v>
      </c>
      <c r="J141" s="159">
        <f t="shared" si="104"/>
        <v>370358.63994608616</v>
      </c>
      <c r="K141" s="159">
        <f t="shared" si="104"/>
        <v>406347.70814104367</v>
      </c>
      <c r="L141" s="159">
        <f t="shared" si="104"/>
        <v>362559.70685472694</v>
      </c>
      <c r="M141" s="159">
        <f t="shared" si="104"/>
        <v>307786.15726313967</v>
      </c>
      <c r="N141" s="159">
        <f t="shared" si="104"/>
        <v>291977.10847320082</v>
      </c>
      <c r="O141" s="159">
        <f t="shared" si="104"/>
        <v>272953.01308675576</v>
      </c>
      <c r="P141" s="159">
        <f t="shared" ref="P141" si="105">P139+P133</f>
        <v>313704.59670694359</v>
      </c>
    </row>
    <row r="142" spans="2:16" s="133" customFormat="1">
      <c r="B142" s="241"/>
      <c r="C142" s="241"/>
      <c r="D142" s="242"/>
      <c r="E142" s="242"/>
      <c r="F142" s="242"/>
      <c r="G142" s="242"/>
      <c r="H142" s="242"/>
      <c r="I142" s="242"/>
      <c r="J142" s="242"/>
      <c r="K142" s="242"/>
      <c r="L142" s="242"/>
      <c r="M142" s="242"/>
      <c r="N142" s="242"/>
      <c r="O142" s="242"/>
      <c r="P142" s="242"/>
    </row>
    <row r="143" spans="2:16" s="133" customFormat="1">
      <c r="B143" s="241" t="str">
        <f>B49</f>
        <v>Retail Estimate</v>
      </c>
      <c r="C143" s="241"/>
      <c r="D143" s="159">
        <f>D49*D74/D111*D78</f>
        <v>2443.5579802162665</v>
      </c>
      <c r="E143" s="159">
        <f t="shared" ref="E143:O143" si="106">E49*E74/E111</f>
        <v>2108.1879132633844</v>
      </c>
      <c r="F143" s="159">
        <f t="shared" si="106"/>
        <v>1393.7742642102712</v>
      </c>
      <c r="G143" s="159">
        <f t="shared" si="106"/>
        <v>711.70121884452271</v>
      </c>
      <c r="H143" s="159">
        <f t="shared" si="106"/>
        <v>750.464361909677</v>
      </c>
      <c r="I143" s="159">
        <f t="shared" si="106"/>
        <v>1360.8822599249045</v>
      </c>
      <c r="J143" s="159">
        <f t="shared" si="106"/>
        <v>3613.867051280642</v>
      </c>
      <c r="K143" s="159">
        <f t="shared" si="106"/>
        <v>6476.3681621941205</v>
      </c>
      <c r="L143" s="159">
        <f t="shared" si="106"/>
        <v>6926.6851515585195</v>
      </c>
      <c r="M143" s="159">
        <f t="shared" si="106"/>
        <v>9219.9329713801217</v>
      </c>
      <c r="N143" s="159">
        <f t="shared" si="106"/>
        <v>10847.58090158194</v>
      </c>
      <c r="O143" s="159">
        <f t="shared" si="106"/>
        <v>9102.762812386185</v>
      </c>
      <c r="P143" s="159">
        <f t="shared" ref="P143" si="107">P49*P74/P111</f>
        <v>16540.375997045896</v>
      </c>
    </row>
    <row r="144" spans="2:16" s="133" customFormat="1">
      <c r="B144" s="241"/>
      <c r="C144" s="241"/>
      <c r="D144" s="242"/>
      <c r="E144" s="242"/>
      <c r="F144" s="242"/>
      <c r="G144" s="242"/>
      <c r="H144" s="242"/>
      <c r="I144" s="242"/>
      <c r="J144" s="242"/>
      <c r="K144" s="242"/>
      <c r="L144" s="242"/>
      <c r="M144" s="242"/>
      <c r="N144" s="242"/>
      <c r="O144" s="242"/>
      <c r="P144" s="242"/>
    </row>
    <row r="145" spans="1:16" s="133" customFormat="1">
      <c r="A145" s="134"/>
      <c r="B145" s="241" t="str">
        <f>B51</f>
        <v>Adjusted Ordinary Opex (ordinary opex - depreciation - ANS - retail)</v>
      </c>
      <c r="C145" s="241"/>
      <c r="D145" s="159">
        <f>D139-D122-D143</f>
        <v>201153.49305437654</v>
      </c>
      <c r="E145" s="159">
        <f t="shared" ref="E145:O145" si="108">E139-E122-E143</f>
        <v>219404.42913320364</v>
      </c>
      <c r="F145" s="159">
        <f t="shared" si="108"/>
        <v>220654.70548980791</v>
      </c>
      <c r="G145" s="159">
        <f t="shared" si="108"/>
        <v>223373.32201074567</v>
      </c>
      <c r="H145" s="159">
        <f t="shared" si="108"/>
        <v>214052.74038355835</v>
      </c>
      <c r="I145" s="159">
        <f t="shared" si="108"/>
        <v>220874.41035368253</v>
      </c>
      <c r="J145" s="159">
        <f t="shared" si="108"/>
        <v>233979.18928705336</v>
      </c>
      <c r="K145" s="159">
        <f t="shared" si="108"/>
        <v>264395.85303874087</v>
      </c>
      <c r="L145" s="159">
        <f t="shared" si="108"/>
        <v>239777.96520607595</v>
      </c>
      <c r="M145" s="159">
        <f t="shared" si="108"/>
        <v>195068.7908482014</v>
      </c>
      <c r="N145" s="159">
        <f t="shared" si="108"/>
        <v>184534.09300611124</v>
      </c>
      <c r="O145" s="159">
        <f t="shared" si="108"/>
        <v>171848.47217831473</v>
      </c>
      <c r="P145" s="159">
        <f t="shared" ref="P145" si="109">P139-P122-P143</f>
        <v>200254.63735792803</v>
      </c>
    </row>
    <row r="146" spans="1:16" s="133" customFormat="1">
      <c r="B146" s="241"/>
      <c r="C146" s="241"/>
      <c r="D146" s="242"/>
      <c r="E146" s="242"/>
      <c r="F146" s="242"/>
      <c r="G146" s="242"/>
      <c r="H146" s="242"/>
      <c r="I146" s="242"/>
      <c r="J146" s="242"/>
      <c r="K146" s="242"/>
      <c r="L146" s="242"/>
      <c r="M146" s="242"/>
      <c r="N146" s="242"/>
      <c r="O146" s="242"/>
      <c r="P146" s="242"/>
    </row>
    <row r="147" spans="1:16" s="133" customFormat="1">
      <c r="B147" s="241" t="str">
        <f>B53</f>
        <v>Turnover (per accounts)</v>
      </c>
      <c r="C147" s="241"/>
      <c r="D147" s="159">
        <f t="shared" ref="D147:O147" si="110">D53*D74*D78</f>
        <v>490370.64919922833</v>
      </c>
      <c r="E147" s="159">
        <f t="shared" si="110"/>
        <v>495263.72232969286</v>
      </c>
      <c r="F147" s="159">
        <f t="shared" si="110"/>
        <v>473190.81548874779</v>
      </c>
      <c r="G147" s="159">
        <f t="shared" si="110"/>
        <v>486867.15172195475</v>
      </c>
      <c r="H147" s="159">
        <f t="shared" si="110"/>
        <v>535292.96439605649</v>
      </c>
      <c r="I147" s="159">
        <f t="shared" si="110"/>
        <v>584409.12662114855</v>
      </c>
      <c r="J147" s="159">
        <f t="shared" si="110"/>
        <v>594445.26885417523</v>
      </c>
      <c r="K147" s="159">
        <f t="shared" si="110"/>
        <v>620939.50683161081</v>
      </c>
      <c r="L147" s="159">
        <f t="shared" si="110"/>
        <v>635940.54528350336</v>
      </c>
      <c r="M147" s="159">
        <f t="shared" si="110"/>
        <v>613247.41598445794</v>
      </c>
      <c r="N147" s="159">
        <f t="shared" si="110"/>
        <v>616734.59255799477</v>
      </c>
      <c r="O147" s="159">
        <f t="shared" si="110"/>
        <v>615061.82517085446</v>
      </c>
      <c r="P147" s="159">
        <f t="shared" ref="P147" si="111">P53*P74*P78</f>
        <v>624594.26999750931</v>
      </c>
    </row>
    <row r="148" spans="1:16" s="133" customFormat="1">
      <c r="B148" s="241"/>
      <c r="C148" s="241"/>
      <c r="D148" s="242"/>
      <c r="E148" s="242"/>
      <c r="F148" s="242"/>
      <c r="G148" s="242"/>
      <c r="H148" s="242"/>
      <c r="I148" s="242"/>
      <c r="J148" s="242"/>
      <c r="K148" s="242"/>
      <c r="L148" s="242"/>
      <c r="M148" s="242"/>
      <c r="N148" s="242"/>
      <c r="O148" s="242"/>
      <c r="P148" s="242"/>
    </row>
    <row r="149" spans="1:16" s="133" customFormat="1">
      <c r="B149" s="241" t="str">
        <f>B55</f>
        <v>Operating Profit (pre-exceptional)</v>
      </c>
      <c r="C149" s="241"/>
      <c r="D149" s="159">
        <f>D147-D139</f>
        <v>196483.38039982808</v>
      </c>
      <c r="E149" s="159">
        <f t="shared" ref="E149:O149" si="112">E147-E139</f>
        <v>160906.22534428263</v>
      </c>
      <c r="F149" s="159">
        <f t="shared" si="112"/>
        <v>160291.30438142095</v>
      </c>
      <c r="G149" s="159">
        <f t="shared" si="112"/>
        <v>151028.30225530401</v>
      </c>
      <c r="H149" s="159">
        <f t="shared" si="112"/>
        <v>196914.26430980384</v>
      </c>
      <c r="I149" s="159">
        <f t="shared" si="112"/>
        <v>232238.22186628572</v>
      </c>
      <c r="J149" s="159">
        <f t="shared" si="112"/>
        <v>224086.62890808907</v>
      </c>
      <c r="K149" s="159">
        <f t="shared" si="112"/>
        <v>214591.79869056714</v>
      </c>
      <c r="L149" s="159">
        <f t="shared" si="112"/>
        <v>273380.83842877642</v>
      </c>
      <c r="M149" s="159">
        <f t="shared" si="112"/>
        <v>305461.25872131827</v>
      </c>
      <c r="N149" s="159">
        <f t="shared" si="112"/>
        <v>324757.48408479395</v>
      </c>
      <c r="O149" s="159">
        <f t="shared" si="112"/>
        <v>342108.8120840987</v>
      </c>
      <c r="P149" s="159">
        <f t="shared" ref="P149" si="113">P147-P139</f>
        <v>310889.67329056573</v>
      </c>
    </row>
    <row r="150" spans="1:16" s="133" customFormat="1">
      <c r="B150" s="241"/>
      <c r="C150" s="111"/>
      <c r="D150" s="161"/>
      <c r="E150" s="161"/>
      <c r="F150" s="161"/>
      <c r="G150" s="161"/>
      <c r="H150" s="161"/>
      <c r="I150" s="161"/>
      <c r="J150" s="161"/>
      <c r="K150" s="161"/>
      <c r="L150" s="161"/>
      <c r="M150" s="161"/>
      <c r="N150" s="161"/>
      <c r="O150" s="161"/>
      <c r="P150" s="161"/>
    </row>
    <row r="151" spans="1:16" s="133" customFormat="1">
      <c r="B151" s="241" t="str">
        <f>B57</f>
        <v>Profit Margin</v>
      </c>
      <c r="C151" s="111"/>
      <c r="D151" s="244">
        <f>D149/D147</f>
        <v>0.4006834028926568</v>
      </c>
      <c r="E151" s="244">
        <f t="shared" ref="E151:O151" si="114">E149/E147</f>
        <v>0.32488998908983024</v>
      </c>
      <c r="F151" s="244">
        <f t="shared" si="114"/>
        <v>0.33874559508484919</v>
      </c>
      <c r="G151" s="244">
        <f t="shared" si="114"/>
        <v>0.31020433751002952</v>
      </c>
      <c r="H151" s="244">
        <f t="shared" si="114"/>
        <v>0.36786260497926043</v>
      </c>
      <c r="I151" s="244">
        <f t="shared" si="114"/>
        <v>0.39738979301881677</v>
      </c>
      <c r="J151" s="244">
        <f t="shared" si="114"/>
        <v>0.37696763797957034</v>
      </c>
      <c r="K151" s="244">
        <f t="shared" si="114"/>
        <v>0.34559211699306663</v>
      </c>
      <c r="L151" s="244">
        <f t="shared" si="114"/>
        <v>0.42988427213255098</v>
      </c>
      <c r="M151" s="244">
        <f t="shared" si="114"/>
        <v>0.49810443674019467</v>
      </c>
      <c r="N151" s="244">
        <f t="shared" si="114"/>
        <v>0.5265757556063394</v>
      </c>
      <c r="O151" s="244">
        <f t="shared" si="114"/>
        <v>0.55621857524496221</v>
      </c>
      <c r="P151" s="244">
        <f t="shared" ref="P151" si="115">P149/P147</f>
        <v>0.49774659843069879</v>
      </c>
    </row>
    <row r="152" spans="1:16" s="133" customFormat="1">
      <c r="B152" s="111"/>
      <c r="C152" s="111"/>
      <c r="D152" s="161"/>
      <c r="E152" s="161"/>
      <c r="F152" s="161"/>
      <c r="G152" s="161"/>
      <c r="H152" s="161"/>
      <c r="I152" s="161"/>
      <c r="J152" s="161"/>
      <c r="K152" s="161"/>
      <c r="L152" s="161"/>
      <c r="M152" s="161"/>
      <c r="N152" s="161"/>
      <c r="O152" s="161"/>
      <c r="P152" s="131"/>
    </row>
    <row r="153" spans="1:16" s="133" customFormat="1">
      <c r="B153" s="153" t="s">
        <v>1148</v>
      </c>
      <c r="C153" s="94"/>
      <c r="D153" s="94"/>
      <c r="E153" s="94"/>
      <c r="F153" s="94"/>
      <c r="G153" s="94"/>
      <c r="H153" s="94"/>
      <c r="I153" s="94"/>
      <c r="J153" s="94"/>
      <c r="K153" s="94"/>
      <c r="L153" s="94"/>
      <c r="M153" s="94"/>
      <c r="N153" s="94"/>
      <c r="O153" s="94"/>
      <c r="P153" s="94"/>
    </row>
    <row r="154" spans="1:16" s="133" customFormat="1">
      <c r="B154" s="90"/>
      <c r="C154" s="90"/>
      <c r="D154" s="90"/>
      <c r="E154" s="161"/>
      <c r="F154" s="161"/>
      <c r="G154" s="161"/>
      <c r="H154" s="161"/>
      <c r="I154" s="161"/>
      <c r="J154" s="161"/>
      <c r="K154" s="161"/>
      <c r="L154" s="161"/>
      <c r="M154" s="161"/>
      <c r="N154" s="161"/>
      <c r="O154" s="161"/>
      <c r="P154" s="131"/>
    </row>
    <row r="155" spans="1:16" s="133" customFormat="1">
      <c r="B155" s="90" t="s">
        <v>1127</v>
      </c>
      <c r="C155" s="90"/>
      <c r="D155" s="209">
        <f t="shared" ref="D155:O155" si="116">(D141/D59)*1000</f>
        <v>12.960640582357094</v>
      </c>
      <c r="E155" s="209">
        <f t="shared" si="116"/>
        <v>15.912479043704543</v>
      </c>
      <c r="F155" s="209">
        <f t="shared" si="116"/>
        <v>17.004319566243357</v>
      </c>
      <c r="G155" s="209">
        <f t="shared" si="116"/>
        <v>19.230563500080525</v>
      </c>
      <c r="H155" s="209">
        <f t="shared" si="116"/>
        <v>19.094193232886099</v>
      </c>
      <c r="I155" s="209">
        <f t="shared" si="116"/>
        <v>19.691236080795022</v>
      </c>
      <c r="J155" s="209">
        <f t="shared" si="116"/>
        <v>19.252195325253204</v>
      </c>
      <c r="K155" s="209">
        <f t="shared" si="116"/>
        <v>19.593302189010863</v>
      </c>
      <c r="L155" s="209">
        <f t="shared" si="116"/>
        <v>16.405985983980841</v>
      </c>
      <c r="M155" s="209">
        <f t="shared" si="116"/>
        <v>14.036938659702107</v>
      </c>
      <c r="N155" s="209">
        <f t="shared" si="116"/>
        <v>12.762212831444188</v>
      </c>
      <c r="O155" s="209">
        <f t="shared" si="116"/>
        <v>11.215117469889037</v>
      </c>
      <c r="P155" s="209">
        <f t="shared" ref="P155" si="117">(P141/P59)*1000</f>
        <v>12.648154884484711</v>
      </c>
    </row>
    <row r="156" spans="1:16" s="133" customFormat="1">
      <c r="B156" s="90" t="s">
        <v>299</v>
      </c>
      <c r="C156" s="90"/>
      <c r="D156" s="209">
        <f t="shared" ref="D156:O156" si="118">(D139/D59)*1000</f>
        <v>12.960640582357094</v>
      </c>
      <c r="E156" s="209">
        <f t="shared" si="118"/>
        <v>15.912479043704543</v>
      </c>
      <c r="F156" s="209">
        <f t="shared" si="118"/>
        <v>17.004319566243357</v>
      </c>
      <c r="G156" s="209">
        <f t="shared" si="118"/>
        <v>19.230563500080525</v>
      </c>
      <c r="H156" s="209">
        <f t="shared" si="118"/>
        <v>19.094193232886099</v>
      </c>
      <c r="I156" s="209">
        <f t="shared" si="118"/>
        <v>19.691236080795022</v>
      </c>
      <c r="J156" s="209">
        <f t="shared" si="118"/>
        <v>19.252195325253204</v>
      </c>
      <c r="K156" s="209">
        <f t="shared" si="118"/>
        <v>19.593302189010863</v>
      </c>
      <c r="L156" s="209">
        <f t="shared" si="118"/>
        <v>16.405985983980841</v>
      </c>
      <c r="M156" s="209">
        <f t="shared" si="118"/>
        <v>14.036938659702107</v>
      </c>
      <c r="N156" s="209">
        <f t="shared" si="118"/>
        <v>12.762212831444188</v>
      </c>
      <c r="O156" s="209">
        <f t="shared" si="118"/>
        <v>11.215117469889037</v>
      </c>
      <c r="P156" s="209">
        <f t="shared" ref="P156" si="119">(P139/P59)*1000</f>
        <v>12.648154884484711</v>
      </c>
    </row>
    <row r="157" spans="1:16" s="133" customFormat="1">
      <c r="B157" s="90" t="s">
        <v>300</v>
      </c>
      <c r="C157" s="90"/>
      <c r="D157" s="209">
        <f t="shared" ref="D157:O157" si="120">(D145/D59)*1000</f>
        <v>8.8710141681671892</v>
      </c>
      <c r="E157" s="209">
        <f t="shared" si="120"/>
        <v>10.441723042418888</v>
      </c>
      <c r="F157" s="209">
        <f t="shared" si="120"/>
        <v>11.991335853052881</v>
      </c>
      <c r="G157" s="209">
        <f t="shared" si="120"/>
        <v>12.790643071739494</v>
      </c>
      <c r="H157" s="209">
        <f t="shared" si="120"/>
        <v>12.078669212543957</v>
      </c>
      <c r="I157" s="209">
        <f t="shared" si="120"/>
        <v>12.349941746346673</v>
      </c>
      <c r="J157" s="209">
        <f t="shared" si="120"/>
        <v>12.162840469590474</v>
      </c>
      <c r="K157" s="209">
        <f t="shared" si="120"/>
        <v>12.74865771929305</v>
      </c>
      <c r="L157" s="209">
        <f t="shared" si="120"/>
        <v>10.8500582443778</v>
      </c>
      <c r="M157" s="209">
        <f t="shared" si="120"/>
        <v>8.8963346367052001</v>
      </c>
      <c r="N157" s="209">
        <f t="shared" si="120"/>
        <v>8.0659178451233551</v>
      </c>
      <c r="O157" s="209">
        <f t="shared" si="120"/>
        <v>7.0609251779469515</v>
      </c>
      <c r="P157" s="209">
        <f t="shared" ref="P157" si="121">(P145/P59)*1000</f>
        <v>8.074002409360709</v>
      </c>
    </row>
    <row r="158" spans="1:16" s="133" customFormat="1">
      <c r="B158" s="90" t="s">
        <v>265</v>
      </c>
      <c r="C158" s="90"/>
      <c r="D158" s="209">
        <f t="shared" ref="D158:O158" si="122">D119*1000/D59</f>
        <v>3.2623969575387042</v>
      </c>
      <c r="E158" s="209">
        <f t="shared" si="122"/>
        <v>3.8339961729266552</v>
      </c>
      <c r="F158" s="209">
        <f t="shared" si="122"/>
        <v>4.6388232796986211</v>
      </c>
      <c r="G158" s="209">
        <f t="shared" si="122"/>
        <v>4.7075344936814423</v>
      </c>
      <c r="H158" s="209">
        <f t="shared" si="122"/>
        <v>4.5995570617160952</v>
      </c>
      <c r="I158" s="209">
        <f t="shared" si="122"/>
        <v>4.7968044725870609</v>
      </c>
      <c r="J158" s="209">
        <f t="shared" si="122"/>
        <v>4.5974778516134309</v>
      </c>
      <c r="K158" s="209">
        <f t="shared" si="122"/>
        <v>4.6344995759407697</v>
      </c>
      <c r="L158" s="209">
        <f t="shared" si="122"/>
        <v>3.2277222007890209</v>
      </c>
      <c r="M158" s="209">
        <f t="shared" si="122"/>
        <v>2.9009060894192276</v>
      </c>
      <c r="N158" s="209">
        <f t="shared" si="122"/>
        <v>2.5289898000073889</v>
      </c>
      <c r="O158" s="209">
        <f t="shared" si="122"/>
        <v>2.1371763585389618</v>
      </c>
      <c r="P158" s="209">
        <f t="shared" ref="P158" si="123">P119*1000/P59</f>
        <v>3.6046447717185548</v>
      </c>
    </row>
    <row r="159" spans="1:16" s="133" customFormat="1">
      <c r="B159" s="111" t="s">
        <v>1136</v>
      </c>
      <c r="C159" s="111"/>
      <c r="D159" s="159">
        <f t="shared" ref="D159:O159" si="124">D119/D61*1000</f>
        <v>70790.473731556543</v>
      </c>
      <c r="E159" s="159">
        <f t="shared" si="124"/>
        <v>68679.461869101142</v>
      </c>
      <c r="F159" s="159">
        <f t="shared" si="124"/>
        <v>67054.055679715719</v>
      </c>
      <c r="G159" s="159">
        <f t="shared" si="124"/>
        <v>65247.201463091616</v>
      </c>
      <c r="H159" s="159">
        <f t="shared" si="124"/>
        <v>63236.059307257456</v>
      </c>
      <c r="I159" s="159">
        <f t="shared" si="124"/>
        <v>67978.746992284563</v>
      </c>
      <c r="J159" s="159">
        <f t="shared" si="124"/>
        <v>68560.212780390313</v>
      </c>
      <c r="K159" s="159">
        <f t="shared" si="124"/>
        <v>72869.909328193855</v>
      </c>
      <c r="L159" s="159">
        <f t="shared" si="124"/>
        <v>56882.125179034578</v>
      </c>
      <c r="M159" s="159">
        <f t="shared" si="124"/>
        <v>49232.040639873034</v>
      </c>
      <c r="N159" s="159">
        <f t="shared" si="124"/>
        <v>44438.451168209562</v>
      </c>
      <c r="O159" s="159">
        <f t="shared" si="124"/>
        <v>39375.094552618291</v>
      </c>
      <c r="P159" s="159">
        <f t="shared" ref="P159" si="125">P119/P61*1000</f>
        <v>64551.510098247134</v>
      </c>
    </row>
    <row r="160" spans="1:16" s="133" customFormat="1">
      <c r="B160" s="111"/>
      <c r="C160" s="111"/>
      <c r="D160" s="161"/>
      <c r="E160" s="161"/>
      <c r="F160" s="161"/>
      <c r="G160" s="161"/>
      <c r="H160" s="161"/>
      <c r="I160" s="161"/>
      <c r="J160" s="161"/>
      <c r="K160" s="161"/>
      <c r="L160" s="161"/>
      <c r="M160" s="161"/>
      <c r="N160" s="161"/>
      <c r="O160" s="161"/>
      <c r="P160" s="131"/>
    </row>
    <row r="161" spans="1:24" s="126" customFormat="1">
      <c r="A161" s="90"/>
      <c r="B161" s="153" t="s">
        <v>163</v>
      </c>
      <c r="C161" s="94"/>
      <c r="D161" s="94"/>
      <c r="E161" s="94"/>
      <c r="F161" s="94"/>
      <c r="G161" s="94"/>
      <c r="H161" s="94"/>
      <c r="I161" s="94"/>
      <c r="J161" s="94"/>
      <c r="K161" s="94"/>
      <c r="L161" s="94"/>
      <c r="M161" s="94"/>
      <c r="N161" s="94"/>
      <c r="O161" s="94"/>
      <c r="P161" s="94"/>
      <c r="Q161" s="90"/>
      <c r="R161" s="90"/>
      <c r="S161" s="90"/>
      <c r="T161" s="90"/>
      <c r="U161" s="90"/>
      <c r="V161" s="90"/>
      <c r="W161" s="90"/>
      <c r="X161" s="90"/>
    </row>
    <row r="231" spans="1:25" s="126" customFormat="1">
      <c r="A231" s="90"/>
      <c r="B231" s="153" t="s">
        <v>163</v>
      </c>
      <c r="C231" s="94"/>
      <c r="D231" s="94"/>
      <c r="E231" s="94"/>
      <c r="F231" s="94"/>
      <c r="G231" s="94"/>
      <c r="H231" s="94"/>
      <c r="I231" s="94"/>
      <c r="J231" s="94"/>
      <c r="K231" s="94"/>
      <c r="L231" s="94"/>
      <c r="M231" s="94"/>
      <c r="N231" s="94"/>
      <c r="O231" s="94"/>
      <c r="P231" s="94"/>
      <c r="R231" s="90"/>
      <c r="S231" s="90"/>
      <c r="T231" s="90"/>
      <c r="U231" s="90"/>
      <c r="V231" s="90"/>
      <c r="W231" s="90"/>
      <c r="X231" s="90"/>
      <c r="Y231"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3.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zoomScale="85" workbookViewId="0">
      <selection activeCell="R25" sqref="R25"/>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Analysis&gt;&gt;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30.xml><?xml version="1.0" encoding="utf-8"?>
<worksheet xmlns="http://schemas.openxmlformats.org/spreadsheetml/2006/main" xmlns:r="http://schemas.openxmlformats.org/officeDocument/2006/relationships">
  <sheetPr>
    <pageSetUpPr autoPageBreaks="0" fitToPage="1"/>
  </sheetPr>
  <dimension ref="A1:Y222"/>
  <sheetViews>
    <sheetView showGridLines="0" zoomScale="70" zoomScaleNormal="70" workbookViewId="0">
      <pane xSplit="3" ySplit="16" topLeftCell="D143" activePane="bottomRight" state="frozen"/>
      <selection pane="topRight" activeCell="D1" sqref="D1"/>
      <selection pane="bottomLeft" activeCell="A15" sqref="A15"/>
      <selection pane="bottomRight" activeCell="B153" sqref="B153"/>
    </sheetView>
  </sheetViews>
  <sheetFormatPr defaultRowHeight="12.75" outlineLevelRow="2"/>
  <cols>
    <col min="1" max="1" width="7" style="90" customWidth="1"/>
    <col min="2" max="2" width="23.5703125" style="90" customWidth="1"/>
    <col min="3" max="3" width="41.5703125" style="90" customWidth="1"/>
    <col min="4" max="15" width="15.7109375" style="90" customWidth="1"/>
    <col min="16" max="16" width="11.7109375" style="90" customWidth="1"/>
    <col min="17" max="17" width="10.7109375" style="126" customWidth="1"/>
    <col min="18" max="22" width="10.7109375" style="90" customWidth="1"/>
    <col min="23" max="16384" width="9.140625" style="90"/>
  </cols>
  <sheetData>
    <row r="1" spans="1:17" ht="12.75" customHeight="1">
      <c r="A1" s="145"/>
    </row>
    <row r="2" spans="1:17">
      <c r="B2" s="146" t="s">
        <v>134</v>
      </c>
      <c r="C2" s="91"/>
      <c r="D2" s="91"/>
      <c r="E2" s="147" t="str">
        <f>Info!$D$10</f>
        <v>Duncan Kernohan</v>
      </c>
      <c r="F2" s="91"/>
      <c r="G2" s="91"/>
      <c r="H2" s="91"/>
      <c r="I2" s="91"/>
      <c r="J2" s="91"/>
      <c r="K2" s="91"/>
      <c r="L2" s="91"/>
      <c r="M2" s="91"/>
      <c r="N2" s="91"/>
      <c r="O2" s="91"/>
      <c r="P2" s="91"/>
    </row>
    <row r="3" spans="1:17">
      <c r="B3" s="148" t="s">
        <v>137</v>
      </c>
      <c r="C3" s="92"/>
      <c r="D3" s="92"/>
      <c r="E3" s="149" t="str">
        <f>Info!$D$11 &amp; " - " &amp; Info!$D$12</f>
        <v>Airport Opex Benchmarking 2013 - duncan.kernohan@caa.co.uk</v>
      </c>
      <c r="F3" s="92"/>
      <c r="G3" s="92"/>
      <c r="H3" s="92"/>
      <c r="I3" s="92"/>
      <c r="J3" s="92"/>
      <c r="K3" s="92"/>
      <c r="L3" s="92"/>
      <c r="M3" s="92"/>
      <c r="N3" s="92"/>
      <c r="O3" s="92"/>
      <c r="P3" s="92"/>
    </row>
    <row r="4" spans="1:17">
      <c r="B4" s="148" t="s">
        <v>130</v>
      </c>
      <c r="C4" s="92"/>
      <c r="D4" s="92"/>
      <c r="E4" s="150">
        <f>Info!$D$16</f>
        <v>2.8</v>
      </c>
      <c r="F4" s="92"/>
      <c r="G4" s="92"/>
      <c r="H4" s="92"/>
      <c r="I4" s="92"/>
      <c r="J4" s="92"/>
      <c r="K4" s="92"/>
      <c r="L4" s="92"/>
      <c r="M4" s="92"/>
      <c r="N4" s="92"/>
      <c r="O4" s="92"/>
      <c r="P4" s="92"/>
    </row>
    <row r="5" spans="1:17">
      <c r="B5" s="151" t="s">
        <v>138</v>
      </c>
      <c r="C5" s="93"/>
      <c r="D5" s="93"/>
      <c r="E5" s="152" t="str">
        <f ca="1">IF(CELL("filename",D1)="","",MID(CELL("filename",A1),FIND("]",CELL("filename",A1))+1,99))</f>
        <v>Munich</v>
      </c>
      <c r="F5" s="93"/>
      <c r="G5" s="93"/>
      <c r="H5" s="93"/>
      <c r="I5" s="93"/>
      <c r="J5" s="93"/>
      <c r="K5" s="93"/>
      <c r="L5" s="93"/>
      <c r="M5" s="93"/>
      <c r="N5" s="93"/>
      <c r="O5" s="93"/>
      <c r="P5" s="93"/>
    </row>
    <row r="8" spans="1:17">
      <c r="B8" s="153" t="s">
        <v>1046</v>
      </c>
      <c r="C8" s="94"/>
      <c r="D8" s="94"/>
      <c r="E8" s="94"/>
      <c r="F8" s="94"/>
      <c r="G8" s="94"/>
      <c r="H8" s="94"/>
      <c r="I8" s="94"/>
      <c r="J8" s="94"/>
      <c r="K8" s="94"/>
      <c r="L8" s="94"/>
      <c r="M8" s="94"/>
      <c r="N8" s="94"/>
      <c r="O8" s="94"/>
      <c r="P8" s="94"/>
    </row>
    <row r="10" spans="1:17">
      <c r="B10" s="138" t="s">
        <v>143</v>
      </c>
      <c r="C10" s="138"/>
      <c r="D10" s="90" t="s">
        <v>270</v>
      </c>
    </row>
    <row r="11" spans="1:17">
      <c r="B11" s="138"/>
      <c r="C11" s="138"/>
      <c r="D11" s="138"/>
    </row>
    <row r="12" spans="1:17">
      <c r="B12" s="153" t="s">
        <v>1208</v>
      </c>
      <c r="C12" s="94"/>
      <c r="D12" s="94"/>
      <c r="E12" s="94"/>
      <c r="F12" s="94"/>
      <c r="G12" s="94"/>
      <c r="H12" s="94"/>
      <c r="I12" s="94"/>
      <c r="J12" s="94"/>
      <c r="K12" s="94"/>
      <c r="L12" s="94"/>
      <c r="M12" s="94"/>
      <c r="N12" s="94"/>
      <c r="O12" s="94"/>
      <c r="P12" s="94"/>
    </row>
    <row r="13" spans="1:17">
      <c r="B13" s="138"/>
      <c r="C13" s="138"/>
      <c r="D13" s="138"/>
    </row>
    <row r="14" spans="1:17">
      <c r="B14" s="101" t="s">
        <v>379</v>
      </c>
      <c r="C14" s="101"/>
    </row>
    <row r="15" spans="1:17">
      <c r="B15" s="101"/>
      <c r="C15" s="101"/>
    </row>
    <row r="16" spans="1:17">
      <c r="B16" s="138" t="s">
        <v>271</v>
      </c>
      <c r="C16" s="138"/>
      <c r="D16" s="119">
        <v>2000</v>
      </c>
      <c r="E16" s="119">
        <v>2001</v>
      </c>
      <c r="F16" s="119">
        <v>2002</v>
      </c>
      <c r="G16" s="119">
        <v>2003</v>
      </c>
      <c r="H16" s="119">
        <v>2004</v>
      </c>
      <c r="I16" s="119">
        <v>2005</v>
      </c>
      <c r="J16" s="119">
        <v>2006</v>
      </c>
      <c r="K16" s="119">
        <v>2007</v>
      </c>
      <c r="L16" s="119">
        <v>2008</v>
      </c>
      <c r="M16" s="119">
        <v>2009</v>
      </c>
      <c r="N16" s="119">
        <v>2010</v>
      </c>
      <c r="O16" s="119">
        <v>2011</v>
      </c>
      <c r="P16" s="126"/>
      <c r="Q16" s="90"/>
    </row>
    <row r="17" spans="1:24">
      <c r="B17" s="138" t="s">
        <v>157</v>
      </c>
      <c r="C17" s="138"/>
      <c r="D17" s="154">
        <v>2000</v>
      </c>
      <c r="E17" s="154">
        <v>2001</v>
      </c>
      <c r="F17" s="154">
        <v>2002</v>
      </c>
      <c r="G17" s="154">
        <v>2003</v>
      </c>
      <c r="H17" s="154">
        <v>2004</v>
      </c>
      <c r="I17" s="154">
        <v>2005</v>
      </c>
      <c r="J17" s="154">
        <v>2006</v>
      </c>
      <c r="K17" s="154">
        <v>2007</v>
      </c>
      <c r="L17" s="154">
        <v>2008</v>
      </c>
      <c r="M17" s="154">
        <v>2009</v>
      </c>
      <c r="N17" s="154">
        <v>2010</v>
      </c>
      <c r="O17" s="154">
        <v>2011</v>
      </c>
      <c r="P17" s="126"/>
      <c r="Q17" s="90"/>
    </row>
    <row r="18" spans="1:24">
      <c r="B18" s="138" t="s">
        <v>164</v>
      </c>
      <c r="C18" s="138"/>
      <c r="D18" s="154" t="s">
        <v>174</v>
      </c>
      <c r="E18" s="154" t="s">
        <v>174</v>
      </c>
      <c r="F18" s="154" t="s">
        <v>174</v>
      </c>
      <c r="G18" s="154" t="s">
        <v>174</v>
      </c>
      <c r="H18" s="154" t="s">
        <v>174</v>
      </c>
      <c r="I18" s="154" t="s">
        <v>174</v>
      </c>
      <c r="J18" s="154" t="s">
        <v>174</v>
      </c>
      <c r="K18" s="154" t="s">
        <v>174</v>
      </c>
      <c r="L18" s="154" t="s">
        <v>174</v>
      </c>
      <c r="M18" s="154" t="s">
        <v>174</v>
      </c>
      <c r="N18" s="154" t="s">
        <v>174</v>
      </c>
      <c r="O18" s="154" t="s">
        <v>174</v>
      </c>
      <c r="Q18" s="90"/>
    </row>
    <row r="19" spans="1:24">
      <c r="B19" s="138" t="s">
        <v>378</v>
      </c>
      <c r="C19" s="138"/>
      <c r="D19" s="154" t="s">
        <v>382</v>
      </c>
      <c r="E19" s="154" t="s">
        <v>382</v>
      </c>
      <c r="F19" s="154" t="s">
        <v>382</v>
      </c>
      <c r="G19" s="154" t="s">
        <v>382</v>
      </c>
      <c r="H19" s="154" t="s">
        <v>382</v>
      </c>
      <c r="I19" s="154" t="s">
        <v>382</v>
      </c>
      <c r="J19" s="154" t="s">
        <v>382</v>
      </c>
      <c r="K19" s="154" t="s">
        <v>382</v>
      </c>
      <c r="L19" s="154" t="s">
        <v>382</v>
      </c>
      <c r="M19" s="154" t="s">
        <v>382</v>
      </c>
      <c r="N19" s="154" t="s">
        <v>382</v>
      </c>
      <c r="O19" s="154" t="s">
        <v>382</v>
      </c>
      <c r="Q19" s="90"/>
    </row>
    <row r="20" spans="1:24">
      <c r="B20" s="133"/>
      <c r="C20" s="133"/>
      <c r="D20" s="133"/>
      <c r="E20" s="133"/>
      <c r="F20" s="133"/>
      <c r="G20" s="133"/>
      <c r="H20" s="133"/>
      <c r="I20" s="133"/>
      <c r="J20" s="133"/>
      <c r="K20" s="133"/>
      <c r="L20" s="133"/>
      <c r="M20" s="133"/>
      <c r="N20" s="133"/>
      <c r="O20" s="133"/>
      <c r="P20" s="126"/>
      <c r="Q20" s="90"/>
    </row>
    <row r="21" spans="1:24">
      <c r="B21" s="106" t="s">
        <v>1314</v>
      </c>
      <c r="C21" s="106" t="s">
        <v>1315</v>
      </c>
      <c r="D21" s="133"/>
      <c r="E21" s="133"/>
      <c r="F21" s="133"/>
      <c r="G21" s="133"/>
      <c r="H21" s="133"/>
      <c r="I21" s="133"/>
      <c r="J21" s="133"/>
      <c r="K21" s="133"/>
      <c r="L21" s="133"/>
      <c r="M21" s="133"/>
      <c r="N21" s="133"/>
      <c r="O21" s="133"/>
      <c r="P21" s="126"/>
      <c r="Q21" s="90"/>
    </row>
    <row r="22" spans="1:24" hidden="1" outlineLevel="2">
      <c r="B22" s="90" t="s">
        <v>240</v>
      </c>
      <c r="C22" s="138" t="s">
        <v>165</v>
      </c>
      <c r="D22" s="141">
        <v>134065</v>
      </c>
      <c r="E22" s="141">
        <f>147538</f>
        <v>147538</v>
      </c>
      <c r="F22" s="141">
        <f>154448515/1000</f>
        <v>154448.51500000001</v>
      </c>
      <c r="G22" s="141">
        <v>173279</v>
      </c>
      <c r="H22" s="141">
        <f>171924750/1000</f>
        <v>171924.75</v>
      </c>
      <c r="I22" s="141">
        <v>227751</v>
      </c>
      <c r="J22" s="141">
        <f>234027689/1000</f>
        <v>234027.68900000001</v>
      </c>
      <c r="K22" s="141">
        <v>237952</v>
      </c>
      <c r="L22" s="141">
        <f>250667031/1000</f>
        <v>250667.03099999999</v>
      </c>
      <c r="M22" s="141">
        <v>246933</v>
      </c>
      <c r="N22" s="141">
        <f>244708044/1000</f>
        <v>244708.04399999999</v>
      </c>
      <c r="O22" s="141">
        <f>248266428/1000</f>
        <v>248266.42800000001</v>
      </c>
      <c r="P22" s="82"/>
      <c r="Q22" s="82"/>
      <c r="R22" s="82"/>
      <c r="S22" s="82"/>
      <c r="T22" s="82"/>
      <c r="U22" s="82"/>
    </row>
    <row r="23" spans="1:24" hidden="1" outlineLevel="2">
      <c r="B23" s="90" t="s">
        <v>240</v>
      </c>
      <c r="C23" s="138" t="s">
        <v>383</v>
      </c>
      <c r="D23" s="141">
        <v>31837</v>
      </c>
      <c r="E23" s="141">
        <f>36957</f>
        <v>36957</v>
      </c>
      <c r="F23" s="141">
        <f>39263491/1000</f>
        <v>39263.491000000002</v>
      </c>
      <c r="G23" s="141">
        <v>47272</v>
      </c>
      <c r="H23" s="141">
        <f>48948844/1000</f>
        <v>48948.843999999997</v>
      </c>
      <c r="I23" s="141">
        <v>58088</v>
      </c>
      <c r="J23" s="141">
        <f>60284704/1000</f>
        <v>60284.703999999998</v>
      </c>
      <c r="K23" s="141">
        <v>61153</v>
      </c>
      <c r="L23" s="141">
        <f>63439510/1000</f>
        <v>63439.51</v>
      </c>
      <c r="M23" s="141">
        <v>62391</v>
      </c>
      <c r="N23" s="141">
        <f>62303201/1000</f>
        <v>62303.201000000001</v>
      </c>
      <c r="O23" s="141">
        <f>59857990/1000</f>
        <v>59857.99</v>
      </c>
      <c r="P23" s="82"/>
      <c r="Q23" s="82"/>
      <c r="R23" s="82"/>
      <c r="S23" s="82"/>
      <c r="T23" s="82"/>
      <c r="U23" s="82"/>
    </row>
    <row r="24" spans="1:24" outlineLevel="1" collapsed="1">
      <c r="B24" s="173" t="s">
        <v>287</v>
      </c>
      <c r="C24" s="138"/>
      <c r="D24" s="159">
        <f t="shared" ref="D24:O24" si="0">SUBTOTAL(9,D22:D23)</f>
        <v>165902</v>
      </c>
      <c r="E24" s="159">
        <f t="shared" si="0"/>
        <v>184495</v>
      </c>
      <c r="F24" s="159">
        <f t="shared" si="0"/>
        <v>193712.00600000002</v>
      </c>
      <c r="G24" s="159">
        <f t="shared" si="0"/>
        <v>220551</v>
      </c>
      <c r="H24" s="159">
        <f t="shared" si="0"/>
        <v>220873.59399999998</v>
      </c>
      <c r="I24" s="159">
        <f t="shared" si="0"/>
        <v>285839</v>
      </c>
      <c r="J24" s="159">
        <f t="shared" si="0"/>
        <v>294312.39300000004</v>
      </c>
      <c r="K24" s="159">
        <f t="shared" si="0"/>
        <v>299105</v>
      </c>
      <c r="L24" s="159">
        <f t="shared" si="0"/>
        <v>314106.54099999997</v>
      </c>
      <c r="M24" s="159">
        <f t="shared" si="0"/>
        <v>309324</v>
      </c>
      <c r="N24" s="159">
        <f t="shared" si="0"/>
        <v>307011.245</v>
      </c>
      <c r="O24" s="159">
        <f t="shared" si="0"/>
        <v>308124.41800000001</v>
      </c>
      <c r="P24" s="82"/>
      <c r="Q24" s="82"/>
      <c r="R24" s="82"/>
      <c r="S24" s="82"/>
      <c r="T24" s="82"/>
      <c r="U24" s="82"/>
    </row>
    <row r="25" spans="1:24" s="133" customFormat="1" outlineLevel="1">
      <c r="C25" s="138"/>
      <c r="D25" s="141"/>
      <c r="E25" s="141"/>
      <c r="F25" s="141"/>
      <c r="G25" s="141"/>
      <c r="H25" s="141"/>
      <c r="I25" s="141"/>
      <c r="J25" s="141"/>
      <c r="K25" s="141"/>
      <c r="L25" s="141"/>
      <c r="M25" s="141"/>
      <c r="N25" s="141"/>
      <c r="O25" s="141"/>
      <c r="P25" s="142"/>
      <c r="Q25" s="142"/>
      <c r="R25" s="142"/>
      <c r="S25" s="142"/>
      <c r="T25" s="142"/>
      <c r="U25" s="142"/>
    </row>
    <row r="26" spans="1:24" s="133" customFormat="1" hidden="1" outlineLevel="2">
      <c r="B26" s="133" t="s">
        <v>30</v>
      </c>
      <c r="C26" s="138" t="s">
        <v>30</v>
      </c>
      <c r="D26" s="141">
        <v>109426</v>
      </c>
      <c r="E26" s="141">
        <v>103947</v>
      </c>
      <c r="F26" s="141">
        <f>105742167/1000</f>
        <v>105742.167</v>
      </c>
      <c r="G26" s="141">
        <v>98175</v>
      </c>
      <c r="H26" s="141">
        <f>97260419/1000</f>
        <v>97260.418999999994</v>
      </c>
      <c r="I26" s="141">
        <f>285839</f>
        <v>285839</v>
      </c>
      <c r="J26" s="141">
        <f>139453510/1000</f>
        <v>139453.51</v>
      </c>
      <c r="K26" s="141">
        <v>136958</v>
      </c>
      <c r="L26" s="141">
        <f>124400425/1000</f>
        <v>124400.425</v>
      </c>
      <c r="M26" s="141">
        <v>124868</v>
      </c>
      <c r="N26" s="141">
        <f>155584155/1000</f>
        <v>155584.155</v>
      </c>
      <c r="O26" s="141">
        <f>154397828/1000</f>
        <v>154397.82800000001</v>
      </c>
      <c r="P26" s="142"/>
      <c r="Q26" s="142"/>
      <c r="R26" s="142"/>
      <c r="S26" s="142"/>
      <c r="T26" s="142"/>
      <c r="U26" s="142"/>
    </row>
    <row r="27" spans="1:24" s="133" customFormat="1" outlineLevel="1" collapsed="1">
      <c r="B27" s="106" t="s">
        <v>288</v>
      </c>
      <c r="C27" s="138"/>
      <c r="D27" s="159">
        <f t="shared" ref="D27:O27" si="1">SUBTOTAL(9,D26:D26)</f>
        <v>109426</v>
      </c>
      <c r="E27" s="159">
        <f t="shared" si="1"/>
        <v>103947</v>
      </c>
      <c r="F27" s="159">
        <f t="shared" si="1"/>
        <v>105742.167</v>
      </c>
      <c r="G27" s="159">
        <f t="shared" si="1"/>
        <v>98175</v>
      </c>
      <c r="H27" s="159">
        <f t="shared" si="1"/>
        <v>97260.418999999994</v>
      </c>
      <c r="I27" s="159">
        <f t="shared" si="1"/>
        <v>285839</v>
      </c>
      <c r="J27" s="159">
        <f t="shared" si="1"/>
        <v>139453.51</v>
      </c>
      <c r="K27" s="159">
        <f t="shared" si="1"/>
        <v>136958</v>
      </c>
      <c r="L27" s="159">
        <f t="shared" si="1"/>
        <v>124400.425</v>
      </c>
      <c r="M27" s="159">
        <f t="shared" si="1"/>
        <v>124868</v>
      </c>
      <c r="N27" s="159">
        <f t="shared" si="1"/>
        <v>155584.155</v>
      </c>
      <c r="O27" s="159">
        <f t="shared" si="1"/>
        <v>154397.82800000001</v>
      </c>
      <c r="P27" s="142"/>
      <c r="Q27" s="142"/>
      <c r="R27" s="142"/>
      <c r="S27" s="142"/>
      <c r="T27" s="142"/>
      <c r="U27" s="142"/>
    </row>
    <row r="28" spans="1:24" s="133" customFormat="1" outlineLevel="1">
      <c r="C28" s="138"/>
      <c r="D28" s="141"/>
      <c r="E28" s="141"/>
      <c r="F28" s="141"/>
      <c r="G28" s="141"/>
      <c r="H28" s="141"/>
      <c r="I28" s="141"/>
      <c r="J28" s="141"/>
      <c r="K28" s="141"/>
      <c r="L28" s="141"/>
      <c r="M28" s="141"/>
      <c r="N28" s="141"/>
      <c r="O28" s="141"/>
      <c r="P28" s="142"/>
      <c r="Q28" s="142"/>
      <c r="R28" s="142"/>
      <c r="S28" s="142"/>
      <c r="T28" s="142"/>
      <c r="U28" s="142"/>
    </row>
    <row r="29" spans="1:24" s="133" customFormat="1" hidden="1" outlineLevel="2">
      <c r="A29" s="138"/>
      <c r="B29" s="133" t="s">
        <v>256</v>
      </c>
      <c r="C29" s="138" t="s">
        <v>380</v>
      </c>
      <c r="D29" s="141">
        <v>24461</v>
      </c>
      <c r="E29" s="141">
        <f>27356</f>
        <v>27356</v>
      </c>
      <c r="F29" s="141">
        <f>26184460/1000</f>
        <v>26184.46</v>
      </c>
      <c r="G29" s="141">
        <v>31361</v>
      </c>
      <c r="H29" s="141">
        <f>33303722/1000</f>
        <v>33303.722000000002</v>
      </c>
      <c r="I29" s="141">
        <v>108750</v>
      </c>
      <c r="J29" s="141">
        <f>118692530/1000</f>
        <v>118692.53</v>
      </c>
      <c r="K29" s="141">
        <v>132062</v>
      </c>
      <c r="L29" s="141">
        <f>143235523/1000</f>
        <v>143235.52299999999</v>
      </c>
      <c r="M29" s="141">
        <v>139336</v>
      </c>
      <c r="N29" s="141">
        <f>148281361/1000</f>
        <v>148281.361</v>
      </c>
      <c r="O29" s="141">
        <f>153942239/1000</f>
        <v>153942.239</v>
      </c>
      <c r="P29" s="123"/>
      <c r="Q29" s="131"/>
      <c r="R29" s="131"/>
      <c r="U29" s="156"/>
      <c r="X29" s="131"/>
    </row>
    <row r="30" spans="1:24" s="133" customFormat="1" hidden="1" outlineLevel="2">
      <c r="A30" s="138"/>
      <c r="B30" s="133" t="s">
        <v>256</v>
      </c>
      <c r="C30" s="138" t="s">
        <v>381</v>
      </c>
      <c r="D30" s="141">
        <v>78217</v>
      </c>
      <c r="E30" s="141">
        <v>93413</v>
      </c>
      <c r="F30" s="141">
        <f>83843752/1000</f>
        <v>83843.751999999993</v>
      </c>
      <c r="G30" s="141">
        <v>128251</v>
      </c>
      <c r="H30" s="141">
        <f>157588803/1000</f>
        <v>157588.80300000001</v>
      </c>
      <c r="I30" s="141">
        <v>106617</v>
      </c>
      <c r="J30" s="141">
        <f>119936089/1000</f>
        <v>119936.08900000001</v>
      </c>
      <c r="K30" s="141">
        <v>130056</v>
      </c>
      <c r="L30" s="141">
        <f>143679029/1000</f>
        <v>143679.02900000001</v>
      </c>
      <c r="M30" s="141">
        <v>128838</v>
      </c>
      <c r="N30" s="141">
        <f>141239929/1000</f>
        <v>141239.929</v>
      </c>
      <c r="O30" s="141">
        <f>140870280/1000</f>
        <v>140870.28</v>
      </c>
      <c r="P30" s="123"/>
      <c r="Q30" s="131"/>
      <c r="R30" s="131"/>
      <c r="U30" s="156"/>
      <c r="X30" s="131"/>
    </row>
    <row r="31" spans="1:24" s="133" customFormat="1" hidden="1" outlineLevel="2">
      <c r="A31" s="138"/>
      <c r="B31" s="133" t="s">
        <v>256</v>
      </c>
      <c r="C31" s="138" t="s">
        <v>256</v>
      </c>
      <c r="D31" s="141">
        <v>103842</v>
      </c>
      <c r="E31" s="141">
        <v>93877</v>
      </c>
      <c r="F31" s="141">
        <f>111238069/1000</f>
        <v>111238.069</v>
      </c>
      <c r="G31" s="141">
        <v>137087</v>
      </c>
      <c r="H31" s="141">
        <f>129550933/1000</f>
        <v>129550.933</v>
      </c>
      <c r="I31" s="141">
        <v>170351</v>
      </c>
      <c r="J31" s="141">
        <f>178338201/1000</f>
        <v>178338.201</v>
      </c>
      <c r="K31" s="141">
        <v>200525</v>
      </c>
      <c r="L31" s="141">
        <f>231729280/1000</f>
        <v>231729.28</v>
      </c>
      <c r="M31" s="141">
        <v>251163</v>
      </c>
      <c r="N31" s="141">
        <f>98227976/1000</f>
        <v>98227.975999999995</v>
      </c>
      <c r="O31" s="141">
        <f>182077089/1000</f>
        <v>182077.08900000001</v>
      </c>
      <c r="P31" s="123"/>
      <c r="Q31" s="131"/>
      <c r="R31" s="131"/>
      <c r="U31" s="156"/>
      <c r="X31" s="131"/>
    </row>
    <row r="32" spans="1:24" s="133" customFormat="1" outlineLevel="1" collapsed="1">
      <c r="A32" s="138"/>
      <c r="B32" s="106" t="s">
        <v>289</v>
      </c>
      <c r="C32" s="138"/>
      <c r="D32" s="159">
        <f>SUBTOTAL(9,D29:D31)</f>
        <v>206520</v>
      </c>
      <c r="E32" s="159">
        <f t="shared" ref="E32:O32" si="2">SUBTOTAL(9,E29:E31)</f>
        <v>214646</v>
      </c>
      <c r="F32" s="159">
        <f t="shared" si="2"/>
        <v>221266.28100000002</v>
      </c>
      <c r="G32" s="159">
        <f t="shared" si="2"/>
        <v>296699</v>
      </c>
      <c r="H32" s="159">
        <f t="shared" si="2"/>
        <v>320443.45800000004</v>
      </c>
      <c r="I32" s="159">
        <f t="shared" si="2"/>
        <v>385718</v>
      </c>
      <c r="J32" s="159">
        <f t="shared" si="2"/>
        <v>416966.82</v>
      </c>
      <c r="K32" s="159">
        <f t="shared" si="2"/>
        <v>462643</v>
      </c>
      <c r="L32" s="159">
        <f t="shared" si="2"/>
        <v>518643.83200000005</v>
      </c>
      <c r="M32" s="159">
        <f t="shared" si="2"/>
        <v>519337</v>
      </c>
      <c r="N32" s="159">
        <f>SUBTOTAL(9,N29:N31)</f>
        <v>387749.26600000006</v>
      </c>
      <c r="O32" s="159">
        <f t="shared" si="2"/>
        <v>476889.60800000001</v>
      </c>
      <c r="P32" s="123"/>
      <c r="Q32" s="131"/>
      <c r="S32" s="131"/>
      <c r="U32" s="156"/>
    </row>
    <row r="33" spans="1:22" outlineLevel="1">
      <c r="C33" s="138"/>
      <c r="D33" s="141"/>
      <c r="E33" s="141"/>
      <c r="F33" s="141"/>
      <c r="G33" s="141"/>
      <c r="H33" s="141"/>
      <c r="I33" s="141"/>
      <c r="J33" s="141"/>
      <c r="K33" s="141"/>
      <c r="L33" s="141"/>
      <c r="M33" s="141"/>
      <c r="N33" s="141"/>
      <c r="O33" s="141"/>
      <c r="R33" s="126"/>
      <c r="U33" s="156"/>
      <c r="V33" s="133"/>
    </row>
    <row r="34" spans="1:22" s="30" customFormat="1" hidden="1" outlineLevel="2">
      <c r="B34" s="90" t="s">
        <v>172</v>
      </c>
      <c r="C34" s="157" t="s">
        <v>172</v>
      </c>
      <c r="D34" s="141">
        <v>0</v>
      </c>
      <c r="E34" s="141">
        <v>0</v>
      </c>
      <c r="F34" s="141">
        <v>0</v>
      </c>
      <c r="G34" s="141">
        <v>0</v>
      </c>
      <c r="H34" s="141">
        <v>0</v>
      </c>
      <c r="I34" s="141">
        <v>0</v>
      </c>
      <c r="J34" s="141">
        <v>0</v>
      </c>
      <c r="K34" s="141">
        <v>0</v>
      </c>
      <c r="L34" s="141">
        <v>0</v>
      </c>
      <c r="M34" s="141">
        <v>0</v>
      </c>
      <c r="N34" s="141">
        <v>0</v>
      </c>
      <c r="O34" s="141">
        <v>0</v>
      </c>
      <c r="P34" s="123"/>
      <c r="Q34" s="123"/>
    </row>
    <row r="35" spans="1:22" s="30" customFormat="1" outlineLevel="1" collapsed="1">
      <c r="B35" s="30" t="s">
        <v>290</v>
      </c>
      <c r="C35" s="157"/>
      <c r="D35" s="159">
        <f t="shared" ref="D35:O35" si="3">SUBTOTAL(9,D34:D34)</f>
        <v>0</v>
      </c>
      <c r="E35" s="159">
        <f t="shared" si="3"/>
        <v>0</v>
      </c>
      <c r="F35" s="159">
        <f t="shared" si="3"/>
        <v>0</v>
      </c>
      <c r="G35" s="159">
        <f t="shared" si="3"/>
        <v>0</v>
      </c>
      <c r="H35" s="159">
        <f t="shared" si="3"/>
        <v>0</v>
      </c>
      <c r="I35" s="159">
        <f t="shared" si="3"/>
        <v>0</v>
      </c>
      <c r="J35" s="159">
        <f t="shared" si="3"/>
        <v>0</v>
      </c>
      <c r="K35" s="159">
        <f t="shared" si="3"/>
        <v>0</v>
      </c>
      <c r="L35" s="159">
        <f t="shared" si="3"/>
        <v>0</v>
      </c>
      <c r="M35" s="159">
        <f t="shared" si="3"/>
        <v>0</v>
      </c>
      <c r="N35" s="159">
        <f t="shared" si="3"/>
        <v>0</v>
      </c>
      <c r="O35" s="159">
        <f t="shared" si="3"/>
        <v>0</v>
      </c>
      <c r="P35" s="123"/>
      <c r="Q35" s="123"/>
    </row>
    <row r="36" spans="1:22" s="106" customFormat="1" outlineLevel="1">
      <c r="C36" s="186"/>
      <c r="D36" s="141"/>
      <c r="E36" s="141"/>
      <c r="F36" s="141"/>
      <c r="G36" s="141"/>
      <c r="H36" s="141"/>
      <c r="I36" s="141"/>
      <c r="J36" s="141"/>
      <c r="K36" s="141"/>
      <c r="L36" s="141"/>
      <c r="M36" s="141"/>
      <c r="N36" s="141"/>
      <c r="O36" s="141"/>
      <c r="P36" s="125"/>
      <c r="Q36" s="125"/>
    </row>
    <row r="37" spans="1:22" s="30" customFormat="1">
      <c r="B37" s="30" t="s">
        <v>286</v>
      </c>
      <c r="C37" s="157"/>
      <c r="D37" s="159">
        <f>SUBTOTAL(9,D22:D35)</f>
        <v>481848</v>
      </c>
      <c r="E37" s="159">
        <f t="shared" ref="E37:O37" si="4">SUBTOTAL(9,E22:E35)</f>
        <v>503088</v>
      </c>
      <c r="F37" s="159">
        <f t="shared" si="4"/>
        <v>520720.45400000003</v>
      </c>
      <c r="G37" s="159">
        <f t="shared" si="4"/>
        <v>615425</v>
      </c>
      <c r="H37" s="159">
        <f t="shared" si="4"/>
        <v>638577.47100000002</v>
      </c>
      <c r="I37" s="159">
        <f t="shared" si="4"/>
        <v>957396</v>
      </c>
      <c r="J37" s="159">
        <f t="shared" si="4"/>
        <v>850732.72300000011</v>
      </c>
      <c r="K37" s="159">
        <f t="shared" si="4"/>
        <v>898706</v>
      </c>
      <c r="L37" s="159">
        <f t="shared" si="4"/>
        <v>957150.79799999995</v>
      </c>
      <c r="M37" s="159">
        <f t="shared" si="4"/>
        <v>953529</v>
      </c>
      <c r="N37" s="159">
        <f t="shared" si="4"/>
        <v>850344.66600000008</v>
      </c>
      <c r="O37" s="159">
        <f t="shared" si="4"/>
        <v>939411.85400000017</v>
      </c>
      <c r="P37" s="123"/>
      <c r="Q37" s="123"/>
    </row>
    <row r="38" spans="1:22" s="30" customFormat="1">
      <c r="B38" s="138"/>
      <c r="C38" s="138"/>
      <c r="D38" s="141"/>
      <c r="E38" s="141"/>
      <c r="F38" s="141"/>
      <c r="G38" s="141"/>
      <c r="H38" s="141"/>
      <c r="I38" s="141"/>
      <c r="J38" s="141"/>
      <c r="K38" s="141"/>
      <c r="L38" s="141"/>
      <c r="M38" s="141"/>
      <c r="N38" s="141"/>
      <c r="O38" s="141"/>
      <c r="P38" s="123"/>
      <c r="Q38" s="123"/>
    </row>
    <row r="39" spans="1:22" s="106" customFormat="1">
      <c r="B39" s="138" t="s">
        <v>1123</v>
      </c>
      <c r="C39" s="138"/>
      <c r="D39" s="159">
        <f t="shared" ref="D39:O39" si="5">D41-D32-D27-D24</f>
        <v>0</v>
      </c>
      <c r="E39" s="159">
        <f t="shared" si="5"/>
        <v>0</v>
      </c>
      <c r="F39" s="159">
        <f t="shared" si="5"/>
        <v>0</v>
      </c>
      <c r="G39" s="159">
        <f t="shared" si="5"/>
        <v>0</v>
      </c>
      <c r="H39" s="159">
        <f t="shared" si="5"/>
        <v>0</v>
      </c>
      <c r="I39" s="159">
        <f t="shared" si="5"/>
        <v>0</v>
      </c>
      <c r="J39" s="159">
        <f t="shared" si="5"/>
        <v>0</v>
      </c>
      <c r="K39" s="159">
        <f t="shared" si="5"/>
        <v>0</v>
      </c>
      <c r="L39" s="159">
        <f t="shared" si="5"/>
        <v>0</v>
      </c>
      <c r="M39" s="159">
        <f t="shared" si="5"/>
        <v>0</v>
      </c>
      <c r="N39" s="159">
        <f t="shared" si="5"/>
        <v>0</v>
      </c>
      <c r="O39" s="159">
        <f t="shared" si="5"/>
        <v>0</v>
      </c>
      <c r="P39" s="125"/>
    </row>
    <row r="40" spans="1:22" s="106" customFormat="1">
      <c r="B40" s="138"/>
      <c r="C40" s="138"/>
      <c r="D40" s="141"/>
      <c r="E40" s="141"/>
      <c r="F40" s="141"/>
      <c r="G40" s="141"/>
      <c r="H40" s="141"/>
      <c r="I40" s="141"/>
      <c r="J40" s="141"/>
      <c r="K40" s="141"/>
      <c r="L40" s="141"/>
      <c r="M40" s="141"/>
      <c r="N40" s="141"/>
      <c r="O40" s="141"/>
      <c r="P40" s="125"/>
    </row>
    <row r="41" spans="1:22" s="106" customFormat="1">
      <c r="B41" s="138" t="s">
        <v>1316</v>
      </c>
      <c r="C41" s="138"/>
      <c r="D41" s="159">
        <f>D24+D27+D32</f>
        <v>481848</v>
      </c>
      <c r="E41" s="159">
        <f>E24+E27+E32</f>
        <v>503088</v>
      </c>
      <c r="F41" s="159">
        <f t="shared" ref="F41:O41" si="6">F24+F27+F32</f>
        <v>520720.45400000003</v>
      </c>
      <c r="G41" s="159">
        <f t="shared" si="6"/>
        <v>615425</v>
      </c>
      <c r="H41" s="159">
        <f t="shared" si="6"/>
        <v>638577.47100000002</v>
      </c>
      <c r="I41" s="159">
        <f t="shared" si="6"/>
        <v>957396</v>
      </c>
      <c r="J41" s="159">
        <f t="shared" si="6"/>
        <v>850732.723</v>
      </c>
      <c r="K41" s="159">
        <f t="shared" si="6"/>
        <v>898706</v>
      </c>
      <c r="L41" s="159">
        <f t="shared" si="6"/>
        <v>957150.79799999995</v>
      </c>
      <c r="M41" s="159">
        <f t="shared" si="6"/>
        <v>953529</v>
      </c>
      <c r="N41" s="159">
        <f t="shared" si="6"/>
        <v>850344.66600000008</v>
      </c>
      <c r="O41" s="159">
        <f t="shared" si="6"/>
        <v>939411.85400000005</v>
      </c>
      <c r="P41" s="125"/>
      <c r="Q41" s="125"/>
      <c r="R41" s="125"/>
      <c r="S41" s="125"/>
      <c r="T41" s="131"/>
      <c r="U41" s="132"/>
    </row>
    <row r="42" spans="1:22" s="30" customFormat="1">
      <c r="B42" s="138"/>
      <c r="C42" s="133"/>
      <c r="D42" s="141"/>
      <c r="E42" s="141"/>
      <c r="F42" s="141"/>
      <c r="G42" s="141"/>
      <c r="H42" s="141"/>
      <c r="I42" s="141"/>
      <c r="J42" s="141"/>
      <c r="K42" s="141"/>
      <c r="L42" s="141"/>
      <c r="M42" s="141"/>
      <c r="N42" s="141"/>
      <c r="O42" s="141"/>
      <c r="P42" s="123"/>
      <c r="Q42" s="124"/>
      <c r="R42" s="79"/>
    </row>
    <row r="43" spans="1:22" s="122" customFormat="1">
      <c r="B43" s="138" t="s">
        <v>1317</v>
      </c>
      <c r="C43" s="138"/>
      <c r="D43" s="97">
        <f t="shared" ref="D43:O43" si="7">D41+D34</f>
        <v>481848</v>
      </c>
      <c r="E43" s="97">
        <f t="shared" si="7"/>
        <v>503088</v>
      </c>
      <c r="F43" s="97">
        <f t="shared" si="7"/>
        <v>520720.45400000003</v>
      </c>
      <c r="G43" s="97">
        <f t="shared" si="7"/>
        <v>615425</v>
      </c>
      <c r="H43" s="97">
        <f t="shared" si="7"/>
        <v>638577.47100000002</v>
      </c>
      <c r="I43" s="97">
        <f t="shared" si="7"/>
        <v>957396</v>
      </c>
      <c r="J43" s="97">
        <f t="shared" si="7"/>
        <v>850732.723</v>
      </c>
      <c r="K43" s="97">
        <f>K41+K34</f>
        <v>898706</v>
      </c>
      <c r="L43" s="97">
        <f>L41+L34</f>
        <v>957150.79799999995</v>
      </c>
      <c r="M43" s="97">
        <f>M41+M34</f>
        <v>953529</v>
      </c>
      <c r="N43" s="97">
        <f>N41+N34</f>
        <v>850344.66600000008</v>
      </c>
      <c r="O43" s="97">
        <f t="shared" si="7"/>
        <v>939411.85400000005</v>
      </c>
      <c r="P43" s="128"/>
      <c r="Q43" s="128"/>
      <c r="R43" s="128"/>
      <c r="S43" s="128"/>
      <c r="T43" s="129"/>
      <c r="U43" s="130"/>
    </row>
    <row r="44" spans="1:22" s="122" customFormat="1">
      <c r="B44" s="168"/>
      <c r="C44" s="168"/>
      <c r="D44" s="185"/>
      <c r="E44" s="185"/>
      <c r="F44" s="185"/>
      <c r="G44" s="185"/>
      <c r="H44" s="185"/>
      <c r="I44" s="185"/>
      <c r="J44" s="185"/>
      <c r="K44" s="185"/>
      <c r="L44" s="185"/>
      <c r="M44" s="185"/>
      <c r="N44" s="185"/>
      <c r="O44" s="185"/>
      <c r="P44" s="128"/>
      <c r="Q44" s="128"/>
      <c r="R44" s="128"/>
      <c r="S44" s="128"/>
      <c r="T44" s="129"/>
      <c r="U44" s="130"/>
    </row>
    <row r="45" spans="1:22" s="122" customFormat="1">
      <c r="B45" s="168" t="s">
        <v>1146</v>
      </c>
      <c r="C45" s="168"/>
      <c r="D45" s="95">
        <f>D37*Parameters!C21</f>
        <v>3770.5423245890302</v>
      </c>
      <c r="E45" s="95">
        <f>E37*Parameters!D21</f>
        <v>4133.4062841568166</v>
      </c>
      <c r="F45" s="95">
        <f>F37*Parameters!E21</f>
        <v>2957.9282529126199</v>
      </c>
      <c r="G45" s="95">
        <f>G37*Parameters!F21</f>
        <v>1642.481010668705</v>
      </c>
      <c r="H45" s="95">
        <f>H37*Parameters!G21</f>
        <v>1744.5617688332195</v>
      </c>
      <c r="I45" s="95">
        <f>I37*Parameters!H21</f>
        <v>4442.3793222569193</v>
      </c>
      <c r="J45" s="95">
        <f>J37*Parameters!I21</f>
        <v>9566.3141977150735</v>
      </c>
      <c r="K45" s="95">
        <f>K37*Parameters!J21</f>
        <v>15548.821799899411</v>
      </c>
      <c r="L45" s="95">
        <f>L37*Parameters!K21</f>
        <v>18972.861320324264</v>
      </c>
      <c r="M45" s="95">
        <f>M37*Parameters!L21</f>
        <v>29510.643876425347</v>
      </c>
      <c r="N45" s="95">
        <f>N37*Parameters!M21</f>
        <v>31195.181618932758</v>
      </c>
      <c r="O45" s="95">
        <f>O37*Parameters!N21</f>
        <v>29182.364026188374</v>
      </c>
      <c r="P45" s="128"/>
      <c r="Q45" s="128"/>
      <c r="R45" s="128"/>
      <c r="S45" s="128"/>
      <c r="T45" s="129"/>
      <c r="U45" s="130"/>
    </row>
    <row r="46" spans="1:22" s="122" customFormat="1">
      <c r="B46" s="168"/>
      <c r="C46" s="168"/>
      <c r="D46" s="185"/>
      <c r="E46" s="185"/>
      <c r="F46" s="185"/>
      <c r="G46" s="185"/>
      <c r="H46" s="185"/>
      <c r="I46" s="185"/>
      <c r="J46" s="185"/>
      <c r="K46" s="185"/>
      <c r="L46" s="185"/>
      <c r="M46" s="185"/>
      <c r="N46" s="185"/>
      <c r="O46" s="185"/>
      <c r="P46" s="128"/>
      <c r="Q46" s="128"/>
      <c r="R46" s="128"/>
      <c r="S46" s="128"/>
      <c r="T46" s="129"/>
      <c r="U46" s="130"/>
    </row>
    <row r="47" spans="1:22" s="133" customFormat="1">
      <c r="A47" s="134"/>
      <c r="B47" s="138" t="s">
        <v>1131</v>
      </c>
      <c r="C47" s="138"/>
      <c r="D47" s="159">
        <f>D41-D27-D45</f>
        <v>368651.45767541096</v>
      </c>
      <c r="E47" s="159">
        <f t="shared" ref="E47:J47" si="8">E41-E27</f>
        <v>399141</v>
      </c>
      <c r="F47" s="159">
        <f t="shared" si="8"/>
        <v>414978.28700000001</v>
      </c>
      <c r="G47" s="159">
        <f t="shared" si="8"/>
        <v>517250</v>
      </c>
      <c r="H47" s="159">
        <f t="shared" si="8"/>
        <v>541317.05200000003</v>
      </c>
      <c r="I47" s="159">
        <f t="shared" si="8"/>
        <v>671557</v>
      </c>
      <c r="J47" s="159">
        <f t="shared" si="8"/>
        <v>711279.21299999999</v>
      </c>
      <c r="K47" s="159">
        <f t="shared" ref="K47:N47" si="9">K41-K27</f>
        <v>761748</v>
      </c>
      <c r="L47" s="159">
        <f t="shared" si="9"/>
        <v>832750.37299999991</v>
      </c>
      <c r="M47" s="159">
        <f t="shared" si="9"/>
        <v>828661</v>
      </c>
      <c r="N47" s="159">
        <f t="shared" si="9"/>
        <v>694760.51100000006</v>
      </c>
      <c r="O47" s="159">
        <f>O41-O27</f>
        <v>785014.02600000007</v>
      </c>
      <c r="P47" s="123"/>
    </row>
    <row r="48" spans="1:22" s="133" customFormat="1">
      <c r="B48" s="138"/>
      <c r="C48" s="138"/>
      <c r="D48" s="141"/>
      <c r="E48" s="141"/>
      <c r="F48" s="141"/>
      <c r="G48" s="141"/>
      <c r="H48" s="141"/>
      <c r="I48" s="141"/>
      <c r="J48" s="141"/>
      <c r="K48" s="141"/>
      <c r="L48" s="135"/>
      <c r="M48" s="135"/>
      <c r="N48" s="135"/>
      <c r="O48" s="135"/>
      <c r="P48" s="123"/>
    </row>
    <row r="49" spans="2:18" s="133" customFormat="1">
      <c r="B49" s="138" t="s">
        <v>292</v>
      </c>
      <c r="C49" s="138"/>
      <c r="D49" s="141">
        <v>538291</v>
      </c>
      <c r="E49" s="141">
        <f>570135</f>
        <v>570135</v>
      </c>
      <c r="F49" s="141">
        <f>573594047/1000</f>
        <v>573594.04700000002</v>
      </c>
      <c r="G49" s="141">
        <f>623270</f>
        <v>623270</v>
      </c>
      <c r="H49" s="141">
        <f>655134386/1000</f>
        <v>655134.38600000006</v>
      </c>
      <c r="I49" s="141">
        <v>881654</v>
      </c>
      <c r="J49" s="141">
        <f>985134004/1000</f>
        <v>985134.00399999996</v>
      </c>
      <c r="K49" s="141">
        <v>1061521</v>
      </c>
      <c r="L49" s="141">
        <f>1103286194/1000</f>
        <v>1103286.1939999999</v>
      </c>
      <c r="M49" s="141">
        <v>1054506</v>
      </c>
      <c r="N49" s="141">
        <f>1142717187/1000</f>
        <v>1142717.1869999999</v>
      </c>
      <c r="O49" s="141">
        <f>1277901387/1000</f>
        <v>1277901.3870000001</v>
      </c>
      <c r="P49" s="123"/>
    </row>
    <row r="50" spans="2:18" s="133" customFormat="1">
      <c r="B50" s="138"/>
      <c r="C50" s="138"/>
      <c r="D50" s="141"/>
      <c r="E50" s="141"/>
      <c r="F50" s="141"/>
      <c r="G50" s="141"/>
      <c r="H50" s="141"/>
      <c r="I50" s="141"/>
      <c r="J50" s="141"/>
      <c r="K50" s="141"/>
      <c r="L50" s="141"/>
      <c r="M50" s="141"/>
      <c r="N50" s="141"/>
      <c r="O50" s="141"/>
      <c r="P50" s="123"/>
      <c r="Q50" s="131"/>
    </row>
    <row r="51" spans="2:18" s="133" customFormat="1">
      <c r="B51" s="138" t="s">
        <v>1318</v>
      </c>
      <c r="C51" s="138"/>
      <c r="D51" s="159">
        <f>D49-D41</f>
        <v>56443</v>
      </c>
      <c r="E51" s="159">
        <f t="shared" ref="E51:O51" si="10">E49-E41</f>
        <v>67047</v>
      </c>
      <c r="F51" s="159">
        <f t="shared" si="10"/>
        <v>52873.592999999993</v>
      </c>
      <c r="G51" s="159">
        <f t="shared" si="10"/>
        <v>7845</v>
      </c>
      <c r="H51" s="159">
        <f t="shared" si="10"/>
        <v>16556.915000000037</v>
      </c>
      <c r="I51" s="159">
        <f t="shared" si="10"/>
        <v>-75742</v>
      </c>
      <c r="J51" s="159">
        <f t="shared" si="10"/>
        <v>134401.28099999996</v>
      </c>
      <c r="K51" s="159">
        <f t="shared" si="10"/>
        <v>162815</v>
      </c>
      <c r="L51" s="159">
        <f t="shared" si="10"/>
        <v>146135.39599999995</v>
      </c>
      <c r="M51" s="159">
        <f t="shared" si="10"/>
        <v>100977</v>
      </c>
      <c r="N51" s="159">
        <f t="shared" si="10"/>
        <v>292372.52099999983</v>
      </c>
      <c r="O51" s="159">
        <f t="shared" si="10"/>
        <v>338489.53300000005</v>
      </c>
      <c r="P51" s="123"/>
      <c r="Q51" s="143"/>
    </row>
    <row r="52" spans="2:18" s="179" customFormat="1">
      <c r="B52" s="176"/>
      <c r="C52" s="176"/>
      <c r="D52" s="175"/>
      <c r="E52" s="175"/>
      <c r="F52" s="175"/>
      <c r="G52" s="175"/>
      <c r="H52" s="175"/>
      <c r="I52" s="175"/>
      <c r="J52" s="175"/>
      <c r="K52" s="175"/>
      <c r="L52" s="175"/>
      <c r="M52" s="175"/>
      <c r="N52" s="175"/>
      <c r="O52" s="175"/>
      <c r="P52" s="183"/>
      <c r="Q52" s="184"/>
    </row>
    <row r="53" spans="2:18">
      <c r="B53" s="138" t="s">
        <v>253</v>
      </c>
      <c r="C53" s="138"/>
      <c r="D53" s="162">
        <f t="shared" ref="D53:O53" si="11">D51/D49</f>
        <v>0.10485592365467748</v>
      </c>
      <c r="E53" s="162">
        <f t="shared" si="11"/>
        <v>0.11759846352179747</v>
      </c>
      <c r="F53" s="162">
        <f t="shared" si="11"/>
        <v>9.217946608152297E-2</v>
      </c>
      <c r="G53" s="162">
        <f t="shared" si="11"/>
        <v>1.2586840374155663E-2</v>
      </c>
      <c r="H53" s="162">
        <f t="shared" si="11"/>
        <v>2.5272547669326635E-2</v>
      </c>
      <c r="I53" s="162">
        <f t="shared" si="11"/>
        <v>-8.5908984703749997E-2</v>
      </c>
      <c r="J53" s="162">
        <f t="shared" si="11"/>
        <v>0.13642944051700803</v>
      </c>
      <c r="K53" s="162">
        <f t="shared" si="11"/>
        <v>0.15337897224831162</v>
      </c>
      <c r="L53" s="162">
        <f t="shared" si="11"/>
        <v>0.13245465845102378</v>
      </c>
      <c r="M53" s="162">
        <f t="shared" si="11"/>
        <v>9.5757634380458714E-2</v>
      </c>
      <c r="N53" s="162">
        <f t="shared" si="11"/>
        <v>0.25585728851035461</v>
      </c>
      <c r="O53" s="162">
        <f t="shared" si="11"/>
        <v>0.2648792281184057</v>
      </c>
      <c r="P53" s="126"/>
      <c r="Q53" s="144"/>
    </row>
    <row r="54" spans="2:18">
      <c r="B54" s="154"/>
      <c r="C54" s="154"/>
      <c r="D54" s="141"/>
      <c r="E54" s="141"/>
      <c r="F54" s="141"/>
      <c r="G54" s="141"/>
      <c r="H54" s="141"/>
      <c r="I54" s="141"/>
      <c r="J54" s="141"/>
      <c r="K54" s="141"/>
      <c r="L54" s="141"/>
      <c r="M54" s="141"/>
      <c r="N54" s="141"/>
      <c r="O54" s="141"/>
      <c r="P54" s="127"/>
      <c r="Q54" s="127"/>
      <c r="R54" s="127"/>
    </row>
    <row r="55" spans="2:18">
      <c r="B55" s="90" t="s">
        <v>228</v>
      </c>
      <c r="D55" s="195">
        <v>23125872</v>
      </c>
      <c r="E55" s="195">
        <v>23650000</v>
      </c>
      <c r="F55" s="195">
        <v>23160000</v>
      </c>
      <c r="G55" s="195">
        <v>24214250</v>
      </c>
      <c r="H55" s="195">
        <v>26835231</v>
      </c>
      <c r="I55" s="195">
        <v>28620000</v>
      </c>
      <c r="J55" s="195">
        <v>30760000</v>
      </c>
      <c r="K55" s="195">
        <v>34000000</v>
      </c>
      <c r="L55" s="195">
        <v>34500000</v>
      </c>
      <c r="M55" s="195">
        <v>32701759</v>
      </c>
      <c r="N55" s="195">
        <v>34742222</v>
      </c>
      <c r="O55" s="195">
        <v>37800000</v>
      </c>
      <c r="P55" s="200"/>
      <c r="Q55" s="90"/>
    </row>
    <row r="56" spans="2:18">
      <c r="B56" s="90" t="s">
        <v>264</v>
      </c>
      <c r="D56" s="195">
        <v>302412</v>
      </c>
      <c r="E56" s="195">
        <v>321756</v>
      </c>
      <c r="F56" s="195">
        <v>330888</v>
      </c>
      <c r="G56" s="195">
        <v>355602</v>
      </c>
      <c r="H56" s="195">
        <v>383110</v>
      </c>
      <c r="I56" s="195">
        <v>386841</v>
      </c>
      <c r="J56" s="195">
        <v>399460</v>
      </c>
      <c r="K56" s="195">
        <v>431815</v>
      </c>
      <c r="L56" s="195">
        <v>432296</v>
      </c>
      <c r="M56" s="195">
        <v>396805</v>
      </c>
      <c r="N56" s="195">
        <v>389939</v>
      </c>
      <c r="O56" s="195">
        <v>410000</v>
      </c>
      <c r="P56" s="126"/>
      <c r="Q56" s="90"/>
    </row>
    <row r="57" spans="2:18">
      <c r="B57" s="111" t="s">
        <v>210</v>
      </c>
      <c r="C57" s="111"/>
      <c r="D57" s="141">
        <v>3438</v>
      </c>
      <c r="E57" s="141">
        <v>3820</v>
      </c>
      <c r="F57" s="141">
        <v>3953</v>
      </c>
      <c r="G57" s="141">
        <v>4253</v>
      </c>
      <c r="H57" s="141">
        <v>4372</v>
      </c>
      <c r="I57" s="141">
        <v>6775</v>
      </c>
      <c r="J57" s="141">
        <v>7186</v>
      </c>
      <c r="K57" s="141">
        <v>7389</v>
      </c>
      <c r="L57" s="141">
        <v>7609</v>
      </c>
      <c r="M57" s="141">
        <v>7366</v>
      </c>
      <c r="N57" s="141">
        <v>7111</v>
      </c>
      <c r="O57" s="141">
        <v>6670</v>
      </c>
      <c r="P57" s="126"/>
      <c r="Q57" s="90"/>
    </row>
    <row r="58" spans="2:18">
      <c r="B58" s="154"/>
      <c r="C58" s="154"/>
      <c r="D58" s="141"/>
      <c r="E58" s="141"/>
      <c r="F58" s="141"/>
      <c r="G58" s="141"/>
      <c r="H58" s="141"/>
      <c r="I58" s="141"/>
      <c r="J58" s="141"/>
      <c r="K58" s="141"/>
      <c r="L58" s="141"/>
      <c r="M58" s="141"/>
      <c r="N58" s="141"/>
      <c r="O58" s="141"/>
      <c r="P58" s="127"/>
      <c r="Q58" s="127"/>
      <c r="R58" s="127"/>
    </row>
    <row r="59" spans="2:18">
      <c r="B59" s="153" t="s">
        <v>1170</v>
      </c>
      <c r="C59" s="94"/>
      <c r="D59" s="94"/>
      <c r="E59" s="94"/>
      <c r="F59" s="94"/>
      <c r="G59" s="94"/>
      <c r="H59" s="94"/>
      <c r="I59" s="94"/>
      <c r="J59" s="94"/>
      <c r="K59" s="94"/>
      <c r="L59" s="94"/>
      <c r="M59" s="94"/>
      <c r="N59" s="94"/>
      <c r="O59" s="94"/>
      <c r="P59" s="126"/>
      <c r="Q59" s="90"/>
    </row>
    <row r="60" spans="2:18">
      <c r="B60" s="136"/>
      <c r="C60" s="136"/>
      <c r="D60" s="136"/>
      <c r="E60" s="136"/>
      <c r="F60" s="136"/>
      <c r="G60" s="136"/>
      <c r="H60" s="136"/>
      <c r="I60" s="136"/>
      <c r="J60" s="136"/>
      <c r="K60" s="136"/>
      <c r="L60" s="136"/>
      <c r="M60" s="136"/>
      <c r="N60" s="136"/>
      <c r="O60" s="136"/>
      <c r="P60" s="200"/>
      <c r="Q60" s="90"/>
    </row>
    <row r="61" spans="2:18">
      <c r="B61" s="90" t="s">
        <v>1127</v>
      </c>
      <c r="C61" s="136"/>
      <c r="D61" s="345">
        <f t="shared" ref="D61:O61" si="12">(D43/D55)*1000</f>
        <v>20.835884588481679</v>
      </c>
      <c r="E61" s="345">
        <f t="shared" si="12"/>
        <v>21.272219873150107</v>
      </c>
      <c r="F61" s="345">
        <f t="shared" si="12"/>
        <v>22.483612003454233</v>
      </c>
      <c r="G61" s="345">
        <f t="shared" si="12"/>
        <v>25.415819197373448</v>
      </c>
      <c r="H61" s="345">
        <f t="shared" si="12"/>
        <v>23.796235292328955</v>
      </c>
      <c r="I61" s="345">
        <f t="shared" si="12"/>
        <v>33.451991614255768</v>
      </c>
      <c r="J61" s="345">
        <f t="shared" si="12"/>
        <v>27.657110630689207</v>
      </c>
      <c r="K61" s="345">
        <f t="shared" si="12"/>
        <v>26.432529411764705</v>
      </c>
      <c r="L61" s="345">
        <f t="shared" si="12"/>
        <v>27.743501391304346</v>
      </c>
      <c r="M61" s="345">
        <f t="shared" si="12"/>
        <v>29.158339770041117</v>
      </c>
      <c r="N61" s="345">
        <f t="shared" si="12"/>
        <v>24.475828460252199</v>
      </c>
      <c r="O61" s="345">
        <f t="shared" si="12"/>
        <v>24.852165449735452</v>
      </c>
      <c r="P61" s="200"/>
      <c r="Q61" s="90"/>
    </row>
    <row r="62" spans="2:18">
      <c r="B62" s="90" t="s">
        <v>299</v>
      </c>
      <c r="D62" s="345">
        <f t="shared" ref="D62:O62" si="13">(D41/D55)*1000</f>
        <v>20.835884588481679</v>
      </c>
      <c r="E62" s="345">
        <f t="shared" si="13"/>
        <v>21.272219873150107</v>
      </c>
      <c r="F62" s="345">
        <f t="shared" si="13"/>
        <v>22.483612003454233</v>
      </c>
      <c r="G62" s="345">
        <f t="shared" si="13"/>
        <v>25.415819197373448</v>
      </c>
      <c r="H62" s="345">
        <f t="shared" si="13"/>
        <v>23.796235292328955</v>
      </c>
      <c r="I62" s="345">
        <f t="shared" si="13"/>
        <v>33.451991614255768</v>
      </c>
      <c r="J62" s="345">
        <f t="shared" si="13"/>
        <v>27.657110630689207</v>
      </c>
      <c r="K62" s="345">
        <f t="shared" si="13"/>
        <v>26.432529411764705</v>
      </c>
      <c r="L62" s="345">
        <f t="shared" si="13"/>
        <v>27.743501391304346</v>
      </c>
      <c r="M62" s="345">
        <f t="shared" si="13"/>
        <v>29.158339770041117</v>
      </c>
      <c r="N62" s="345">
        <f t="shared" si="13"/>
        <v>24.475828460252199</v>
      </c>
      <c r="O62" s="345">
        <f t="shared" si="13"/>
        <v>24.852165449735452</v>
      </c>
      <c r="P62" s="126"/>
      <c r="Q62" s="90"/>
    </row>
    <row r="63" spans="2:18">
      <c r="B63" s="90" t="s">
        <v>300</v>
      </c>
      <c r="D63" s="345">
        <f t="shared" ref="D63:O63" si="14">(D47/D55)*1000</f>
        <v>15.941083548132195</v>
      </c>
      <c r="E63" s="345">
        <f t="shared" si="14"/>
        <v>16.876997885835095</v>
      </c>
      <c r="F63" s="345">
        <f t="shared" si="14"/>
        <v>17.91788803972366</v>
      </c>
      <c r="G63" s="345">
        <f t="shared" si="14"/>
        <v>21.361388438626015</v>
      </c>
      <c r="H63" s="345">
        <f t="shared" si="14"/>
        <v>20.171879720357168</v>
      </c>
      <c r="I63" s="345">
        <f t="shared" si="14"/>
        <v>23.464605171208945</v>
      </c>
      <c r="J63" s="345">
        <f t="shared" si="14"/>
        <v>23.123511475942781</v>
      </c>
      <c r="K63" s="345">
        <f t="shared" si="14"/>
        <v>22.404352941176469</v>
      </c>
      <c r="L63" s="345">
        <f t="shared" si="14"/>
        <v>24.13769197101449</v>
      </c>
      <c r="M63" s="345">
        <f t="shared" si="14"/>
        <v>25.339951896777173</v>
      </c>
      <c r="N63" s="345">
        <f t="shared" si="14"/>
        <v>19.997584236264451</v>
      </c>
      <c r="O63" s="345">
        <f t="shared" si="14"/>
        <v>20.767566825396827</v>
      </c>
      <c r="P63" s="126"/>
      <c r="Q63" s="90"/>
    </row>
    <row r="64" spans="2:18">
      <c r="B64" s="90" t="s">
        <v>265</v>
      </c>
      <c r="D64" s="345">
        <f t="shared" ref="D64:O64" si="15">D24*1000/D55</f>
        <v>7.1738700274739911</v>
      </c>
      <c r="E64" s="345">
        <f t="shared" si="15"/>
        <v>7.8010570824524317</v>
      </c>
      <c r="F64" s="345">
        <f t="shared" si="15"/>
        <v>8.3640762521588954</v>
      </c>
      <c r="G64" s="345">
        <f t="shared" si="15"/>
        <v>9.1083143190476683</v>
      </c>
      <c r="H64" s="345">
        <f t="shared" si="15"/>
        <v>8.2307319806563228</v>
      </c>
      <c r="I64" s="345">
        <f t="shared" si="15"/>
        <v>9.9873864430468196</v>
      </c>
      <c r="J64" s="345">
        <f t="shared" si="15"/>
        <v>9.5680231794538386</v>
      </c>
      <c r="K64" s="345">
        <f t="shared" si="15"/>
        <v>8.7972058823529409</v>
      </c>
      <c r="L64" s="345">
        <f t="shared" si="15"/>
        <v>9.1045374202898532</v>
      </c>
      <c r="M64" s="345">
        <f t="shared" si="15"/>
        <v>9.4589407254820763</v>
      </c>
      <c r="N64" s="345">
        <f t="shared" si="15"/>
        <v>8.8368338962315072</v>
      </c>
      <c r="O64" s="345">
        <f t="shared" si="15"/>
        <v>8.1514396296296301</v>
      </c>
      <c r="P64" s="126"/>
      <c r="Q64" s="90"/>
    </row>
    <row r="65" spans="1:24">
      <c r="B65" s="111" t="s">
        <v>1136</v>
      </c>
      <c r="C65" s="111"/>
      <c r="D65" s="159">
        <f t="shared" ref="D65:O65" si="16">D24/D57</f>
        <v>48.255381035485748</v>
      </c>
      <c r="E65" s="159">
        <f t="shared" si="16"/>
        <v>48.297120418848166</v>
      </c>
      <c r="F65" s="159">
        <f t="shared" si="16"/>
        <v>49.003796104224648</v>
      </c>
      <c r="G65" s="159">
        <f t="shared" si="16"/>
        <v>51.857747472372445</v>
      </c>
      <c r="H65" s="159">
        <f t="shared" si="16"/>
        <v>50.520035224153702</v>
      </c>
      <c r="I65" s="159">
        <f t="shared" si="16"/>
        <v>42.190258302583025</v>
      </c>
      <c r="J65" s="159">
        <f t="shared" si="16"/>
        <v>40.956358613971616</v>
      </c>
      <c r="K65" s="159">
        <f t="shared" si="16"/>
        <v>40.479767221545544</v>
      </c>
      <c r="L65" s="159">
        <f t="shared" si="16"/>
        <v>41.280922723091074</v>
      </c>
      <c r="M65" s="159">
        <f t="shared" si="16"/>
        <v>41.993483573174046</v>
      </c>
      <c r="N65" s="159">
        <f t="shared" si="16"/>
        <v>43.174130923920686</v>
      </c>
      <c r="O65" s="159">
        <f t="shared" si="16"/>
        <v>46.195564917541233</v>
      </c>
      <c r="P65" s="126"/>
      <c r="Q65" s="90"/>
    </row>
    <row r="66" spans="1:24">
      <c r="B66" s="111" t="s">
        <v>1135</v>
      </c>
      <c r="C66" s="111"/>
      <c r="D66" s="159">
        <f t="shared" ref="D66:O66" si="17">D55/D57</f>
        <v>6726.5479930191968</v>
      </c>
      <c r="E66" s="159">
        <f t="shared" si="17"/>
        <v>6191.0994764397901</v>
      </c>
      <c r="F66" s="159">
        <f t="shared" si="17"/>
        <v>5858.8413862888947</v>
      </c>
      <c r="G66" s="159">
        <f t="shared" si="17"/>
        <v>5693.4516811662352</v>
      </c>
      <c r="H66" s="159">
        <f t="shared" si="17"/>
        <v>6137.9759835315645</v>
      </c>
      <c r="I66" s="159">
        <f t="shared" si="17"/>
        <v>4224.3542435424351</v>
      </c>
      <c r="J66" s="159">
        <f t="shared" si="17"/>
        <v>4280.5455051489007</v>
      </c>
      <c r="K66" s="159">
        <f t="shared" si="17"/>
        <v>4601.4345648937606</v>
      </c>
      <c r="L66" s="159">
        <f t="shared" si="17"/>
        <v>4534.1043501117101</v>
      </c>
      <c r="M66" s="159">
        <f t="shared" si="17"/>
        <v>4439.5545750746678</v>
      </c>
      <c r="N66" s="159">
        <f t="shared" si="17"/>
        <v>4885.7013078329346</v>
      </c>
      <c r="O66" s="159">
        <f t="shared" si="17"/>
        <v>5667.1664167916042</v>
      </c>
      <c r="P66" s="126"/>
      <c r="Q66" s="90"/>
    </row>
    <row r="67" spans="1:24" s="133" customFormat="1">
      <c r="B67" s="138"/>
      <c r="C67" s="138"/>
      <c r="D67" s="141"/>
      <c r="E67" s="141"/>
      <c r="F67" s="141"/>
      <c r="G67" s="141"/>
      <c r="H67" s="141"/>
      <c r="I67" s="141"/>
      <c r="J67" s="141"/>
      <c r="K67" s="141"/>
      <c r="L67" s="141"/>
      <c r="M67" s="141"/>
      <c r="N67" s="141"/>
      <c r="O67" s="141"/>
      <c r="P67" s="131"/>
    </row>
    <row r="68" spans="1:24">
      <c r="B68" s="153" t="s">
        <v>1157</v>
      </c>
      <c r="C68" s="94"/>
      <c r="D68" s="94"/>
      <c r="E68" s="94"/>
      <c r="F68" s="94"/>
      <c r="G68" s="94"/>
      <c r="H68" s="94"/>
      <c r="I68" s="94"/>
      <c r="J68" s="94"/>
      <c r="K68" s="94"/>
      <c r="L68" s="94"/>
      <c r="M68" s="94"/>
      <c r="N68" s="94"/>
      <c r="O68" s="94"/>
      <c r="P68" s="126"/>
      <c r="Q68" s="90"/>
    </row>
    <row r="69" spans="1:24" s="133" customFormat="1">
      <c r="B69" s="138"/>
      <c r="D69" s="214"/>
      <c r="E69" s="214"/>
      <c r="F69" s="214"/>
      <c r="G69" s="214"/>
      <c r="H69" s="214"/>
      <c r="I69" s="214"/>
      <c r="J69" s="214"/>
      <c r="K69" s="214"/>
      <c r="L69" s="214"/>
      <c r="M69" s="214"/>
      <c r="N69" s="214"/>
      <c r="O69" s="214"/>
      <c r="P69" s="131"/>
    </row>
    <row r="70" spans="1:24">
      <c r="B70" s="138" t="s">
        <v>1095</v>
      </c>
      <c r="D70" s="214">
        <f>FX!$C$28</f>
        <v>0.81117272727272727</v>
      </c>
      <c r="E70" s="214">
        <f>FX!$C$28</f>
        <v>0.81117272727272727</v>
      </c>
      <c r="F70" s="214">
        <f>FX!$C$28</f>
        <v>0.81117272727272727</v>
      </c>
      <c r="G70" s="214">
        <f>FX!$C$28</f>
        <v>0.81117272727272727</v>
      </c>
      <c r="H70" s="214">
        <f>FX!$C$28</f>
        <v>0.81117272727272727</v>
      </c>
      <c r="I70" s="214">
        <f>FX!$C$28</f>
        <v>0.81117272727272727</v>
      </c>
      <c r="J70" s="214">
        <f>FX!$C$28</f>
        <v>0.81117272727272727</v>
      </c>
      <c r="K70" s="214">
        <f>FX!$C$28</f>
        <v>0.81117272727272727</v>
      </c>
      <c r="L70" s="214">
        <f>FX!$C$28</f>
        <v>0.81117272727272727</v>
      </c>
      <c r="M70" s="214">
        <f>FX!$C$28</f>
        <v>0.81117272727272727</v>
      </c>
      <c r="N70" s="214">
        <f>FX!$C$28</f>
        <v>0.81117272727272727</v>
      </c>
      <c r="O70" s="214">
        <f>FX!$C$28</f>
        <v>0.81117272727272727</v>
      </c>
      <c r="P70" s="126"/>
      <c r="Q70" s="90"/>
    </row>
    <row r="71" spans="1:24" s="133" customFormat="1">
      <c r="B71" s="138"/>
      <c r="D71" s="214"/>
      <c r="E71" s="214"/>
      <c r="F71" s="214"/>
      <c r="G71" s="214"/>
      <c r="H71" s="214"/>
      <c r="I71" s="214"/>
      <c r="J71" s="214"/>
      <c r="K71" s="214"/>
      <c r="L71" s="214"/>
      <c r="M71" s="214"/>
      <c r="N71" s="214"/>
      <c r="O71" s="214"/>
      <c r="P71" s="131"/>
    </row>
    <row r="72" spans="1:24">
      <c r="B72" s="138" t="s">
        <v>1133</v>
      </c>
      <c r="D72" s="213">
        <f>RPI!$C$33</f>
        <v>170.25</v>
      </c>
      <c r="E72" s="213">
        <f>RPI!$C$34</f>
        <v>173.35</v>
      </c>
      <c r="F72" s="213">
        <f>RPI!$C$35</f>
        <v>176.18333333333337</v>
      </c>
      <c r="G72" s="213">
        <f>RPI!$C$36</f>
        <v>181.31666666666663</v>
      </c>
      <c r="H72" s="213">
        <f>RPI!$C$37</f>
        <v>186.69166666666663</v>
      </c>
      <c r="I72" s="213">
        <f>RPI!$C$38</f>
        <v>191.97499999999999</v>
      </c>
      <c r="J72" s="213">
        <f>RPI!$C$39</f>
        <v>198.10833333333332</v>
      </c>
      <c r="K72" s="213">
        <f>RPI!$C$40</f>
        <v>206.57499999999996</v>
      </c>
      <c r="L72" s="213">
        <f>RPI!$C$41</f>
        <v>214.82500000000002</v>
      </c>
      <c r="M72" s="213">
        <f>RPI!$C$42</f>
        <v>213.68333333333337</v>
      </c>
      <c r="N72" s="213">
        <f>RPI!$C$43</f>
        <v>223.55833333333331</v>
      </c>
      <c r="O72" s="213">
        <f>RPI!$C$45</f>
        <v>242.72499999999999</v>
      </c>
      <c r="P72" s="126"/>
      <c r="Q72" s="90"/>
    </row>
    <row r="73" spans="1:24">
      <c r="B73" s="138" t="s">
        <v>1132</v>
      </c>
      <c r="D73" s="214">
        <f>RPI!$R$44</f>
        <v>237.3416666666667</v>
      </c>
      <c r="E73" s="214">
        <f>RPI!$R$44</f>
        <v>237.3416666666667</v>
      </c>
      <c r="F73" s="214">
        <f>RPI!$R$44</f>
        <v>237.3416666666667</v>
      </c>
      <c r="G73" s="214">
        <f>RPI!$R$44</f>
        <v>237.3416666666667</v>
      </c>
      <c r="H73" s="214">
        <f>RPI!$R$44</f>
        <v>237.3416666666667</v>
      </c>
      <c r="I73" s="214">
        <f>RPI!$R$44</f>
        <v>237.3416666666667</v>
      </c>
      <c r="J73" s="214">
        <f>RPI!$R$44</f>
        <v>237.3416666666667</v>
      </c>
      <c r="K73" s="214">
        <f>RPI!$R$44</f>
        <v>237.3416666666667</v>
      </c>
      <c r="L73" s="214">
        <f>RPI!$R$44</f>
        <v>237.3416666666667</v>
      </c>
      <c r="M73" s="214">
        <f>RPI!$R$44</f>
        <v>237.3416666666667</v>
      </c>
      <c r="N73" s="214">
        <f>RPI!$R$44</f>
        <v>237.3416666666667</v>
      </c>
      <c r="O73" s="214">
        <f>RPI!$R$44</f>
        <v>237.3416666666667</v>
      </c>
      <c r="P73" s="126"/>
      <c r="Q73" s="90"/>
    </row>
    <row r="74" spans="1:24">
      <c r="B74" s="138" t="s">
        <v>304</v>
      </c>
      <c r="D74" s="214">
        <f t="shared" ref="D74:O74" si="18">D73/D72</f>
        <v>1.3940773372491435</v>
      </c>
      <c r="E74" s="214">
        <f t="shared" si="18"/>
        <v>1.369147197384867</v>
      </c>
      <c r="F74" s="214">
        <f t="shared" si="18"/>
        <v>1.3471289376596347</v>
      </c>
      <c r="G74" s="214">
        <f t="shared" si="18"/>
        <v>1.3089897968563291</v>
      </c>
      <c r="H74" s="214">
        <f t="shared" si="18"/>
        <v>1.2713029504977016</v>
      </c>
      <c r="I74" s="214">
        <f t="shared" si="18"/>
        <v>1.2363154924686377</v>
      </c>
      <c r="J74" s="214">
        <f t="shared" si="18"/>
        <v>1.1980397930425275</v>
      </c>
      <c r="K74" s="214">
        <f t="shared" si="18"/>
        <v>1.1489370285207152</v>
      </c>
      <c r="L74" s="214">
        <f t="shared" si="18"/>
        <v>1.104813995888126</v>
      </c>
      <c r="M74" s="214">
        <f t="shared" si="18"/>
        <v>1.1107167927618751</v>
      </c>
      <c r="N74" s="214">
        <f t="shared" si="18"/>
        <v>1.0616543035002053</v>
      </c>
      <c r="O74" s="214">
        <f t="shared" si="18"/>
        <v>0.97782126549249848</v>
      </c>
      <c r="P74" s="126"/>
      <c r="Q74" s="90"/>
    </row>
    <row r="75" spans="1:24" s="133" customFormat="1">
      <c r="B75" s="138"/>
      <c r="D75" s="214"/>
      <c r="E75" s="214"/>
      <c r="F75" s="214"/>
      <c r="G75" s="214"/>
      <c r="H75" s="214"/>
      <c r="I75" s="214"/>
      <c r="J75" s="214"/>
      <c r="K75" s="214"/>
      <c r="L75" s="214"/>
      <c r="M75" s="214"/>
      <c r="N75" s="214"/>
      <c r="O75" s="214"/>
      <c r="P75" s="131"/>
    </row>
    <row r="76" spans="1:24">
      <c r="B76" s="111" t="str">
        <f>B24</f>
        <v>Staff Costs Total</v>
      </c>
      <c r="C76" s="111"/>
      <c r="D76" s="159">
        <f>D24*D70*D74</f>
        <v>187608.20552725406</v>
      </c>
      <c r="E76" s="159">
        <f t="shared" ref="E76:N76" si="19">E24*E70*E74</f>
        <v>204902.88972859038</v>
      </c>
      <c r="F76" s="159">
        <f t="shared" si="19"/>
        <v>211679.61867505219</v>
      </c>
      <c r="G76" s="159">
        <f t="shared" si="19"/>
        <v>234184.76223712874</v>
      </c>
      <c r="H76" s="159">
        <f t="shared" si="19"/>
        <v>227775.0725039989</v>
      </c>
      <c r="I76" s="159">
        <f t="shared" si="19"/>
        <v>286658.04587048152</v>
      </c>
      <c r="J76" s="159">
        <f t="shared" si="19"/>
        <v>286017.8475457757</v>
      </c>
      <c r="K76" s="159">
        <f t="shared" si="19"/>
        <v>278761.78705424519</v>
      </c>
      <c r="L76" s="159">
        <f t="shared" si="19"/>
        <v>281500.7059121221</v>
      </c>
      <c r="M76" s="159">
        <f t="shared" si="19"/>
        <v>278695.71808087442</v>
      </c>
      <c r="N76" s="159">
        <f t="shared" si="19"/>
        <v>264393.4841803782</v>
      </c>
      <c r="O76" s="159">
        <f>O24*O70*O74</f>
        <v>244398.72446711309</v>
      </c>
      <c r="P76" s="126"/>
      <c r="Q76" s="90"/>
    </row>
    <row r="77" spans="1:24" s="126" customFormat="1">
      <c r="A77" s="90"/>
      <c r="B77" s="111" t="str">
        <f>B27</f>
        <v>Depreciation Total</v>
      </c>
      <c r="C77" s="111"/>
      <c r="D77" s="159">
        <f>D27*D70*D74</f>
        <v>123743.02599140037</v>
      </c>
      <c r="E77" s="159">
        <f t="shared" ref="E77:O77" si="20">E27*E70*E74</f>
        <v>115445.08349070589</v>
      </c>
      <c r="F77" s="159">
        <f t="shared" si="20"/>
        <v>115550.20285337236</v>
      </c>
      <c r="G77" s="159">
        <f t="shared" si="20"/>
        <v>104243.86664594634</v>
      </c>
      <c r="H77" s="159">
        <f t="shared" si="20"/>
        <v>100299.445435267</v>
      </c>
      <c r="I77" s="159">
        <f t="shared" si="20"/>
        <v>286658.04587048152</v>
      </c>
      <c r="J77" s="159">
        <f t="shared" si="20"/>
        <v>135523.32049742568</v>
      </c>
      <c r="K77" s="159">
        <f t="shared" si="20"/>
        <v>127642.99102781736</v>
      </c>
      <c r="L77" s="159">
        <f t="shared" si="20"/>
        <v>111487.0366652696</v>
      </c>
      <c r="M77" s="159">
        <f t="shared" si="20"/>
        <v>112503.96647309173</v>
      </c>
      <c r="N77" s="159">
        <f t="shared" si="20"/>
        <v>133986.74313610245</v>
      </c>
      <c r="O77" s="159">
        <f t="shared" si="20"/>
        <v>122465.56916398856</v>
      </c>
      <c r="Q77" s="90"/>
      <c r="R77" s="90"/>
      <c r="S77" s="90"/>
      <c r="T77" s="90"/>
      <c r="U77" s="90"/>
      <c r="V77" s="90"/>
      <c r="W77" s="90"/>
      <c r="X77" s="90"/>
    </row>
    <row r="78" spans="1:24" s="126" customFormat="1">
      <c r="A78" s="90"/>
      <c r="B78" s="111" t="str">
        <f>B32</f>
        <v>Other Costs Total</v>
      </c>
      <c r="C78" s="111"/>
      <c r="D78" s="159">
        <f>D32*D70*D74</f>
        <v>233540.56373936727</v>
      </c>
      <c r="E78" s="159">
        <f t="shared" ref="E78:O78" si="21">E32*E70*E74</f>
        <v>238389.03855759237</v>
      </c>
      <c r="F78" s="159">
        <f t="shared" si="21"/>
        <v>241789.6699068149</v>
      </c>
      <c r="G78" s="159">
        <f t="shared" si="21"/>
        <v>315039.98971210222</v>
      </c>
      <c r="H78" s="159">
        <f t="shared" si="21"/>
        <v>330456.12450794887</v>
      </c>
      <c r="I78" s="159">
        <f t="shared" si="21"/>
        <v>386823.24013542727</v>
      </c>
      <c r="J78" s="159">
        <f t="shared" si="21"/>
        <v>405215.53013367968</v>
      </c>
      <c r="K78" s="159">
        <f t="shared" si="21"/>
        <v>431176.97613927268</v>
      </c>
      <c r="L78" s="159">
        <f t="shared" si="21"/>
        <v>464805.99977371405</v>
      </c>
      <c r="M78" s="159">
        <f t="shared" si="21"/>
        <v>467913.89656466065</v>
      </c>
      <c r="N78" s="159">
        <f t="shared" si="21"/>
        <v>333923.8581509426</v>
      </c>
      <c r="O78" s="159">
        <f t="shared" si="21"/>
        <v>378260.22573394876</v>
      </c>
      <c r="Q78" s="90"/>
      <c r="R78" s="90"/>
      <c r="S78" s="90"/>
      <c r="T78" s="90"/>
      <c r="U78" s="90"/>
      <c r="V78" s="90"/>
      <c r="W78" s="90"/>
      <c r="X78" s="90"/>
    </row>
    <row r="79" spans="1:24" s="126" customFormat="1">
      <c r="A79" s="90"/>
      <c r="B79" s="111" t="str">
        <f>B35</f>
        <v>Exceptional Items Total</v>
      </c>
      <c r="C79" s="111"/>
      <c r="D79" s="159">
        <f>D35*D70*D74</f>
        <v>0</v>
      </c>
      <c r="E79" s="159">
        <f t="shared" ref="E79:O79" si="22">E35*E70*E74</f>
        <v>0</v>
      </c>
      <c r="F79" s="159">
        <f t="shared" si="22"/>
        <v>0</v>
      </c>
      <c r="G79" s="159">
        <f t="shared" si="22"/>
        <v>0</v>
      </c>
      <c r="H79" s="159">
        <f t="shared" si="22"/>
        <v>0</v>
      </c>
      <c r="I79" s="159">
        <f t="shared" si="22"/>
        <v>0</v>
      </c>
      <c r="J79" s="159">
        <f t="shared" si="22"/>
        <v>0</v>
      </c>
      <c r="K79" s="159">
        <f t="shared" si="22"/>
        <v>0</v>
      </c>
      <c r="L79" s="159">
        <f t="shared" si="22"/>
        <v>0</v>
      </c>
      <c r="M79" s="159">
        <f t="shared" si="22"/>
        <v>0</v>
      </c>
      <c r="N79" s="159">
        <f t="shared" si="22"/>
        <v>0</v>
      </c>
      <c r="O79" s="159">
        <f t="shared" si="22"/>
        <v>0</v>
      </c>
      <c r="Q79" s="90"/>
      <c r="R79" s="90"/>
      <c r="S79" s="90"/>
      <c r="T79" s="90"/>
      <c r="U79" s="90"/>
      <c r="V79" s="90"/>
      <c r="W79" s="90"/>
      <c r="X79" s="90"/>
    </row>
    <row r="80" spans="1:24" s="126" customFormat="1">
      <c r="A80" s="90"/>
      <c r="B80" s="111" t="str">
        <f>B37</f>
        <v>Grand Total</v>
      </c>
      <c r="C80" s="111"/>
      <c r="D80" s="159">
        <f>D37*D70*D74</f>
        <v>544891.79525802168</v>
      </c>
      <c r="E80" s="159">
        <f t="shared" ref="E80:O80" si="23">E37*E70*E74</f>
        <v>558737.01177688863</v>
      </c>
      <c r="F80" s="159">
        <f t="shared" si="23"/>
        <v>569019.49143523944</v>
      </c>
      <c r="G80" s="159">
        <f t="shared" si="23"/>
        <v>653468.61859517731</v>
      </c>
      <c r="H80" s="159">
        <f t="shared" si="23"/>
        <v>658530.64244721481</v>
      </c>
      <c r="I80" s="159">
        <f t="shared" si="23"/>
        <v>960139.33187639038</v>
      </c>
      <c r="J80" s="159">
        <f t="shared" si="23"/>
        <v>826756.69817688107</v>
      </c>
      <c r="K80" s="159">
        <f t="shared" si="23"/>
        <v>837581.75422133529</v>
      </c>
      <c r="L80" s="159">
        <f t="shared" si="23"/>
        <v>857793.74235110567</v>
      </c>
      <c r="M80" s="159">
        <f t="shared" si="23"/>
        <v>859113.58111862687</v>
      </c>
      <c r="N80" s="159">
        <f t="shared" si="23"/>
        <v>732304.0854674232</v>
      </c>
      <c r="O80" s="159">
        <f t="shared" si="23"/>
        <v>745124.51936505048</v>
      </c>
      <c r="Q80" s="90"/>
      <c r="R80" s="90"/>
      <c r="S80" s="90"/>
      <c r="T80" s="90"/>
      <c r="U80" s="90"/>
      <c r="V80" s="90"/>
      <c r="W80" s="90"/>
      <c r="X80" s="90"/>
    </row>
    <row r="81" spans="1:24" s="126" customFormat="1">
      <c r="A81" s="90"/>
      <c r="B81" s="111" t="str">
        <f>B39</f>
        <v>Cost Residual (Ordinary Opex - Elements)</v>
      </c>
      <c r="C81" s="111"/>
      <c r="D81" s="159">
        <f>D39*D70*D74</f>
        <v>0</v>
      </c>
      <c r="E81" s="159">
        <f t="shared" ref="E81:O81" si="24">E39*E70*E74</f>
        <v>0</v>
      </c>
      <c r="F81" s="159">
        <f t="shared" si="24"/>
        <v>0</v>
      </c>
      <c r="G81" s="159">
        <f t="shared" si="24"/>
        <v>0</v>
      </c>
      <c r="H81" s="159">
        <f t="shared" si="24"/>
        <v>0</v>
      </c>
      <c r="I81" s="159">
        <f t="shared" si="24"/>
        <v>0</v>
      </c>
      <c r="J81" s="159">
        <f t="shared" si="24"/>
        <v>0</v>
      </c>
      <c r="K81" s="159">
        <f t="shared" si="24"/>
        <v>0</v>
      </c>
      <c r="L81" s="159">
        <f t="shared" si="24"/>
        <v>0</v>
      </c>
      <c r="M81" s="159">
        <f t="shared" si="24"/>
        <v>0</v>
      </c>
      <c r="N81" s="159">
        <f t="shared" si="24"/>
        <v>0</v>
      </c>
      <c r="O81" s="159">
        <f t="shared" si="24"/>
        <v>0</v>
      </c>
      <c r="Q81" s="90"/>
      <c r="R81" s="90"/>
      <c r="S81" s="90"/>
      <c r="T81" s="90"/>
      <c r="U81" s="90"/>
      <c r="V81" s="90"/>
      <c r="W81" s="90"/>
      <c r="X81" s="90"/>
    </row>
    <row r="82" spans="1:24" s="126" customFormat="1">
      <c r="A82" s="90"/>
      <c r="B82" s="111"/>
      <c r="C82" s="111"/>
      <c r="D82" s="193"/>
      <c r="E82" s="193"/>
      <c r="F82" s="193"/>
      <c r="G82" s="193"/>
      <c r="H82" s="193"/>
      <c r="I82" s="193"/>
      <c r="J82" s="193"/>
      <c r="K82" s="193"/>
      <c r="L82" s="193"/>
      <c r="M82" s="193"/>
      <c r="N82" s="193"/>
      <c r="O82" s="193"/>
      <c r="Q82" s="90"/>
      <c r="R82" s="90"/>
      <c r="S82" s="90"/>
      <c r="T82" s="90"/>
      <c r="U82" s="90"/>
      <c r="V82" s="90"/>
      <c r="W82" s="90"/>
      <c r="X82" s="90"/>
    </row>
    <row r="83" spans="1:24" s="126" customFormat="1">
      <c r="A83" s="90"/>
      <c r="B83" s="111" t="str">
        <f>B41</f>
        <v>Ordinary Opex (per accounts - including staff, depreciation and other, excluding exceptional)</v>
      </c>
      <c r="C83" s="111"/>
      <c r="D83" s="159">
        <f>D41*D70*D74</f>
        <v>544891.79525802168</v>
      </c>
      <c r="E83" s="159">
        <f t="shared" ref="E83:O83" si="25">E41*E70*E74</f>
        <v>558737.01177688863</v>
      </c>
      <c r="F83" s="159">
        <f t="shared" si="25"/>
        <v>569019.49143523944</v>
      </c>
      <c r="G83" s="159">
        <f t="shared" si="25"/>
        <v>653468.61859517731</v>
      </c>
      <c r="H83" s="159">
        <f t="shared" si="25"/>
        <v>658530.64244721481</v>
      </c>
      <c r="I83" s="159">
        <f t="shared" si="25"/>
        <v>960139.33187639038</v>
      </c>
      <c r="J83" s="159">
        <f t="shared" si="25"/>
        <v>826756.69817688107</v>
      </c>
      <c r="K83" s="159">
        <f t="shared" si="25"/>
        <v>837581.75422133529</v>
      </c>
      <c r="L83" s="159">
        <f t="shared" si="25"/>
        <v>857793.74235110567</v>
      </c>
      <c r="M83" s="159">
        <f t="shared" si="25"/>
        <v>859113.58111862687</v>
      </c>
      <c r="N83" s="159">
        <f t="shared" si="25"/>
        <v>732304.0854674232</v>
      </c>
      <c r="O83" s="159">
        <f t="shared" si="25"/>
        <v>745124.51936505036</v>
      </c>
      <c r="Q83" s="90"/>
      <c r="R83" s="90"/>
      <c r="S83" s="90"/>
      <c r="T83" s="90"/>
      <c r="U83" s="90"/>
      <c r="V83" s="90"/>
      <c r="W83" s="90"/>
      <c r="X83" s="90"/>
    </row>
    <row r="84" spans="1:24" s="126" customFormat="1">
      <c r="A84" s="90"/>
      <c r="B84" s="111"/>
      <c r="C84" s="111"/>
      <c r="D84" s="141"/>
      <c r="E84" s="141"/>
      <c r="F84" s="141"/>
      <c r="G84" s="141"/>
      <c r="H84" s="141"/>
      <c r="I84" s="141"/>
      <c r="J84" s="141"/>
      <c r="K84" s="141"/>
      <c r="L84" s="141"/>
      <c r="M84" s="141"/>
      <c r="N84" s="141"/>
      <c r="O84" s="141"/>
      <c r="Q84" s="90"/>
      <c r="R84" s="90"/>
      <c r="S84" s="90"/>
      <c r="T84" s="90"/>
      <c r="U84" s="90"/>
      <c r="V84" s="90"/>
      <c r="W84" s="90"/>
      <c r="X84" s="90"/>
    </row>
    <row r="85" spans="1:24" s="126" customFormat="1">
      <c r="A85" s="90"/>
      <c r="B85" s="111" t="str">
        <f>B43</f>
        <v>Total Opex (ordinary + exceptional)</v>
      </c>
      <c r="C85" s="111"/>
      <c r="D85" s="159">
        <f>D43*D70*D74</f>
        <v>544891.79525802168</v>
      </c>
      <c r="E85" s="159">
        <f t="shared" ref="E85:O85" si="26">E43*E70*E74</f>
        <v>558737.01177688863</v>
      </c>
      <c r="F85" s="159">
        <f t="shared" si="26"/>
        <v>569019.49143523944</v>
      </c>
      <c r="G85" s="159">
        <f t="shared" si="26"/>
        <v>653468.61859517731</v>
      </c>
      <c r="H85" s="159">
        <f t="shared" si="26"/>
        <v>658530.64244721481</v>
      </c>
      <c r="I85" s="159">
        <f t="shared" si="26"/>
        <v>960139.33187639038</v>
      </c>
      <c r="J85" s="159">
        <f t="shared" si="26"/>
        <v>826756.69817688107</v>
      </c>
      <c r="K85" s="159">
        <f t="shared" si="26"/>
        <v>837581.75422133529</v>
      </c>
      <c r="L85" s="159">
        <f t="shared" si="26"/>
        <v>857793.74235110567</v>
      </c>
      <c r="M85" s="159">
        <f t="shared" si="26"/>
        <v>859113.58111862687</v>
      </c>
      <c r="N85" s="159">
        <f t="shared" si="26"/>
        <v>732304.0854674232</v>
      </c>
      <c r="O85" s="159">
        <f t="shared" si="26"/>
        <v>745124.51936505036</v>
      </c>
      <c r="Q85" s="90"/>
      <c r="R85" s="90"/>
      <c r="S85" s="90"/>
      <c r="T85" s="90"/>
      <c r="U85" s="90"/>
      <c r="V85" s="90"/>
      <c r="W85" s="90"/>
      <c r="X85" s="90"/>
    </row>
    <row r="86" spans="1:24" s="126" customFormat="1">
      <c r="A86" s="90"/>
      <c r="B86" s="111"/>
      <c r="C86" s="111"/>
      <c r="D86" s="141"/>
      <c r="E86" s="141"/>
      <c r="F86" s="141"/>
      <c r="G86" s="141"/>
      <c r="H86" s="141"/>
      <c r="I86" s="141"/>
      <c r="J86" s="141"/>
      <c r="K86" s="141"/>
      <c r="L86" s="141"/>
      <c r="M86" s="141"/>
      <c r="N86" s="141"/>
      <c r="O86" s="141"/>
      <c r="Q86" s="90"/>
      <c r="R86" s="90"/>
      <c r="S86" s="90"/>
      <c r="T86" s="90"/>
      <c r="U86" s="90"/>
      <c r="V86" s="90"/>
      <c r="W86" s="90"/>
      <c r="X86" s="90"/>
    </row>
    <row r="87" spans="1:24" s="126" customFormat="1">
      <c r="A87" s="90"/>
      <c r="B87" s="111" t="str">
        <f>B45</f>
        <v>Retail Estimate</v>
      </c>
      <c r="C87" s="111"/>
      <c r="D87" s="159">
        <f>D45*D70*D74</f>
        <v>4263.8707151252493</v>
      </c>
      <c r="E87" s="159">
        <f t="shared" ref="E87:O87" si="27">E45*E70*E74</f>
        <v>4590.6224669830981</v>
      </c>
      <c r="F87" s="159">
        <f t="shared" si="27"/>
        <v>3232.2886824304874</v>
      </c>
      <c r="G87" s="159">
        <f t="shared" si="27"/>
        <v>1744.0139693878041</v>
      </c>
      <c r="H87" s="159">
        <f t="shared" si="27"/>
        <v>1799.0728370349746</v>
      </c>
      <c r="I87" s="159">
        <f t="shared" si="27"/>
        <v>4455.1085594813958</v>
      </c>
      <c r="J87" s="159">
        <f t="shared" si="27"/>
        <v>9296.708738245552</v>
      </c>
      <c r="K87" s="159">
        <f t="shared" si="27"/>
        <v>14491.290187485884</v>
      </c>
      <c r="L87" s="159">
        <f t="shared" si="27"/>
        <v>17003.383112751155</v>
      </c>
      <c r="M87" s="159">
        <f t="shared" si="27"/>
        <v>26588.593468884799</v>
      </c>
      <c r="N87" s="159">
        <f t="shared" si="27"/>
        <v>26864.823006301685</v>
      </c>
      <c r="O87" s="159">
        <f t="shared" si="27"/>
        <v>23146.924191303155</v>
      </c>
      <c r="Q87" s="90"/>
      <c r="R87" s="90"/>
      <c r="S87" s="90"/>
      <c r="T87" s="90"/>
      <c r="U87" s="90"/>
      <c r="V87" s="90"/>
      <c r="W87" s="90"/>
      <c r="X87" s="90"/>
    </row>
    <row r="88" spans="1:24" s="126" customFormat="1">
      <c r="A88" s="90"/>
      <c r="B88" s="111"/>
      <c r="C88" s="111"/>
      <c r="D88" s="141"/>
      <c r="E88" s="141"/>
      <c r="F88" s="141"/>
      <c r="G88" s="141"/>
      <c r="H88" s="141"/>
      <c r="I88" s="141"/>
      <c r="J88" s="141"/>
      <c r="K88" s="141"/>
      <c r="L88" s="141"/>
      <c r="M88" s="141"/>
      <c r="N88" s="141"/>
      <c r="O88" s="141"/>
      <c r="Q88" s="90"/>
      <c r="R88" s="90"/>
      <c r="S88" s="90"/>
      <c r="T88" s="90"/>
      <c r="U88" s="90"/>
      <c r="V88" s="90"/>
      <c r="W88" s="90"/>
      <c r="X88" s="90"/>
    </row>
    <row r="89" spans="1:24" s="126" customFormat="1">
      <c r="A89" s="134"/>
      <c r="B89" s="111" t="str">
        <f>B47</f>
        <v>Adjusted Ordinary Opex (ordinary opex - depreciation - ANS - retail)</v>
      </c>
      <c r="C89" s="111"/>
      <c r="D89" s="159">
        <f>D47*D70*D74</f>
        <v>416884.89855149604</v>
      </c>
      <c r="E89" s="159">
        <f t="shared" ref="E89:O89" si="28">E47*E70*E74</f>
        <v>443291.92828618275</v>
      </c>
      <c r="F89" s="159">
        <f t="shared" si="28"/>
        <v>453469.28858186706</v>
      </c>
      <c r="G89" s="159">
        <f t="shared" si="28"/>
        <v>549224.75194923102</v>
      </c>
      <c r="H89" s="159">
        <f t="shared" si="28"/>
        <v>558231.19701194775</v>
      </c>
      <c r="I89" s="159">
        <f t="shared" si="28"/>
        <v>673481.28600590886</v>
      </c>
      <c r="J89" s="159">
        <f t="shared" si="28"/>
        <v>691233.37767945533</v>
      </c>
      <c r="K89" s="159">
        <f t="shared" si="28"/>
        <v>709938.76319351781</v>
      </c>
      <c r="L89" s="159">
        <f t="shared" si="28"/>
        <v>746306.70568583603</v>
      </c>
      <c r="M89" s="159">
        <f t="shared" si="28"/>
        <v>746609.61464553501</v>
      </c>
      <c r="N89" s="159">
        <f t="shared" si="28"/>
        <v>598317.34233132075</v>
      </c>
      <c r="O89" s="159">
        <f t="shared" si="28"/>
        <v>622658.9502010619</v>
      </c>
      <c r="Q89" s="90"/>
      <c r="R89" s="90"/>
      <c r="S89" s="90"/>
      <c r="T89" s="90"/>
      <c r="U89" s="90"/>
      <c r="V89" s="90"/>
      <c r="W89" s="90"/>
      <c r="X89" s="90"/>
    </row>
    <row r="90" spans="1:24" s="126" customFormat="1">
      <c r="A90" s="90"/>
      <c r="B90" s="111"/>
      <c r="C90" s="111"/>
      <c r="D90" s="141"/>
      <c r="E90" s="141"/>
      <c r="F90" s="141"/>
      <c r="G90" s="141"/>
      <c r="H90" s="141"/>
      <c r="I90" s="141"/>
      <c r="J90" s="141"/>
      <c r="K90" s="141"/>
      <c r="L90" s="141"/>
      <c r="M90" s="141"/>
      <c r="N90" s="141"/>
      <c r="O90" s="141"/>
      <c r="Q90" s="90"/>
      <c r="R90" s="90"/>
      <c r="S90" s="90"/>
      <c r="T90" s="90"/>
      <c r="U90" s="90"/>
      <c r="V90" s="90"/>
      <c r="W90" s="90"/>
      <c r="X90" s="90"/>
    </row>
    <row r="91" spans="1:24" s="126" customFormat="1">
      <c r="A91" s="90"/>
      <c r="B91" s="111" t="str">
        <f>B49</f>
        <v>Turnover (per accounts)</v>
      </c>
      <c r="C91" s="111"/>
      <c r="D91" s="159">
        <f>D49*D70*D74</f>
        <v>608719.65715585777</v>
      </c>
      <c r="E91" s="159">
        <f t="shared" ref="E91:O91" si="29">E49*E70*E74</f>
        <v>633200.40670701035</v>
      </c>
      <c r="F91" s="159">
        <f t="shared" si="29"/>
        <v>626797.3351287269</v>
      </c>
      <c r="G91" s="159">
        <f t="shared" si="29"/>
        <v>661798.57157544163</v>
      </c>
      <c r="H91" s="159">
        <f t="shared" si="29"/>
        <v>675604.89947482292</v>
      </c>
      <c r="I91" s="159">
        <f t="shared" si="29"/>
        <v>884180.30000767403</v>
      </c>
      <c r="J91" s="159">
        <f t="shared" si="29"/>
        <v>957370.17560192081</v>
      </c>
      <c r="K91" s="159">
        <f t="shared" si="29"/>
        <v>989323.11715153349</v>
      </c>
      <c r="L91" s="159">
        <f t="shared" si="29"/>
        <v>988759.55096426501</v>
      </c>
      <c r="M91" s="159">
        <f t="shared" si="29"/>
        <v>950092.1586769555</v>
      </c>
      <c r="N91" s="159">
        <f t="shared" si="29"/>
        <v>984090.91987406113</v>
      </c>
      <c r="O91" s="159">
        <f t="shared" si="29"/>
        <v>1013608.3047386225</v>
      </c>
      <c r="Q91" s="90"/>
      <c r="R91" s="90"/>
      <c r="S91" s="90"/>
      <c r="T91" s="90"/>
      <c r="U91" s="90"/>
      <c r="V91" s="90"/>
      <c r="W91" s="90"/>
      <c r="X91" s="90"/>
    </row>
    <row r="92" spans="1:24" s="126" customFormat="1">
      <c r="A92" s="90"/>
      <c r="B92" s="111"/>
      <c r="C92" s="111"/>
      <c r="D92" s="141"/>
      <c r="E92" s="141"/>
      <c r="F92" s="141"/>
      <c r="G92" s="141"/>
      <c r="H92" s="141"/>
      <c r="I92" s="141"/>
      <c r="J92" s="141"/>
      <c r="K92" s="141"/>
      <c r="L92" s="141"/>
      <c r="M92" s="141"/>
      <c r="N92" s="141"/>
      <c r="O92" s="141"/>
      <c r="Q92" s="90"/>
      <c r="R92" s="90"/>
      <c r="S92" s="90"/>
      <c r="T92" s="90"/>
      <c r="U92" s="90"/>
      <c r="V92" s="90"/>
      <c r="W92" s="90"/>
      <c r="X92" s="90"/>
    </row>
    <row r="93" spans="1:24">
      <c r="B93" s="111" t="str">
        <f>B51</f>
        <v>Operating Profit (pre-exceptional)</v>
      </c>
      <c r="C93" s="111"/>
      <c r="D93" s="159">
        <f>D51*D70*D74</f>
        <v>63827.861897836076</v>
      </c>
      <c r="E93" s="159">
        <f t="shared" ref="E93:O93" si="30">E51*E70*E74</f>
        <v>74463.394930121678</v>
      </c>
      <c r="F93" s="159">
        <f t="shared" si="30"/>
        <v>57777.84369348747</v>
      </c>
      <c r="G93" s="159">
        <f t="shared" si="30"/>
        <v>8329.9529802643156</v>
      </c>
      <c r="H93" s="159">
        <f t="shared" si="30"/>
        <v>17074.257027608088</v>
      </c>
      <c r="I93" s="159">
        <f t="shared" si="30"/>
        <v>-75959.031868716353</v>
      </c>
      <c r="J93" s="159">
        <f t="shared" si="30"/>
        <v>130613.4774250398</v>
      </c>
      <c r="K93" s="159">
        <f t="shared" si="30"/>
        <v>151741.3629301982</v>
      </c>
      <c r="L93" s="159">
        <f t="shared" si="30"/>
        <v>130965.80861315937</v>
      </c>
      <c r="M93" s="159">
        <f t="shared" si="30"/>
        <v>90978.57755832866</v>
      </c>
      <c r="N93" s="159">
        <f t="shared" si="30"/>
        <v>251786.83440663797</v>
      </c>
      <c r="O93" s="159">
        <f t="shared" si="30"/>
        <v>268483.78537357209</v>
      </c>
      <c r="P93" s="126"/>
      <c r="Q93" s="90"/>
    </row>
    <row r="94" spans="1:24">
      <c r="B94" s="111"/>
      <c r="C94" s="111"/>
      <c r="D94" s="193"/>
      <c r="E94" s="193"/>
      <c r="F94" s="193"/>
      <c r="G94" s="193"/>
      <c r="H94" s="193"/>
      <c r="I94" s="193"/>
      <c r="J94" s="193"/>
      <c r="K94" s="193"/>
      <c r="L94" s="193"/>
      <c r="M94" s="193"/>
      <c r="N94" s="193"/>
      <c r="O94" s="193"/>
      <c r="P94" s="126"/>
      <c r="Q94" s="90"/>
    </row>
    <row r="95" spans="1:24">
      <c r="B95" s="111" t="str">
        <f>B53</f>
        <v>Profit Margin</v>
      </c>
      <c r="C95" s="111"/>
      <c r="D95" s="162">
        <f>D93/D91</f>
        <v>0.10485592365467748</v>
      </c>
      <c r="E95" s="162">
        <f t="shared" ref="E95:O95" si="31">E93/E91</f>
        <v>0.11759846352179747</v>
      </c>
      <c r="F95" s="162">
        <f t="shared" si="31"/>
        <v>9.217946608152297E-2</v>
      </c>
      <c r="G95" s="162">
        <f t="shared" si="31"/>
        <v>1.2586840374155663E-2</v>
      </c>
      <c r="H95" s="162">
        <f t="shared" si="31"/>
        <v>2.5272547669326628E-2</v>
      </c>
      <c r="I95" s="162">
        <f t="shared" si="31"/>
        <v>-8.5908984703749997E-2</v>
      </c>
      <c r="J95" s="162">
        <f t="shared" si="31"/>
        <v>0.13642944051700806</v>
      </c>
      <c r="K95" s="162">
        <f t="shared" si="31"/>
        <v>0.15337897224831162</v>
      </c>
      <c r="L95" s="162">
        <f t="shared" si="31"/>
        <v>0.1324546584510238</v>
      </c>
      <c r="M95" s="162">
        <f t="shared" si="31"/>
        <v>9.57576343804587E-2</v>
      </c>
      <c r="N95" s="162">
        <f t="shared" si="31"/>
        <v>0.25585728851035466</v>
      </c>
      <c r="O95" s="162">
        <f t="shared" si="31"/>
        <v>0.2648792281184057</v>
      </c>
      <c r="P95" s="126"/>
      <c r="Q95" s="90"/>
    </row>
    <row r="96" spans="1:24" s="133" customFormat="1">
      <c r="B96" s="138"/>
      <c r="C96" s="138"/>
      <c r="D96" s="141"/>
      <c r="E96" s="141"/>
      <c r="F96" s="141"/>
      <c r="G96" s="141"/>
      <c r="H96" s="141"/>
      <c r="I96" s="141"/>
      <c r="J96" s="141"/>
      <c r="K96" s="141"/>
      <c r="L96" s="141"/>
      <c r="M96" s="141"/>
      <c r="N96" s="141"/>
      <c r="O96" s="141"/>
      <c r="P96" s="131"/>
    </row>
    <row r="97" spans="2:17" s="133" customFormat="1">
      <c r="B97" s="153" t="s">
        <v>1153</v>
      </c>
      <c r="C97" s="94"/>
      <c r="D97" s="94"/>
      <c r="E97" s="94"/>
      <c r="F97" s="94"/>
      <c r="G97" s="94"/>
      <c r="H97" s="94"/>
      <c r="I97" s="94"/>
      <c r="J97" s="94"/>
      <c r="K97" s="94"/>
      <c r="L97" s="94"/>
      <c r="M97" s="94"/>
      <c r="N97" s="94"/>
      <c r="O97" s="94"/>
      <c r="P97" s="131"/>
    </row>
    <row r="98" spans="2:17" s="133" customFormat="1">
      <c r="B98" s="90"/>
      <c r="C98" s="90"/>
      <c r="D98" s="90"/>
      <c r="E98" s="90"/>
      <c r="F98" s="90"/>
      <c r="G98" s="90"/>
      <c r="H98" s="90"/>
      <c r="I98" s="90"/>
      <c r="J98" s="90"/>
      <c r="K98" s="90"/>
      <c r="L98" s="90"/>
      <c r="M98" s="90"/>
      <c r="N98" s="90"/>
      <c r="O98" s="90"/>
      <c r="P98" s="131"/>
    </row>
    <row r="99" spans="2:17" s="133" customFormat="1">
      <c r="B99" s="90" t="s">
        <v>1127</v>
      </c>
      <c r="C99" s="90"/>
      <c r="D99" s="209">
        <f t="shared" ref="D99:O99" si="32">(D85/D55)*1000</f>
        <v>23.561999965148196</v>
      </c>
      <c r="E99" s="209">
        <f t="shared" si="32"/>
        <v>23.625243626929752</v>
      </c>
      <c r="F99" s="209">
        <f t="shared" si="32"/>
        <v>24.569062669915347</v>
      </c>
      <c r="G99" s="209">
        <f t="shared" si="32"/>
        <v>26.986944406503497</v>
      </c>
      <c r="H99" s="209">
        <f t="shared" si="32"/>
        <v>24.539779159986168</v>
      </c>
      <c r="I99" s="209">
        <f t="shared" si="32"/>
        <v>33.547845278699874</v>
      </c>
      <c r="J99" s="209">
        <f t="shared" si="32"/>
        <v>26.877655987544898</v>
      </c>
      <c r="K99" s="209">
        <f t="shared" si="32"/>
        <v>24.634757477098098</v>
      </c>
      <c r="L99" s="209">
        <f t="shared" si="32"/>
        <v>24.863586734814657</v>
      </c>
      <c r="M99" s="209">
        <f t="shared" si="32"/>
        <v>26.271173398306399</v>
      </c>
      <c r="N99" s="209">
        <f t="shared" si="32"/>
        <v>21.078216743518109</v>
      </c>
      <c r="O99" s="209">
        <f t="shared" si="32"/>
        <v>19.712288872091278</v>
      </c>
      <c r="P99" s="131"/>
    </row>
    <row r="100" spans="2:17" s="133" customFormat="1">
      <c r="B100" s="90" t="s">
        <v>299</v>
      </c>
      <c r="C100" s="90"/>
      <c r="D100" s="209">
        <f t="shared" ref="D100:O100" si="33">(D83/D55)*1000</f>
        <v>23.561999965148196</v>
      </c>
      <c r="E100" s="209">
        <f t="shared" si="33"/>
        <v>23.625243626929752</v>
      </c>
      <c r="F100" s="209">
        <f t="shared" si="33"/>
        <v>24.569062669915347</v>
      </c>
      <c r="G100" s="209">
        <f t="shared" si="33"/>
        <v>26.986944406503497</v>
      </c>
      <c r="H100" s="209">
        <f t="shared" si="33"/>
        <v>24.539779159986168</v>
      </c>
      <c r="I100" s="209">
        <f t="shared" si="33"/>
        <v>33.547845278699874</v>
      </c>
      <c r="J100" s="209">
        <f t="shared" si="33"/>
        <v>26.877655987544898</v>
      </c>
      <c r="K100" s="209">
        <f t="shared" si="33"/>
        <v>24.634757477098098</v>
      </c>
      <c r="L100" s="209">
        <f t="shared" si="33"/>
        <v>24.863586734814657</v>
      </c>
      <c r="M100" s="209">
        <f t="shared" si="33"/>
        <v>26.271173398306399</v>
      </c>
      <c r="N100" s="209">
        <f t="shared" si="33"/>
        <v>21.078216743518109</v>
      </c>
      <c r="O100" s="209">
        <f t="shared" si="33"/>
        <v>19.712288872091278</v>
      </c>
      <c r="P100" s="131"/>
    </row>
    <row r="101" spans="2:17" s="133" customFormat="1">
      <c r="B101" s="90" t="s">
        <v>300</v>
      </c>
      <c r="C101" s="90"/>
      <c r="D101" s="209">
        <f t="shared" ref="D101:O101" si="34">(D89/D55)*1000</f>
        <v>18.026775316904637</v>
      </c>
      <c r="E101" s="209">
        <f t="shared" si="34"/>
        <v>18.743844747830138</v>
      </c>
      <c r="F101" s="209">
        <f t="shared" si="34"/>
        <v>19.579848384363864</v>
      </c>
      <c r="G101" s="209">
        <f t="shared" si="34"/>
        <v>22.681881617197767</v>
      </c>
      <c r="H101" s="209">
        <f t="shared" si="34"/>
        <v>20.80217595339305</v>
      </c>
      <c r="I101" s="209">
        <f t="shared" si="34"/>
        <v>23.531840880709606</v>
      </c>
      <c r="J101" s="209">
        <f t="shared" si="34"/>
        <v>22.471826322479039</v>
      </c>
      <c r="K101" s="209">
        <f t="shared" si="34"/>
        <v>20.880551858632877</v>
      </c>
      <c r="L101" s="209">
        <f t="shared" si="34"/>
        <v>21.632078425676408</v>
      </c>
      <c r="M101" s="209">
        <f t="shared" si="34"/>
        <v>22.830870187916652</v>
      </c>
      <c r="N101" s="209">
        <f t="shared" si="34"/>
        <v>17.221619916288621</v>
      </c>
      <c r="O101" s="209">
        <f t="shared" si="34"/>
        <v>16.472459000028095</v>
      </c>
      <c r="P101" s="131"/>
    </row>
    <row r="102" spans="2:17" s="133" customFormat="1">
      <c r="B102" s="90" t="s">
        <v>265</v>
      </c>
      <c r="C102" s="90"/>
      <c r="D102" s="209">
        <f t="shared" ref="D102:O102" si="35">D76*1000/D55</f>
        <v>8.1124813597192826</v>
      </c>
      <c r="E102" s="209">
        <f t="shared" si="35"/>
        <v>8.6639699673822559</v>
      </c>
      <c r="F102" s="209">
        <f t="shared" si="35"/>
        <v>9.139879908249231</v>
      </c>
      <c r="G102" s="209">
        <f t="shared" si="35"/>
        <v>9.6713613775825689</v>
      </c>
      <c r="H102" s="209">
        <f t="shared" si="35"/>
        <v>8.4879117494460505</v>
      </c>
      <c r="I102" s="209">
        <f t="shared" si="35"/>
        <v>10.016004397990271</v>
      </c>
      <c r="J102" s="209">
        <f t="shared" si="35"/>
        <v>9.2983695561045412</v>
      </c>
      <c r="K102" s="209">
        <f t="shared" si="35"/>
        <v>8.1988760898307405</v>
      </c>
      <c r="L102" s="209">
        <f t="shared" si="35"/>
        <v>8.1594407510760014</v>
      </c>
      <c r="M102" s="209">
        <f t="shared" si="35"/>
        <v>8.5223463998029718</v>
      </c>
      <c r="N102" s="209">
        <f t="shared" si="35"/>
        <v>7.6101489473061967</v>
      </c>
      <c r="O102" s="209">
        <f t="shared" si="35"/>
        <v>6.4655747213521977</v>
      </c>
      <c r="P102" s="131"/>
    </row>
    <row r="103" spans="2:17" s="133" customFormat="1">
      <c r="B103" s="111" t="s">
        <v>1136</v>
      </c>
      <c r="C103" s="111"/>
      <c r="D103" s="159">
        <f t="shared" ref="D103:O103" si="36">D76/D57*1000</f>
        <v>54568.995208625383</v>
      </c>
      <c r="E103" s="159">
        <f t="shared" si="36"/>
        <v>53639.499928950361</v>
      </c>
      <c r="F103" s="159">
        <f t="shared" si="36"/>
        <v>53549.106672160939</v>
      </c>
      <c r="G103" s="159">
        <f t="shared" si="36"/>
        <v>55063.428694363676</v>
      </c>
      <c r="H103" s="159">
        <f t="shared" si="36"/>
        <v>52098.598468435252</v>
      </c>
      <c r="I103" s="159">
        <f t="shared" si="36"/>
        <v>42311.150681989893</v>
      </c>
      <c r="J103" s="159">
        <f t="shared" si="36"/>
        <v>39802.094008596672</v>
      </c>
      <c r="K103" s="159">
        <f t="shared" si="36"/>
        <v>37726.591833028171</v>
      </c>
      <c r="L103" s="159">
        <f t="shared" si="36"/>
        <v>36995.755803932458</v>
      </c>
      <c r="M103" s="159">
        <f t="shared" si="36"/>
        <v>37835.421949616401</v>
      </c>
      <c r="N103" s="159">
        <f t="shared" si="36"/>
        <v>37180.914664657321</v>
      </c>
      <c r="O103" s="159">
        <f t="shared" si="36"/>
        <v>36641.487926103917</v>
      </c>
      <c r="P103" s="131"/>
    </row>
    <row r="104" spans="2:17" s="133" customFormat="1">
      <c r="B104" s="111"/>
      <c r="C104" s="111"/>
      <c r="D104" s="161"/>
      <c r="E104" s="161"/>
      <c r="F104" s="161"/>
      <c r="G104" s="161"/>
      <c r="H104" s="161"/>
      <c r="I104" s="161"/>
      <c r="J104" s="161"/>
      <c r="K104" s="161"/>
      <c r="L104" s="161"/>
      <c r="M104" s="161"/>
      <c r="N104" s="161"/>
      <c r="O104" s="161"/>
      <c r="P104" s="131"/>
    </row>
    <row r="105" spans="2:17" s="133" customFormat="1">
      <c r="B105" s="153" t="s">
        <v>1151</v>
      </c>
      <c r="C105" s="94"/>
      <c r="D105" s="94"/>
      <c r="E105" s="94"/>
      <c r="F105" s="94"/>
      <c r="G105" s="94"/>
      <c r="H105" s="94"/>
      <c r="I105" s="94"/>
      <c r="J105" s="94"/>
      <c r="K105" s="94"/>
      <c r="L105" s="94"/>
      <c r="M105" s="94"/>
      <c r="N105" s="94"/>
      <c r="O105" s="94"/>
      <c r="P105" s="131"/>
    </row>
    <row r="106" spans="2:17" s="133" customFormat="1">
      <c r="B106" s="111"/>
      <c r="C106" s="111"/>
      <c r="D106" s="161"/>
      <c r="E106" s="161"/>
      <c r="F106" s="161"/>
      <c r="G106" s="161"/>
      <c r="H106" s="161"/>
      <c r="I106" s="161"/>
      <c r="J106" s="161"/>
      <c r="K106" s="161"/>
      <c r="L106" s="161"/>
      <c r="M106" s="161"/>
      <c r="N106" s="161"/>
      <c r="O106" s="161"/>
      <c r="P106" s="131"/>
    </row>
    <row r="107" spans="2:17">
      <c r="B107" s="138" t="s">
        <v>1093</v>
      </c>
      <c r="D107" s="214">
        <f>PPP!X371</f>
        <v>0.92575869271929268</v>
      </c>
      <c r="E107" s="214">
        <f>PPP!Y371</f>
        <v>0.94779955276978878</v>
      </c>
      <c r="F107" s="214">
        <f>PPP!Z371</f>
        <v>0.94227316839657016</v>
      </c>
      <c r="G107" s="214">
        <f>PPP!AA371</f>
        <v>0.98973261419847414</v>
      </c>
      <c r="H107" s="214">
        <f>PPP!AB371</f>
        <v>0.96130626185292711</v>
      </c>
      <c r="I107" s="214">
        <f>PPP!AC371</f>
        <v>0.93201224653109649</v>
      </c>
      <c r="J107" s="214">
        <f>PPP!AD371</f>
        <v>0.91107215329513558</v>
      </c>
      <c r="K107" s="214">
        <f>PPP!AE371</f>
        <v>0.88037581780570795</v>
      </c>
      <c r="L107" s="214">
        <f>PPP!AF371</f>
        <v>0.9936895421792008</v>
      </c>
      <c r="M107" s="214">
        <f>PPP!AG371</f>
        <v>1.1001107634713378</v>
      </c>
      <c r="N107" s="214">
        <f>PPP!AH371</f>
        <v>1.0390737584004235</v>
      </c>
      <c r="O107" s="214">
        <f>PPP!AI371</f>
        <v>1.0190511253930095</v>
      </c>
      <c r="P107" s="126"/>
      <c r="Q107" s="90"/>
    </row>
    <row r="108" spans="2:17">
      <c r="B108" s="138" t="s">
        <v>377</v>
      </c>
      <c r="D108" s="214">
        <f>'GDP per cap'!AQ370</f>
        <v>0.91571804402777757</v>
      </c>
      <c r="E108" s="214">
        <f>'GDP per cap'!AR370</f>
        <v>0.91963054977800152</v>
      </c>
      <c r="F108" s="214">
        <f>'GDP per cap'!AS370</f>
        <v>0.90105165950823796</v>
      </c>
      <c r="G108" s="214">
        <f>'GDP per cap'!AT370</f>
        <v>0.94268354452182601</v>
      </c>
      <c r="H108" s="214">
        <f>'GDP per cap'!AU370</f>
        <v>0.90039299811115647</v>
      </c>
      <c r="I108" s="214">
        <f>'GDP per cap'!AV370</f>
        <v>0.87988998252781581</v>
      </c>
      <c r="J108" s="214">
        <f>'GDP per cap'!AW370</f>
        <v>0.87047347922176344</v>
      </c>
      <c r="K108" s="214">
        <f>'GDP per cap'!AX370</f>
        <v>0.87206509196430004</v>
      </c>
      <c r="L108" s="214">
        <f>'GDP per cap'!AY370</f>
        <v>1.0228339461421523</v>
      </c>
      <c r="M108" s="214">
        <f>'GDP per cap'!AZ370</f>
        <v>1.1399318017054691</v>
      </c>
      <c r="N108" s="214">
        <f>'GDP per cap'!BA370</f>
        <v>1.1077836844079318</v>
      </c>
      <c r="O108" s="214">
        <f>'GDP per cap'!BB370</f>
        <v>1.1286261772227417</v>
      </c>
      <c r="P108" s="126"/>
      <c r="Q108" s="90"/>
    </row>
    <row r="109" spans="2:17" s="133" customFormat="1">
      <c r="B109" s="111"/>
      <c r="C109" s="111"/>
      <c r="D109" s="161"/>
      <c r="E109" s="161"/>
      <c r="F109" s="161"/>
      <c r="G109" s="161"/>
      <c r="H109" s="161"/>
      <c r="I109" s="161"/>
      <c r="J109" s="161"/>
      <c r="K109" s="161"/>
      <c r="L109" s="161"/>
      <c r="M109" s="161"/>
      <c r="N109" s="161"/>
      <c r="O109" s="161"/>
      <c r="P109" s="131"/>
    </row>
    <row r="110" spans="2:17" s="133" customFormat="1">
      <c r="B110" s="67" t="str">
        <f t="shared" ref="B110:C112" si="37">B21</f>
        <v>Cost Category</v>
      </c>
      <c r="C110" s="67" t="str">
        <f t="shared" si="37"/>
        <v>Sub-Category</v>
      </c>
      <c r="D110" s="242"/>
      <c r="E110" s="242"/>
      <c r="F110" s="242"/>
      <c r="G110" s="242"/>
      <c r="H110" s="242"/>
      <c r="I110" s="242"/>
      <c r="J110" s="242"/>
      <c r="K110" s="242"/>
      <c r="L110" s="242"/>
      <c r="M110" s="242"/>
      <c r="N110" s="242"/>
      <c r="O110" s="242"/>
      <c r="P110" s="131"/>
    </row>
    <row r="111" spans="2:17" s="133" customFormat="1">
      <c r="B111" s="111" t="str">
        <f t="shared" si="37"/>
        <v>Staff Costs</v>
      </c>
      <c r="C111" s="111" t="str">
        <f t="shared" si="37"/>
        <v>Wages and Salaries</v>
      </c>
      <c r="D111" s="159">
        <f t="shared" ref="D111:O111" si="38">D22*D70/D108*D74</f>
        <v>165559.40174940604</v>
      </c>
      <c r="E111" s="159">
        <f t="shared" si="38"/>
        <v>178177.96087808456</v>
      </c>
      <c r="F111" s="159">
        <f t="shared" si="38"/>
        <v>187308.09722530749</v>
      </c>
      <c r="G111" s="159">
        <f t="shared" si="38"/>
        <v>195177.43618886123</v>
      </c>
      <c r="H111" s="159">
        <f t="shared" si="38"/>
        <v>196910.41524645503</v>
      </c>
      <c r="I111" s="159">
        <f t="shared" si="38"/>
        <v>259581.99829723724</v>
      </c>
      <c r="J111" s="159">
        <f t="shared" si="38"/>
        <v>261274.05412166214</v>
      </c>
      <c r="K111" s="159">
        <f t="shared" si="38"/>
        <v>254302.14536149046</v>
      </c>
      <c r="L111" s="159">
        <f t="shared" si="38"/>
        <v>219631.48194863086</v>
      </c>
      <c r="M111" s="159">
        <f t="shared" si="38"/>
        <v>195171.74342165006</v>
      </c>
      <c r="N111" s="159">
        <f t="shared" si="38"/>
        <v>190234.70371265351</v>
      </c>
      <c r="O111" s="159">
        <f t="shared" si="38"/>
        <v>174478.00843719518</v>
      </c>
      <c r="P111" s="131"/>
    </row>
    <row r="112" spans="2:17" s="133" customFormat="1">
      <c r="B112" s="111" t="str">
        <f t="shared" si="37"/>
        <v>Staff Costs</v>
      </c>
      <c r="C112" s="111" t="str">
        <f t="shared" si="37"/>
        <v>Pensions and social security</v>
      </c>
      <c r="D112" s="159">
        <f t="shared" ref="D112:O112" si="39">D23*D70/D108*D74</f>
        <v>39316.112881780035</v>
      </c>
      <c r="E112" s="159">
        <f t="shared" si="39"/>
        <v>44632.046660327309</v>
      </c>
      <c r="F112" s="159">
        <f t="shared" si="39"/>
        <v>47616.966661239734</v>
      </c>
      <c r="G112" s="159">
        <f t="shared" si="39"/>
        <v>53246.081542020962</v>
      </c>
      <c r="H112" s="159">
        <f t="shared" si="39"/>
        <v>56062.534323149805</v>
      </c>
      <c r="I112" s="159">
        <f t="shared" si="39"/>
        <v>66206.511133167005</v>
      </c>
      <c r="J112" s="159">
        <f t="shared" si="39"/>
        <v>67303.271176618684</v>
      </c>
      <c r="K112" s="159">
        <f t="shared" si="39"/>
        <v>65354.941733169821</v>
      </c>
      <c r="L112" s="159">
        <f t="shared" si="39"/>
        <v>55584.946850848479</v>
      </c>
      <c r="M112" s="159">
        <f t="shared" si="39"/>
        <v>49312.810534923105</v>
      </c>
      <c r="N112" s="159">
        <f t="shared" si="39"/>
        <v>48434.169914679631</v>
      </c>
      <c r="O112" s="159">
        <f t="shared" si="39"/>
        <v>42067.318438454124</v>
      </c>
      <c r="P112" s="131"/>
    </row>
    <row r="113" spans="2:16" s="133" customFormat="1">
      <c r="B113" s="67" t="str">
        <f>B24</f>
        <v>Staff Costs Total</v>
      </c>
      <c r="C113" s="111"/>
      <c r="D113" s="159">
        <f>D112+D111</f>
        <v>204875.51463118609</v>
      </c>
      <c r="E113" s="159">
        <f t="shared" ref="E113:O113" si="40">E112+E111</f>
        <v>222810.00753841188</v>
      </c>
      <c r="F113" s="159">
        <f t="shared" si="40"/>
        <v>234925.06388654723</v>
      </c>
      <c r="G113" s="159">
        <f t="shared" si="40"/>
        <v>248423.51773088219</v>
      </c>
      <c r="H113" s="159">
        <f t="shared" si="40"/>
        <v>252972.94956960483</v>
      </c>
      <c r="I113" s="159">
        <f t="shared" si="40"/>
        <v>325788.50943040423</v>
      </c>
      <c r="J113" s="159">
        <f t="shared" si="40"/>
        <v>328577.3252982808</v>
      </c>
      <c r="K113" s="159">
        <f t="shared" si="40"/>
        <v>319657.08709466027</v>
      </c>
      <c r="L113" s="159">
        <f t="shared" si="40"/>
        <v>275216.42879947933</v>
      </c>
      <c r="M113" s="159">
        <f t="shared" si="40"/>
        <v>244484.55395657316</v>
      </c>
      <c r="N113" s="159">
        <f t="shared" si="40"/>
        <v>238668.87362733315</v>
      </c>
      <c r="O113" s="159">
        <f t="shared" si="40"/>
        <v>216545.32687564931</v>
      </c>
      <c r="P113" s="131"/>
    </row>
    <row r="114" spans="2:16" s="133" customFormat="1">
      <c r="B114" s="111"/>
      <c r="C114" s="111"/>
      <c r="D114" s="242"/>
      <c r="E114" s="242"/>
      <c r="F114" s="242"/>
      <c r="G114" s="242"/>
      <c r="H114" s="242"/>
      <c r="I114" s="242"/>
      <c r="J114" s="242"/>
      <c r="K114" s="242"/>
      <c r="L114" s="242"/>
      <c r="M114" s="242"/>
      <c r="N114" s="242"/>
      <c r="O114" s="242"/>
      <c r="P114" s="131"/>
    </row>
    <row r="115" spans="2:16" s="133" customFormat="1">
      <c r="B115" s="111" t="str">
        <f>B26</f>
        <v>Depreciation</v>
      </c>
      <c r="C115" s="111" t="str">
        <f>C26</f>
        <v>Depreciation</v>
      </c>
      <c r="D115" s="159">
        <f t="shared" ref="D115:O115" si="41">D26*D70/D107*D74</f>
        <v>133666.6098461595</v>
      </c>
      <c r="E115" s="159">
        <f t="shared" si="41"/>
        <v>121803.26858494137</v>
      </c>
      <c r="F115" s="159">
        <f t="shared" si="41"/>
        <v>122629.19791083479</v>
      </c>
      <c r="G115" s="159">
        <f t="shared" si="41"/>
        <v>105325.28195038543</v>
      </c>
      <c r="H115" s="159">
        <f t="shared" si="41"/>
        <v>104336.61926006687</v>
      </c>
      <c r="I115" s="159">
        <f t="shared" si="41"/>
        <v>307568.96911752888</v>
      </c>
      <c r="J115" s="159">
        <f t="shared" si="41"/>
        <v>148751.4682643624</v>
      </c>
      <c r="K115" s="159">
        <f t="shared" si="41"/>
        <v>144986.93449572599</v>
      </c>
      <c r="L115" s="159">
        <f t="shared" si="41"/>
        <v>112195.03872484567</v>
      </c>
      <c r="M115" s="159">
        <f t="shared" si="41"/>
        <v>102266.03557453776</v>
      </c>
      <c r="N115" s="159">
        <f t="shared" si="41"/>
        <v>128948.25035555226</v>
      </c>
      <c r="O115" s="159">
        <f t="shared" si="41"/>
        <v>120176.07960224588</v>
      </c>
      <c r="P115" s="131"/>
    </row>
    <row r="116" spans="2:16" s="133" customFormat="1">
      <c r="B116" s="67" t="str">
        <f>B27</f>
        <v>Depreciation Total</v>
      </c>
      <c r="C116" s="111"/>
      <c r="D116" s="159">
        <f>D115</f>
        <v>133666.6098461595</v>
      </c>
      <c r="E116" s="159">
        <f t="shared" ref="E116:O116" si="42">E115</f>
        <v>121803.26858494137</v>
      </c>
      <c r="F116" s="159">
        <f t="shared" si="42"/>
        <v>122629.19791083479</v>
      </c>
      <c r="G116" s="159">
        <f t="shared" si="42"/>
        <v>105325.28195038543</v>
      </c>
      <c r="H116" s="159">
        <f t="shared" si="42"/>
        <v>104336.61926006687</v>
      </c>
      <c r="I116" s="159">
        <f t="shared" si="42"/>
        <v>307568.96911752888</v>
      </c>
      <c r="J116" s="159">
        <f t="shared" si="42"/>
        <v>148751.4682643624</v>
      </c>
      <c r="K116" s="159">
        <f t="shared" si="42"/>
        <v>144986.93449572599</v>
      </c>
      <c r="L116" s="159">
        <f t="shared" si="42"/>
        <v>112195.03872484567</v>
      </c>
      <c r="M116" s="159">
        <f t="shared" si="42"/>
        <v>102266.03557453776</v>
      </c>
      <c r="N116" s="159">
        <f t="shared" si="42"/>
        <v>128948.25035555226</v>
      </c>
      <c r="O116" s="159">
        <f t="shared" si="42"/>
        <v>120176.07960224588</v>
      </c>
      <c r="P116" s="131"/>
    </row>
    <row r="117" spans="2:16" s="133" customFormat="1">
      <c r="B117" s="111"/>
      <c r="C117" s="111"/>
      <c r="D117" s="242"/>
      <c r="E117" s="242"/>
      <c r="F117" s="242"/>
      <c r="G117" s="242"/>
      <c r="H117" s="242"/>
      <c r="I117" s="242"/>
      <c r="J117" s="242"/>
      <c r="K117" s="242"/>
      <c r="L117" s="242"/>
      <c r="M117" s="242"/>
      <c r="N117" s="242"/>
      <c r="O117" s="242"/>
      <c r="P117" s="131"/>
    </row>
    <row r="118" spans="2:16" s="133" customFormat="1">
      <c r="B118" s="111" t="str">
        <f t="shared" ref="B118:C120" si="43">B29</f>
        <v>Other Costs</v>
      </c>
      <c r="C118" s="111" t="str">
        <f t="shared" si="43"/>
        <v>Material Costs</v>
      </c>
      <c r="D118" s="159">
        <f t="shared" ref="D118:O118" si="44">D29*D70/D107*D74</f>
        <v>29879.726421937266</v>
      </c>
      <c r="E118" s="159">
        <f t="shared" si="44"/>
        <v>32055.280242908942</v>
      </c>
      <c r="F118" s="159">
        <f t="shared" si="44"/>
        <v>30366.119955990096</v>
      </c>
      <c r="G118" s="159">
        <f t="shared" si="44"/>
        <v>33645.084463927051</v>
      </c>
      <c r="H118" s="159">
        <f t="shared" si="44"/>
        <v>35726.740620530465</v>
      </c>
      <c r="I118" s="159">
        <f t="shared" si="44"/>
        <v>117017.36079237357</v>
      </c>
      <c r="J118" s="159">
        <f t="shared" si="44"/>
        <v>126606.26548239541</v>
      </c>
      <c r="K118" s="159">
        <f t="shared" si="44"/>
        <v>139803.91465540213</v>
      </c>
      <c r="L118" s="159">
        <f t="shared" si="44"/>
        <v>129182.15552526063</v>
      </c>
      <c r="M118" s="159">
        <f t="shared" si="44"/>
        <v>114115.22834364125</v>
      </c>
      <c r="N118" s="159">
        <f t="shared" si="44"/>
        <v>122895.68986822612</v>
      </c>
      <c r="O118" s="159">
        <f t="shared" si="44"/>
        <v>119821.47033967318</v>
      </c>
      <c r="P118" s="131"/>
    </row>
    <row r="119" spans="2:16" s="133" customFormat="1">
      <c r="B119" s="111" t="str">
        <f t="shared" si="43"/>
        <v>Other Costs</v>
      </c>
      <c r="C119" s="111" t="str">
        <f t="shared" si="43"/>
        <v>Purchased Services</v>
      </c>
      <c r="D119" s="159">
        <f t="shared" ref="D119:O119" si="45">D30*D70/D107*D74</f>
        <v>95544.031787116939</v>
      </c>
      <c r="E119" s="159">
        <f t="shared" si="45"/>
        <v>109459.712433501</v>
      </c>
      <c r="F119" s="159">
        <f t="shared" si="45"/>
        <v>97233.604618628146</v>
      </c>
      <c r="G119" s="159">
        <f t="shared" si="45"/>
        <v>137591.77728972633</v>
      </c>
      <c r="H119" s="159">
        <f t="shared" si="45"/>
        <v>169054.20629804899</v>
      </c>
      <c r="I119" s="159">
        <f t="shared" si="45"/>
        <v>114722.2064882804</v>
      </c>
      <c r="J119" s="159">
        <f t="shared" si="45"/>
        <v>127932.73784672214</v>
      </c>
      <c r="K119" s="159">
        <f t="shared" si="45"/>
        <v>137680.31624860276</v>
      </c>
      <c r="L119" s="159">
        <f t="shared" si="45"/>
        <v>129582.1475095702</v>
      </c>
      <c r="M119" s="159">
        <f t="shared" si="45"/>
        <v>105517.43834571143</v>
      </c>
      <c r="N119" s="159">
        <f t="shared" si="45"/>
        <v>117059.74637900901</v>
      </c>
      <c r="O119" s="159">
        <f t="shared" si="45"/>
        <v>109646.86616492212</v>
      </c>
      <c r="P119" s="131"/>
    </row>
    <row r="120" spans="2:16" s="133" customFormat="1">
      <c r="B120" s="111" t="str">
        <f t="shared" si="43"/>
        <v>Other Costs</v>
      </c>
      <c r="C120" s="111" t="str">
        <f t="shared" si="43"/>
        <v>Other Costs</v>
      </c>
      <c r="D120" s="159">
        <f t="shared" ref="D120:O120" si="46">D31*D70/D107*D74</f>
        <v>126845.61347070071</v>
      </c>
      <c r="E120" s="159">
        <f t="shared" si="46"/>
        <v>110003.41948251073</v>
      </c>
      <c r="F120" s="159">
        <f t="shared" si="46"/>
        <v>129002.79581578933</v>
      </c>
      <c r="G120" s="159">
        <f t="shared" si="46"/>
        <v>147071.32087326195</v>
      </c>
      <c r="H120" s="159">
        <f t="shared" si="46"/>
        <v>138976.43574008695</v>
      </c>
      <c r="I120" s="159">
        <f t="shared" si="46"/>
        <v>183301.37405371614</v>
      </c>
      <c r="J120" s="159">
        <f t="shared" si="46"/>
        <v>190228.76689425015</v>
      </c>
      <c r="K120" s="159">
        <f t="shared" si="46"/>
        <v>212280.44392993074</v>
      </c>
      <c r="L120" s="159">
        <f t="shared" si="46"/>
        <v>208993.46238793479</v>
      </c>
      <c r="M120" s="159">
        <f t="shared" si="46"/>
        <v>205700.77436178704</v>
      </c>
      <c r="N120" s="159">
        <f t="shared" si="46"/>
        <v>81411.411343058528</v>
      </c>
      <c r="O120" s="159">
        <f t="shared" si="46"/>
        <v>141720.32744793021</v>
      </c>
      <c r="P120" s="131"/>
    </row>
    <row r="121" spans="2:16" s="133" customFormat="1">
      <c r="B121" s="67" t="str">
        <f>B32</f>
        <v>Other Costs Total</v>
      </c>
      <c r="C121" s="111"/>
      <c r="D121" s="159">
        <f>SUM(D118:D120)</f>
        <v>252269.37167975493</v>
      </c>
      <c r="E121" s="159">
        <f t="shared" ref="E121:O121" si="47">SUM(E118:E120)</f>
        <v>251518.41215892066</v>
      </c>
      <c r="F121" s="159">
        <f t="shared" si="47"/>
        <v>256602.52039040759</v>
      </c>
      <c r="G121" s="159">
        <f t="shared" si="47"/>
        <v>318308.18262691534</v>
      </c>
      <c r="H121" s="159">
        <f t="shared" si="47"/>
        <v>343757.38265866641</v>
      </c>
      <c r="I121" s="159">
        <f t="shared" si="47"/>
        <v>415040.94133437012</v>
      </c>
      <c r="J121" s="159">
        <f t="shared" si="47"/>
        <v>444767.77022336773</v>
      </c>
      <c r="K121" s="159">
        <f t="shared" si="47"/>
        <v>489764.67483393563</v>
      </c>
      <c r="L121" s="159">
        <f t="shared" si="47"/>
        <v>467757.76542276563</v>
      </c>
      <c r="M121" s="159">
        <f t="shared" si="47"/>
        <v>425333.44105113973</v>
      </c>
      <c r="N121" s="159">
        <f t="shared" si="47"/>
        <v>321366.84759029368</v>
      </c>
      <c r="O121" s="159">
        <f t="shared" si="47"/>
        <v>371188.66395252547</v>
      </c>
      <c r="P121" s="131"/>
    </row>
    <row r="122" spans="2:16" s="133" customFormat="1">
      <c r="B122" s="111"/>
      <c r="C122" s="111"/>
      <c r="D122" s="242"/>
      <c r="E122" s="242"/>
      <c r="F122" s="242"/>
      <c r="G122" s="242"/>
      <c r="H122" s="242"/>
      <c r="I122" s="242"/>
      <c r="J122" s="242"/>
      <c r="K122" s="242"/>
      <c r="L122" s="242"/>
      <c r="M122" s="242"/>
      <c r="N122" s="242"/>
      <c r="O122" s="242"/>
      <c r="P122" s="131"/>
    </row>
    <row r="123" spans="2:16" s="133" customFormat="1">
      <c r="B123" s="111" t="str">
        <f>B34</f>
        <v>Exceptional Items</v>
      </c>
      <c r="C123" s="111" t="str">
        <f>C34</f>
        <v>Exceptional Items</v>
      </c>
      <c r="D123" s="159">
        <f>D34*D70/D107*D74</f>
        <v>0</v>
      </c>
      <c r="E123" s="159">
        <f t="shared" ref="E123:O123" si="48">E34*E70/E107</f>
        <v>0</v>
      </c>
      <c r="F123" s="159">
        <f t="shared" si="48"/>
        <v>0</v>
      </c>
      <c r="G123" s="159">
        <f t="shared" si="48"/>
        <v>0</v>
      </c>
      <c r="H123" s="159">
        <f t="shared" si="48"/>
        <v>0</v>
      </c>
      <c r="I123" s="159">
        <f t="shared" si="48"/>
        <v>0</v>
      </c>
      <c r="J123" s="159">
        <f t="shared" si="48"/>
        <v>0</v>
      </c>
      <c r="K123" s="159">
        <f t="shared" si="48"/>
        <v>0</v>
      </c>
      <c r="L123" s="159">
        <f t="shared" si="48"/>
        <v>0</v>
      </c>
      <c r="M123" s="159">
        <f t="shared" si="48"/>
        <v>0</v>
      </c>
      <c r="N123" s="159">
        <f t="shared" si="48"/>
        <v>0</v>
      </c>
      <c r="O123" s="159">
        <f t="shared" si="48"/>
        <v>0</v>
      </c>
      <c r="P123" s="131"/>
    </row>
    <row r="124" spans="2:16" s="133" customFormat="1">
      <c r="B124" s="67" t="str">
        <f>B35</f>
        <v>Exceptional Items Total</v>
      </c>
      <c r="C124" s="111"/>
      <c r="D124" s="159">
        <f>D35</f>
        <v>0</v>
      </c>
      <c r="E124" s="159">
        <f t="shared" ref="E124:O126" si="49">E35</f>
        <v>0</v>
      </c>
      <c r="F124" s="159">
        <f t="shared" si="49"/>
        <v>0</v>
      </c>
      <c r="G124" s="159">
        <f t="shared" si="49"/>
        <v>0</v>
      </c>
      <c r="H124" s="159">
        <f t="shared" si="49"/>
        <v>0</v>
      </c>
      <c r="I124" s="159">
        <f t="shared" si="49"/>
        <v>0</v>
      </c>
      <c r="J124" s="159">
        <f t="shared" si="49"/>
        <v>0</v>
      </c>
      <c r="K124" s="159">
        <f t="shared" si="49"/>
        <v>0</v>
      </c>
      <c r="L124" s="159">
        <f t="shared" si="49"/>
        <v>0</v>
      </c>
      <c r="M124" s="159">
        <f t="shared" si="49"/>
        <v>0</v>
      </c>
      <c r="N124" s="159">
        <f t="shared" si="49"/>
        <v>0</v>
      </c>
      <c r="O124" s="159">
        <f t="shared" si="49"/>
        <v>0</v>
      </c>
      <c r="P124" s="131"/>
    </row>
    <row r="125" spans="2:16" s="133" customFormat="1">
      <c r="B125" s="111"/>
      <c r="C125" s="111"/>
      <c r="D125" s="242"/>
      <c r="E125" s="242"/>
      <c r="F125" s="242"/>
      <c r="G125" s="242"/>
      <c r="H125" s="242"/>
      <c r="I125" s="242"/>
      <c r="J125" s="242"/>
      <c r="K125" s="242"/>
      <c r="L125" s="242"/>
      <c r="M125" s="242"/>
      <c r="N125" s="242"/>
      <c r="O125" s="242"/>
      <c r="P125" s="131"/>
    </row>
    <row r="126" spans="2:16" s="133" customFormat="1">
      <c r="B126" s="67" t="str">
        <f>B37</f>
        <v>Grand Total</v>
      </c>
      <c r="C126" s="111"/>
      <c r="D126" s="159">
        <f>D37</f>
        <v>481848</v>
      </c>
      <c r="E126" s="159">
        <f t="shared" si="49"/>
        <v>503088</v>
      </c>
      <c r="F126" s="159">
        <f t="shared" si="49"/>
        <v>520720.45400000003</v>
      </c>
      <c r="G126" s="159">
        <f t="shared" si="49"/>
        <v>615425</v>
      </c>
      <c r="H126" s="159">
        <f t="shared" si="49"/>
        <v>638577.47100000002</v>
      </c>
      <c r="I126" s="159">
        <f t="shared" si="49"/>
        <v>957396</v>
      </c>
      <c r="J126" s="159">
        <f t="shared" si="49"/>
        <v>850732.72300000011</v>
      </c>
      <c r="K126" s="159">
        <f t="shared" si="49"/>
        <v>898706</v>
      </c>
      <c r="L126" s="159">
        <f t="shared" si="49"/>
        <v>957150.79799999995</v>
      </c>
      <c r="M126" s="159">
        <f t="shared" si="49"/>
        <v>953529</v>
      </c>
      <c r="N126" s="159">
        <f t="shared" si="49"/>
        <v>850344.66600000008</v>
      </c>
      <c r="O126" s="159">
        <f t="shared" si="49"/>
        <v>939411.85400000017</v>
      </c>
      <c r="P126" s="131"/>
    </row>
    <row r="127" spans="2:16" s="133" customFormat="1">
      <c r="B127" s="111"/>
      <c r="C127" s="111"/>
      <c r="D127" s="242"/>
      <c r="E127" s="242"/>
      <c r="F127" s="242"/>
      <c r="G127" s="242"/>
      <c r="H127" s="242"/>
      <c r="I127" s="242"/>
      <c r="J127" s="242"/>
      <c r="K127" s="242"/>
      <c r="L127" s="242"/>
      <c r="M127" s="242"/>
      <c r="N127" s="242"/>
      <c r="O127" s="242"/>
      <c r="P127" s="131"/>
    </row>
    <row r="128" spans="2:16" s="133" customFormat="1">
      <c r="B128" s="111" t="str">
        <f>B39</f>
        <v>Cost Residual (Ordinary Opex - Elements)</v>
      </c>
      <c r="C128" s="111"/>
      <c r="D128" s="159">
        <f t="shared" ref="D128:O128" si="50">D39*D70/D107</f>
        <v>0</v>
      </c>
      <c r="E128" s="159">
        <f t="shared" si="50"/>
        <v>0</v>
      </c>
      <c r="F128" s="159">
        <f t="shared" si="50"/>
        <v>0</v>
      </c>
      <c r="G128" s="159">
        <f t="shared" si="50"/>
        <v>0</v>
      </c>
      <c r="H128" s="159">
        <f t="shared" si="50"/>
        <v>0</v>
      </c>
      <c r="I128" s="159">
        <f t="shared" si="50"/>
        <v>0</v>
      </c>
      <c r="J128" s="159">
        <f t="shared" si="50"/>
        <v>0</v>
      </c>
      <c r="K128" s="159">
        <f t="shared" si="50"/>
        <v>0</v>
      </c>
      <c r="L128" s="159">
        <f t="shared" si="50"/>
        <v>0</v>
      </c>
      <c r="M128" s="159">
        <f t="shared" si="50"/>
        <v>0</v>
      </c>
      <c r="N128" s="159">
        <f t="shared" si="50"/>
        <v>0</v>
      </c>
      <c r="O128" s="159">
        <f t="shared" si="50"/>
        <v>0</v>
      </c>
      <c r="P128" s="131"/>
    </row>
    <row r="129" spans="1:16" s="133" customFormat="1">
      <c r="B129" s="111"/>
      <c r="C129" s="111"/>
      <c r="D129" s="242"/>
      <c r="E129" s="242"/>
      <c r="F129" s="242"/>
      <c r="G129" s="242"/>
      <c r="H129" s="242"/>
      <c r="I129" s="242"/>
      <c r="J129" s="242"/>
      <c r="K129" s="242"/>
      <c r="L129" s="242"/>
      <c r="M129" s="242"/>
      <c r="N129" s="242"/>
      <c r="O129" s="242"/>
      <c r="P129" s="131"/>
    </row>
    <row r="130" spans="1:16" s="133" customFormat="1">
      <c r="B130" s="111" t="str">
        <f>B41</f>
        <v>Ordinary Opex (per accounts - including staff, depreciation and other, excluding exceptional)</v>
      </c>
      <c r="C130" s="111"/>
      <c r="D130" s="159">
        <f>D113+D116+D121+D128</f>
        <v>590811.49615710054</v>
      </c>
      <c r="E130" s="159">
        <f t="shared" ref="E130:O130" si="51">E113+E116+E121+E128</f>
        <v>596131.68828227394</v>
      </c>
      <c r="F130" s="159">
        <f t="shared" si="51"/>
        <v>614156.78218778968</v>
      </c>
      <c r="G130" s="159">
        <f t="shared" si="51"/>
        <v>672056.98230818287</v>
      </c>
      <c r="H130" s="159">
        <f t="shared" si="51"/>
        <v>701066.95148833818</v>
      </c>
      <c r="I130" s="159">
        <f t="shared" si="51"/>
        <v>1048398.4198823031</v>
      </c>
      <c r="J130" s="159">
        <f t="shared" si="51"/>
        <v>922096.56378601096</v>
      </c>
      <c r="K130" s="159">
        <f t="shared" si="51"/>
        <v>954408.69642432197</v>
      </c>
      <c r="L130" s="159">
        <f t="shared" si="51"/>
        <v>855169.23294709064</v>
      </c>
      <c r="M130" s="159">
        <f t="shared" si="51"/>
        <v>772084.03058225068</v>
      </c>
      <c r="N130" s="159">
        <f t="shared" si="51"/>
        <v>688983.97157317912</v>
      </c>
      <c r="O130" s="159">
        <f t="shared" si="51"/>
        <v>707910.07043042069</v>
      </c>
      <c r="P130" s="131"/>
    </row>
    <row r="131" spans="1:16" s="133" customFormat="1">
      <c r="B131" s="111"/>
      <c r="C131" s="111"/>
      <c r="D131" s="242"/>
      <c r="E131" s="242"/>
      <c r="F131" s="242"/>
      <c r="G131" s="242"/>
      <c r="H131" s="242"/>
      <c r="I131" s="242"/>
      <c r="J131" s="242"/>
      <c r="K131" s="242"/>
      <c r="L131" s="242"/>
      <c r="M131" s="242"/>
      <c r="N131" s="242"/>
      <c r="O131" s="242"/>
      <c r="P131" s="131"/>
    </row>
    <row r="132" spans="1:16" s="133" customFormat="1">
      <c r="B132" s="111" t="str">
        <f>B43</f>
        <v>Total Opex (ordinary + exceptional)</v>
      </c>
      <c r="C132" s="111"/>
      <c r="D132" s="159">
        <f>D130+D124</f>
        <v>590811.49615710054</v>
      </c>
      <c r="E132" s="159">
        <f t="shared" ref="E132:O132" si="52">E130+E124</f>
        <v>596131.68828227394</v>
      </c>
      <c r="F132" s="159">
        <f t="shared" si="52"/>
        <v>614156.78218778968</v>
      </c>
      <c r="G132" s="159">
        <f t="shared" si="52"/>
        <v>672056.98230818287</v>
      </c>
      <c r="H132" s="159">
        <f t="shared" si="52"/>
        <v>701066.95148833818</v>
      </c>
      <c r="I132" s="159">
        <f t="shared" si="52"/>
        <v>1048398.4198823031</v>
      </c>
      <c r="J132" s="159">
        <f t="shared" si="52"/>
        <v>922096.56378601096</v>
      </c>
      <c r="K132" s="159">
        <f t="shared" si="52"/>
        <v>954408.69642432197</v>
      </c>
      <c r="L132" s="159">
        <f t="shared" si="52"/>
        <v>855169.23294709064</v>
      </c>
      <c r="M132" s="159">
        <f t="shared" si="52"/>
        <v>772084.03058225068</v>
      </c>
      <c r="N132" s="159">
        <f t="shared" si="52"/>
        <v>688983.97157317912</v>
      </c>
      <c r="O132" s="159">
        <f t="shared" si="52"/>
        <v>707910.07043042069</v>
      </c>
      <c r="P132" s="131"/>
    </row>
    <row r="133" spans="1:16" s="133" customFormat="1">
      <c r="B133" s="111"/>
      <c r="C133" s="111"/>
      <c r="D133" s="242"/>
      <c r="E133" s="242"/>
      <c r="F133" s="242"/>
      <c r="G133" s="242"/>
      <c r="H133" s="242"/>
      <c r="I133" s="242"/>
      <c r="J133" s="242"/>
      <c r="K133" s="242"/>
      <c r="L133" s="242"/>
      <c r="M133" s="242"/>
      <c r="N133" s="242"/>
      <c r="O133" s="242"/>
      <c r="P133" s="131"/>
    </row>
    <row r="134" spans="1:16" s="133" customFormat="1">
      <c r="B134" s="111" t="str">
        <f>B45</f>
        <v>Retail Estimate</v>
      </c>
      <c r="C134" s="111"/>
      <c r="D134" s="140">
        <f>D45*D70/D107*D74</f>
        <v>4605.8122366647167</v>
      </c>
      <c r="E134" s="140">
        <f t="shared" ref="E134:O134" si="53">E45*E70/E107</f>
        <v>3537.5691396428656</v>
      </c>
      <c r="F134" s="140">
        <f t="shared" si="53"/>
        <v>2546.3854946386023</v>
      </c>
      <c r="G134" s="140">
        <f t="shared" si="53"/>
        <v>1346.1573174455596</v>
      </c>
      <c r="H134" s="140">
        <f t="shared" si="53"/>
        <v>1472.102059537694</v>
      </c>
      <c r="I134" s="140">
        <f t="shared" si="53"/>
        <v>3866.4051506053715</v>
      </c>
      <c r="J134" s="140">
        <f t="shared" si="53"/>
        <v>8517.3640195702155</v>
      </c>
      <c r="K134" s="140">
        <f t="shared" si="53"/>
        <v>14326.586362559066</v>
      </c>
      <c r="L134" s="140">
        <f t="shared" si="53"/>
        <v>15488.004057709211</v>
      </c>
      <c r="M134" s="140">
        <f t="shared" si="53"/>
        <v>21759.835710795534</v>
      </c>
      <c r="N134" s="140">
        <f t="shared" si="53"/>
        <v>24353.112901775523</v>
      </c>
      <c r="O134" s="140">
        <f t="shared" si="53"/>
        <v>23229.391760162551</v>
      </c>
      <c r="P134" s="131"/>
    </row>
    <row r="135" spans="1:16" s="133" customFormat="1">
      <c r="B135" s="111"/>
      <c r="C135" s="111"/>
      <c r="D135" s="242"/>
      <c r="E135" s="242"/>
      <c r="F135" s="242"/>
      <c r="G135" s="242"/>
      <c r="H135" s="242"/>
      <c r="I135" s="242"/>
      <c r="J135" s="242"/>
      <c r="K135" s="242"/>
      <c r="L135" s="242"/>
      <c r="M135" s="242"/>
      <c r="N135" s="242"/>
      <c r="O135" s="242"/>
      <c r="P135" s="131"/>
    </row>
    <row r="136" spans="1:16" s="133" customFormat="1">
      <c r="A136" s="134"/>
      <c r="B136" s="111" t="str">
        <f>B47</f>
        <v>Adjusted Ordinary Opex (ordinary opex - depreciation - ANS - retail)</v>
      </c>
      <c r="C136" s="111"/>
      <c r="D136" s="159">
        <f>D130-D116-D134</f>
        <v>452539.07407427637</v>
      </c>
      <c r="E136" s="159">
        <f t="shared" ref="E136:O136" si="54">E130-E116-E134</f>
        <v>470790.85055768967</v>
      </c>
      <c r="F136" s="159">
        <f t="shared" si="54"/>
        <v>488981.19878231629</v>
      </c>
      <c r="G136" s="159">
        <f t="shared" si="54"/>
        <v>565385.54304035183</v>
      </c>
      <c r="H136" s="159">
        <f t="shared" si="54"/>
        <v>595258.23016873363</v>
      </c>
      <c r="I136" s="159">
        <f t="shared" si="54"/>
        <v>736963.04561416886</v>
      </c>
      <c r="J136" s="159">
        <f t="shared" si="54"/>
        <v>764827.73150207836</v>
      </c>
      <c r="K136" s="159">
        <f t="shared" si="54"/>
        <v>795095.17556603684</v>
      </c>
      <c r="L136" s="159">
        <f t="shared" si="54"/>
        <v>727486.19016453577</v>
      </c>
      <c r="M136" s="159">
        <f t="shared" si="54"/>
        <v>648058.15929691738</v>
      </c>
      <c r="N136" s="159">
        <f t="shared" si="54"/>
        <v>535682.60831585131</v>
      </c>
      <c r="O136" s="159">
        <f t="shared" si="54"/>
        <v>564504.59906801232</v>
      </c>
      <c r="P136" s="131"/>
    </row>
    <row r="137" spans="1:16" s="133" customFormat="1">
      <c r="B137" s="111"/>
      <c r="C137" s="111"/>
      <c r="D137" s="242"/>
      <c r="E137" s="242"/>
      <c r="F137" s="242"/>
      <c r="G137" s="242"/>
      <c r="H137" s="242"/>
      <c r="I137" s="242"/>
      <c r="J137" s="242"/>
      <c r="K137" s="242"/>
      <c r="L137" s="242"/>
      <c r="M137" s="242"/>
      <c r="N137" s="242"/>
      <c r="O137" s="242"/>
      <c r="P137" s="131"/>
    </row>
    <row r="138" spans="1:16" s="133" customFormat="1">
      <c r="B138" s="111" t="str">
        <f>B49</f>
        <v>Turnover (per accounts)</v>
      </c>
      <c r="C138" s="111"/>
      <c r="D138" s="159">
        <f t="shared" ref="D138:O138" si="55">D49*D70*D74</f>
        <v>608719.65715585777</v>
      </c>
      <c r="E138" s="159">
        <f t="shared" si="55"/>
        <v>633200.40670701035</v>
      </c>
      <c r="F138" s="159">
        <f t="shared" si="55"/>
        <v>626797.3351287269</v>
      </c>
      <c r="G138" s="159">
        <f t="shared" si="55"/>
        <v>661798.57157544163</v>
      </c>
      <c r="H138" s="159">
        <f t="shared" si="55"/>
        <v>675604.89947482292</v>
      </c>
      <c r="I138" s="159">
        <f t="shared" si="55"/>
        <v>884180.30000767403</v>
      </c>
      <c r="J138" s="159">
        <f t="shared" si="55"/>
        <v>957370.17560192081</v>
      </c>
      <c r="K138" s="159">
        <f t="shared" si="55"/>
        <v>989323.11715153349</v>
      </c>
      <c r="L138" s="159">
        <f t="shared" si="55"/>
        <v>988759.55096426501</v>
      </c>
      <c r="M138" s="159">
        <f t="shared" si="55"/>
        <v>950092.1586769555</v>
      </c>
      <c r="N138" s="159">
        <f t="shared" si="55"/>
        <v>984090.91987406113</v>
      </c>
      <c r="O138" s="159">
        <f t="shared" si="55"/>
        <v>1013608.3047386225</v>
      </c>
      <c r="P138" s="131"/>
    </row>
    <row r="139" spans="1:16" s="133" customFormat="1">
      <c r="B139" s="111"/>
      <c r="C139" s="111"/>
      <c r="D139" s="242"/>
      <c r="E139" s="242"/>
      <c r="F139" s="242"/>
      <c r="G139" s="242"/>
      <c r="H139" s="242"/>
      <c r="I139" s="242"/>
      <c r="J139" s="242"/>
      <c r="K139" s="242"/>
      <c r="L139" s="242"/>
      <c r="M139" s="242"/>
      <c r="N139" s="242"/>
      <c r="O139" s="242"/>
      <c r="P139" s="131"/>
    </row>
    <row r="140" spans="1:16" s="133" customFormat="1">
      <c r="B140" s="111" t="str">
        <f>B51</f>
        <v>Operating Profit (pre-exceptional)</v>
      </c>
      <c r="C140" s="111"/>
      <c r="D140" s="159">
        <f>D138-D130</f>
        <v>17908.16099875723</v>
      </c>
      <c r="E140" s="159">
        <f t="shared" ref="E140:O140" si="56">E138-E130</f>
        <v>37068.718424736406</v>
      </c>
      <c r="F140" s="159">
        <f t="shared" si="56"/>
        <v>12640.552940937225</v>
      </c>
      <c r="G140" s="159">
        <f t="shared" si="56"/>
        <v>-10258.410732741235</v>
      </c>
      <c r="H140" s="159">
        <f t="shared" si="56"/>
        <v>-25462.052013515262</v>
      </c>
      <c r="I140" s="159">
        <f t="shared" si="56"/>
        <v>-164218.11987462908</v>
      </c>
      <c r="J140" s="159">
        <f t="shared" si="56"/>
        <v>35273.611815909855</v>
      </c>
      <c r="K140" s="159">
        <f t="shared" si="56"/>
        <v>34914.420727211516</v>
      </c>
      <c r="L140" s="159">
        <f t="shared" si="56"/>
        <v>133590.31801717437</v>
      </c>
      <c r="M140" s="159">
        <f t="shared" si="56"/>
        <v>178008.12809470482</v>
      </c>
      <c r="N140" s="159">
        <f t="shared" si="56"/>
        <v>295106.94830088201</v>
      </c>
      <c r="O140" s="159">
        <f t="shared" si="56"/>
        <v>305698.23430820182</v>
      </c>
      <c r="P140" s="131"/>
    </row>
    <row r="141" spans="1:16" s="133" customFormat="1">
      <c r="B141" s="111"/>
      <c r="C141" s="111"/>
      <c r="D141" s="119"/>
      <c r="E141" s="119"/>
      <c r="F141" s="119"/>
      <c r="G141" s="119"/>
      <c r="H141" s="119"/>
      <c r="I141" s="119"/>
      <c r="J141" s="119"/>
      <c r="K141" s="119"/>
      <c r="L141" s="119"/>
      <c r="M141" s="119"/>
      <c r="N141" s="119"/>
      <c r="O141" s="119"/>
      <c r="P141" s="131"/>
    </row>
    <row r="142" spans="1:16" s="133" customFormat="1">
      <c r="B142" s="111" t="str">
        <f>B53</f>
        <v>Profit Margin</v>
      </c>
      <c r="C142" s="111"/>
      <c r="D142" s="244">
        <f>D140/D138</f>
        <v>2.9419390006937118E-2</v>
      </c>
      <c r="E142" s="244">
        <f t="shared" ref="E142:O142" si="57">E140/E138</f>
        <v>5.8541842412126815E-2</v>
      </c>
      <c r="F142" s="244">
        <f t="shared" si="57"/>
        <v>2.0166890049622185E-2</v>
      </c>
      <c r="G142" s="244">
        <f t="shared" si="57"/>
        <v>-1.5500805189592086E-2</v>
      </c>
      <c r="H142" s="244">
        <f t="shared" si="57"/>
        <v>-3.7687784729370705E-2</v>
      </c>
      <c r="I142" s="244">
        <f t="shared" si="57"/>
        <v>-0.18572922273115991</v>
      </c>
      <c r="J142" s="244">
        <f t="shared" si="57"/>
        <v>3.6844276868905505E-2</v>
      </c>
      <c r="K142" s="244">
        <f t="shared" si="57"/>
        <v>3.5291220958969784E-2</v>
      </c>
      <c r="L142" s="244">
        <f t="shared" si="57"/>
        <v>0.13510900388966507</v>
      </c>
      <c r="M142" s="244">
        <f t="shared" si="57"/>
        <v>0.18735880142678879</v>
      </c>
      <c r="N142" s="244">
        <f t="shared" si="57"/>
        <v>0.29987772708912735</v>
      </c>
      <c r="O142" s="244">
        <f t="shared" si="57"/>
        <v>0.30159405056081473</v>
      </c>
      <c r="P142" s="131"/>
    </row>
    <row r="143" spans="1:16" s="133" customFormat="1">
      <c r="B143" s="111"/>
      <c r="C143" s="111"/>
      <c r="D143" s="161"/>
      <c r="E143" s="161"/>
      <c r="F143" s="161"/>
      <c r="G143" s="161"/>
      <c r="H143" s="161"/>
      <c r="I143" s="161"/>
      <c r="J143" s="161"/>
      <c r="K143" s="161"/>
      <c r="L143" s="161"/>
      <c r="M143" s="161"/>
      <c r="N143" s="161"/>
      <c r="O143" s="161"/>
      <c r="P143" s="131"/>
    </row>
    <row r="144" spans="1:16" s="133" customFormat="1">
      <c r="B144" s="153" t="s">
        <v>1148</v>
      </c>
      <c r="C144" s="94"/>
      <c r="D144" s="94"/>
      <c r="E144" s="94"/>
      <c r="F144" s="94"/>
      <c r="G144" s="94"/>
      <c r="H144" s="94"/>
      <c r="I144" s="94"/>
      <c r="J144" s="94"/>
      <c r="K144" s="94"/>
      <c r="L144" s="94"/>
      <c r="M144" s="94"/>
      <c r="N144" s="94"/>
      <c r="O144" s="94"/>
      <c r="P144" s="131"/>
    </row>
    <row r="145" spans="1:24" s="133" customFormat="1">
      <c r="B145" s="90"/>
      <c r="C145" s="90"/>
      <c r="D145" s="90"/>
      <c r="E145" s="90"/>
      <c r="F145" s="90"/>
      <c r="G145" s="90"/>
      <c r="H145" s="90"/>
      <c r="I145" s="90"/>
      <c r="J145" s="90"/>
      <c r="K145" s="90"/>
      <c r="L145" s="90"/>
      <c r="M145" s="90"/>
      <c r="N145" s="90"/>
      <c r="O145" s="90"/>
      <c r="P145" s="131"/>
    </row>
    <row r="146" spans="1:24" s="133" customFormat="1">
      <c r="B146" s="90" t="s">
        <v>1127</v>
      </c>
      <c r="C146" s="90"/>
      <c r="D146" s="209">
        <f t="shared" ref="D146:O146" si="58">(D132/D55)*1000</f>
        <v>25.547641885983825</v>
      </c>
      <c r="E146" s="209">
        <f t="shared" si="58"/>
        <v>25.206413880857248</v>
      </c>
      <c r="F146" s="209">
        <f t="shared" si="58"/>
        <v>26.517995776674855</v>
      </c>
      <c r="G146" s="209">
        <f t="shared" si="58"/>
        <v>27.754606577043802</v>
      </c>
      <c r="H146" s="209">
        <f t="shared" si="58"/>
        <v>26.124871125139119</v>
      </c>
      <c r="I146" s="209">
        <f t="shared" si="58"/>
        <v>36.631670855426378</v>
      </c>
      <c r="J146" s="209">
        <f t="shared" si="58"/>
        <v>29.977131462484099</v>
      </c>
      <c r="K146" s="209">
        <f t="shared" si="58"/>
        <v>28.070844012480055</v>
      </c>
      <c r="L146" s="209">
        <f t="shared" si="58"/>
        <v>24.787513998466398</v>
      </c>
      <c r="M146" s="209">
        <f t="shared" si="58"/>
        <v>23.609862410833944</v>
      </c>
      <c r="N146" s="209">
        <f t="shared" si="58"/>
        <v>19.831315670401825</v>
      </c>
      <c r="O146" s="209">
        <f t="shared" si="58"/>
        <v>18.727779641016422</v>
      </c>
      <c r="P146" s="131"/>
    </row>
    <row r="147" spans="1:24" s="133" customFormat="1">
      <c r="B147" s="90" t="s">
        <v>299</v>
      </c>
      <c r="C147" s="90"/>
      <c r="D147" s="209">
        <f t="shared" ref="D147:O147" si="59">(D130/D55)*1000</f>
        <v>25.547641885983825</v>
      </c>
      <c r="E147" s="209">
        <f t="shared" si="59"/>
        <v>25.206413880857248</v>
      </c>
      <c r="F147" s="209">
        <f t="shared" si="59"/>
        <v>26.517995776674855</v>
      </c>
      <c r="G147" s="209">
        <f t="shared" si="59"/>
        <v>27.754606577043802</v>
      </c>
      <c r="H147" s="209">
        <f t="shared" si="59"/>
        <v>26.124871125139119</v>
      </c>
      <c r="I147" s="209">
        <f t="shared" si="59"/>
        <v>36.631670855426378</v>
      </c>
      <c r="J147" s="209">
        <f t="shared" si="59"/>
        <v>29.977131462484099</v>
      </c>
      <c r="K147" s="209">
        <f t="shared" si="59"/>
        <v>28.070844012480055</v>
      </c>
      <c r="L147" s="209">
        <f t="shared" si="59"/>
        <v>24.787513998466398</v>
      </c>
      <c r="M147" s="209">
        <f t="shared" si="59"/>
        <v>23.609862410833944</v>
      </c>
      <c r="N147" s="209">
        <f t="shared" si="59"/>
        <v>19.831315670401825</v>
      </c>
      <c r="O147" s="209">
        <f t="shared" si="59"/>
        <v>18.727779641016422</v>
      </c>
      <c r="P147" s="131"/>
    </row>
    <row r="148" spans="1:24" s="133" customFormat="1">
      <c r="B148" s="90" t="s">
        <v>300</v>
      </c>
      <c r="C148" s="90"/>
      <c r="D148" s="209">
        <f t="shared" ref="D148:O148" si="60">(D136/D55)*1000</f>
        <v>19.568519365422258</v>
      </c>
      <c r="E148" s="209">
        <f t="shared" si="60"/>
        <v>19.906589875589415</v>
      </c>
      <c r="F148" s="209">
        <f t="shared" si="60"/>
        <v>21.113177840341809</v>
      </c>
      <c r="G148" s="209">
        <f t="shared" si="60"/>
        <v>23.349289903273974</v>
      </c>
      <c r="H148" s="209">
        <f t="shared" si="60"/>
        <v>22.181967808241847</v>
      </c>
      <c r="I148" s="209">
        <f t="shared" si="60"/>
        <v>25.749931712584516</v>
      </c>
      <c r="J148" s="209">
        <f t="shared" si="60"/>
        <v>24.864360581992145</v>
      </c>
      <c r="K148" s="209">
        <f t="shared" si="60"/>
        <v>23.385152222530497</v>
      </c>
      <c r="L148" s="209">
        <f t="shared" si="60"/>
        <v>21.086556236653209</v>
      </c>
      <c r="M148" s="209">
        <f t="shared" si="60"/>
        <v>19.81722632403099</v>
      </c>
      <c r="N148" s="209">
        <f t="shared" si="60"/>
        <v>15.418778002047517</v>
      </c>
      <c r="O148" s="209">
        <f t="shared" si="60"/>
        <v>14.933984102328369</v>
      </c>
      <c r="P148" s="131"/>
    </row>
    <row r="149" spans="1:24" s="133" customFormat="1">
      <c r="B149" s="90" t="s">
        <v>265</v>
      </c>
      <c r="C149" s="90"/>
      <c r="D149" s="209">
        <f t="shared" ref="D149:O149" si="61">D113*1000/D55</f>
        <v>8.8591476520836103</v>
      </c>
      <c r="E149" s="209">
        <f t="shared" si="61"/>
        <v>9.4211419677975421</v>
      </c>
      <c r="F149" s="209">
        <f t="shared" si="61"/>
        <v>10.143569252441591</v>
      </c>
      <c r="G149" s="209">
        <f t="shared" si="61"/>
        <v>10.259393445218505</v>
      </c>
      <c r="H149" s="209">
        <f t="shared" si="61"/>
        <v>9.4268966631815019</v>
      </c>
      <c r="I149" s="209">
        <f t="shared" si="61"/>
        <v>11.383246311334879</v>
      </c>
      <c r="J149" s="209">
        <f t="shared" si="61"/>
        <v>10.681967662492873</v>
      </c>
      <c r="K149" s="209">
        <f t="shared" si="61"/>
        <v>9.4016790321958901</v>
      </c>
      <c r="L149" s="209">
        <f t="shared" si="61"/>
        <v>7.977287791289255</v>
      </c>
      <c r="M149" s="209">
        <f t="shared" si="61"/>
        <v>7.4761897045529926</v>
      </c>
      <c r="N149" s="209">
        <f t="shared" si="61"/>
        <v>6.8697066534009581</v>
      </c>
      <c r="O149" s="209">
        <f t="shared" si="61"/>
        <v>5.7287123512076539</v>
      </c>
      <c r="P149" s="131"/>
    </row>
    <row r="150" spans="1:24" s="133" customFormat="1">
      <c r="B150" s="111" t="s">
        <v>1136</v>
      </c>
      <c r="C150" s="111"/>
      <c r="D150" s="159">
        <f t="shared" ref="D150:O150" si="62">D113/D57*1000</f>
        <v>59591.48185898373</v>
      </c>
      <c r="E150" s="159">
        <f t="shared" si="62"/>
        <v>58327.227104296304</v>
      </c>
      <c r="F150" s="159">
        <f t="shared" si="62"/>
        <v>59429.563340892295</v>
      </c>
      <c r="G150" s="159">
        <f t="shared" si="62"/>
        <v>58411.360858425156</v>
      </c>
      <c r="H150" s="159">
        <f t="shared" si="62"/>
        <v>57862.065317841909</v>
      </c>
      <c r="I150" s="159">
        <f t="shared" si="62"/>
        <v>48086.864860576272</v>
      </c>
      <c r="J150" s="159">
        <f t="shared" si="62"/>
        <v>45724.648663829779</v>
      </c>
      <c r="K150" s="159">
        <f t="shared" si="62"/>
        <v>43261.210866783098</v>
      </c>
      <c r="L150" s="159">
        <f t="shared" si="62"/>
        <v>36169.855276577648</v>
      </c>
      <c r="M150" s="159">
        <f t="shared" si="62"/>
        <v>33190.952206974369</v>
      </c>
      <c r="N150" s="159">
        <f t="shared" si="62"/>
        <v>33563.334780949677</v>
      </c>
      <c r="O150" s="159">
        <f t="shared" si="62"/>
        <v>32465.566248223284</v>
      </c>
      <c r="P150" s="131"/>
    </row>
    <row r="151" spans="1:24" s="133" customFormat="1">
      <c r="B151" s="111"/>
      <c r="C151" s="111"/>
      <c r="D151" s="161"/>
      <c r="E151" s="161"/>
      <c r="F151" s="161"/>
      <c r="G151" s="161"/>
      <c r="H151" s="161"/>
      <c r="I151" s="161"/>
      <c r="J151" s="161"/>
      <c r="K151" s="161"/>
      <c r="L151" s="161"/>
      <c r="M151" s="161"/>
      <c r="N151" s="161"/>
      <c r="O151" s="161"/>
      <c r="P151" s="131"/>
    </row>
    <row r="152" spans="1:24" s="126" customFormat="1">
      <c r="A152" s="90"/>
      <c r="B152" s="153" t="s">
        <v>163</v>
      </c>
      <c r="C152" s="94"/>
      <c r="D152" s="94"/>
      <c r="E152" s="94"/>
      <c r="F152" s="94"/>
      <c r="G152" s="94"/>
      <c r="H152" s="94"/>
      <c r="I152" s="94"/>
      <c r="J152" s="94"/>
      <c r="K152" s="94"/>
      <c r="L152" s="94"/>
      <c r="M152" s="94"/>
      <c r="N152" s="94"/>
      <c r="O152" s="94"/>
      <c r="Q152" s="90"/>
      <c r="R152" s="90"/>
      <c r="S152" s="90"/>
      <c r="T152" s="90"/>
      <c r="U152" s="90"/>
      <c r="V152" s="90"/>
      <c r="W152" s="90"/>
      <c r="X152" s="90"/>
    </row>
    <row r="222" spans="1:25" s="126" customFormat="1">
      <c r="A222" s="90"/>
      <c r="B222" s="153" t="s">
        <v>163</v>
      </c>
      <c r="C222" s="94"/>
      <c r="D222" s="94"/>
      <c r="E222" s="94"/>
      <c r="F222" s="94"/>
      <c r="G222" s="94"/>
      <c r="H222" s="94"/>
      <c r="I222" s="94"/>
      <c r="J222" s="94"/>
      <c r="K222" s="94"/>
      <c r="L222" s="94"/>
      <c r="M222" s="94"/>
      <c r="N222" s="94"/>
      <c r="O222" s="94"/>
      <c r="P222" s="94"/>
      <c r="R222" s="90"/>
      <c r="S222" s="90"/>
      <c r="T222" s="90"/>
      <c r="U222" s="90"/>
      <c r="V222" s="90"/>
      <c r="W222" s="90"/>
      <c r="X222" s="90"/>
      <c r="Y222" s="90"/>
    </row>
  </sheetData>
  <pageMargins left="0.75" right="0.75" top="1" bottom="1" header="0.5" footer="0.5"/>
  <pageSetup paperSize="9" scale="83" orientation="landscape" r:id="rId1"/>
  <headerFooter alignWithMargins="0">
    <oddFooter>&amp;L&amp;F \ &amp;A&amp;R&amp;T  &amp;D</oddFooter>
  </headerFooter>
  <legacyDrawing r:id="rId2"/>
</worksheet>
</file>

<file path=xl/worksheets/sheet31.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topLeftCell="A10" zoomScale="85" workbookViewId="0">
      <selection activeCell="I42" sqref="I42"/>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Economic Data&gt;&gt;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2:X111"/>
  <sheetViews>
    <sheetView showGridLines="0" topLeftCell="A88" zoomScale="70" zoomScaleNormal="70" workbookViewId="0">
      <selection activeCell="U19" sqref="U19"/>
    </sheetView>
  </sheetViews>
  <sheetFormatPr defaultRowHeight="12.75"/>
  <cols>
    <col min="1" max="1" width="10.42578125" style="72" customWidth="1"/>
    <col min="2" max="2" width="15.140625" style="72" customWidth="1"/>
    <col min="3" max="16" width="9.140625" style="72"/>
    <col min="17" max="17" width="12.140625" style="72" customWidth="1"/>
    <col min="18" max="16384" width="9.140625" style="72"/>
  </cols>
  <sheetData>
    <row r="2" spans="2:24">
      <c r="B2" s="268" t="s">
        <v>134</v>
      </c>
      <c r="C2" s="269"/>
      <c r="D2" s="270" t="str">
        <f>Info!$D$10</f>
        <v>Duncan Kernohan</v>
      </c>
      <c r="E2" s="269"/>
      <c r="F2" s="269"/>
      <c r="G2" s="269"/>
      <c r="H2" s="269"/>
      <c r="I2" s="269"/>
      <c r="J2" s="269"/>
      <c r="K2" s="269"/>
      <c r="L2" s="269"/>
      <c r="M2" s="269"/>
      <c r="N2" s="269"/>
      <c r="O2" s="269"/>
      <c r="P2" s="269"/>
      <c r="Q2" s="269"/>
      <c r="R2" s="269"/>
      <c r="S2" s="269"/>
      <c r="T2" s="269"/>
      <c r="U2" s="269"/>
      <c r="V2" s="269"/>
      <c r="W2" s="269"/>
      <c r="X2" s="269"/>
    </row>
    <row r="3" spans="2:24">
      <c r="B3" s="271" t="s">
        <v>137</v>
      </c>
      <c r="C3" s="272"/>
      <c r="D3" s="273" t="str">
        <f>Info!$D$11 &amp; " - " &amp; Info!$D$12</f>
        <v>Airport Opex Benchmarking 2013 - duncan.kernohan@caa.co.uk</v>
      </c>
      <c r="E3" s="272"/>
      <c r="F3" s="272"/>
      <c r="G3" s="272"/>
      <c r="H3" s="272"/>
      <c r="I3" s="272"/>
      <c r="J3" s="272"/>
      <c r="K3" s="272"/>
      <c r="L3" s="272"/>
      <c r="M3" s="272"/>
      <c r="N3" s="272"/>
      <c r="O3" s="272"/>
      <c r="P3" s="272"/>
      <c r="Q3" s="272"/>
      <c r="R3" s="272"/>
      <c r="S3" s="272"/>
      <c r="T3" s="272"/>
      <c r="U3" s="272"/>
      <c r="V3" s="272"/>
      <c r="W3" s="272"/>
      <c r="X3" s="272"/>
    </row>
    <row r="4" spans="2:24">
      <c r="B4" s="271" t="s">
        <v>130</v>
      </c>
      <c r="C4" s="272"/>
      <c r="D4" s="274">
        <f>Info!$D$16</f>
        <v>2.8</v>
      </c>
      <c r="E4" s="272"/>
      <c r="F4" s="272"/>
      <c r="G4" s="272"/>
      <c r="H4" s="272"/>
      <c r="I4" s="272"/>
      <c r="J4" s="272"/>
      <c r="K4" s="272"/>
      <c r="L4" s="272"/>
      <c r="M4" s="272"/>
      <c r="N4" s="272"/>
      <c r="O4" s="272"/>
      <c r="P4" s="272"/>
      <c r="Q4" s="272"/>
      <c r="R4" s="272"/>
      <c r="S4" s="272"/>
      <c r="T4" s="272"/>
      <c r="U4" s="272"/>
      <c r="V4" s="272"/>
      <c r="W4" s="272"/>
      <c r="X4" s="272"/>
    </row>
    <row r="5" spans="2:24">
      <c r="B5" s="275" t="s">
        <v>138</v>
      </c>
      <c r="C5" s="276"/>
      <c r="D5" s="277" t="str">
        <f ca="1">IF(CELL("filename",C1)="","",MID(CELL("filename",A1),FIND("]",CELL("filename",A1))+1,99))</f>
        <v>RPI</v>
      </c>
      <c r="E5" s="276"/>
      <c r="F5" s="276"/>
      <c r="G5" s="276"/>
      <c r="H5" s="276"/>
      <c r="I5" s="276"/>
      <c r="J5" s="276"/>
      <c r="K5" s="276"/>
      <c r="L5" s="276"/>
      <c r="M5" s="276"/>
      <c r="N5" s="276"/>
      <c r="O5" s="276"/>
      <c r="P5" s="276"/>
      <c r="Q5" s="276"/>
      <c r="R5" s="276"/>
      <c r="S5" s="276"/>
      <c r="T5" s="276"/>
      <c r="U5" s="276"/>
      <c r="V5" s="276"/>
      <c r="W5" s="276"/>
      <c r="X5" s="276"/>
    </row>
    <row r="7" spans="2:24">
      <c r="B7" s="3" t="s">
        <v>20</v>
      </c>
      <c r="F7" s="72" t="s">
        <v>285</v>
      </c>
    </row>
    <row r="8" spans="2:24">
      <c r="B8" s="2"/>
      <c r="F8" s="72" t="s">
        <v>258</v>
      </c>
    </row>
    <row r="9" spans="2:24">
      <c r="B9" s="4"/>
    </row>
    <row r="10" spans="2:24">
      <c r="B10" s="278" t="s">
        <v>139</v>
      </c>
      <c r="C10" s="279"/>
      <c r="D10" s="279"/>
      <c r="E10" s="279"/>
      <c r="F10" s="279"/>
      <c r="G10" s="279"/>
      <c r="H10" s="279"/>
      <c r="I10" s="279"/>
      <c r="J10" s="279"/>
      <c r="K10" s="279"/>
      <c r="L10" s="279"/>
      <c r="M10" s="279"/>
      <c r="N10" s="279"/>
      <c r="O10" s="279"/>
      <c r="P10" s="279"/>
      <c r="Q10" s="279"/>
      <c r="R10" s="279"/>
      <c r="S10" s="279"/>
      <c r="T10" s="279"/>
      <c r="U10" s="279"/>
      <c r="V10" s="279"/>
      <c r="W10" s="279"/>
      <c r="X10" s="279"/>
    </row>
    <row r="12" spans="2:24">
      <c r="B12" s="2" t="s">
        <v>0</v>
      </c>
      <c r="C12" s="2" t="s">
        <v>1</v>
      </c>
    </row>
    <row r="14" spans="2:24">
      <c r="C14" s="73" t="s">
        <v>2</v>
      </c>
      <c r="D14" s="72" t="s">
        <v>3</v>
      </c>
      <c r="E14" s="72" t="s">
        <v>3</v>
      </c>
      <c r="F14" s="72" t="s">
        <v>3</v>
      </c>
      <c r="G14" s="72" t="s">
        <v>3</v>
      </c>
      <c r="H14" s="72" t="s">
        <v>3</v>
      </c>
      <c r="I14" s="72" t="s">
        <v>3</v>
      </c>
      <c r="J14" s="72" t="s">
        <v>3</v>
      </c>
      <c r="K14" s="72" t="s">
        <v>3</v>
      </c>
      <c r="L14" s="72" t="s">
        <v>3</v>
      </c>
      <c r="M14" s="72" t="s">
        <v>3</v>
      </c>
      <c r="N14" s="72" t="s">
        <v>3</v>
      </c>
      <c r="O14" s="72" t="s">
        <v>3</v>
      </c>
    </row>
    <row r="15" spans="2:24" ht="51.75" thickBot="1">
      <c r="C15" s="74" t="s">
        <v>4</v>
      </c>
      <c r="D15" s="75" t="s">
        <v>5</v>
      </c>
      <c r="E15" s="75" t="s">
        <v>6</v>
      </c>
      <c r="F15" s="75" t="s">
        <v>7</v>
      </c>
      <c r="G15" s="75" t="s">
        <v>8</v>
      </c>
      <c r="H15" s="75" t="s">
        <v>9</v>
      </c>
      <c r="I15" s="75" t="s">
        <v>10</v>
      </c>
      <c r="J15" s="75" t="s">
        <v>11</v>
      </c>
      <c r="K15" s="75" t="s">
        <v>12</v>
      </c>
      <c r="L15" s="75" t="s">
        <v>13</v>
      </c>
      <c r="M15" s="75" t="s">
        <v>14</v>
      </c>
      <c r="N15" s="75" t="s">
        <v>15</v>
      </c>
      <c r="O15" s="75" t="s">
        <v>16</v>
      </c>
      <c r="P15" s="171"/>
      <c r="R15" s="267" t="s">
        <v>17</v>
      </c>
    </row>
    <row r="18" spans="2:18">
      <c r="B18" s="72" t="s">
        <v>18</v>
      </c>
      <c r="C18" s="2" t="s">
        <v>19</v>
      </c>
    </row>
    <row r="20" spans="2:18">
      <c r="B20" s="72">
        <v>1987</v>
      </c>
      <c r="C20" s="117">
        <f t="shared" ref="C20:C38" si="0">AVERAGE(D20:O20)</f>
        <v>101.875</v>
      </c>
      <c r="D20" s="116">
        <v>100</v>
      </c>
      <c r="E20" s="248">
        <v>100.4</v>
      </c>
      <c r="F20" s="248">
        <v>100.6</v>
      </c>
      <c r="G20" s="248">
        <v>101.8</v>
      </c>
      <c r="H20" s="248">
        <v>101.9</v>
      </c>
      <c r="I20" s="248">
        <v>101.9</v>
      </c>
      <c r="J20" s="248">
        <v>101.8</v>
      </c>
      <c r="K20" s="248">
        <v>102.1</v>
      </c>
      <c r="L20" s="248">
        <v>102.4</v>
      </c>
      <c r="M20" s="248">
        <v>102.9</v>
      </c>
      <c r="N20" s="248">
        <v>103.4</v>
      </c>
      <c r="O20" s="248">
        <v>103.3</v>
      </c>
      <c r="P20" s="248"/>
      <c r="Q20" s="72" t="s">
        <v>272</v>
      </c>
      <c r="R20" s="115">
        <f t="shared" ref="R20:R43" si="1">(SUM(G20:O20)+SUM(D21:F21))/12</f>
        <v>102.71666666666665</v>
      </c>
    </row>
    <row r="21" spans="2:18">
      <c r="B21" s="72">
        <v>1988</v>
      </c>
      <c r="C21" s="117">
        <f t="shared" si="0"/>
        <v>106.875</v>
      </c>
      <c r="D21" s="248">
        <v>103.3</v>
      </c>
      <c r="E21" s="248">
        <v>103.7</v>
      </c>
      <c r="F21" s="248">
        <v>104.1</v>
      </c>
      <c r="G21" s="248">
        <v>105.8</v>
      </c>
      <c r="H21" s="248">
        <v>106.2</v>
      </c>
      <c r="I21" s="248">
        <v>106.6</v>
      </c>
      <c r="J21" s="248">
        <v>106.7</v>
      </c>
      <c r="K21" s="248">
        <v>107.9</v>
      </c>
      <c r="L21" s="248">
        <v>108.4</v>
      </c>
      <c r="M21" s="248">
        <v>109.5</v>
      </c>
      <c r="N21" s="116">
        <v>110</v>
      </c>
      <c r="O21" s="248">
        <v>110.3</v>
      </c>
      <c r="P21" s="248"/>
      <c r="Q21" s="72" t="s">
        <v>273</v>
      </c>
      <c r="R21" s="115">
        <f t="shared" si="1"/>
        <v>108.875</v>
      </c>
    </row>
    <row r="22" spans="2:18">
      <c r="B22" s="72">
        <v>1989</v>
      </c>
      <c r="C22" s="117">
        <f t="shared" si="0"/>
        <v>115.20833333333333</v>
      </c>
      <c r="D22" s="116">
        <v>111</v>
      </c>
      <c r="E22" s="248">
        <v>111.8</v>
      </c>
      <c r="F22" s="248">
        <v>112.3</v>
      </c>
      <c r="G22" s="248">
        <v>114.3</v>
      </c>
      <c r="H22" s="116">
        <v>115</v>
      </c>
      <c r="I22" s="248">
        <v>115.4</v>
      </c>
      <c r="J22" s="248">
        <v>115.5</v>
      </c>
      <c r="K22" s="248">
        <v>115.8</v>
      </c>
      <c r="L22" s="248">
        <v>116.6</v>
      </c>
      <c r="M22" s="248">
        <v>117.5</v>
      </c>
      <c r="N22" s="248">
        <v>118.5</v>
      </c>
      <c r="O22" s="248">
        <v>118.8</v>
      </c>
      <c r="P22" s="248"/>
      <c r="Q22" s="72" t="s">
        <v>274</v>
      </c>
      <c r="R22" s="115">
        <f t="shared" si="1"/>
        <v>117.375</v>
      </c>
    </row>
    <row r="23" spans="2:18">
      <c r="B23" s="72">
        <v>1990</v>
      </c>
      <c r="C23" s="117">
        <f t="shared" si="0"/>
        <v>126.12500000000001</v>
      </c>
      <c r="D23" s="248">
        <v>119.5</v>
      </c>
      <c r="E23" s="248">
        <v>120.2</v>
      </c>
      <c r="F23" s="248">
        <v>121.4</v>
      </c>
      <c r="G23" s="248">
        <v>125.1</v>
      </c>
      <c r="H23" s="248">
        <v>126.2</v>
      </c>
      <c r="I23" s="248">
        <v>126.7</v>
      </c>
      <c r="J23" s="248">
        <v>126.8</v>
      </c>
      <c r="K23" s="248">
        <v>128.1</v>
      </c>
      <c r="L23" s="248">
        <v>129.30000000000001</v>
      </c>
      <c r="M23" s="248">
        <v>130.30000000000001</v>
      </c>
      <c r="N23" s="116">
        <v>130</v>
      </c>
      <c r="O23" s="248">
        <v>129.9</v>
      </c>
      <c r="P23" s="248"/>
      <c r="Q23" s="72" t="s">
        <v>275</v>
      </c>
      <c r="R23" s="115">
        <f t="shared" si="1"/>
        <v>128.74166666666667</v>
      </c>
    </row>
    <row r="24" spans="2:18">
      <c r="B24" s="72">
        <v>1991</v>
      </c>
      <c r="C24" s="117">
        <f t="shared" si="0"/>
        <v>133.5083333333333</v>
      </c>
      <c r="D24" s="248">
        <v>130.19999999999999</v>
      </c>
      <c r="E24" s="248">
        <v>130.9</v>
      </c>
      <c r="F24" s="248">
        <v>131.4</v>
      </c>
      <c r="G24" s="248">
        <v>133.1</v>
      </c>
      <c r="H24" s="248">
        <v>133.5</v>
      </c>
      <c r="I24" s="248">
        <v>134.1</v>
      </c>
      <c r="J24" s="248">
        <v>133.80000000000001</v>
      </c>
      <c r="K24" s="248">
        <v>134.1</v>
      </c>
      <c r="L24" s="248">
        <v>134.6</v>
      </c>
      <c r="M24" s="248">
        <v>135.1</v>
      </c>
      <c r="N24" s="248">
        <v>135.6</v>
      </c>
      <c r="O24" s="248">
        <v>135.69999999999999</v>
      </c>
      <c r="P24" s="248"/>
      <c r="Q24" s="72" t="s">
        <v>276</v>
      </c>
      <c r="R24" s="115">
        <f t="shared" si="1"/>
        <v>134.85</v>
      </c>
    </row>
    <row r="25" spans="2:18">
      <c r="B25" s="72">
        <v>1992</v>
      </c>
      <c r="C25" s="117">
        <f t="shared" si="0"/>
        <v>138.4916666666667</v>
      </c>
      <c r="D25" s="248">
        <v>135.6</v>
      </c>
      <c r="E25" s="248">
        <v>136.30000000000001</v>
      </c>
      <c r="F25" s="248">
        <v>136.69999999999999</v>
      </c>
      <c r="G25" s="248">
        <v>138.80000000000001</v>
      </c>
      <c r="H25" s="248">
        <v>139.30000000000001</v>
      </c>
      <c r="I25" s="248">
        <v>139.30000000000001</v>
      </c>
      <c r="J25" s="248">
        <v>138.80000000000001</v>
      </c>
      <c r="K25" s="248">
        <v>138.9</v>
      </c>
      <c r="L25" s="248">
        <v>139.4</v>
      </c>
      <c r="M25" s="248">
        <v>139.9</v>
      </c>
      <c r="N25" s="248">
        <v>139.69999999999999</v>
      </c>
      <c r="O25" s="248">
        <v>139.19999999999999</v>
      </c>
      <c r="P25" s="248"/>
      <c r="Q25" s="72" t="s">
        <v>277</v>
      </c>
      <c r="R25" s="115">
        <f t="shared" si="1"/>
        <v>139.10833333333332</v>
      </c>
    </row>
    <row r="26" spans="2:18">
      <c r="B26" s="72">
        <v>1993</v>
      </c>
      <c r="C26" s="117">
        <f t="shared" si="0"/>
        <v>140.65833333333333</v>
      </c>
      <c r="D26" s="248">
        <v>137.9</v>
      </c>
      <c r="E26" s="248">
        <v>138.80000000000001</v>
      </c>
      <c r="F26" s="248">
        <v>139.30000000000001</v>
      </c>
      <c r="G26" s="248">
        <v>140.6</v>
      </c>
      <c r="H26" s="248">
        <v>141.1</v>
      </c>
      <c r="I26" s="116">
        <v>141</v>
      </c>
      <c r="J26" s="248">
        <v>140.69999999999999</v>
      </c>
      <c r="K26" s="248">
        <v>141.30000000000001</v>
      </c>
      <c r="L26" s="248">
        <v>141.9</v>
      </c>
      <c r="M26" s="248">
        <v>141.80000000000001</v>
      </c>
      <c r="N26" s="248">
        <v>141.6</v>
      </c>
      <c r="O26" s="248">
        <v>141.9</v>
      </c>
      <c r="P26" s="248"/>
      <c r="Q26" s="72" t="s">
        <v>278</v>
      </c>
      <c r="R26" s="115">
        <f t="shared" si="1"/>
        <v>141.48333333333335</v>
      </c>
    </row>
    <row r="27" spans="2:18">
      <c r="B27" s="72">
        <v>1994</v>
      </c>
      <c r="C27" s="117">
        <f t="shared" si="0"/>
        <v>144.14166666666668</v>
      </c>
      <c r="D27" s="248">
        <v>141.30000000000001</v>
      </c>
      <c r="E27" s="248">
        <v>142.1</v>
      </c>
      <c r="F27" s="248">
        <v>142.5</v>
      </c>
      <c r="G27" s="248">
        <v>144.19999999999999</v>
      </c>
      <c r="H27" s="248">
        <v>144.69999999999999</v>
      </c>
      <c r="I27" s="248">
        <v>144.69999999999999</v>
      </c>
      <c r="J27" s="116">
        <v>144</v>
      </c>
      <c r="K27" s="248">
        <v>144.69999999999999</v>
      </c>
      <c r="L27" s="116">
        <v>145</v>
      </c>
      <c r="M27" s="248">
        <v>145.19999999999999</v>
      </c>
      <c r="N27" s="248">
        <v>145.30000000000001</v>
      </c>
      <c r="O27" s="116">
        <v>146</v>
      </c>
      <c r="P27" s="116"/>
      <c r="Q27" s="72" t="s">
        <v>279</v>
      </c>
      <c r="R27" s="115">
        <f t="shared" si="1"/>
        <v>145.35</v>
      </c>
    </row>
    <row r="28" spans="2:18">
      <c r="B28" s="72">
        <v>1995</v>
      </c>
      <c r="C28" s="117">
        <f t="shared" si="0"/>
        <v>149.05833333333331</v>
      </c>
      <c r="D28" s="116">
        <v>146</v>
      </c>
      <c r="E28" s="248">
        <v>146.9</v>
      </c>
      <c r="F28" s="248">
        <v>147.5</v>
      </c>
      <c r="G28" s="116">
        <v>149</v>
      </c>
      <c r="H28" s="248">
        <v>149.6</v>
      </c>
      <c r="I28" s="248">
        <v>149.80000000000001</v>
      </c>
      <c r="J28" s="248">
        <v>149.1</v>
      </c>
      <c r="K28" s="248">
        <v>149.9</v>
      </c>
      <c r="L28" s="248">
        <v>150.6</v>
      </c>
      <c r="M28" s="248">
        <v>149.80000000000001</v>
      </c>
      <c r="N28" s="248">
        <v>149.80000000000001</v>
      </c>
      <c r="O28" s="248">
        <v>150.69999999999999</v>
      </c>
      <c r="P28" s="248"/>
      <c r="Q28" s="72" t="s">
        <v>280</v>
      </c>
      <c r="R28" s="115">
        <f t="shared" si="1"/>
        <v>150.07500000000002</v>
      </c>
    </row>
    <row r="29" spans="2:18">
      <c r="B29" s="72">
        <v>1996</v>
      </c>
      <c r="C29" s="117">
        <f t="shared" si="0"/>
        <v>152.70833333333334</v>
      </c>
      <c r="D29" s="248">
        <v>150.19999999999999</v>
      </c>
      <c r="E29" s="248">
        <v>150.9</v>
      </c>
      <c r="F29" s="248">
        <v>151.5</v>
      </c>
      <c r="G29" s="248">
        <v>152.6</v>
      </c>
      <c r="H29" s="248">
        <v>152.9</v>
      </c>
      <c r="I29" s="116">
        <v>153</v>
      </c>
      <c r="J29" s="248">
        <v>152.4</v>
      </c>
      <c r="K29" s="248">
        <v>153.1</v>
      </c>
      <c r="L29" s="248">
        <v>153.80000000000001</v>
      </c>
      <c r="M29" s="248">
        <v>153.80000000000001</v>
      </c>
      <c r="N29" s="248">
        <v>153.9</v>
      </c>
      <c r="O29" s="248">
        <v>154.4</v>
      </c>
      <c r="P29" s="248"/>
      <c r="Q29" s="72" t="s">
        <v>281</v>
      </c>
      <c r="R29" s="115">
        <f t="shared" si="1"/>
        <v>153.72499999999999</v>
      </c>
    </row>
    <row r="30" spans="2:18">
      <c r="B30" s="72">
        <v>1997</v>
      </c>
      <c r="C30" s="117">
        <f t="shared" si="0"/>
        <v>157.49166666666665</v>
      </c>
      <c r="D30" s="248">
        <v>154.4</v>
      </c>
      <c r="E30" s="116">
        <v>155</v>
      </c>
      <c r="F30" s="248">
        <v>155.4</v>
      </c>
      <c r="G30" s="248">
        <v>156.30000000000001</v>
      </c>
      <c r="H30" s="248">
        <v>156.9</v>
      </c>
      <c r="I30" s="248">
        <v>157.5</v>
      </c>
      <c r="J30" s="248">
        <v>157.5</v>
      </c>
      <c r="K30" s="248">
        <v>158.5</v>
      </c>
      <c r="L30" s="248">
        <v>159.30000000000001</v>
      </c>
      <c r="M30" s="248">
        <v>159.5</v>
      </c>
      <c r="N30" s="248">
        <v>159.6</v>
      </c>
      <c r="O30" s="116">
        <v>160</v>
      </c>
      <c r="P30" s="116"/>
      <c r="Q30" s="72" t="s">
        <v>282</v>
      </c>
      <c r="R30" s="115">
        <f t="shared" si="1"/>
        <v>158.80833333333331</v>
      </c>
    </row>
    <row r="31" spans="2:18">
      <c r="B31" s="72">
        <v>1998</v>
      </c>
      <c r="C31" s="117">
        <f t="shared" si="0"/>
        <v>162.87500000000003</v>
      </c>
      <c r="D31" s="248">
        <v>159.5</v>
      </c>
      <c r="E31" s="248">
        <v>160.30000000000001</v>
      </c>
      <c r="F31" s="248">
        <v>160.80000000000001</v>
      </c>
      <c r="G31" s="248">
        <v>162.6</v>
      </c>
      <c r="H31" s="248">
        <v>163.5</v>
      </c>
      <c r="I31" s="248">
        <v>163.4</v>
      </c>
      <c r="J31" s="116">
        <v>163</v>
      </c>
      <c r="K31" s="248">
        <v>163.69999999999999</v>
      </c>
      <c r="L31" s="248">
        <v>164.4</v>
      </c>
      <c r="M31" s="248">
        <v>164.5</v>
      </c>
      <c r="N31" s="248">
        <v>164.4</v>
      </c>
      <c r="O31" s="248">
        <v>164.4</v>
      </c>
      <c r="P31" s="248"/>
      <c r="Q31" s="72" t="s">
        <v>283</v>
      </c>
      <c r="R31" s="115">
        <f t="shared" si="1"/>
        <v>163.75833333333335</v>
      </c>
    </row>
    <row r="32" spans="2:18">
      <c r="B32" s="72">
        <v>1999</v>
      </c>
      <c r="C32" s="117">
        <f t="shared" si="0"/>
        <v>165.40833333333333</v>
      </c>
      <c r="D32" s="248">
        <v>163.4</v>
      </c>
      <c r="E32" s="248">
        <v>163.69999999999999</v>
      </c>
      <c r="F32" s="248">
        <v>164.1</v>
      </c>
      <c r="G32" s="248">
        <v>165.2</v>
      </c>
      <c r="H32" s="248">
        <v>165.6</v>
      </c>
      <c r="I32" s="248">
        <v>165.6</v>
      </c>
      <c r="J32" s="248">
        <v>165.1</v>
      </c>
      <c r="K32" s="248">
        <v>165.5</v>
      </c>
      <c r="L32" s="248">
        <v>166.2</v>
      </c>
      <c r="M32" s="248">
        <v>166.5</v>
      </c>
      <c r="N32" s="248">
        <v>166.7</v>
      </c>
      <c r="O32" s="248">
        <v>167.3</v>
      </c>
      <c r="P32" s="248"/>
      <c r="Q32" s="72" t="s">
        <v>108</v>
      </c>
      <c r="R32" s="115">
        <f t="shared" si="1"/>
        <v>166.35</v>
      </c>
    </row>
    <row r="33" spans="1:19">
      <c r="B33" s="72">
        <v>2000</v>
      </c>
      <c r="C33" s="117">
        <f t="shared" si="0"/>
        <v>170.25</v>
      </c>
      <c r="D33" s="248">
        <v>166.6</v>
      </c>
      <c r="E33" s="248">
        <v>167.5</v>
      </c>
      <c r="F33" s="248">
        <v>168.4</v>
      </c>
      <c r="G33" s="248">
        <v>170.1</v>
      </c>
      <c r="H33" s="248">
        <v>170.7</v>
      </c>
      <c r="I33" s="248">
        <v>171.1</v>
      </c>
      <c r="J33" s="248">
        <v>170.5</v>
      </c>
      <c r="K33" s="248">
        <v>170.5</v>
      </c>
      <c r="L33" s="248">
        <v>171.7</v>
      </c>
      <c r="M33" s="248">
        <v>171.6</v>
      </c>
      <c r="N33" s="248">
        <v>172.1</v>
      </c>
      <c r="O33" s="248">
        <v>172.2</v>
      </c>
      <c r="P33" s="248"/>
      <c r="Q33" s="72" t="s">
        <v>109</v>
      </c>
      <c r="R33" s="115">
        <f t="shared" si="1"/>
        <v>171.31666666666663</v>
      </c>
    </row>
    <row r="34" spans="1:19">
      <c r="B34" s="72">
        <v>2001</v>
      </c>
      <c r="C34" s="117">
        <f t="shared" si="0"/>
        <v>173.35</v>
      </c>
      <c r="D34" s="248">
        <v>171.1</v>
      </c>
      <c r="E34" s="116">
        <v>172</v>
      </c>
      <c r="F34" s="248">
        <v>172.2</v>
      </c>
      <c r="G34" s="248">
        <v>173.1</v>
      </c>
      <c r="H34" s="248">
        <v>174.2</v>
      </c>
      <c r="I34" s="248">
        <v>174.4</v>
      </c>
      <c r="J34" s="248">
        <v>173.3</v>
      </c>
      <c r="K34" s="116">
        <v>174</v>
      </c>
      <c r="L34" s="248">
        <v>174.6</v>
      </c>
      <c r="M34" s="248">
        <v>174.3</v>
      </c>
      <c r="N34" s="248">
        <v>173.6</v>
      </c>
      <c r="O34" s="248">
        <v>173.4</v>
      </c>
      <c r="P34" s="248"/>
      <c r="Q34" s="72" t="s">
        <v>110</v>
      </c>
      <c r="R34" s="115">
        <f t="shared" si="1"/>
        <v>173.875</v>
      </c>
    </row>
    <row r="35" spans="1:19">
      <c r="B35" s="72">
        <v>2002</v>
      </c>
      <c r="C35" s="117">
        <f t="shared" si="0"/>
        <v>176.18333333333337</v>
      </c>
      <c r="D35" s="248">
        <v>173.3</v>
      </c>
      <c r="E35" s="248">
        <v>173.8</v>
      </c>
      <c r="F35" s="248">
        <v>174.5</v>
      </c>
      <c r="G35" s="248">
        <v>175.7</v>
      </c>
      <c r="H35" s="248">
        <v>176.2</v>
      </c>
      <c r="I35" s="248">
        <v>176.2</v>
      </c>
      <c r="J35" s="248">
        <v>175.9</v>
      </c>
      <c r="K35" s="248">
        <v>176.4</v>
      </c>
      <c r="L35" s="248">
        <v>177.6</v>
      </c>
      <c r="M35" s="248">
        <v>177.9</v>
      </c>
      <c r="N35" s="248">
        <v>178.2</v>
      </c>
      <c r="O35" s="248">
        <v>178.5</v>
      </c>
      <c r="P35" s="248"/>
      <c r="Q35" s="72" t="s">
        <v>111</v>
      </c>
      <c r="R35" s="115">
        <f t="shared" si="1"/>
        <v>177.51666666666665</v>
      </c>
    </row>
    <row r="36" spans="1:19">
      <c r="B36" s="72">
        <v>2003</v>
      </c>
      <c r="C36" s="117">
        <f t="shared" si="0"/>
        <v>181.31666666666663</v>
      </c>
      <c r="D36" s="248">
        <v>178.4</v>
      </c>
      <c r="E36" s="248">
        <v>179.3</v>
      </c>
      <c r="F36" s="248">
        <v>179.9</v>
      </c>
      <c r="G36" s="248">
        <v>181.2</v>
      </c>
      <c r="H36" s="248">
        <v>181.5</v>
      </c>
      <c r="I36" s="248">
        <v>181.3</v>
      </c>
      <c r="J36" s="248">
        <v>181.3</v>
      </c>
      <c r="K36" s="248">
        <v>181.6</v>
      </c>
      <c r="L36" s="248">
        <v>182.5</v>
      </c>
      <c r="M36" s="248">
        <v>182.6</v>
      </c>
      <c r="N36" s="248">
        <v>182.7</v>
      </c>
      <c r="O36" s="248">
        <v>183.5</v>
      </c>
      <c r="P36" s="248"/>
      <c r="Q36" s="72" t="s">
        <v>22</v>
      </c>
      <c r="R36" s="115">
        <f t="shared" si="1"/>
        <v>182.47499999999999</v>
      </c>
    </row>
    <row r="37" spans="1:19">
      <c r="B37" s="72">
        <v>2004</v>
      </c>
      <c r="C37" s="117">
        <f t="shared" si="0"/>
        <v>186.69166666666663</v>
      </c>
      <c r="D37" s="248">
        <v>183.1</v>
      </c>
      <c r="E37" s="248">
        <v>183.8</v>
      </c>
      <c r="F37" s="248">
        <v>184.6</v>
      </c>
      <c r="G37" s="248">
        <v>185.7</v>
      </c>
      <c r="H37" s="248">
        <v>186.5</v>
      </c>
      <c r="I37" s="248">
        <v>186.8</v>
      </c>
      <c r="J37" s="248">
        <v>186.8</v>
      </c>
      <c r="K37" s="248">
        <v>187.4</v>
      </c>
      <c r="L37" s="248">
        <v>188.1</v>
      </c>
      <c r="M37" s="248">
        <v>188.6</v>
      </c>
      <c r="N37" s="116">
        <v>189</v>
      </c>
      <c r="O37" s="248">
        <v>189.9</v>
      </c>
      <c r="P37" s="248"/>
      <c r="Q37" s="72" t="s">
        <v>23</v>
      </c>
      <c r="R37" s="115">
        <f t="shared" si="1"/>
        <v>188.15</v>
      </c>
    </row>
    <row r="38" spans="1:19">
      <c r="B38" s="72">
        <v>2005</v>
      </c>
      <c r="C38" s="117">
        <f t="shared" si="0"/>
        <v>191.97499999999999</v>
      </c>
      <c r="D38" s="248">
        <v>188.9</v>
      </c>
      <c r="E38" s="248">
        <v>189.6</v>
      </c>
      <c r="F38" s="248">
        <v>190.5</v>
      </c>
      <c r="G38" s="248">
        <v>191.6</v>
      </c>
      <c r="H38" s="116">
        <v>192</v>
      </c>
      <c r="I38" s="248">
        <v>192.2</v>
      </c>
      <c r="J38" s="248">
        <v>192.2</v>
      </c>
      <c r="K38" s="248">
        <v>192.6</v>
      </c>
      <c r="L38" s="248">
        <v>193.1</v>
      </c>
      <c r="M38" s="248">
        <v>193.3</v>
      </c>
      <c r="N38" s="248">
        <v>193.6</v>
      </c>
      <c r="O38" s="248">
        <v>194.1</v>
      </c>
      <c r="P38" s="248"/>
      <c r="Q38" s="72" t="s">
        <v>24</v>
      </c>
      <c r="R38" s="115">
        <f t="shared" si="1"/>
        <v>193.10833333333332</v>
      </c>
    </row>
    <row r="39" spans="1:19">
      <c r="B39" s="72">
        <v>2006</v>
      </c>
      <c r="C39" s="117">
        <f t="shared" ref="C39:C43" si="2">AVERAGE(D39:O39)</f>
        <v>198.10833333333332</v>
      </c>
      <c r="D39" s="248">
        <v>193.4</v>
      </c>
      <c r="E39" s="248">
        <v>194.2</v>
      </c>
      <c r="F39" s="116">
        <v>195</v>
      </c>
      <c r="G39" s="248">
        <v>196.5</v>
      </c>
      <c r="H39" s="248">
        <v>197.7</v>
      </c>
      <c r="I39" s="248">
        <v>198.5</v>
      </c>
      <c r="J39" s="248">
        <v>198.5</v>
      </c>
      <c r="K39" s="248">
        <v>199.2</v>
      </c>
      <c r="L39" s="248">
        <v>200.1</v>
      </c>
      <c r="M39" s="248">
        <v>200.4</v>
      </c>
      <c r="N39" s="248">
        <v>201.1</v>
      </c>
      <c r="O39" s="248">
        <v>202.7</v>
      </c>
      <c r="P39" s="248"/>
      <c r="Q39" s="72" t="s">
        <v>25</v>
      </c>
      <c r="R39" s="115">
        <f t="shared" si="1"/>
        <v>200.31666666666669</v>
      </c>
    </row>
    <row r="40" spans="1:19">
      <c r="B40" s="72">
        <v>2007</v>
      </c>
      <c r="C40" s="117">
        <f t="shared" si="2"/>
        <v>206.57499999999996</v>
      </c>
      <c r="D40" s="248">
        <v>201.6</v>
      </c>
      <c r="E40" s="248">
        <v>203.1</v>
      </c>
      <c r="F40" s="248">
        <v>204.4</v>
      </c>
      <c r="G40" s="248">
        <v>205.4</v>
      </c>
      <c r="H40" s="248">
        <v>206.2</v>
      </c>
      <c r="I40" s="248">
        <v>207.3</v>
      </c>
      <c r="J40" s="248">
        <v>206.1</v>
      </c>
      <c r="K40" s="248">
        <v>207.3</v>
      </c>
      <c r="L40" s="116">
        <v>208</v>
      </c>
      <c r="M40" s="248">
        <v>208.9</v>
      </c>
      <c r="N40" s="248">
        <v>209.7</v>
      </c>
      <c r="O40" s="248">
        <v>210.9</v>
      </c>
      <c r="P40" s="248"/>
      <c r="Q40" s="72" t="s">
        <v>26</v>
      </c>
      <c r="R40" s="115">
        <f t="shared" si="1"/>
        <v>208.5916666666667</v>
      </c>
    </row>
    <row r="41" spans="1:19">
      <c r="A41" s="280"/>
      <c r="B41" s="72">
        <v>2008</v>
      </c>
      <c r="C41" s="117">
        <f t="shared" si="2"/>
        <v>214.82500000000002</v>
      </c>
      <c r="D41" s="248">
        <v>209.8</v>
      </c>
      <c r="E41" s="248">
        <v>211.4</v>
      </c>
      <c r="F41" s="248">
        <v>212.1</v>
      </c>
      <c r="G41" s="116">
        <v>214</v>
      </c>
      <c r="H41" s="248">
        <v>215.1</v>
      </c>
      <c r="I41" s="248">
        <v>216.8</v>
      </c>
      <c r="J41" s="248">
        <v>216.5</v>
      </c>
      <c r="K41" s="248">
        <v>217.2</v>
      </c>
      <c r="L41" s="248">
        <v>218.4</v>
      </c>
      <c r="M41" s="248">
        <v>217.7</v>
      </c>
      <c r="N41" s="116">
        <v>216</v>
      </c>
      <c r="O41" s="248">
        <v>212.9</v>
      </c>
      <c r="P41" s="248"/>
      <c r="Q41" s="72" t="s">
        <v>27</v>
      </c>
      <c r="R41" s="115">
        <f t="shared" si="1"/>
        <v>214.78333333333339</v>
      </c>
    </row>
    <row r="42" spans="1:19">
      <c r="A42" s="280"/>
      <c r="B42" s="72">
        <v>2009</v>
      </c>
      <c r="C42" s="117">
        <f t="shared" si="2"/>
        <v>213.68333333333337</v>
      </c>
      <c r="D42" s="248">
        <v>210.1</v>
      </c>
      <c r="E42" s="248">
        <v>211.4</v>
      </c>
      <c r="F42" s="248">
        <v>211.3</v>
      </c>
      <c r="G42" s="248">
        <v>211.5</v>
      </c>
      <c r="H42" s="248">
        <v>212.8</v>
      </c>
      <c r="I42" s="248">
        <v>213.4</v>
      </c>
      <c r="J42" s="248">
        <v>213.4</v>
      </c>
      <c r="K42" s="248">
        <v>214.4</v>
      </c>
      <c r="L42" s="248">
        <v>215.3</v>
      </c>
      <c r="M42" s="116">
        <v>216</v>
      </c>
      <c r="N42" s="248">
        <v>216.6</v>
      </c>
      <c r="O42" s="116">
        <v>218</v>
      </c>
      <c r="P42" s="116"/>
      <c r="Q42" s="72" t="s">
        <v>28</v>
      </c>
      <c r="R42" s="115">
        <f t="shared" si="1"/>
        <v>215.76666666666665</v>
      </c>
    </row>
    <row r="43" spans="1:19">
      <c r="A43" s="280"/>
      <c r="B43" s="72">
        <v>2010</v>
      </c>
      <c r="C43" s="117">
        <f t="shared" si="2"/>
        <v>223.55833333333331</v>
      </c>
      <c r="D43" s="248">
        <v>217.9</v>
      </c>
      <c r="E43" s="248">
        <v>219.2</v>
      </c>
      <c r="F43" s="248">
        <v>220.7</v>
      </c>
      <c r="G43" s="248">
        <v>222.8</v>
      </c>
      <c r="H43" s="248">
        <v>223.6</v>
      </c>
      <c r="I43" s="248">
        <v>224.1</v>
      </c>
      <c r="J43" s="248">
        <v>223.6</v>
      </c>
      <c r="K43" s="248">
        <v>224.5</v>
      </c>
      <c r="L43" s="248">
        <v>225.3</v>
      </c>
      <c r="M43" s="248">
        <v>225.8</v>
      </c>
      <c r="N43" s="248">
        <v>226.8</v>
      </c>
      <c r="O43" s="248">
        <v>228.4</v>
      </c>
      <c r="P43" s="248"/>
      <c r="Q43" s="72" t="s">
        <v>29</v>
      </c>
      <c r="R43" s="115">
        <f t="shared" si="1"/>
        <v>226.47499999999999</v>
      </c>
    </row>
    <row r="44" spans="1:19">
      <c r="A44" s="280"/>
      <c r="B44" s="111">
        <v>2011</v>
      </c>
      <c r="C44" s="117">
        <f>AVERAGE(D44:O44)</f>
        <v>235.18333333333331</v>
      </c>
      <c r="D44" s="118">
        <v>229</v>
      </c>
      <c r="E44" s="119">
        <v>231.3</v>
      </c>
      <c r="F44" s="119">
        <v>232.5</v>
      </c>
      <c r="G44" s="119">
        <v>234.4</v>
      </c>
      <c r="H44" s="119">
        <v>235.2</v>
      </c>
      <c r="I44" s="119">
        <v>235.2</v>
      </c>
      <c r="J44" s="119">
        <v>234.7</v>
      </c>
      <c r="K44" s="119">
        <v>236.1</v>
      </c>
      <c r="L44" s="119">
        <v>237.9</v>
      </c>
      <c r="M44" s="120">
        <v>238</v>
      </c>
      <c r="N44" s="120">
        <v>238.5</v>
      </c>
      <c r="O44" s="120">
        <v>239.4</v>
      </c>
      <c r="P44" s="120"/>
      <c r="Q44" s="72" t="s">
        <v>247</v>
      </c>
      <c r="R44" s="115">
        <f>(SUM(G44:O44)+SUM(D45:F45))/12</f>
        <v>237.3416666666667</v>
      </c>
    </row>
    <row r="45" spans="1:19">
      <c r="A45" s="280"/>
      <c r="B45" s="111">
        <v>2012</v>
      </c>
      <c r="C45" s="117">
        <f>AVERAGE(D45:O45)</f>
        <v>242.72499999999999</v>
      </c>
      <c r="D45" s="120">
        <v>238</v>
      </c>
      <c r="E45" s="119">
        <v>239.9</v>
      </c>
      <c r="F45" s="119">
        <v>240.8</v>
      </c>
      <c r="G45" s="119">
        <v>242.5</v>
      </c>
      <c r="H45" s="119">
        <v>242.4</v>
      </c>
      <c r="I45" s="119">
        <v>241.8</v>
      </c>
      <c r="J45" s="119">
        <v>242.1</v>
      </c>
      <c r="K45" s="119">
        <v>243</v>
      </c>
      <c r="L45" s="119">
        <v>244.2</v>
      </c>
      <c r="M45" s="120">
        <v>245.6</v>
      </c>
      <c r="N45" s="120">
        <v>245.6</v>
      </c>
      <c r="O45" s="119">
        <v>246.8</v>
      </c>
      <c r="P45" s="119"/>
      <c r="Q45" s="296" t="s">
        <v>1183</v>
      </c>
      <c r="R45" s="115">
        <f>(SUM(G45:O45)+SUM(D46:F46))/12</f>
        <v>244.67499999999998</v>
      </c>
    </row>
    <row r="46" spans="1:19" s="296" customFormat="1" ht="13.5" thickBot="1">
      <c r="A46" s="280"/>
      <c r="B46" s="111">
        <v>2013</v>
      </c>
      <c r="C46" s="121">
        <f>AVERAGE(D46:O46)</f>
        <v>248.32</v>
      </c>
      <c r="D46" s="113">
        <v>245.8</v>
      </c>
      <c r="E46" s="113">
        <v>247.6</v>
      </c>
      <c r="F46" s="113">
        <v>248.7</v>
      </c>
      <c r="G46" s="113">
        <v>249.5</v>
      </c>
      <c r="H46" s="113">
        <v>250</v>
      </c>
      <c r="I46" s="112" t="s">
        <v>1182</v>
      </c>
      <c r="J46" s="112" t="s">
        <v>1182</v>
      </c>
      <c r="K46" s="112" t="s">
        <v>1182</v>
      </c>
      <c r="L46" s="112" t="s">
        <v>1182</v>
      </c>
      <c r="M46" s="112" t="s">
        <v>1182</v>
      </c>
      <c r="N46" s="112" t="s">
        <v>1182</v>
      </c>
      <c r="O46" s="112" t="s">
        <v>1182</v>
      </c>
      <c r="P46" s="119"/>
    </row>
    <row r="47" spans="1:19">
      <c r="C47" s="296"/>
      <c r="J47" s="172"/>
      <c r="K47" s="172"/>
      <c r="L47" s="172"/>
      <c r="M47" s="172"/>
    </row>
    <row r="48" spans="1:19">
      <c r="B48" s="72" t="s">
        <v>158</v>
      </c>
      <c r="R48" s="76">
        <f>(SUM(L44:O44)+SUM(D45:K45))/12</f>
        <v>240.35833333333335</v>
      </c>
      <c r="S48" s="72" t="s">
        <v>284</v>
      </c>
    </row>
    <row r="51" spans="2:24">
      <c r="B51" s="278" t="s">
        <v>323</v>
      </c>
      <c r="C51" s="279"/>
      <c r="D51" s="279"/>
      <c r="E51" s="279"/>
      <c r="F51" s="279"/>
      <c r="G51" s="279"/>
      <c r="H51" s="279"/>
      <c r="I51" s="279"/>
      <c r="J51" s="279"/>
      <c r="K51" s="279"/>
      <c r="L51" s="279"/>
      <c r="M51" s="279"/>
      <c r="N51" s="279"/>
      <c r="O51" s="279"/>
      <c r="P51" s="279"/>
      <c r="Q51" s="279"/>
      <c r="R51" s="279"/>
      <c r="S51" s="279"/>
      <c r="T51" s="279"/>
      <c r="U51" s="279"/>
      <c r="V51" s="279"/>
      <c r="W51" s="279"/>
      <c r="X51" s="279"/>
    </row>
    <row r="53" spans="2:24">
      <c r="B53" s="286" t="s">
        <v>271</v>
      </c>
      <c r="C53" s="286" t="s">
        <v>157</v>
      </c>
    </row>
    <row r="54" spans="2:24">
      <c r="B54" s="72">
        <v>1987</v>
      </c>
      <c r="C54" s="76">
        <f t="shared" ref="C54:C78" si="3">C20</f>
        <v>101.875</v>
      </c>
    </row>
    <row r="55" spans="2:24">
      <c r="B55" s="72">
        <v>1988</v>
      </c>
      <c r="C55" s="76">
        <f t="shared" si="3"/>
        <v>106.875</v>
      </c>
    </row>
    <row r="56" spans="2:24">
      <c r="B56" s="72">
        <v>1989</v>
      </c>
      <c r="C56" s="76">
        <f t="shared" si="3"/>
        <v>115.20833333333333</v>
      </c>
    </row>
    <row r="57" spans="2:24">
      <c r="B57" s="72">
        <v>1990</v>
      </c>
      <c r="C57" s="76">
        <f t="shared" si="3"/>
        <v>126.12500000000001</v>
      </c>
    </row>
    <row r="58" spans="2:24">
      <c r="B58" s="72">
        <v>1991</v>
      </c>
      <c r="C58" s="76">
        <f t="shared" si="3"/>
        <v>133.5083333333333</v>
      </c>
    </row>
    <row r="59" spans="2:24">
      <c r="B59" s="72">
        <v>1992</v>
      </c>
      <c r="C59" s="76">
        <f t="shared" si="3"/>
        <v>138.4916666666667</v>
      </c>
    </row>
    <row r="60" spans="2:24">
      <c r="B60" s="72">
        <v>1993</v>
      </c>
      <c r="C60" s="76">
        <f t="shared" si="3"/>
        <v>140.65833333333333</v>
      </c>
    </row>
    <row r="61" spans="2:24">
      <c r="B61" s="72">
        <v>1994</v>
      </c>
      <c r="C61" s="76">
        <f t="shared" si="3"/>
        <v>144.14166666666668</v>
      </c>
    </row>
    <row r="62" spans="2:24">
      <c r="B62" s="72">
        <v>1995</v>
      </c>
      <c r="C62" s="76">
        <f t="shared" si="3"/>
        <v>149.05833333333331</v>
      </c>
    </row>
    <row r="63" spans="2:24">
      <c r="B63" s="72">
        <v>1996</v>
      </c>
      <c r="C63" s="76">
        <f t="shared" si="3"/>
        <v>152.70833333333334</v>
      </c>
    </row>
    <row r="64" spans="2:24">
      <c r="B64" s="72">
        <v>1997</v>
      </c>
      <c r="C64" s="76">
        <f t="shared" si="3"/>
        <v>157.49166666666665</v>
      </c>
    </row>
    <row r="65" spans="2:3">
      <c r="B65" s="72">
        <v>1998</v>
      </c>
      <c r="C65" s="76">
        <f t="shared" si="3"/>
        <v>162.87500000000003</v>
      </c>
    </row>
    <row r="66" spans="2:3">
      <c r="B66" s="72">
        <v>1999</v>
      </c>
      <c r="C66" s="76">
        <f t="shared" si="3"/>
        <v>165.40833333333333</v>
      </c>
    </row>
    <row r="67" spans="2:3">
      <c r="B67" s="72">
        <v>2000</v>
      </c>
      <c r="C67" s="76">
        <f t="shared" si="3"/>
        <v>170.25</v>
      </c>
    </row>
    <row r="68" spans="2:3">
      <c r="B68" s="72">
        <v>2001</v>
      </c>
      <c r="C68" s="76">
        <f t="shared" si="3"/>
        <v>173.35</v>
      </c>
    </row>
    <row r="69" spans="2:3">
      <c r="B69" s="72">
        <v>2002</v>
      </c>
      <c r="C69" s="76">
        <f t="shared" si="3"/>
        <v>176.18333333333337</v>
      </c>
    </row>
    <row r="70" spans="2:3">
      <c r="B70" s="72">
        <v>2003</v>
      </c>
      <c r="C70" s="76">
        <f t="shared" si="3"/>
        <v>181.31666666666663</v>
      </c>
    </row>
    <row r="71" spans="2:3">
      <c r="B71" s="72">
        <v>2004</v>
      </c>
      <c r="C71" s="76">
        <f t="shared" si="3"/>
        <v>186.69166666666663</v>
      </c>
    </row>
    <row r="72" spans="2:3">
      <c r="B72" s="72">
        <v>2005</v>
      </c>
      <c r="C72" s="76">
        <f t="shared" si="3"/>
        <v>191.97499999999999</v>
      </c>
    </row>
    <row r="73" spans="2:3">
      <c r="B73" s="72">
        <v>2006</v>
      </c>
      <c r="C73" s="76">
        <f t="shared" si="3"/>
        <v>198.10833333333332</v>
      </c>
    </row>
    <row r="74" spans="2:3">
      <c r="B74" s="72">
        <v>2007</v>
      </c>
      <c r="C74" s="76">
        <f t="shared" si="3"/>
        <v>206.57499999999996</v>
      </c>
    </row>
    <row r="75" spans="2:3">
      <c r="B75" s="72">
        <v>2008</v>
      </c>
      <c r="C75" s="76">
        <f t="shared" si="3"/>
        <v>214.82500000000002</v>
      </c>
    </row>
    <row r="76" spans="2:3">
      <c r="B76" s="72">
        <v>2009</v>
      </c>
      <c r="C76" s="76">
        <f t="shared" si="3"/>
        <v>213.68333333333337</v>
      </c>
    </row>
    <row r="77" spans="2:3">
      <c r="B77" s="72">
        <v>2010</v>
      </c>
      <c r="C77" s="76">
        <f t="shared" si="3"/>
        <v>223.55833333333331</v>
      </c>
    </row>
    <row r="78" spans="2:3">
      <c r="B78" s="111">
        <v>2011</v>
      </c>
      <c r="C78" s="76">
        <f t="shared" si="3"/>
        <v>235.18333333333331</v>
      </c>
    </row>
    <row r="79" spans="2:3">
      <c r="B79" s="111">
        <v>2012</v>
      </c>
      <c r="C79" s="76">
        <f t="shared" ref="C79" si="4">C45</f>
        <v>242.72499999999999</v>
      </c>
    </row>
    <row r="80" spans="2:3">
      <c r="B80" s="72" t="s">
        <v>272</v>
      </c>
      <c r="C80" s="281">
        <f>R20</f>
        <v>102.71666666666665</v>
      </c>
    </row>
    <row r="81" spans="2:3">
      <c r="B81" s="72" t="s">
        <v>273</v>
      </c>
      <c r="C81" s="281">
        <f t="shared" ref="C81:C103" si="5">R21</f>
        <v>108.875</v>
      </c>
    </row>
    <row r="82" spans="2:3">
      <c r="B82" s="72" t="s">
        <v>274</v>
      </c>
      <c r="C82" s="281">
        <f t="shared" si="5"/>
        <v>117.375</v>
      </c>
    </row>
    <row r="83" spans="2:3">
      <c r="B83" s="72" t="s">
        <v>275</v>
      </c>
      <c r="C83" s="281">
        <f t="shared" si="5"/>
        <v>128.74166666666667</v>
      </c>
    </row>
    <row r="84" spans="2:3">
      <c r="B84" s="72" t="s">
        <v>276</v>
      </c>
      <c r="C84" s="281">
        <f t="shared" si="5"/>
        <v>134.85</v>
      </c>
    </row>
    <row r="85" spans="2:3">
      <c r="B85" s="72" t="s">
        <v>277</v>
      </c>
      <c r="C85" s="281">
        <f t="shared" si="5"/>
        <v>139.10833333333332</v>
      </c>
    </row>
    <row r="86" spans="2:3">
      <c r="B86" s="72" t="s">
        <v>278</v>
      </c>
      <c r="C86" s="281">
        <f t="shared" si="5"/>
        <v>141.48333333333335</v>
      </c>
    </row>
    <row r="87" spans="2:3">
      <c r="B87" s="72" t="s">
        <v>279</v>
      </c>
      <c r="C87" s="281">
        <f t="shared" si="5"/>
        <v>145.35</v>
      </c>
    </row>
    <row r="88" spans="2:3">
      <c r="B88" s="72" t="s">
        <v>280</v>
      </c>
      <c r="C88" s="281">
        <f t="shared" si="5"/>
        <v>150.07500000000002</v>
      </c>
    </row>
    <row r="89" spans="2:3">
      <c r="B89" s="72" t="s">
        <v>281</v>
      </c>
      <c r="C89" s="281">
        <f t="shared" si="5"/>
        <v>153.72499999999999</v>
      </c>
    </row>
    <row r="90" spans="2:3">
      <c r="B90" s="72" t="s">
        <v>282</v>
      </c>
      <c r="C90" s="281">
        <f t="shared" si="5"/>
        <v>158.80833333333331</v>
      </c>
    </row>
    <row r="91" spans="2:3">
      <c r="B91" s="72" t="s">
        <v>283</v>
      </c>
      <c r="C91" s="281">
        <f t="shared" si="5"/>
        <v>163.75833333333335</v>
      </c>
    </row>
    <row r="92" spans="2:3">
      <c r="B92" s="72" t="s">
        <v>108</v>
      </c>
      <c r="C92" s="281">
        <f t="shared" si="5"/>
        <v>166.35</v>
      </c>
    </row>
    <row r="93" spans="2:3">
      <c r="B93" s="72" t="s">
        <v>109</v>
      </c>
      <c r="C93" s="281">
        <f t="shared" si="5"/>
        <v>171.31666666666663</v>
      </c>
    </row>
    <row r="94" spans="2:3">
      <c r="B94" s="72" t="s">
        <v>110</v>
      </c>
      <c r="C94" s="281">
        <f t="shared" si="5"/>
        <v>173.875</v>
      </c>
    </row>
    <row r="95" spans="2:3">
      <c r="B95" s="72" t="s">
        <v>111</v>
      </c>
      <c r="C95" s="281">
        <f t="shared" si="5"/>
        <v>177.51666666666665</v>
      </c>
    </row>
    <row r="96" spans="2:3">
      <c r="B96" s="72" t="s">
        <v>22</v>
      </c>
      <c r="C96" s="281">
        <f t="shared" si="5"/>
        <v>182.47499999999999</v>
      </c>
    </row>
    <row r="97" spans="2:24">
      <c r="B97" s="72" t="s">
        <v>23</v>
      </c>
      <c r="C97" s="281">
        <f t="shared" si="5"/>
        <v>188.15</v>
      </c>
    </row>
    <row r="98" spans="2:24">
      <c r="B98" s="72" t="s">
        <v>24</v>
      </c>
      <c r="C98" s="281">
        <f t="shared" si="5"/>
        <v>193.10833333333332</v>
      </c>
    </row>
    <row r="99" spans="2:24">
      <c r="B99" s="72" t="s">
        <v>25</v>
      </c>
      <c r="C99" s="281">
        <f t="shared" si="5"/>
        <v>200.31666666666669</v>
      </c>
    </row>
    <row r="100" spans="2:24">
      <c r="B100" s="72" t="s">
        <v>26</v>
      </c>
      <c r="C100" s="281">
        <f t="shared" si="5"/>
        <v>208.5916666666667</v>
      </c>
    </row>
    <row r="101" spans="2:24">
      <c r="B101" s="72" t="s">
        <v>27</v>
      </c>
      <c r="C101" s="281">
        <f t="shared" si="5"/>
        <v>214.78333333333339</v>
      </c>
    </row>
    <row r="102" spans="2:24">
      <c r="B102" s="72" t="s">
        <v>28</v>
      </c>
      <c r="C102" s="281">
        <f t="shared" si="5"/>
        <v>215.76666666666665</v>
      </c>
    </row>
    <row r="103" spans="2:24">
      <c r="B103" s="72" t="s">
        <v>29</v>
      </c>
      <c r="C103" s="281">
        <f t="shared" si="5"/>
        <v>226.47499999999999</v>
      </c>
      <c r="E103" s="76"/>
    </row>
    <row r="104" spans="2:24">
      <c r="B104" s="72" t="s">
        <v>247</v>
      </c>
      <c r="C104" s="281">
        <f>R44</f>
        <v>237.3416666666667</v>
      </c>
    </row>
    <row r="105" spans="2:24" s="296" customFormat="1">
      <c r="B105" s="296" t="s">
        <v>1183</v>
      </c>
      <c r="C105" s="281">
        <f>R45</f>
        <v>244.67499999999998</v>
      </c>
    </row>
    <row r="106" spans="2:24">
      <c r="B106" s="119" t="s">
        <v>295</v>
      </c>
      <c r="C106" s="281">
        <f>AVERAGE(G39:O39)</f>
        <v>199.41111111111113</v>
      </c>
    </row>
    <row r="107" spans="2:24">
      <c r="B107" s="119" t="s">
        <v>306</v>
      </c>
      <c r="C107" s="281">
        <f>AVERAGE(J39:O39)</f>
        <v>200.33333333333334</v>
      </c>
    </row>
    <row r="108" spans="2:24">
      <c r="B108" s="119" t="s">
        <v>298</v>
      </c>
      <c r="C108" s="72">
        <f>AVERAGE(G37:O37)</f>
        <v>187.64444444444445</v>
      </c>
    </row>
    <row r="109" spans="2:24">
      <c r="B109" s="119"/>
    </row>
    <row r="110" spans="2:24">
      <c r="B110" s="119"/>
    </row>
    <row r="111" spans="2:24">
      <c r="B111" s="278" t="s">
        <v>122</v>
      </c>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row>
  </sheetData>
  <pageMargins left="0.75" right="0.75" top="1" bottom="1" header="0.5" footer="0.5"/>
  <pageSetup paperSize="9" scale="57" orientation="landscape" r:id="rId1"/>
  <headerFooter>
    <oddFooter>&amp;L&amp;F \ &amp;A&amp;R&amp;T &amp;D</oddFooter>
  </headerFooter>
</worksheet>
</file>

<file path=xl/worksheets/sheet33.xml><?xml version="1.0" encoding="utf-8"?>
<worksheet xmlns="http://schemas.openxmlformats.org/spreadsheetml/2006/main" xmlns:r="http://schemas.openxmlformats.org/officeDocument/2006/relationships">
  <sheetPr>
    <pageSetUpPr fitToPage="1"/>
  </sheetPr>
  <dimension ref="B2:AE192"/>
  <sheetViews>
    <sheetView showGridLines="0" topLeftCell="A172" zoomScale="70" zoomScaleNormal="70" workbookViewId="0">
      <selection activeCell="K24" sqref="K24"/>
    </sheetView>
  </sheetViews>
  <sheetFormatPr defaultRowHeight="12.75"/>
  <cols>
    <col min="1" max="1" width="10.42578125" style="72" customWidth="1"/>
    <col min="2" max="2" width="41.140625" style="72" customWidth="1"/>
    <col min="3" max="22" width="15.7109375" style="72" customWidth="1"/>
    <col min="23" max="23" width="14.7109375" style="72" customWidth="1"/>
    <col min="24" max="24" width="15" style="72" customWidth="1"/>
    <col min="25" max="16384" width="9.140625" style="72"/>
  </cols>
  <sheetData>
    <row r="2" spans="2:31">
      <c r="B2" s="268" t="s">
        <v>134</v>
      </c>
      <c r="C2" s="282"/>
      <c r="D2" s="269"/>
      <c r="E2" s="270" t="str">
        <f>Info!$D$10</f>
        <v>Duncan Kernohan</v>
      </c>
      <c r="F2" s="270"/>
      <c r="G2" s="270"/>
      <c r="H2" s="270"/>
      <c r="I2" s="270"/>
      <c r="J2" s="270"/>
      <c r="K2" s="269"/>
      <c r="L2" s="269"/>
      <c r="M2" s="269"/>
      <c r="N2" s="269"/>
      <c r="O2" s="269"/>
      <c r="P2" s="269"/>
      <c r="Q2" s="269"/>
      <c r="R2" s="269"/>
      <c r="S2" s="269"/>
      <c r="T2" s="269"/>
      <c r="U2" s="269"/>
      <c r="V2" s="269"/>
      <c r="W2" s="269"/>
      <c r="X2" s="269"/>
      <c r="Y2" s="269"/>
      <c r="Z2" s="269"/>
      <c r="AA2" s="269"/>
      <c r="AB2" s="269"/>
      <c r="AC2" s="269"/>
      <c r="AD2" s="269"/>
      <c r="AE2" s="269"/>
    </row>
    <row r="3" spans="2:31">
      <c r="B3" s="271" t="s">
        <v>137</v>
      </c>
      <c r="C3" s="283"/>
      <c r="D3" s="272"/>
      <c r="E3" s="273" t="str">
        <f>Info!$D$11 &amp; " - " &amp; Info!$D$12</f>
        <v>Airport Opex Benchmarking 2013 - duncan.kernohan@caa.co.uk</v>
      </c>
      <c r="F3" s="273"/>
      <c r="G3" s="273"/>
      <c r="H3" s="273"/>
      <c r="I3" s="273"/>
      <c r="J3" s="273"/>
      <c r="K3" s="272"/>
      <c r="L3" s="272"/>
      <c r="M3" s="272"/>
      <c r="N3" s="272"/>
      <c r="O3" s="272"/>
      <c r="P3" s="272"/>
      <c r="Q3" s="272"/>
      <c r="R3" s="272"/>
      <c r="S3" s="272"/>
      <c r="T3" s="272"/>
      <c r="U3" s="272"/>
      <c r="V3" s="272"/>
      <c r="W3" s="272"/>
      <c r="X3" s="272"/>
      <c r="Y3" s="272"/>
      <c r="Z3" s="272"/>
      <c r="AA3" s="272"/>
      <c r="AB3" s="272"/>
      <c r="AC3" s="272"/>
      <c r="AD3" s="272"/>
      <c r="AE3" s="272"/>
    </row>
    <row r="4" spans="2:31">
      <c r="B4" s="271" t="s">
        <v>130</v>
      </c>
      <c r="C4" s="283"/>
      <c r="D4" s="272"/>
      <c r="E4" s="274">
        <f>Info!$D$16</f>
        <v>2.8</v>
      </c>
      <c r="F4" s="274"/>
      <c r="G4" s="274"/>
      <c r="H4" s="274"/>
      <c r="I4" s="274"/>
      <c r="J4" s="274"/>
      <c r="K4" s="272"/>
      <c r="L4" s="272"/>
      <c r="M4" s="272"/>
      <c r="N4" s="272"/>
      <c r="O4" s="272"/>
      <c r="P4" s="272"/>
      <c r="Q4" s="272"/>
      <c r="R4" s="272"/>
      <c r="S4" s="272"/>
      <c r="T4" s="272"/>
      <c r="U4" s="272"/>
      <c r="V4" s="272"/>
      <c r="W4" s="272"/>
      <c r="X4" s="272"/>
      <c r="Y4" s="272"/>
      <c r="Z4" s="272"/>
      <c r="AA4" s="272"/>
      <c r="AB4" s="272"/>
      <c r="AC4" s="272"/>
      <c r="AD4" s="272"/>
      <c r="AE4" s="272"/>
    </row>
    <row r="5" spans="2:31">
      <c r="B5" s="275" t="s">
        <v>138</v>
      </c>
      <c r="C5" s="284"/>
      <c r="D5" s="276"/>
      <c r="E5" s="277" t="str">
        <f ca="1">IF(CELL("filename",D1)="","",MID(CELL("filename",A1),FIND("]",CELL("filename",A1))+1,99))</f>
        <v>FX</v>
      </c>
      <c r="F5" s="277"/>
      <c r="G5" s="277"/>
      <c r="H5" s="277"/>
      <c r="I5" s="277"/>
      <c r="J5" s="277"/>
      <c r="K5" s="276"/>
      <c r="L5" s="276"/>
      <c r="M5" s="276"/>
      <c r="N5" s="276"/>
      <c r="O5" s="276"/>
      <c r="P5" s="276"/>
      <c r="Q5" s="276"/>
      <c r="R5" s="276"/>
      <c r="S5" s="276"/>
      <c r="T5" s="276"/>
      <c r="U5" s="276"/>
      <c r="V5" s="276"/>
      <c r="W5" s="276"/>
      <c r="X5" s="276"/>
      <c r="Y5" s="276"/>
      <c r="Z5" s="276"/>
      <c r="AA5" s="276"/>
      <c r="AB5" s="276"/>
      <c r="AC5" s="276"/>
      <c r="AD5" s="276"/>
      <c r="AE5" s="276"/>
    </row>
    <row r="8" spans="2:31">
      <c r="B8" s="168" t="s">
        <v>143</v>
      </c>
      <c r="C8" s="72" t="s">
        <v>1119</v>
      </c>
    </row>
    <row r="9" spans="2:31">
      <c r="B9" s="72" t="s">
        <v>1092</v>
      </c>
      <c r="C9" s="348" t="s">
        <v>1209</v>
      </c>
    </row>
    <row r="11" spans="2:31">
      <c r="B11" s="278" t="s">
        <v>1330</v>
      </c>
      <c r="C11" s="285"/>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row>
    <row r="13" spans="2:31">
      <c r="B13" s="347" t="s">
        <v>1211</v>
      </c>
    </row>
    <row r="14" spans="2:31">
      <c r="C14" s="347"/>
      <c r="E14" s="347"/>
      <c r="G14" s="347"/>
      <c r="K14" s="347"/>
      <c r="Z14" s="111"/>
      <c r="AA14" s="111"/>
      <c r="AB14" s="111"/>
      <c r="AC14" s="111"/>
      <c r="AD14" s="111"/>
    </row>
    <row r="15" spans="2:31" ht="15">
      <c r="B15" s="286" t="s">
        <v>1210</v>
      </c>
      <c r="C15" s="286" t="s">
        <v>346</v>
      </c>
      <c r="D15" s="286" t="s">
        <v>354</v>
      </c>
      <c r="E15" s="286" t="s">
        <v>362</v>
      </c>
      <c r="F15" s="286" t="s">
        <v>363</v>
      </c>
      <c r="G15" s="286" t="s">
        <v>364</v>
      </c>
      <c r="H15" s="286"/>
      <c r="J15" s="286"/>
      <c r="L15" s="286"/>
      <c r="M15" s="286"/>
      <c r="Z15" s="111"/>
      <c r="AA15" s="349"/>
      <c r="AB15" s="350"/>
      <c r="AC15" s="111"/>
      <c r="AD15" s="111"/>
    </row>
    <row r="16" spans="2:31">
      <c r="B16" s="72">
        <v>2000</v>
      </c>
      <c r="C16" s="289">
        <f t="shared" ref="C16:C28" si="0">SUMPRODUCT(($D$35:$D$189)*($C$35:$C$189=B16))/COUNTIF($C$35:$C$189,B16)</f>
        <v>0.60912500000000003</v>
      </c>
      <c r="D16" s="289">
        <f t="shared" ref="D16:D28" si="1">SUMPRODUCT(($E$35:$E$189)*($C$35:$C$189=B16))/COUNTIF($C$35:$C$189,B16)</f>
        <v>8.4758333333333324E-2</v>
      </c>
      <c r="E16" s="289">
        <f t="shared" ref="E16:E28" si="2">SUMPRODUCT(($F$35:$F$189)*($C$35:$C$189=B16))/COUNTIF($C$35:$C$189,B16)</f>
        <v>8.1733333333333338E-2</v>
      </c>
      <c r="F16" s="289">
        <f t="shared" ref="F16:F28" si="3">SUMPRODUCT(($G$35:$G$189)*($C$35:$C$189=B16))/COUNTIF($C$35:$C$189,B16)</f>
        <v>0.66043333333333332</v>
      </c>
      <c r="G16" s="289">
        <f t="shared" ref="G16:G28" si="4">SUMPRODUCT(($H$35:$H$189)*($C$35:$C$189=B16))/COUNTIF($C$35:$C$189,B16)</f>
        <v>0.39129999999999998</v>
      </c>
      <c r="H16" s="289"/>
      <c r="J16" s="289"/>
      <c r="L16" s="281"/>
      <c r="M16" s="289"/>
      <c r="Z16" s="111"/>
      <c r="AA16" s="351"/>
      <c r="AB16" s="349"/>
      <c r="AC16" s="111"/>
      <c r="AD16" s="111"/>
    </row>
    <row r="17" spans="2:31">
      <c r="B17" s="72">
        <v>2001</v>
      </c>
      <c r="C17" s="289">
        <f t="shared" si="0"/>
        <v>0.62173333333333325</v>
      </c>
      <c r="D17" s="289">
        <f t="shared" si="1"/>
        <v>8.8991666666666677E-2</v>
      </c>
      <c r="E17" s="289">
        <f t="shared" si="2"/>
        <v>8.3408333333333348E-2</v>
      </c>
      <c r="F17" s="289">
        <f t="shared" si="3"/>
        <v>0.6939749999999999</v>
      </c>
      <c r="G17" s="289">
        <f t="shared" si="4"/>
        <v>0.41160833333333335</v>
      </c>
      <c r="H17" s="289"/>
      <c r="J17" s="289"/>
      <c r="L17" s="281"/>
      <c r="M17" s="289"/>
      <c r="Z17" s="111"/>
      <c r="AA17" s="351"/>
      <c r="AB17" s="349"/>
      <c r="AC17" s="111"/>
      <c r="AD17" s="111"/>
    </row>
    <row r="18" spans="2:31">
      <c r="B18" s="72">
        <v>2002</v>
      </c>
      <c r="C18" s="289">
        <f t="shared" si="0"/>
        <v>0.62839166666666657</v>
      </c>
      <c r="D18" s="289">
        <f t="shared" si="1"/>
        <v>8.5441666666666652E-2</v>
      </c>
      <c r="E18" s="289">
        <f t="shared" si="2"/>
        <v>8.3408333333333348E-2</v>
      </c>
      <c r="F18" s="289">
        <f t="shared" si="3"/>
        <v>0.66639999999999988</v>
      </c>
      <c r="G18" s="289">
        <f t="shared" si="4"/>
        <v>0.42845</v>
      </c>
      <c r="H18" s="289"/>
      <c r="J18" s="289"/>
      <c r="L18" s="281"/>
      <c r="M18" s="289"/>
      <c r="Z18" s="111"/>
      <c r="AA18" s="352"/>
      <c r="AB18" s="349"/>
      <c r="AC18" s="111"/>
      <c r="AD18" s="111"/>
    </row>
    <row r="19" spans="2:31">
      <c r="B19" s="72">
        <v>2003</v>
      </c>
      <c r="C19" s="289">
        <f t="shared" si="0"/>
        <v>0.69175833333333336</v>
      </c>
      <c r="D19" s="289">
        <f t="shared" si="1"/>
        <v>7.8583333333333352E-2</v>
      </c>
      <c r="E19" s="289">
        <f t="shared" si="2"/>
        <v>8.4550000000000014E-2</v>
      </c>
      <c r="F19" s="289">
        <f t="shared" si="3"/>
        <v>0.61210833333333337</v>
      </c>
      <c r="G19" s="289">
        <f t="shared" si="4"/>
        <v>0.4550583333333334</v>
      </c>
      <c r="H19" s="289"/>
      <c r="J19" s="289"/>
      <c r="L19" s="281"/>
      <c r="M19" s="289"/>
      <c r="Z19" s="111"/>
      <c r="AA19" s="352"/>
      <c r="AB19" s="349"/>
      <c r="AC19" s="111"/>
      <c r="AD19" s="111"/>
    </row>
    <row r="20" spans="2:31">
      <c r="B20" s="72">
        <v>2004</v>
      </c>
      <c r="C20" s="289">
        <f t="shared" si="0"/>
        <v>0.67830833333333329</v>
      </c>
      <c r="D20" s="289">
        <f t="shared" si="1"/>
        <v>7.0066666666666666E-2</v>
      </c>
      <c r="E20" s="289">
        <f>SUMPRODUCT(($F$35:$F$189)*($C$35:$C$189=B20))/COUNTIF($C$35:$C$189,B20)</f>
        <v>9.3075000000000005E-2</v>
      </c>
      <c r="F20" s="289">
        <f t="shared" si="3"/>
        <v>0.54586666666666672</v>
      </c>
      <c r="G20" s="289">
        <f t="shared" si="4"/>
        <v>0.43951666666666672</v>
      </c>
      <c r="H20" s="289"/>
      <c r="J20" s="289"/>
      <c r="L20" s="281"/>
      <c r="M20" s="289"/>
      <c r="Z20" s="138"/>
      <c r="AA20" s="353"/>
      <c r="AB20" s="354"/>
      <c r="AC20" s="138"/>
      <c r="AD20" s="111"/>
    </row>
    <row r="21" spans="2:31">
      <c r="B21" s="72">
        <v>2005</v>
      </c>
      <c r="C21" s="289">
        <f t="shared" si="0"/>
        <v>0.68375833333333336</v>
      </c>
      <c r="D21" s="289">
        <f t="shared" si="1"/>
        <v>7.0683333333333334E-2</v>
      </c>
      <c r="E21" s="289">
        <f t="shared" si="2"/>
        <v>9.1166666666666674E-2</v>
      </c>
      <c r="F21" s="289">
        <f t="shared" si="3"/>
        <v>0.54975833333333324</v>
      </c>
      <c r="G21" s="289">
        <f t="shared" si="4"/>
        <v>0.44161666666666671</v>
      </c>
      <c r="H21" s="289"/>
      <c r="J21" s="289"/>
      <c r="L21" s="281"/>
      <c r="M21" s="289"/>
      <c r="Z21" s="138"/>
      <c r="AA21" s="353"/>
      <c r="AB21" s="354"/>
      <c r="AC21" s="138"/>
      <c r="AD21" s="111"/>
    </row>
    <row r="22" spans="2:31">
      <c r="B22" s="72">
        <v>2006</v>
      </c>
      <c r="C22" s="289">
        <f t="shared" si="0"/>
        <v>0.68164166666666659</v>
      </c>
      <c r="D22" s="289">
        <f t="shared" si="1"/>
        <v>6.999166666666666E-2</v>
      </c>
      <c r="E22" s="289">
        <f t="shared" si="2"/>
        <v>9.1741666666666652E-2</v>
      </c>
      <c r="F22" s="289">
        <f t="shared" si="3"/>
        <v>0.54359999999999997</v>
      </c>
      <c r="G22" s="289">
        <f t="shared" si="4"/>
        <v>0.43344999999999995</v>
      </c>
      <c r="H22" s="289"/>
      <c r="J22" s="289"/>
      <c r="L22" s="281"/>
      <c r="M22" s="289"/>
      <c r="Z22" s="138"/>
      <c r="AA22" s="353"/>
      <c r="AB22" s="354"/>
      <c r="AC22" s="138"/>
      <c r="AD22" s="111"/>
    </row>
    <row r="23" spans="2:31">
      <c r="B23" s="72">
        <v>2007</v>
      </c>
      <c r="C23" s="289">
        <f t="shared" si="0"/>
        <v>0.68425833333333319</v>
      </c>
      <c r="D23" s="289">
        <f t="shared" si="1"/>
        <v>6.4049999999999996E-2</v>
      </c>
      <c r="E23" s="289">
        <f t="shared" si="2"/>
        <v>9.1399999999999995E-2</v>
      </c>
      <c r="F23" s="289">
        <f t="shared" si="3"/>
        <v>0.49979166666666663</v>
      </c>
      <c r="G23" s="289">
        <f t="shared" si="4"/>
        <v>0.41653333333333326</v>
      </c>
      <c r="H23" s="289"/>
      <c r="J23" s="289"/>
      <c r="L23" s="281"/>
      <c r="M23" s="289"/>
      <c r="Z23" s="138"/>
      <c r="AA23" s="353"/>
      <c r="AB23" s="354"/>
      <c r="AC23" s="138"/>
      <c r="AD23" s="111"/>
    </row>
    <row r="24" spans="2:31">
      <c r="B24" s="72">
        <v>2008</v>
      </c>
      <c r="C24" s="289">
        <f t="shared" si="0"/>
        <v>0.79565833333333336</v>
      </c>
      <c r="D24" s="289">
        <f t="shared" si="1"/>
        <v>6.994166666666668E-2</v>
      </c>
      <c r="E24" s="289">
        <f t="shared" si="2"/>
        <v>9.1833333333333322E-2</v>
      </c>
      <c r="F24" s="289">
        <f t="shared" si="3"/>
        <v>0.54463333333333341</v>
      </c>
      <c r="G24" s="289">
        <f t="shared" si="4"/>
        <v>0.50203333333333333</v>
      </c>
      <c r="H24" s="289"/>
      <c r="J24" s="289"/>
      <c r="L24" s="281"/>
      <c r="M24" s="289"/>
      <c r="Z24" s="138"/>
      <c r="AA24" s="353"/>
      <c r="AB24" s="354"/>
      <c r="AC24" s="138"/>
      <c r="AD24" s="111"/>
    </row>
    <row r="25" spans="2:31">
      <c r="B25" s="72">
        <v>2009</v>
      </c>
      <c r="C25" s="289">
        <f t="shared" si="0"/>
        <v>0.89110833333333339</v>
      </c>
      <c r="D25" s="289">
        <f t="shared" si="1"/>
        <v>8.2708333333333328E-2</v>
      </c>
      <c r="E25" s="289">
        <f t="shared" si="2"/>
        <v>0.10671666666666668</v>
      </c>
      <c r="F25" s="289">
        <f t="shared" si="3"/>
        <v>0.64118333333333344</v>
      </c>
      <c r="G25" s="289">
        <f t="shared" si="4"/>
        <v>0.59025000000000005</v>
      </c>
      <c r="H25" s="289"/>
      <c r="J25" s="289"/>
      <c r="L25" s="281"/>
      <c r="M25" s="289"/>
      <c r="Z25" s="138"/>
      <c r="AA25" s="353"/>
      <c r="AB25" s="354"/>
      <c r="AC25" s="138"/>
      <c r="AD25" s="111"/>
    </row>
    <row r="26" spans="2:31">
      <c r="B26" s="72">
        <v>2010</v>
      </c>
      <c r="C26" s="289">
        <f t="shared" si="0"/>
        <v>0.85834999999999984</v>
      </c>
      <c r="D26" s="289">
        <f t="shared" si="1"/>
        <v>8.3299999999999999E-2</v>
      </c>
      <c r="E26" s="289">
        <f t="shared" si="2"/>
        <v>0.11964999999999999</v>
      </c>
      <c r="F26" s="289">
        <f t="shared" si="3"/>
        <v>0.64728333333333321</v>
      </c>
      <c r="G26" s="289">
        <f t="shared" si="4"/>
        <v>0.62116666666666676</v>
      </c>
      <c r="H26" s="289"/>
      <c r="J26" s="289"/>
      <c r="L26" s="281"/>
      <c r="M26" s="289"/>
      <c r="Z26" s="111"/>
      <c r="AA26" s="352"/>
      <c r="AB26" s="349"/>
      <c r="AC26" s="111"/>
      <c r="AD26" s="111"/>
    </row>
    <row r="27" spans="2:31">
      <c r="B27" s="72">
        <v>2011</v>
      </c>
      <c r="C27" s="289">
        <f t="shared" si="0"/>
        <v>0.86770000000000014</v>
      </c>
      <c r="D27" s="289">
        <f t="shared" si="1"/>
        <v>8.0091666666666672E-2</v>
      </c>
      <c r="E27" s="289">
        <f t="shared" si="2"/>
        <v>0.11524166666666665</v>
      </c>
      <c r="F27" s="289">
        <f t="shared" si="3"/>
        <v>0.62350000000000005</v>
      </c>
      <c r="G27" s="289">
        <f t="shared" si="4"/>
        <v>0.7048333333333332</v>
      </c>
      <c r="H27" s="289"/>
      <c r="J27" s="289"/>
      <c r="L27" s="281"/>
      <c r="M27" s="289"/>
      <c r="Z27" s="111"/>
      <c r="AA27" s="352"/>
      <c r="AB27" s="349"/>
      <c r="AC27" s="111"/>
      <c r="AD27" s="111"/>
    </row>
    <row r="28" spans="2:31">
      <c r="B28" s="72">
        <v>2012</v>
      </c>
      <c r="C28" s="289">
        <f t="shared" si="0"/>
        <v>0.81117272727272727</v>
      </c>
      <c r="D28" s="289">
        <f t="shared" si="1"/>
        <v>8.145454545454546E-2</v>
      </c>
      <c r="E28" s="289">
        <f t="shared" si="2"/>
        <v>0.11668181818181819</v>
      </c>
      <c r="F28" s="289">
        <f t="shared" si="3"/>
        <v>0.63199090909090916</v>
      </c>
      <c r="G28" s="289">
        <f t="shared" si="4"/>
        <v>0.67314545454545438</v>
      </c>
      <c r="H28" s="289"/>
      <c r="J28" s="289"/>
      <c r="L28" s="281"/>
      <c r="M28" s="289"/>
      <c r="Z28" s="111"/>
      <c r="AA28" s="352"/>
      <c r="AB28" s="349"/>
      <c r="AC28" s="111"/>
      <c r="AD28" s="111"/>
    </row>
    <row r="29" spans="2:31">
      <c r="Z29" s="111"/>
      <c r="AA29" s="352"/>
      <c r="AB29" s="349"/>
      <c r="AC29" s="111"/>
      <c r="AD29" s="111"/>
    </row>
    <row r="32" spans="2:31">
      <c r="B32" s="278" t="s">
        <v>1331</v>
      </c>
      <c r="C32" s="285"/>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row>
    <row r="34" spans="2:9">
      <c r="B34" s="286" t="s">
        <v>345</v>
      </c>
      <c r="C34" s="286" t="s">
        <v>159</v>
      </c>
      <c r="D34" s="286" t="s">
        <v>346</v>
      </c>
      <c r="E34" s="286" t="s">
        <v>354</v>
      </c>
      <c r="F34" s="286" t="s">
        <v>362</v>
      </c>
      <c r="G34" s="286" t="s">
        <v>363</v>
      </c>
      <c r="H34" s="286" t="s">
        <v>364</v>
      </c>
      <c r="I34" s="286" t="s">
        <v>923</v>
      </c>
    </row>
    <row r="35" spans="2:9">
      <c r="B35" s="287">
        <v>41243</v>
      </c>
      <c r="C35" s="288">
        <v>2012</v>
      </c>
      <c r="D35" s="289">
        <v>0.80330000000000001</v>
      </c>
      <c r="E35" s="289">
        <v>8.0799999999999997E-2</v>
      </c>
      <c r="F35" s="289">
        <v>0.1153</v>
      </c>
      <c r="G35" s="289">
        <v>0.62629999999999997</v>
      </c>
      <c r="H35" s="289">
        <v>0.66649999999999998</v>
      </c>
      <c r="I35" s="289" t="s">
        <v>924</v>
      </c>
    </row>
    <row r="36" spans="2:9">
      <c r="B36" s="287">
        <v>41213</v>
      </c>
      <c r="C36" s="288">
        <v>2012</v>
      </c>
      <c r="D36" s="289">
        <v>0.80649999999999999</v>
      </c>
      <c r="E36" s="289">
        <v>8.0199999999999994E-2</v>
      </c>
      <c r="F36" s="289">
        <v>0.1168</v>
      </c>
      <c r="G36" s="289">
        <v>0.62190000000000001</v>
      </c>
      <c r="H36" s="289">
        <v>0.66669999999999996</v>
      </c>
      <c r="I36" s="289" t="s">
        <v>925</v>
      </c>
    </row>
    <row r="37" spans="2:9">
      <c r="B37" s="287">
        <v>41182</v>
      </c>
      <c r="C37" s="288">
        <v>2012</v>
      </c>
      <c r="D37" s="289">
        <v>0.79869999999999997</v>
      </c>
      <c r="E37" s="289">
        <v>8.0100000000000005E-2</v>
      </c>
      <c r="F37" s="289">
        <v>0.1171</v>
      </c>
      <c r="G37" s="289">
        <v>0.62139999999999995</v>
      </c>
      <c r="H37" s="289">
        <v>0.66069999999999995</v>
      </c>
      <c r="I37" s="289" t="e">
        <v>#N/A</v>
      </c>
    </row>
    <row r="38" spans="2:9">
      <c r="B38" s="287">
        <v>41152</v>
      </c>
      <c r="C38" s="288">
        <v>2012</v>
      </c>
      <c r="D38" s="289">
        <v>0.78839999999999999</v>
      </c>
      <c r="E38" s="289">
        <v>8.2100000000000006E-2</v>
      </c>
      <c r="F38" s="289">
        <v>0.11749999999999999</v>
      </c>
      <c r="G38" s="289">
        <v>0.63660000000000005</v>
      </c>
      <c r="H38" s="289">
        <v>0.65639999999999998</v>
      </c>
      <c r="I38" s="289" t="s">
        <v>926</v>
      </c>
    </row>
    <row r="39" spans="2:9">
      <c r="B39" s="287">
        <v>41121</v>
      </c>
      <c r="C39" s="288">
        <v>2012</v>
      </c>
      <c r="D39" s="289">
        <v>0.78890000000000005</v>
      </c>
      <c r="E39" s="289">
        <v>8.2600000000000007E-2</v>
      </c>
      <c r="F39" s="289">
        <v>0.1188</v>
      </c>
      <c r="G39" s="289">
        <v>0.64090000000000003</v>
      </c>
      <c r="H39" s="289">
        <v>0.65680000000000005</v>
      </c>
      <c r="I39" s="289" t="s">
        <v>927</v>
      </c>
    </row>
    <row r="40" spans="2:9">
      <c r="B40" s="287">
        <v>41090</v>
      </c>
      <c r="C40" s="288">
        <v>2012</v>
      </c>
      <c r="D40" s="289">
        <v>0.80640000000000001</v>
      </c>
      <c r="E40" s="289">
        <v>8.2900000000000001E-2</v>
      </c>
      <c r="F40" s="289">
        <v>0.1188</v>
      </c>
      <c r="G40" s="289">
        <v>0.64329999999999998</v>
      </c>
      <c r="H40" s="289">
        <v>0.67130000000000001</v>
      </c>
      <c r="I40" s="289" t="e">
        <v>#N/A</v>
      </c>
    </row>
    <row r="41" spans="2:9">
      <c r="B41" s="287">
        <v>41060</v>
      </c>
      <c r="C41" s="288">
        <v>2012</v>
      </c>
      <c r="D41" s="289">
        <v>0.80469999999999997</v>
      </c>
      <c r="E41" s="289">
        <v>8.0699999999999994E-2</v>
      </c>
      <c r="F41" s="289">
        <v>0.11749999999999999</v>
      </c>
      <c r="G41" s="289">
        <v>0.62690000000000001</v>
      </c>
      <c r="H41" s="289">
        <v>0.66990000000000005</v>
      </c>
      <c r="I41" s="289" t="s">
        <v>928</v>
      </c>
    </row>
    <row r="42" spans="2:9">
      <c r="B42" s="287">
        <v>41029</v>
      </c>
      <c r="C42" s="288">
        <v>2012</v>
      </c>
      <c r="D42" s="289">
        <v>0.82299999999999995</v>
      </c>
      <c r="E42" s="289">
        <v>8.0500000000000002E-2</v>
      </c>
      <c r="F42" s="289">
        <v>0.11840000000000001</v>
      </c>
      <c r="G42" s="289">
        <v>0.62490000000000001</v>
      </c>
      <c r="H42" s="289">
        <v>0.68459999999999999</v>
      </c>
      <c r="I42" s="289" t="s">
        <v>929</v>
      </c>
    </row>
    <row r="43" spans="2:9">
      <c r="B43" s="287">
        <v>40999</v>
      </c>
      <c r="C43" s="288">
        <v>2012</v>
      </c>
      <c r="D43" s="289">
        <v>0.83489999999999998</v>
      </c>
      <c r="E43" s="289">
        <v>8.14E-2</v>
      </c>
      <c r="F43" s="289">
        <v>0.11609999999999999</v>
      </c>
      <c r="G43" s="289">
        <v>0.63190000000000002</v>
      </c>
      <c r="H43" s="289">
        <v>0.69220000000000004</v>
      </c>
      <c r="I43" s="289" t="e">
        <v>#N/A</v>
      </c>
    </row>
    <row r="44" spans="2:9">
      <c r="B44" s="287">
        <v>40968</v>
      </c>
      <c r="C44" s="288">
        <v>2012</v>
      </c>
      <c r="D44" s="289">
        <v>0.8367</v>
      </c>
      <c r="E44" s="289">
        <v>8.1600000000000006E-2</v>
      </c>
      <c r="F44" s="289">
        <v>0.1135</v>
      </c>
      <c r="G44" s="289">
        <v>0.63290000000000002</v>
      </c>
      <c r="H44" s="289">
        <v>0.69299999999999995</v>
      </c>
      <c r="I44" s="289" t="s">
        <v>930</v>
      </c>
    </row>
    <row r="45" spans="2:9">
      <c r="B45" s="287">
        <v>40939</v>
      </c>
      <c r="C45" s="288">
        <v>2012</v>
      </c>
      <c r="D45" s="289">
        <v>0.83140000000000003</v>
      </c>
      <c r="E45" s="289">
        <v>8.3099999999999993E-2</v>
      </c>
      <c r="F45" s="289">
        <v>0.1137</v>
      </c>
      <c r="G45" s="289">
        <v>0.64490000000000003</v>
      </c>
      <c r="H45" s="289">
        <v>0.6865</v>
      </c>
      <c r="I45" s="289" t="s">
        <v>931</v>
      </c>
    </row>
    <row r="46" spans="2:9">
      <c r="B46" s="287">
        <v>40908</v>
      </c>
      <c r="C46" s="288">
        <v>2011</v>
      </c>
      <c r="D46" s="289">
        <v>0.84509999999999996</v>
      </c>
      <c r="E46" s="289">
        <v>8.2400000000000001E-2</v>
      </c>
      <c r="F46" s="289">
        <v>0.11360000000000001</v>
      </c>
      <c r="G46" s="289">
        <v>0.64100000000000001</v>
      </c>
      <c r="H46" s="289">
        <v>0.68820000000000003</v>
      </c>
      <c r="I46" s="289" t="e">
        <v>#N/A</v>
      </c>
    </row>
    <row r="47" spans="2:9">
      <c r="B47" s="287">
        <v>40877</v>
      </c>
      <c r="C47" s="288">
        <v>2011</v>
      </c>
      <c r="D47" s="289">
        <v>0.85819999999999996</v>
      </c>
      <c r="E47" s="289">
        <v>8.1199999999999994E-2</v>
      </c>
      <c r="F47" s="289">
        <v>0.1149</v>
      </c>
      <c r="G47" s="289">
        <v>0.63170000000000004</v>
      </c>
      <c r="H47" s="289">
        <v>0.69699999999999995</v>
      </c>
      <c r="I47" s="289" t="s">
        <v>932</v>
      </c>
    </row>
    <row r="48" spans="2:9">
      <c r="B48" s="287">
        <v>40847</v>
      </c>
      <c r="C48" s="288">
        <v>2011</v>
      </c>
      <c r="D48" s="289">
        <v>0.86950000000000005</v>
      </c>
      <c r="E48" s="289">
        <v>8.1600000000000006E-2</v>
      </c>
      <c r="F48" s="289">
        <v>0.1174</v>
      </c>
      <c r="G48" s="289">
        <v>0.63470000000000004</v>
      </c>
      <c r="H48" s="289">
        <v>0.70720000000000005</v>
      </c>
      <c r="I48" s="289" t="s">
        <v>933</v>
      </c>
    </row>
    <row r="49" spans="2:9">
      <c r="B49" s="287">
        <v>40816</v>
      </c>
      <c r="C49" s="288">
        <v>2011</v>
      </c>
      <c r="D49" s="289">
        <v>0.87219999999999998</v>
      </c>
      <c r="E49" s="289">
        <v>8.1100000000000005E-2</v>
      </c>
      <c r="F49" s="289">
        <v>0.1124</v>
      </c>
      <c r="G49" s="289">
        <v>0.63200000000000001</v>
      </c>
      <c r="H49" s="289">
        <v>0.73060000000000003</v>
      </c>
      <c r="I49" s="289" t="s">
        <v>934</v>
      </c>
    </row>
    <row r="50" spans="2:9">
      <c r="B50" s="287">
        <v>40786</v>
      </c>
      <c r="C50" s="288">
        <v>2011</v>
      </c>
      <c r="D50" s="289">
        <v>0.87590000000000001</v>
      </c>
      <c r="E50" s="289">
        <v>7.8299999999999995E-2</v>
      </c>
      <c r="F50" s="289">
        <v>0.1106</v>
      </c>
      <c r="G50" s="289">
        <v>0.61080000000000001</v>
      </c>
      <c r="H50" s="289">
        <v>0.78249999999999997</v>
      </c>
      <c r="I50" s="289" t="s">
        <v>935</v>
      </c>
    </row>
    <row r="51" spans="2:9">
      <c r="B51" s="287">
        <v>40755</v>
      </c>
      <c r="C51" s="288">
        <v>2011</v>
      </c>
      <c r="D51" s="289">
        <v>0.8861</v>
      </c>
      <c r="E51" s="289">
        <v>7.9500000000000001E-2</v>
      </c>
      <c r="F51" s="289">
        <v>0.11210000000000001</v>
      </c>
      <c r="G51" s="289">
        <v>0.61929999999999996</v>
      </c>
      <c r="H51" s="289">
        <v>0.75129999999999997</v>
      </c>
      <c r="I51" s="289" t="e">
        <v>#N/A</v>
      </c>
    </row>
    <row r="52" spans="2:9">
      <c r="B52" s="287">
        <v>40724</v>
      </c>
      <c r="C52" s="288">
        <v>2011</v>
      </c>
      <c r="D52" s="289">
        <v>0.88600000000000001</v>
      </c>
      <c r="E52" s="289">
        <v>7.9100000000000004E-2</v>
      </c>
      <c r="F52" s="289">
        <v>0.1114</v>
      </c>
      <c r="G52" s="289">
        <v>0.61609999999999998</v>
      </c>
      <c r="H52" s="289">
        <v>0.73250000000000004</v>
      </c>
      <c r="I52" s="289" t="s">
        <v>936</v>
      </c>
    </row>
    <row r="53" spans="2:9">
      <c r="B53" s="287">
        <v>40694</v>
      </c>
      <c r="C53" s="288">
        <v>2011</v>
      </c>
      <c r="D53" s="289">
        <v>0.87649999999999995</v>
      </c>
      <c r="E53" s="289">
        <v>7.8600000000000003E-2</v>
      </c>
      <c r="F53" s="289">
        <v>0.1153</v>
      </c>
      <c r="G53" s="289">
        <v>0.61129999999999995</v>
      </c>
      <c r="H53" s="289">
        <v>0.69920000000000004</v>
      </c>
      <c r="I53" s="289" t="s">
        <v>937</v>
      </c>
    </row>
    <row r="54" spans="2:9">
      <c r="B54" s="287">
        <v>40663</v>
      </c>
      <c r="C54" s="288">
        <v>2011</v>
      </c>
      <c r="D54" s="289">
        <v>0.88290000000000002</v>
      </c>
      <c r="E54" s="289">
        <v>7.8700000000000006E-2</v>
      </c>
      <c r="F54" s="289">
        <v>0.1178</v>
      </c>
      <c r="G54" s="289">
        <v>0.61160000000000003</v>
      </c>
      <c r="H54" s="289">
        <v>0.67989999999999995</v>
      </c>
      <c r="I54" s="289" t="e">
        <v>#N/A</v>
      </c>
    </row>
    <row r="55" spans="2:9">
      <c r="B55" s="287">
        <v>40633</v>
      </c>
      <c r="C55" s="288">
        <v>2011</v>
      </c>
      <c r="D55" s="289">
        <v>0.86609999999999998</v>
      </c>
      <c r="E55" s="289">
        <v>7.9399999999999998E-2</v>
      </c>
      <c r="F55" s="289">
        <v>0.1211</v>
      </c>
      <c r="G55" s="289">
        <v>0.61860000000000004</v>
      </c>
      <c r="H55" s="289">
        <v>0.67279999999999995</v>
      </c>
      <c r="I55" s="289" t="s">
        <v>938</v>
      </c>
    </row>
    <row r="56" spans="2:9">
      <c r="B56" s="287">
        <v>40602</v>
      </c>
      <c r="C56" s="288">
        <v>2011</v>
      </c>
      <c r="D56" s="289">
        <v>0.84650000000000003</v>
      </c>
      <c r="E56" s="289">
        <v>7.9600000000000004E-2</v>
      </c>
      <c r="F56" s="289">
        <v>0.11749999999999999</v>
      </c>
      <c r="G56" s="289">
        <v>0.62029999999999996</v>
      </c>
      <c r="H56" s="289">
        <v>0.65259999999999996</v>
      </c>
      <c r="I56" s="289" t="s">
        <v>939</v>
      </c>
    </row>
    <row r="57" spans="2:9">
      <c r="B57" s="287">
        <v>40574</v>
      </c>
      <c r="C57" s="288">
        <v>2011</v>
      </c>
      <c r="D57" s="289">
        <v>0.84740000000000004</v>
      </c>
      <c r="E57" s="289">
        <v>8.1600000000000006E-2</v>
      </c>
      <c r="F57" s="289">
        <v>0.1188</v>
      </c>
      <c r="G57" s="289">
        <v>0.63460000000000005</v>
      </c>
      <c r="H57" s="289">
        <v>0.66420000000000001</v>
      </c>
      <c r="I57" s="289" t="s">
        <v>940</v>
      </c>
    </row>
    <row r="58" spans="2:9">
      <c r="B58" s="287">
        <v>40543</v>
      </c>
      <c r="C58" s="288">
        <v>2010</v>
      </c>
      <c r="D58" s="289">
        <v>0.84650000000000003</v>
      </c>
      <c r="E58" s="289">
        <v>8.2400000000000001E-2</v>
      </c>
      <c r="F58" s="289">
        <v>0.1208</v>
      </c>
      <c r="G58" s="289">
        <v>0.64059999999999995</v>
      </c>
      <c r="H58" s="289">
        <v>0.65949999999999998</v>
      </c>
      <c r="I58" s="289" t="e">
        <v>#N/A</v>
      </c>
    </row>
    <row r="59" spans="2:9">
      <c r="B59" s="287">
        <v>40512</v>
      </c>
      <c r="C59" s="288">
        <v>2010</v>
      </c>
      <c r="D59" s="289">
        <v>0.85660000000000003</v>
      </c>
      <c r="E59" s="289">
        <v>8.0699999999999994E-2</v>
      </c>
      <c r="F59" s="289">
        <v>0.1207</v>
      </c>
      <c r="G59" s="289">
        <v>0.62560000000000004</v>
      </c>
      <c r="H59" s="289">
        <v>0.63580000000000003</v>
      </c>
      <c r="I59" s="289" t="s">
        <v>941</v>
      </c>
    </row>
    <row r="60" spans="2:9">
      <c r="B60" s="287">
        <v>40482</v>
      </c>
      <c r="C60" s="288">
        <v>2010</v>
      </c>
      <c r="D60" s="289">
        <v>0.87570000000000003</v>
      </c>
      <c r="E60" s="289">
        <v>8.1199999999999994E-2</v>
      </c>
      <c r="F60" s="289">
        <v>0.1231</v>
      </c>
      <c r="G60" s="289">
        <v>0.63039999999999996</v>
      </c>
      <c r="H60" s="289">
        <v>0.65039999999999998</v>
      </c>
      <c r="I60" s="289" t="e">
        <v>#N/A</v>
      </c>
    </row>
    <row r="61" spans="2:9">
      <c r="B61" s="287">
        <v>40451</v>
      </c>
      <c r="C61" s="288">
        <v>2010</v>
      </c>
      <c r="D61" s="289">
        <v>0.83740000000000003</v>
      </c>
      <c r="E61" s="289">
        <v>8.2799999999999999E-2</v>
      </c>
      <c r="F61" s="289">
        <v>0.1197</v>
      </c>
      <c r="G61" s="289">
        <v>0.64280000000000004</v>
      </c>
      <c r="H61" s="289">
        <v>0.63990000000000002</v>
      </c>
      <c r="I61" s="289" t="s">
        <v>942</v>
      </c>
    </row>
    <row r="62" spans="2:9">
      <c r="B62" s="287">
        <v>40421</v>
      </c>
      <c r="C62" s="288">
        <v>2010</v>
      </c>
      <c r="D62" s="289">
        <v>0.82399999999999995</v>
      </c>
      <c r="E62" s="289">
        <v>8.2100000000000006E-2</v>
      </c>
      <c r="F62" s="289">
        <v>0.1157</v>
      </c>
      <c r="G62" s="289">
        <v>0.63819999999999999</v>
      </c>
      <c r="H62" s="289">
        <v>0.61370000000000002</v>
      </c>
      <c r="I62" s="289" t="s">
        <v>943</v>
      </c>
    </row>
    <row r="63" spans="2:9">
      <c r="B63" s="287">
        <v>40390</v>
      </c>
      <c r="C63" s="288">
        <v>2010</v>
      </c>
      <c r="D63" s="289">
        <v>0.83530000000000004</v>
      </c>
      <c r="E63" s="289">
        <v>8.4199999999999997E-2</v>
      </c>
      <c r="F63" s="289">
        <v>0.11550000000000001</v>
      </c>
      <c r="G63" s="289">
        <v>0.65500000000000003</v>
      </c>
      <c r="H63" s="289">
        <v>0.62050000000000005</v>
      </c>
      <c r="I63" s="289" t="e">
        <v>#N/A</v>
      </c>
    </row>
    <row r="64" spans="2:9">
      <c r="B64" s="287">
        <v>40359</v>
      </c>
      <c r="C64" s="288">
        <v>2010</v>
      </c>
      <c r="D64" s="289">
        <v>0.82909999999999995</v>
      </c>
      <c r="E64" s="289">
        <v>8.72E-2</v>
      </c>
      <c r="F64" s="289">
        <v>0.11509999999999999</v>
      </c>
      <c r="G64" s="289">
        <v>0.67900000000000005</v>
      </c>
      <c r="H64" s="289">
        <v>0.6008</v>
      </c>
      <c r="I64" s="289" t="s">
        <v>944</v>
      </c>
    </row>
    <row r="65" spans="2:9">
      <c r="B65" s="287">
        <v>40329</v>
      </c>
      <c r="C65" s="288">
        <v>2010</v>
      </c>
      <c r="D65" s="289">
        <v>0.85799999999999998</v>
      </c>
      <c r="E65" s="289">
        <v>8.7400000000000005E-2</v>
      </c>
      <c r="F65" s="289">
        <v>0.11890000000000001</v>
      </c>
      <c r="G65" s="289">
        <v>0.68030000000000002</v>
      </c>
      <c r="H65" s="289">
        <v>0.60399999999999998</v>
      </c>
      <c r="I65" s="289" t="e">
        <v>#N/A</v>
      </c>
    </row>
    <row r="66" spans="2:9">
      <c r="B66" s="287">
        <v>40298</v>
      </c>
      <c r="C66" s="288">
        <v>2010</v>
      </c>
      <c r="D66" s="289">
        <v>0.877</v>
      </c>
      <c r="E66" s="289">
        <v>8.4000000000000005E-2</v>
      </c>
      <c r="F66" s="289">
        <v>0.1205</v>
      </c>
      <c r="G66" s="289">
        <v>0.65249999999999997</v>
      </c>
      <c r="H66" s="289">
        <v>0.61170000000000002</v>
      </c>
      <c r="I66" s="289" t="s">
        <v>945</v>
      </c>
    </row>
    <row r="67" spans="2:9">
      <c r="B67" s="287">
        <v>40268</v>
      </c>
      <c r="C67" s="288">
        <v>2010</v>
      </c>
      <c r="D67" s="289">
        <v>0.90149999999999997</v>
      </c>
      <c r="E67" s="289">
        <v>8.5500000000000007E-2</v>
      </c>
      <c r="F67" s="289">
        <v>0.1232</v>
      </c>
      <c r="G67" s="289">
        <v>0.66400000000000003</v>
      </c>
      <c r="H67" s="289">
        <v>0.62250000000000005</v>
      </c>
      <c r="I67" s="289" t="s">
        <v>946</v>
      </c>
    </row>
    <row r="68" spans="2:9">
      <c r="B68" s="287">
        <v>40237</v>
      </c>
      <c r="C68" s="288">
        <v>2010</v>
      </c>
      <c r="D68" s="289">
        <v>0.87539999999999996</v>
      </c>
      <c r="E68" s="289">
        <v>8.2400000000000001E-2</v>
      </c>
      <c r="F68" s="289">
        <v>0.11899999999999999</v>
      </c>
      <c r="G68" s="289">
        <v>0.64</v>
      </c>
      <c r="H68" s="289">
        <v>0.5968</v>
      </c>
      <c r="I68" s="289" t="e">
        <v>#N/A</v>
      </c>
    </row>
    <row r="69" spans="2:9">
      <c r="B69" s="287">
        <v>40209</v>
      </c>
      <c r="C69" s="288">
        <v>2010</v>
      </c>
      <c r="D69" s="289">
        <v>0.88370000000000004</v>
      </c>
      <c r="E69" s="289">
        <v>7.9699999999999993E-2</v>
      </c>
      <c r="F69" s="289">
        <v>0.1236</v>
      </c>
      <c r="G69" s="289">
        <v>0.61899999999999999</v>
      </c>
      <c r="H69" s="289">
        <v>0.59840000000000004</v>
      </c>
      <c r="I69" s="289" t="e">
        <v>#N/A</v>
      </c>
    </row>
    <row r="70" spans="2:9">
      <c r="B70" s="287">
        <v>40178</v>
      </c>
      <c r="C70" s="288">
        <v>2009</v>
      </c>
      <c r="D70" s="289">
        <v>0.89929999999999999</v>
      </c>
      <c r="E70" s="289">
        <v>7.9399999999999998E-2</v>
      </c>
      <c r="F70" s="289">
        <v>0.1215</v>
      </c>
      <c r="G70" s="289">
        <v>0.6159</v>
      </c>
      <c r="H70" s="289">
        <v>0.59850000000000003</v>
      </c>
      <c r="I70" s="289" t="s">
        <v>947</v>
      </c>
    </row>
    <row r="71" spans="2:9">
      <c r="B71" s="287">
        <v>40147</v>
      </c>
      <c r="C71" s="288">
        <v>2009</v>
      </c>
      <c r="D71" s="289">
        <v>0.89790000000000003</v>
      </c>
      <c r="E71" s="289">
        <v>7.7799999999999994E-2</v>
      </c>
      <c r="F71" s="289">
        <v>0.11119999999999999</v>
      </c>
      <c r="G71" s="289">
        <v>0.6028</v>
      </c>
      <c r="H71" s="289">
        <v>0.59450000000000003</v>
      </c>
      <c r="I71" s="289" t="s">
        <v>948</v>
      </c>
    </row>
    <row r="72" spans="2:9">
      <c r="B72" s="287">
        <v>40117</v>
      </c>
      <c r="C72" s="288">
        <v>2009</v>
      </c>
      <c r="D72" s="289">
        <v>0.91620000000000001</v>
      </c>
      <c r="E72" s="289">
        <v>7.9799999999999996E-2</v>
      </c>
      <c r="F72" s="289">
        <v>0.10539999999999999</v>
      </c>
      <c r="G72" s="289">
        <v>0.61880000000000002</v>
      </c>
      <c r="H72" s="289">
        <v>0.60499999999999998</v>
      </c>
      <c r="I72" s="289" t="e">
        <v>#N/A</v>
      </c>
    </row>
    <row r="73" spans="2:9">
      <c r="B73" s="287">
        <v>40086</v>
      </c>
      <c r="C73" s="288">
        <v>2009</v>
      </c>
      <c r="D73" s="289">
        <v>0.89100000000000001</v>
      </c>
      <c r="E73" s="289">
        <v>7.9000000000000001E-2</v>
      </c>
      <c r="F73" s="289">
        <v>0.1069</v>
      </c>
      <c r="G73" s="289">
        <v>0.61240000000000006</v>
      </c>
      <c r="H73" s="289">
        <v>0.58830000000000005</v>
      </c>
      <c r="I73" s="289" t="s">
        <v>949</v>
      </c>
    </row>
    <row r="74" spans="2:9">
      <c r="B74" s="287">
        <v>40056</v>
      </c>
      <c r="C74" s="288">
        <v>2009</v>
      </c>
      <c r="D74" s="289">
        <v>0.86119999999999997</v>
      </c>
      <c r="E74" s="289">
        <v>7.7899999999999997E-2</v>
      </c>
      <c r="F74" s="289">
        <v>0.1061</v>
      </c>
      <c r="G74" s="289">
        <v>0.60419999999999996</v>
      </c>
      <c r="H74" s="289">
        <v>0.56520000000000004</v>
      </c>
      <c r="I74" s="289" t="e">
        <v>#N/A</v>
      </c>
    </row>
    <row r="75" spans="2:9">
      <c r="B75" s="287">
        <v>40025</v>
      </c>
      <c r="C75" s="288">
        <v>2009</v>
      </c>
      <c r="D75" s="289">
        <v>0.86009999999999998</v>
      </c>
      <c r="E75" s="289">
        <v>7.8899999999999998E-2</v>
      </c>
      <c r="F75" s="289">
        <v>0.10630000000000001</v>
      </c>
      <c r="G75" s="289">
        <v>0.61129999999999995</v>
      </c>
      <c r="H75" s="289">
        <v>0.56610000000000005</v>
      </c>
      <c r="I75" s="289" t="s">
        <v>950</v>
      </c>
    </row>
    <row r="76" spans="2:9">
      <c r="B76" s="287">
        <v>39994</v>
      </c>
      <c r="C76" s="288">
        <v>2009</v>
      </c>
      <c r="D76" s="289">
        <v>0.8569</v>
      </c>
      <c r="E76" s="289">
        <v>7.8899999999999998E-2</v>
      </c>
      <c r="F76" s="289">
        <v>0.1061</v>
      </c>
      <c r="G76" s="289">
        <v>0.61150000000000004</v>
      </c>
      <c r="H76" s="289">
        <v>0.56589999999999996</v>
      </c>
      <c r="I76" s="289" t="s">
        <v>951</v>
      </c>
    </row>
    <row r="77" spans="2:9">
      <c r="B77" s="287">
        <v>39964</v>
      </c>
      <c r="C77" s="288">
        <v>2009</v>
      </c>
      <c r="D77" s="289">
        <v>0.88580000000000003</v>
      </c>
      <c r="E77" s="289">
        <v>8.3900000000000002E-2</v>
      </c>
      <c r="F77" s="289">
        <v>0.106</v>
      </c>
      <c r="G77" s="289">
        <v>0.65</v>
      </c>
      <c r="H77" s="289">
        <v>0.58599999999999997</v>
      </c>
      <c r="I77" s="289" t="e">
        <v>#N/A</v>
      </c>
    </row>
    <row r="78" spans="2:9">
      <c r="B78" s="287">
        <v>39933</v>
      </c>
      <c r="C78" s="288">
        <v>2009</v>
      </c>
      <c r="D78" s="289">
        <v>0.89859999999999995</v>
      </c>
      <c r="E78" s="289">
        <v>8.7800000000000003E-2</v>
      </c>
      <c r="F78" s="289">
        <v>0.1065</v>
      </c>
      <c r="G78" s="289">
        <v>0.6804</v>
      </c>
      <c r="H78" s="289">
        <v>0.59260000000000002</v>
      </c>
      <c r="I78" s="289" t="s">
        <v>952</v>
      </c>
    </row>
    <row r="79" spans="2:9">
      <c r="B79" s="287">
        <v>39903</v>
      </c>
      <c r="C79" s="288">
        <v>2009</v>
      </c>
      <c r="D79" s="289">
        <v>0.91739999999999999</v>
      </c>
      <c r="E79" s="289">
        <v>9.0800000000000006E-2</v>
      </c>
      <c r="F79" s="289">
        <v>0.1038</v>
      </c>
      <c r="G79" s="289">
        <v>0.70409999999999995</v>
      </c>
      <c r="H79" s="289">
        <v>0.6089</v>
      </c>
      <c r="I79" s="289" t="s">
        <v>953</v>
      </c>
    </row>
    <row r="80" spans="2:9">
      <c r="B80" s="287">
        <v>39872</v>
      </c>
      <c r="C80" s="288">
        <v>2009</v>
      </c>
      <c r="D80" s="289">
        <v>0.8871</v>
      </c>
      <c r="E80" s="289">
        <v>8.9300000000000004E-2</v>
      </c>
      <c r="F80" s="289">
        <v>0.10059999999999999</v>
      </c>
      <c r="G80" s="289">
        <v>0.69230000000000003</v>
      </c>
      <c r="H80" s="289">
        <v>0.59519999999999995</v>
      </c>
      <c r="I80" s="289" t="e">
        <v>#N/A</v>
      </c>
    </row>
    <row r="81" spans="2:9">
      <c r="B81" s="287">
        <v>39844</v>
      </c>
      <c r="C81" s="288">
        <v>2009</v>
      </c>
      <c r="D81" s="289">
        <v>0.92179999999999995</v>
      </c>
      <c r="E81" s="289">
        <v>8.8999999999999996E-2</v>
      </c>
      <c r="F81" s="289">
        <v>0.1002</v>
      </c>
      <c r="G81" s="289">
        <v>0.6905</v>
      </c>
      <c r="H81" s="289">
        <v>0.61680000000000001</v>
      </c>
      <c r="I81" s="289" t="e">
        <v>#N/A</v>
      </c>
    </row>
    <row r="82" spans="2:9">
      <c r="B82" s="287">
        <v>39813</v>
      </c>
      <c r="C82" s="288">
        <v>2008</v>
      </c>
      <c r="D82" s="289">
        <v>0.90439999999999998</v>
      </c>
      <c r="E82" s="289">
        <v>8.6699999999999999E-2</v>
      </c>
      <c r="F82" s="289">
        <v>9.6600000000000005E-2</v>
      </c>
      <c r="G82" s="289">
        <v>0.67179999999999995</v>
      </c>
      <c r="H82" s="289">
        <v>0.5877</v>
      </c>
      <c r="I82" s="289" t="s">
        <v>954</v>
      </c>
    </row>
    <row r="83" spans="2:9">
      <c r="B83" s="287">
        <v>39782</v>
      </c>
      <c r="C83" s="288">
        <v>2008</v>
      </c>
      <c r="D83" s="289">
        <v>0.82740000000000002</v>
      </c>
      <c r="E83" s="289">
        <v>8.4000000000000005E-2</v>
      </c>
      <c r="F83" s="289">
        <v>9.4899999999999998E-2</v>
      </c>
      <c r="G83" s="289">
        <v>0.6512</v>
      </c>
      <c r="H83" s="289">
        <v>0.5474</v>
      </c>
      <c r="I83" s="289" t="e">
        <v>#N/A</v>
      </c>
    </row>
    <row r="84" spans="2:9">
      <c r="B84" s="287">
        <v>39752</v>
      </c>
      <c r="C84" s="288">
        <v>2008</v>
      </c>
      <c r="D84" s="289">
        <v>0.78590000000000004</v>
      </c>
      <c r="E84" s="289">
        <v>7.5899999999999995E-2</v>
      </c>
      <c r="F84" s="289">
        <v>9.3399999999999997E-2</v>
      </c>
      <c r="G84" s="289">
        <v>0.58899999999999997</v>
      </c>
      <c r="H84" s="289">
        <v>0.51639999999999997</v>
      </c>
      <c r="I84" s="289" t="s">
        <v>955</v>
      </c>
    </row>
    <row r="85" spans="2:9">
      <c r="B85" s="287">
        <v>39721</v>
      </c>
      <c r="C85" s="288">
        <v>2008</v>
      </c>
      <c r="D85" s="289">
        <v>0.79830000000000001</v>
      </c>
      <c r="E85" s="289">
        <v>7.1199999999999999E-2</v>
      </c>
      <c r="F85" s="289">
        <v>9.2399999999999996E-2</v>
      </c>
      <c r="G85" s="289">
        <v>0.55479999999999996</v>
      </c>
      <c r="H85" s="289">
        <v>0.5</v>
      </c>
      <c r="I85" s="289" t="s">
        <v>956</v>
      </c>
    </row>
    <row r="86" spans="2:9">
      <c r="B86" s="287">
        <v>39691</v>
      </c>
      <c r="C86" s="288">
        <v>2008</v>
      </c>
      <c r="D86" s="289">
        <v>0.79149999999999998</v>
      </c>
      <c r="E86" s="289">
        <v>6.7599999999999993E-2</v>
      </c>
      <c r="F86" s="289">
        <v>9.0999999999999998E-2</v>
      </c>
      <c r="G86" s="289">
        <v>0.5282</v>
      </c>
      <c r="H86" s="289">
        <v>0.48809999999999998</v>
      </c>
      <c r="I86" s="289" t="e">
        <v>#N/A</v>
      </c>
    </row>
    <row r="87" spans="2:9">
      <c r="B87" s="287">
        <v>39660</v>
      </c>
      <c r="C87" s="288">
        <v>2008</v>
      </c>
      <c r="D87" s="289">
        <v>0.79300000000000004</v>
      </c>
      <c r="E87" s="289">
        <v>6.4399999999999999E-2</v>
      </c>
      <c r="F87" s="289">
        <v>9.06E-2</v>
      </c>
      <c r="G87" s="289">
        <v>0.50260000000000005</v>
      </c>
      <c r="H87" s="289">
        <v>0.49</v>
      </c>
      <c r="I87" s="289" t="s">
        <v>957</v>
      </c>
    </row>
    <row r="88" spans="2:9">
      <c r="B88" s="287">
        <v>39629</v>
      </c>
      <c r="C88" s="288">
        <v>2008</v>
      </c>
      <c r="D88" s="289">
        <v>0.79120000000000001</v>
      </c>
      <c r="E88" s="289">
        <v>6.5100000000000005E-2</v>
      </c>
      <c r="F88" s="289">
        <v>9.0800000000000006E-2</v>
      </c>
      <c r="G88" s="289">
        <v>0.50819999999999999</v>
      </c>
      <c r="H88" s="289">
        <v>0.49030000000000001</v>
      </c>
      <c r="I88" s="289" t="s">
        <v>958</v>
      </c>
    </row>
    <row r="89" spans="2:9">
      <c r="B89" s="287">
        <v>39599</v>
      </c>
      <c r="C89" s="288">
        <v>2008</v>
      </c>
      <c r="D89" s="289">
        <v>0.79139999999999999</v>
      </c>
      <c r="E89" s="289">
        <v>6.5199999999999994E-2</v>
      </c>
      <c r="F89" s="289">
        <v>9.1399999999999995E-2</v>
      </c>
      <c r="G89" s="289">
        <v>0.50860000000000005</v>
      </c>
      <c r="H89" s="289">
        <v>0.48749999999999999</v>
      </c>
      <c r="I89" s="289" t="e">
        <v>#N/A</v>
      </c>
    </row>
    <row r="90" spans="2:9">
      <c r="B90" s="287">
        <v>39568</v>
      </c>
      <c r="C90" s="288">
        <v>2008</v>
      </c>
      <c r="D90" s="289">
        <v>0.79479999999999995</v>
      </c>
      <c r="E90" s="289">
        <v>6.4699999999999994E-2</v>
      </c>
      <c r="F90" s="289">
        <v>9.1200000000000003E-2</v>
      </c>
      <c r="G90" s="289">
        <v>0.50429999999999997</v>
      </c>
      <c r="H90" s="289">
        <v>0.49819999999999998</v>
      </c>
      <c r="I90" s="289" t="s">
        <v>959</v>
      </c>
    </row>
    <row r="91" spans="2:9">
      <c r="B91" s="287">
        <v>39538</v>
      </c>
      <c r="C91" s="288">
        <v>2008</v>
      </c>
      <c r="D91" s="289">
        <v>0.77380000000000004</v>
      </c>
      <c r="E91" s="289">
        <v>6.4199999999999993E-2</v>
      </c>
      <c r="F91" s="289">
        <v>9.1200000000000003E-2</v>
      </c>
      <c r="G91" s="289">
        <v>0.49980000000000002</v>
      </c>
      <c r="H91" s="289">
        <v>0.49270000000000003</v>
      </c>
      <c r="I91" s="289" t="s">
        <v>960</v>
      </c>
    </row>
    <row r="92" spans="2:9">
      <c r="B92" s="287">
        <v>39507</v>
      </c>
      <c r="C92" s="288">
        <v>2008</v>
      </c>
      <c r="D92" s="289">
        <v>0.74990000000000001</v>
      </c>
      <c r="E92" s="289">
        <v>6.5299999999999997E-2</v>
      </c>
      <c r="F92" s="289">
        <v>8.9499999999999996E-2</v>
      </c>
      <c r="G92" s="289">
        <v>0.50939999999999996</v>
      </c>
      <c r="H92" s="289">
        <v>0.4662</v>
      </c>
      <c r="I92" s="289" t="s">
        <v>961</v>
      </c>
    </row>
    <row r="93" spans="2:9">
      <c r="B93" s="287">
        <v>39478</v>
      </c>
      <c r="C93" s="288">
        <v>2008</v>
      </c>
      <c r="D93" s="289">
        <v>0.74629999999999996</v>
      </c>
      <c r="E93" s="289">
        <v>6.5000000000000002E-2</v>
      </c>
      <c r="F93" s="289">
        <v>8.8999999999999996E-2</v>
      </c>
      <c r="G93" s="289">
        <v>0.50770000000000004</v>
      </c>
      <c r="H93" s="289">
        <v>0.45989999999999998</v>
      </c>
      <c r="I93" s="289" t="s">
        <v>962</v>
      </c>
    </row>
    <row r="94" spans="2:9">
      <c r="B94" s="287">
        <v>39447</v>
      </c>
      <c r="C94" s="288">
        <v>2007</v>
      </c>
      <c r="D94" s="289">
        <v>0.72089999999999999</v>
      </c>
      <c r="E94" s="289">
        <v>6.3500000000000001E-2</v>
      </c>
      <c r="F94" s="289">
        <v>9.0200000000000002E-2</v>
      </c>
      <c r="G94" s="289">
        <v>0.49519999999999997</v>
      </c>
      <c r="H94" s="289">
        <v>0.43440000000000001</v>
      </c>
      <c r="I94" s="289" t="s">
        <v>963</v>
      </c>
    </row>
    <row r="95" spans="2:9">
      <c r="B95" s="287">
        <v>39416</v>
      </c>
      <c r="C95" s="288">
        <v>2007</v>
      </c>
      <c r="D95" s="289">
        <v>0.70750000000000002</v>
      </c>
      <c r="E95" s="289">
        <v>6.2E-2</v>
      </c>
      <c r="F95" s="289">
        <v>9.0399999999999994E-2</v>
      </c>
      <c r="G95" s="289">
        <v>0.4824</v>
      </c>
      <c r="H95" s="289">
        <v>0.42899999999999999</v>
      </c>
      <c r="I95" s="289" t="s">
        <v>964</v>
      </c>
    </row>
    <row r="96" spans="2:9">
      <c r="B96" s="287">
        <v>39386</v>
      </c>
      <c r="C96" s="288">
        <v>2007</v>
      </c>
      <c r="D96" s="289">
        <v>0.69599999999999995</v>
      </c>
      <c r="E96" s="289">
        <v>6.3100000000000003E-2</v>
      </c>
      <c r="F96" s="289">
        <v>9.0300000000000005E-2</v>
      </c>
      <c r="G96" s="289">
        <v>0.48930000000000001</v>
      </c>
      <c r="H96" s="289">
        <v>0.41670000000000001</v>
      </c>
      <c r="I96" s="289" t="s">
        <v>965</v>
      </c>
    </row>
    <row r="97" spans="2:9">
      <c r="B97" s="287">
        <v>39355</v>
      </c>
      <c r="C97" s="288">
        <v>2007</v>
      </c>
      <c r="D97" s="289">
        <v>0.68759999999999999</v>
      </c>
      <c r="E97" s="289">
        <v>6.3600000000000004E-2</v>
      </c>
      <c r="F97" s="289">
        <v>9.0399999999999994E-2</v>
      </c>
      <c r="G97" s="289">
        <v>0.49530000000000002</v>
      </c>
      <c r="H97" s="289">
        <v>0.4173</v>
      </c>
      <c r="I97" s="289" t="e">
        <v>#N/A</v>
      </c>
    </row>
    <row r="98" spans="2:9">
      <c r="B98" s="287">
        <v>39325</v>
      </c>
      <c r="C98" s="288">
        <v>2007</v>
      </c>
      <c r="D98" s="289">
        <v>0.67730000000000001</v>
      </c>
      <c r="E98" s="289">
        <v>6.3600000000000004E-2</v>
      </c>
      <c r="F98" s="289">
        <v>9.0700000000000003E-2</v>
      </c>
      <c r="G98" s="289">
        <v>0.497</v>
      </c>
      <c r="H98" s="289">
        <v>0.41339999999999999</v>
      </c>
      <c r="I98" s="289" t="s">
        <v>966</v>
      </c>
    </row>
    <row r="99" spans="2:9">
      <c r="B99" s="287">
        <v>39294</v>
      </c>
      <c r="C99" s="288">
        <v>2007</v>
      </c>
      <c r="D99" s="289">
        <v>0.67449999999999999</v>
      </c>
      <c r="E99" s="289">
        <v>6.2899999999999998E-2</v>
      </c>
      <c r="F99" s="289">
        <v>9.2299999999999993E-2</v>
      </c>
      <c r="G99" s="289">
        <v>0.49220000000000003</v>
      </c>
      <c r="H99" s="289">
        <v>0.40710000000000002</v>
      </c>
      <c r="I99" s="289" t="s">
        <v>967</v>
      </c>
    </row>
    <row r="100" spans="2:9">
      <c r="B100" s="287">
        <v>39263</v>
      </c>
      <c r="C100" s="288">
        <v>2007</v>
      </c>
      <c r="D100" s="289">
        <v>0.67589999999999995</v>
      </c>
      <c r="E100" s="289">
        <v>6.4500000000000002E-2</v>
      </c>
      <c r="F100" s="289">
        <v>9.1999999999999998E-2</v>
      </c>
      <c r="G100" s="289">
        <v>0.50380000000000003</v>
      </c>
      <c r="H100" s="289">
        <v>0.40849999999999997</v>
      </c>
      <c r="I100" s="289" t="e">
        <v>#N/A</v>
      </c>
    </row>
    <row r="101" spans="2:9">
      <c r="B101" s="287">
        <v>39233</v>
      </c>
      <c r="C101" s="288">
        <v>2007</v>
      </c>
      <c r="D101" s="289">
        <v>0.68120000000000003</v>
      </c>
      <c r="E101" s="289">
        <v>6.4399999999999999E-2</v>
      </c>
      <c r="F101" s="289">
        <v>9.1700000000000004E-2</v>
      </c>
      <c r="G101" s="289">
        <v>0.50390000000000001</v>
      </c>
      <c r="H101" s="289">
        <v>0.4128</v>
      </c>
      <c r="I101" s="289" t="s">
        <v>968</v>
      </c>
    </row>
    <row r="102" spans="2:9">
      <c r="B102" s="287">
        <v>39202</v>
      </c>
      <c r="C102" s="288">
        <v>2007</v>
      </c>
      <c r="D102" s="289">
        <v>0.67959999999999998</v>
      </c>
      <c r="E102" s="289">
        <v>6.4399999999999999E-2</v>
      </c>
      <c r="F102" s="289">
        <v>9.2999999999999999E-2</v>
      </c>
      <c r="G102" s="289">
        <v>0.50349999999999995</v>
      </c>
      <c r="H102" s="289">
        <v>0.41510000000000002</v>
      </c>
      <c r="I102" s="289" t="s">
        <v>969</v>
      </c>
    </row>
    <row r="103" spans="2:9">
      <c r="B103" s="287">
        <v>39172</v>
      </c>
      <c r="C103" s="288">
        <v>2007</v>
      </c>
      <c r="D103" s="289">
        <v>0.67969999999999997</v>
      </c>
      <c r="E103" s="289">
        <v>6.5699999999999995E-2</v>
      </c>
      <c r="F103" s="289">
        <v>9.2299999999999993E-2</v>
      </c>
      <c r="G103" s="289">
        <v>0.51349999999999996</v>
      </c>
      <c r="H103" s="289">
        <v>0.42149999999999999</v>
      </c>
      <c r="I103" s="289" t="e">
        <v>#N/A</v>
      </c>
    </row>
    <row r="104" spans="2:9">
      <c r="B104" s="287">
        <v>39141</v>
      </c>
      <c r="C104" s="288">
        <v>2007</v>
      </c>
      <c r="D104" s="289">
        <v>0.66720000000000002</v>
      </c>
      <c r="E104" s="289">
        <v>6.54E-2</v>
      </c>
      <c r="F104" s="289">
        <v>9.1499999999999998E-2</v>
      </c>
      <c r="G104" s="289">
        <v>0.51070000000000004</v>
      </c>
      <c r="H104" s="289">
        <v>0.41139999999999999</v>
      </c>
      <c r="I104" s="289" t="s">
        <v>970</v>
      </c>
    </row>
    <row r="105" spans="2:9">
      <c r="B105" s="287">
        <v>39113</v>
      </c>
      <c r="C105" s="288">
        <v>2007</v>
      </c>
      <c r="D105" s="289">
        <v>0.66369999999999996</v>
      </c>
      <c r="E105" s="289">
        <v>6.5500000000000003E-2</v>
      </c>
      <c r="F105" s="289">
        <v>9.1999999999999998E-2</v>
      </c>
      <c r="G105" s="289">
        <v>0.51070000000000004</v>
      </c>
      <c r="H105" s="289">
        <v>0.41120000000000001</v>
      </c>
      <c r="I105" s="289" t="s">
        <v>971</v>
      </c>
    </row>
    <row r="106" spans="2:9">
      <c r="B106" s="287">
        <v>39082</v>
      </c>
      <c r="C106" s="288">
        <v>2006</v>
      </c>
      <c r="D106" s="289">
        <v>0.6724</v>
      </c>
      <c r="E106" s="289">
        <v>6.5500000000000003E-2</v>
      </c>
      <c r="F106" s="289">
        <v>9.11E-2</v>
      </c>
      <c r="G106" s="289">
        <v>0.50949999999999995</v>
      </c>
      <c r="H106" s="289">
        <v>0.42109999999999997</v>
      </c>
      <c r="I106" s="289" t="e">
        <v>#N/A</v>
      </c>
    </row>
    <row r="107" spans="2:9">
      <c r="B107" s="287">
        <v>39051</v>
      </c>
      <c r="C107" s="288">
        <v>2006</v>
      </c>
      <c r="D107" s="289">
        <v>0.67349999999999999</v>
      </c>
      <c r="E107" s="289">
        <v>6.7299999999999999E-2</v>
      </c>
      <c r="F107" s="289">
        <v>9.11E-2</v>
      </c>
      <c r="G107" s="289">
        <v>0.52370000000000005</v>
      </c>
      <c r="H107" s="289">
        <v>0.42309999999999998</v>
      </c>
      <c r="I107" s="289" t="s">
        <v>972</v>
      </c>
    </row>
    <row r="108" spans="2:9">
      <c r="B108" s="287">
        <v>39021</v>
      </c>
      <c r="C108" s="288">
        <v>2006</v>
      </c>
      <c r="D108" s="289">
        <v>0.67290000000000005</v>
      </c>
      <c r="E108" s="289">
        <v>6.8500000000000005E-2</v>
      </c>
      <c r="F108" s="289">
        <v>9.1300000000000006E-2</v>
      </c>
      <c r="G108" s="289">
        <v>0.53339999999999999</v>
      </c>
      <c r="H108" s="289">
        <v>0.42330000000000001</v>
      </c>
      <c r="I108" s="289" t="s">
        <v>973</v>
      </c>
    </row>
    <row r="109" spans="2:9">
      <c r="B109" s="287">
        <v>38990</v>
      </c>
      <c r="C109" s="288">
        <v>2006</v>
      </c>
      <c r="D109" s="289">
        <v>0.67479999999999996</v>
      </c>
      <c r="E109" s="289">
        <v>6.8099999999999994E-2</v>
      </c>
      <c r="F109" s="289">
        <v>9.0800000000000006E-2</v>
      </c>
      <c r="G109" s="289">
        <v>0.52980000000000005</v>
      </c>
      <c r="H109" s="289">
        <v>0.42620000000000002</v>
      </c>
      <c r="I109" s="289" t="e">
        <v>#N/A</v>
      </c>
    </row>
    <row r="110" spans="2:9">
      <c r="B110" s="287">
        <v>38960</v>
      </c>
      <c r="C110" s="288">
        <v>2006</v>
      </c>
      <c r="D110" s="289">
        <v>0.67679999999999996</v>
      </c>
      <c r="E110" s="289">
        <v>6.8000000000000005E-2</v>
      </c>
      <c r="F110" s="289">
        <v>9.1899999999999996E-2</v>
      </c>
      <c r="G110" s="289">
        <v>0.52869999999999995</v>
      </c>
      <c r="H110" s="289">
        <v>0.42899999999999999</v>
      </c>
      <c r="I110" s="289" t="s">
        <v>974</v>
      </c>
    </row>
    <row r="111" spans="2:9">
      <c r="B111" s="287">
        <v>38929</v>
      </c>
      <c r="C111" s="288">
        <v>2006</v>
      </c>
      <c r="D111" s="289">
        <v>0.68820000000000003</v>
      </c>
      <c r="E111" s="289">
        <v>6.9699999999999998E-2</v>
      </c>
      <c r="F111" s="289">
        <v>9.2100000000000001E-2</v>
      </c>
      <c r="G111" s="289">
        <v>0.54179999999999995</v>
      </c>
      <c r="H111" s="289">
        <v>0.43890000000000001</v>
      </c>
      <c r="I111" s="289" t="s">
        <v>975</v>
      </c>
    </row>
    <row r="112" spans="2:9">
      <c r="B112" s="287">
        <v>38898</v>
      </c>
      <c r="C112" s="288">
        <v>2006</v>
      </c>
      <c r="D112" s="289">
        <v>0.68610000000000004</v>
      </c>
      <c r="E112" s="289">
        <v>6.9800000000000001E-2</v>
      </c>
      <c r="F112" s="289">
        <v>8.9800000000000005E-2</v>
      </c>
      <c r="G112" s="289">
        <v>0.54159999999999997</v>
      </c>
      <c r="H112" s="289">
        <v>0.44</v>
      </c>
      <c r="I112" s="289" t="s">
        <v>976</v>
      </c>
    </row>
    <row r="113" spans="2:9">
      <c r="B113" s="287">
        <v>38868</v>
      </c>
      <c r="C113" s="288">
        <v>2006</v>
      </c>
      <c r="D113" s="289">
        <v>0.68330000000000002</v>
      </c>
      <c r="E113" s="289">
        <v>6.9099999999999995E-2</v>
      </c>
      <c r="F113" s="289">
        <v>9.1800000000000007E-2</v>
      </c>
      <c r="G113" s="289">
        <v>0.53559999999999997</v>
      </c>
      <c r="H113" s="289">
        <v>0.439</v>
      </c>
      <c r="I113" s="289" t="s">
        <v>977</v>
      </c>
    </row>
    <row r="114" spans="2:9">
      <c r="B114" s="287">
        <v>38837</v>
      </c>
      <c r="C114" s="288">
        <v>2006</v>
      </c>
      <c r="D114" s="289">
        <v>0.69410000000000005</v>
      </c>
      <c r="E114" s="289">
        <v>7.3099999999999998E-2</v>
      </c>
      <c r="F114" s="289">
        <v>9.1600000000000001E-2</v>
      </c>
      <c r="G114" s="289">
        <v>0.56699999999999995</v>
      </c>
      <c r="H114" s="289">
        <v>0.44080000000000003</v>
      </c>
      <c r="I114" s="289" t="e">
        <v>#N/A</v>
      </c>
    </row>
    <row r="115" spans="2:9">
      <c r="B115" s="287">
        <v>38807</v>
      </c>
      <c r="C115" s="288">
        <v>2006</v>
      </c>
      <c r="D115" s="289">
        <v>0.68879999999999997</v>
      </c>
      <c r="E115" s="289">
        <v>7.3899999999999993E-2</v>
      </c>
      <c r="F115" s="289">
        <v>9.2999999999999999E-2</v>
      </c>
      <c r="G115" s="289">
        <v>0.57310000000000005</v>
      </c>
      <c r="H115" s="289">
        <v>0.43909999999999999</v>
      </c>
      <c r="I115" s="289" t="s">
        <v>978</v>
      </c>
    </row>
    <row r="116" spans="2:9">
      <c r="B116" s="287">
        <v>38776</v>
      </c>
      <c r="C116" s="288">
        <v>2006</v>
      </c>
      <c r="D116" s="289">
        <v>0.68300000000000005</v>
      </c>
      <c r="E116" s="289">
        <v>7.3700000000000002E-2</v>
      </c>
      <c r="F116" s="289">
        <v>9.2600000000000002E-2</v>
      </c>
      <c r="G116" s="289">
        <v>0.5716</v>
      </c>
      <c r="H116" s="289">
        <v>0.43830000000000002</v>
      </c>
      <c r="I116" s="289" t="s">
        <v>979</v>
      </c>
    </row>
    <row r="117" spans="2:9">
      <c r="B117" s="287">
        <v>38748</v>
      </c>
      <c r="C117" s="288">
        <v>2006</v>
      </c>
      <c r="D117" s="289">
        <v>0.68579999999999997</v>
      </c>
      <c r="E117" s="289">
        <v>7.3200000000000001E-2</v>
      </c>
      <c r="F117" s="289">
        <v>9.3799999999999994E-2</v>
      </c>
      <c r="G117" s="289">
        <v>0.56740000000000002</v>
      </c>
      <c r="H117" s="289">
        <v>0.44259999999999999</v>
      </c>
      <c r="I117" s="289" t="s">
        <v>980</v>
      </c>
    </row>
    <row r="118" spans="2:9">
      <c r="B118" s="287">
        <v>38717</v>
      </c>
      <c r="C118" s="288">
        <v>2005</v>
      </c>
      <c r="D118" s="289">
        <v>0.67889999999999995</v>
      </c>
      <c r="E118" s="289">
        <v>7.3899999999999993E-2</v>
      </c>
      <c r="F118" s="289">
        <v>9.3399999999999997E-2</v>
      </c>
      <c r="G118" s="289">
        <v>0.57279999999999998</v>
      </c>
      <c r="H118" s="289">
        <v>0.43869999999999998</v>
      </c>
      <c r="I118" s="289" t="e">
        <v>#N/A</v>
      </c>
    </row>
    <row r="119" spans="2:9">
      <c r="B119" s="287">
        <v>38686</v>
      </c>
      <c r="C119" s="288">
        <v>2005</v>
      </c>
      <c r="D119" s="289">
        <v>0.67930000000000001</v>
      </c>
      <c r="E119" s="289">
        <v>7.4300000000000005E-2</v>
      </c>
      <c r="F119" s="289">
        <v>9.4E-2</v>
      </c>
      <c r="G119" s="289">
        <v>0.57620000000000005</v>
      </c>
      <c r="H119" s="289">
        <v>0.43980000000000002</v>
      </c>
      <c r="I119" s="289" t="s">
        <v>981</v>
      </c>
    </row>
    <row r="120" spans="2:9">
      <c r="B120" s="287">
        <v>38656</v>
      </c>
      <c r="C120" s="288">
        <v>2005</v>
      </c>
      <c r="D120" s="289">
        <v>0.68159999999999998</v>
      </c>
      <c r="E120" s="289">
        <v>7.2999999999999995E-2</v>
      </c>
      <c r="F120" s="289">
        <v>9.2999999999999999E-2</v>
      </c>
      <c r="G120" s="289">
        <v>0.56640000000000001</v>
      </c>
      <c r="H120" s="289">
        <v>0.44009999999999999</v>
      </c>
      <c r="I120" s="289" t="s">
        <v>982</v>
      </c>
    </row>
    <row r="121" spans="2:9">
      <c r="B121" s="287">
        <v>38625</v>
      </c>
      <c r="C121" s="288">
        <v>2005</v>
      </c>
      <c r="D121" s="289">
        <v>0.6774</v>
      </c>
      <c r="E121" s="289">
        <v>7.1099999999999997E-2</v>
      </c>
      <c r="F121" s="289">
        <v>9.1499999999999998E-2</v>
      </c>
      <c r="G121" s="289">
        <v>0.55210000000000004</v>
      </c>
      <c r="H121" s="289">
        <v>0.43730000000000002</v>
      </c>
      <c r="I121" s="289" t="s">
        <v>983</v>
      </c>
    </row>
    <row r="122" spans="2:9">
      <c r="B122" s="287">
        <v>38595</v>
      </c>
      <c r="C122" s="288">
        <v>2005</v>
      </c>
      <c r="D122" s="289">
        <v>0.68610000000000004</v>
      </c>
      <c r="E122" s="289">
        <v>7.17E-2</v>
      </c>
      <c r="F122" s="289">
        <v>0.09</v>
      </c>
      <c r="G122" s="289">
        <v>0.55740000000000001</v>
      </c>
      <c r="H122" s="289">
        <v>0.44130000000000003</v>
      </c>
      <c r="I122" s="289" t="s">
        <v>984</v>
      </c>
    </row>
    <row r="123" spans="2:9">
      <c r="B123" s="287">
        <v>38564</v>
      </c>
      <c r="C123" s="288">
        <v>2005</v>
      </c>
      <c r="D123" s="289">
        <v>0.68689999999999996</v>
      </c>
      <c r="E123" s="289">
        <v>7.3400000000000007E-2</v>
      </c>
      <c r="F123" s="289">
        <v>8.9499999999999996E-2</v>
      </c>
      <c r="G123" s="289">
        <v>0.57050000000000001</v>
      </c>
      <c r="H123" s="289">
        <v>0.44090000000000001</v>
      </c>
      <c r="I123" s="289" t="e">
        <v>#N/A</v>
      </c>
    </row>
    <row r="124" spans="2:9">
      <c r="B124" s="287">
        <v>38533</v>
      </c>
      <c r="C124" s="288">
        <v>2005</v>
      </c>
      <c r="D124" s="289">
        <v>0.66869999999999996</v>
      </c>
      <c r="E124" s="289">
        <v>7.0699999999999999E-2</v>
      </c>
      <c r="F124" s="289">
        <v>8.9300000000000004E-2</v>
      </c>
      <c r="G124" s="289">
        <v>0.54959999999999998</v>
      </c>
      <c r="H124" s="289">
        <v>0.43459999999999999</v>
      </c>
      <c r="I124" s="289" t="s">
        <v>985</v>
      </c>
    </row>
    <row r="125" spans="2:9">
      <c r="B125" s="287">
        <v>38503</v>
      </c>
      <c r="C125" s="288">
        <v>2005</v>
      </c>
      <c r="D125" s="289">
        <v>0.6835</v>
      </c>
      <c r="E125" s="289">
        <v>6.9099999999999995E-2</v>
      </c>
      <c r="F125" s="289">
        <v>9.0200000000000002E-2</v>
      </c>
      <c r="G125" s="289">
        <v>0.53859999999999997</v>
      </c>
      <c r="H125" s="289">
        <v>0.44240000000000002</v>
      </c>
      <c r="I125" s="289" t="s">
        <v>986</v>
      </c>
    </row>
    <row r="126" spans="2:9">
      <c r="B126" s="287">
        <v>38472</v>
      </c>
      <c r="C126" s="288">
        <v>2005</v>
      </c>
      <c r="D126" s="289">
        <v>0.68269999999999997</v>
      </c>
      <c r="E126" s="289">
        <v>6.7599999999999993E-2</v>
      </c>
      <c r="F126" s="289">
        <v>8.9200000000000002E-2</v>
      </c>
      <c r="G126" s="289">
        <v>0.52749999999999997</v>
      </c>
      <c r="H126" s="289">
        <v>0.44130000000000003</v>
      </c>
      <c r="I126" s="289" t="e">
        <v>#N/A</v>
      </c>
    </row>
    <row r="127" spans="2:9">
      <c r="B127" s="287">
        <v>38442</v>
      </c>
      <c r="C127" s="288">
        <v>2005</v>
      </c>
      <c r="D127" s="289">
        <v>0.69259999999999999</v>
      </c>
      <c r="E127" s="289">
        <v>6.7299999999999999E-2</v>
      </c>
      <c r="F127" s="289">
        <v>9.01E-2</v>
      </c>
      <c r="G127" s="289">
        <v>0.52470000000000006</v>
      </c>
      <c r="H127" s="289">
        <v>0.44700000000000001</v>
      </c>
      <c r="I127" s="289" t="s">
        <v>987</v>
      </c>
    </row>
    <row r="128" spans="2:9">
      <c r="B128" s="287">
        <v>38411</v>
      </c>
      <c r="C128" s="288">
        <v>2005</v>
      </c>
      <c r="D128" s="289">
        <v>0.68910000000000005</v>
      </c>
      <c r="E128" s="289">
        <v>6.7900000000000002E-2</v>
      </c>
      <c r="F128" s="289">
        <v>9.0800000000000006E-2</v>
      </c>
      <c r="G128" s="289">
        <v>0.52990000000000004</v>
      </c>
      <c r="H128" s="289">
        <v>0.44450000000000001</v>
      </c>
      <c r="I128" s="289" t="s">
        <v>988</v>
      </c>
    </row>
    <row r="129" spans="2:9">
      <c r="B129" s="287">
        <v>38383</v>
      </c>
      <c r="C129" s="288">
        <v>2005</v>
      </c>
      <c r="D129" s="289">
        <v>0.69830000000000003</v>
      </c>
      <c r="E129" s="289">
        <v>6.8199999999999997E-2</v>
      </c>
      <c r="F129" s="289">
        <v>9.2999999999999999E-2</v>
      </c>
      <c r="G129" s="289">
        <v>0.53139999999999998</v>
      </c>
      <c r="H129" s="289">
        <v>0.45150000000000001</v>
      </c>
      <c r="I129" s="289" t="s">
        <v>989</v>
      </c>
    </row>
    <row r="130" spans="2:9">
      <c r="B130" s="287">
        <v>38352</v>
      </c>
      <c r="C130" s="288">
        <v>2004</v>
      </c>
      <c r="D130" s="289">
        <v>0.69410000000000005</v>
      </c>
      <c r="E130" s="289">
        <v>6.6600000000000006E-2</v>
      </c>
      <c r="F130" s="289">
        <v>9.4299999999999995E-2</v>
      </c>
      <c r="G130" s="289">
        <v>0.5181</v>
      </c>
      <c r="H130" s="289">
        <v>0.45200000000000001</v>
      </c>
      <c r="I130" s="289" t="s">
        <v>990</v>
      </c>
    </row>
    <row r="131" spans="2:9">
      <c r="B131" s="287">
        <v>38321</v>
      </c>
      <c r="C131" s="288">
        <v>2004</v>
      </c>
      <c r="D131" s="289">
        <v>0.69899999999999995</v>
      </c>
      <c r="E131" s="289">
        <v>6.9099999999999995E-2</v>
      </c>
      <c r="F131" s="289">
        <v>9.3100000000000002E-2</v>
      </c>
      <c r="G131" s="289">
        <v>0.53759999999999997</v>
      </c>
      <c r="H131" s="289">
        <v>0.45960000000000001</v>
      </c>
      <c r="I131" s="289" t="s">
        <v>991</v>
      </c>
    </row>
    <row r="132" spans="2:9">
      <c r="B132" s="287">
        <v>38291</v>
      </c>
      <c r="C132" s="288">
        <v>2004</v>
      </c>
      <c r="D132" s="289">
        <v>0.69169999999999998</v>
      </c>
      <c r="E132" s="289">
        <v>7.0999999999999994E-2</v>
      </c>
      <c r="F132" s="289">
        <v>9.3899999999999997E-2</v>
      </c>
      <c r="G132" s="289">
        <v>0.55310000000000004</v>
      </c>
      <c r="H132" s="289">
        <v>0.44850000000000001</v>
      </c>
      <c r="I132" s="289" t="e">
        <v>#N/A</v>
      </c>
    </row>
    <row r="133" spans="2:9">
      <c r="B133" s="287">
        <v>38260</v>
      </c>
      <c r="C133" s="288">
        <v>2004</v>
      </c>
      <c r="D133" s="289">
        <v>0.68069999999999997</v>
      </c>
      <c r="E133" s="289">
        <v>7.1499999999999994E-2</v>
      </c>
      <c r="F133" s="289">
        <v>9.3899999999999997E-2</v>
      </c>
      <c r="G133" s="289">
        <v>0.55779999999999996</v>
      </c>
      <c r="H133" s="289">
        <v>0.44119999999999998</v>
      </c>
      <c r="I133" s="289" t="s">
        <v>992</v>
      </c>
    </row>
    <row r="134" spans="2:9">
      <c r="B134" s="287">
        <v>38230</v>
      </c>
      <c r="C134" s="288">
        <v>2004</v>
      </c>
      <c r="D134" s="289">
        <v>0.66910000000000003</v>
      </c>
      <c r="E134" s="289">
        <v>7.0400000000000004E-2</v>
      </c>
      <c r="F134" s="289">
        <v>9.4100000000000003E-2</v>
      </c>
      <c r="G134" s="289">
        <v>0.54910000000000003</v>
      </c>
      <c r="H134" s="289">
        <v>0.43530000000000002</v>
      </c>
      <c r="I134" s="289" t="s">
        <v>993</v>
      </c>
    </row>
    <row r="135" spans="2:9">
      <c r="B135" s="287">
        <v>38199</v>
      </c>
      <c r="C135" s="288">
        <v>2004</v>
      </c>
      <c r="D135" s="289">
        <v>0.66559999999999997</v>
      </c>
      <c r="E135" s="289">
        <v>6.9500000000000006E-2</v>
      </c>
      <c r="F135" s="289">
        <v>9.4100000000000003E-2</v>
      </c>
      <c r="G135" s="289">
        <v>0.54220000000000002</v>
      </c>
      <c r="H135" s="289">
        <v>0.43609999999999999</v>
      </c>
      <c r="I135" s="289" t="e">
        <v>#N/A</v>
      </c>
    </row>
    <row r="136" spans="2:9">
      <c r="B136" s="287">
        <v>38168</v>
      </c>
      <c r="C136" s="288">
        <v>2004</v>
      </c>
      <c r="D136" s="289">
        <v>0.66369999999999996</v>
      </c>
      <c r="E136" s="289">
        <v>7.0099999999999996E-2</v>
      </c>
      <c r="F136" s="289">
        <v>9.4700000000000006E-2</v>
      </c>
      <c r="G136" s="289">
        <v>0.5464</v>
      </c>
      <c r="H136" s="289">
        <v>0.43730000000000002</v>
      </c>
      <c r="I136" s="289" t="s">
        <v>994</v>
      </c>
    </row>
    <row r="137" spans="2:9">
      <c r="B137" s="287">
        <v>38138</v>
      </c>
      <c r="C137" s="288">
        <v>2004</v>
      </c>
      <c r="D137" s="289">
        <v>0.67120000000000002</v>
      </c>
      <c r="E137" s="289">
        <v>7.17E-2</v>
      </c>
      <c r="F137" s="289">
        <v>9.6000000000000002E-2</v>
      </c>
      <c r="G137" s="289">
        <v>0.55940000000000001</v>
      </c>
      <c r="H137" s="289">
        <v>0.43569999999999998</v>
      </c>
      <c r="I137" s="289" t="e">
        <v>#N/A</v>
      </c>
    </row>
    <row r="138" spans="2:9">
      <c r="B138" s="287">
        <v>38107</v>
      </c>
      <c r="C138" s="288">
        <v>2004</v>
      </c>
      <c r="D138" s="289">
        <v>0.6643</v>
      </c>
      <c r="E138" s="289">
        <v>7.0900000000000005E-2</v>
      </c>
      <c r="F138" s="289">
        <v>9.2799999999999994E-2</v>
      </c>
      <c r="G138" s="289">
        <v>0.55320000000000003</v>
      </c>
      <c r="H138" s="289">
        <v>0.42730000000000001</v>
      </c>
      <c r="I138" s="289" t="s">
        <v>995</v>
      </c>
    </row>
    <row r="139" spans="2:9">
      <c r="B139" s="287">
        <v>38077</v>
      </c>
      <c r="C139" s="288">
        <v>2004</v>
      </c>
      <c r="D139" s="289">
        <v>0.67100000000000004</v>
      </c>
      <c r="E139" s="289">
        <v>7.0199999999999999E-2</v>
      </c>
      <c r="F139" s="289">
        <v>9.1700000000000004E-2</v>
      </c>
      <c r="G139" s="289">
        <v>0.54720000000000002</v>
      </c>
      <c r="H139" s="289">
        <v>0.42830000000000001</v>
      </c>
      <c r="I139" s="289" t="s">
        <v>996</v>
      </c>
    </row>
    <row r="140" spans="2:9">
      <c r="B140" s="287">
        <v>38046</v>
      </c>
      <c r="C140" s="288">
        <v>2004</v>
      </c>
      <c r="D140" s="289">
        <v>0.67679999999999996</v>
      </c>
      <c r="E140" s="289">
        <v>6.9000000000000006E-2</v>
      </c>
      <c r="F140" s="289">
        <v>8.9899999999999994E-2</v>
      </c>
      <c r="G140" s="289">
        <v>0.53659999999999997</v>
      </c>
      <c r="H140" s="289">
        <v>0.43020000000000003</v>
      </c>
      <c r="I140" s="289" t="e">
        <v>#N/A</v>
      </c>
    </row>
    <row r="141" spans="2:9">
      <c r="B141" s="287">
        <v>38017</v>
      </c>
      <c r="C141" s="288">
        <v>2004</v>
      </c>
      <c r="D141" s="289">
        <v>0.6925</v>
      </c>
      <c r="E141" s="289">
        <v>7.0800000000000002E-2</v>
      </c>
      <c r="F141" s="289">
        <v>8.8400000000000006E-2</v>
      </c>
      <c r="G141" s="289">
        <v>0.54969999999999997</v>
      </c>
      <c r="H141" s="289">
        <v>0.44269999999999998</v>
      </c>
      <c r="I141" s="289" t="e">
        <v>#N/A</v>
      </c>
    </row>
    <row r="142" spans="2:9">
      <c r="B142" s="287">
        <v>37986</v>
      </c>
      <c r="C142" s="288">
        <v>2003</v>
      </c>
      <c r="D142" s="289">
        <v>0.70169999999999999</v>
      </c>
      <c r="E142" s="289">
        <v>7.3499999999999996E-2</v>
      </c>
      <c r="F142" s="289">
        <v>8.6499999999999994E-2</v>
      </c>
      <c r="G142" s="289">
        <v>0.57089999999999996</v>
      </c>
      <c r="H142" s="289">
        <v>0.4516</v>
      </c>
      <c r="I142" s="289" t="s">
        <v>997</v>
      </c>
    </row>
    <row r="143" spans="2:9">
      <c r="B143" s="287">
        <v>37955</v>
      </c>
      <c r="C143" s="288">
        <v>2003</v>
      </c>
      <c r="D143" s="289">
        <v>0.69230000000000003</v>
      </c>
      <c r="E143" s="289">
        <v>7.6100000000000001E-2</v>
      </c>
      <c r="F143" s="289">
        <v>8.5699999999999998E-2</v>
      </c>
      <c r="G143" s="289">
        <v>0.59119999999999995</v>
      </c>
      <c r="H143" s="289">
        <v>0.44429999999999997</v>
      </c>
      <c r="I143" s="289" t="e">
        <v>#N/A</v>
      </c>
    </row>
    <row r="144" spans="2:9">
      <c r="B144" s="287">
        <v>37925</v>
      </c>
      <c r="C144" s="288">
        <v>2003</v>
      </c>
      <c r="D144" s="289">
        <v>0.69799999999999995</v>
      </c>
      <c r="E144" s="289">
        <v>7.7100000000000002E-2</v>
      </c>
      <c r="F144" s="289">
        <v>8.4699999999999998E-2</v>
      </c>
      <c r="G144" s="289">
        <v>0.59630000000000005</v>
      </c>
      <c r="H144" s="289">
        <v>0.45090000000000002</v>
      </c>
      <c r="I144" s="289" t="s">
        <v>998</v>
      </c>
    </row>
    <row r="145" spans="2:9">
      <c r="B145" s="287">
        <v>37894</v>
      </c>
      <c r="C145" s="288">
        <v>2003</v>
      </c>
      <c r="D145" s="289">
        <v>0.69710000000000005</v>
      </c>
      <c r="E145" s="289">
        <v>7.9600000000000004E-2</v>
      </c>
      <c r="F145" s="289">
        <v>8.48E-2</v>
      </c>
      <c r="G145" s="289">
        <v>0.62</v>
      </c>
      <c r="H145" s="289">
        <v>0.45069999999999999</v>
      </c>
      <c r="I145" s="289" t="s">
        <v>999</v>
      </c>
    </row>
    <row r="146" spans="2:9">
      <c r="B146" s="287">
        <v>37864</v>
      </c>
      <c r="C146" s="288">
        <v>2003</v>
      </c>
      <c r="D146" s="289">
        <v>0.69920000000000004</v>
      </c>
      <c r="E146" s="289">
        <v>8.0399999999999999E-2</v>
      </c>
      <c r="F146" s="289">
        <v>8.5599999999999996E-2</v>
      </c>
      <c r="G146" s="289">
        <v>0.62690000000000001</v>
      </c>
      <c r="H146" s="289">
        <v>0.4541</v>
      </c>
      <c r="I146" s="289" t="e">
        <v>#N/A</v>
      </c>
    </row>
    <row r="147" spans="2:9">
      <c r="B147" s="287">
        <v>37833</v>
      </c>
      <c r="C147" s="288">
        <v>2003</v>
      </c>
      <c r="D147" s="289">
        <v>0.69969999999999999</v>
      </c>
      <c r="E147" s="289">
        <v>7.8799999999999995E-2</v>
      </c>
      <c r="F147" s="289">
        <v>8.5800000000000001E-2</v>
      </c>
      <c r="G147" s="289">
        <v>0.61480000000000001</v>
      </c>
      <c r="H147" s="289">
        <v>0.45240000000000002</v>
      </c>
      <c r="I147" s="289" t="s">
        <v>1000</v>
      </c>
    </row>
    <row r="148" spans="2:9">
      <c r="B148" s="287">
        <v>37802</v>
      </c>
      <c r="C148" s="288">
        <v>2003</v>
      </c>
      <c r="D148" s="289">
        <v>0.70340000000000003</v>
      </c>
      <c r="E148" s="289">
        <v>7.7200000000000005E-2</v>
      </c>
      <c r="F148" s="289">
        <v>8.6599999999999996E-2</v>
      </c>
      <c r="G148" s="289">
        <v>0.60250000000000004</v>
      </c>
      <c r="H148" s="289">
        <v>0.45689999999999997</v>
      </c>
      <c r="I148" s="289" t="s">
        <v>1001</v>
      </c>
    </row>
    <row r="149" spans="2:9">
      <c r="B149" s="287">
        <v>37772</v>
      </c>
      <c r="C149" s="288">
        <v>2003</v>
      </c>
      <c r="D149" s="289">
        <v>0.71299999999999997</v>
      </c>
      <c r="E149" s="289">
        <v>7.9100000000000004E-2</v>
      </c>
      <c r="F149" s="289">
        <v>8.4400000000000003E-2</v>
      </c>
      <c r="G149" s="289">
        <v>0.61699999999999999</v>
      </c>
      <c r="H149" s="289">
        <v>0.47010000000000002</v>
      </c>
      <c r="I149" s="289" t="e">
        <v>#N/A</v>
      </c>
    </row>
    <row r="150" spans="2:9">
      <c r="B150" s="287">
        <v>37741</v>
      </c>
      <c r="C150" s="288">
        <v>2003</v>
      </c>
      <c r="D150" s="289">
        <v>0.68959999999999999</v>
      </c>
      <c r="E150" s="289">
        <v>8.14E-2</v>
      </c>
      <c r="F150" s="289">
        <v>8.2600000000000007E-2</v>
      </c>
      <c r="G150" s="289">
        <v>0.6351</v>
      </c>
      <c r="H150" s="289">
        <v>0.46079999999999999</v>
      </c>
      <c r="I150" s="289" t="s">
        <v>1002</v>
      </c>
    </row>
    <row r="151" spans="2:9">
      <c r="B151" s="287">
        <v>37711</v>
      </c>
      <c r="C151" s="288">
        <v>2003</v>
      </c>
      <c r="D151" s="289">
        <v>0.68169999999999997</v>
      </c>
      <c r="E151" s="289">
        <v>8.1000000000000003E-2</v>
      </c>
      <c r="F151" s="289">
        <v>8.2699999999999996E-2</v>
      </c>
      <c r="G151" s="289">
        <v>0.6321</v>
      </c>
      <c r="H151" s="289">
        <v>0.46400000000000002</v>
      </c>
      <c r="I151" s="289" t="s">
        <v>1003</v>
      </c>
    </row>
    <row r="152" spans="2:9">
      <c r="B152" s="287">
        <v>37680</v>
      </c>
      <c r="C152" s="288">
        <v>2003</v>
      </c>
      <c r="D152" s="289">
        <v>0.66820000000000002</v>
      </c>
      <c r="E152" s="289">
        <v>7.9500000000000001E-2</v>
      </c>
      <c r="F152" s="289">
        <v>8.2299999999999998E-2</v>
      </c>
      <c r="G152" s="289">
        <v>0.61990000000000001</v>
      </c>
      <c r="H152" s="289">
        <v>0.45529999999999998</v>
      </c>
      <c r="I152" s="289" t="s">
        <v>1004</v>
      </c>
    </row>
    <row r="153" spans="2:9">
      <c r="B153" s="287">
        <v>37652</v>
      </c>
      <c r="C153" s="288">
        <v>2003</v>
      </c>
      <c r="D153" s="289">
        <v>0.65720000000000001</v>
      </c>
      <c r="E153" s="289">
        <v>7.9299999999999995E-2</v>
      </c>
      <c r="F153" s="289">
        <v>8.2900000000000001E-2</v>
      </c>
      <c r="G153" s="289">
        <v>0.61860000000000004</v>
      </c>
      <c r="H153" s="289">
        <v>0.4496</v>
      </c>
      <c r="I153" s="289" t="s">
        <v>1005</v>
      </c>
    </row>
    <row r="154" spans="2:9">
      <c r="B154" s="287">
        <v>37621</v>
      </c>
      <c r="C154" s="288">
        <v>2002</v>
      </c>
      <c r="D154" s="289">
        <v>0.64249999999999996</v>
      </c>
      <c r="E154" s="289">
        <v>8.0799999999999997E-2</v>
      </c>
      <c r="F154" s="289">
        <v>8.3099999999999993E-2</v>
      </c>
      <c r="G154" s="289">
        <v>0.63009999999999999</v>
      </c>
      <c r="H154" s="289">
        <v>0.43830000000000002</v>
      </c>
      <c r="I154" s="289" t="s">
        <v>1006</v>
      </c>
    </row>
    <row r="155" spans="2:9">
      <c r="B155" s="287">
        <v>37590</v>
      </c>
      <c r="C155" s="288">
        <v>2002</v>
      </c>
      <c r="D155" s="289">
        <v>0.63660000000000005</v>
      </c>
      <c r="E155" s="289">
        <v>8.1500000000000003E-2</v>
      </c>
      <c r="F155" s="289">
        <v>8.3000000000000004E-2</v>
      </c>
      <c r="G155" s="289">
        <v>0.63539999999999996</v>
      </c>
      <c r="H155" s="289">
        <v>0.434</v>
      </c>
      <c r="I155" s="289" t="e">
        <v>#N/A</v>
      </c>
    </row>
    <row r="156" spans="2:9">
      <c r="B156" s="287">
        <v>37560</v>
      </c>
      <c r="C156" s="288">
        <v>2002</v>
      </c>
      <c r="D156" s="289">
        <v>0.62970000000000004</v>
      </c>
      <c r="E156" s="289">
        <v>8.2299999999999998E-2</v>
      </c>
      <c r="F156" s="289">
        <v>8.3900000000000002E-2</v>
      </c>
      <c r="G156" s="289">
        <v>0.6421</v>
      </c>
      <c r="H156" s="289">
        <v>0.4299</v>
      </c>
      <c r="I156" s="289" t="s">
        <v>1007</v>
      </c>
    </row>
    <row r="157" spans="2:9">
      <c r="B157" s="287">
        <v>37529</v>
      </c>
      <c r="C157" s="288">
        <v>2002</v>
      </c>
      <c r="D157" s="289">
        <v>0.63019999999999998</v>
      </c>
      <c r="E157" s="289">
        <v>8.2400000000000001E-2</v>
      </c>
      <c r="F157" s="289">
        <v>8.3699999999999997E-2</v>
      </c>
      <c r="G157" s="289">
        <v>0.64290000000000003</v>
      </c>
      <c r="H157" s="289">
        <v>0.43009999999999998</v>
      </c>
      <c r="I157" s="289" t="s">
        <v>1008</v>
      </c>
    </row>
    <row r="158" spans="2:9">
      <c r="B158" s="287">
        <v>37499</v>
      </c>
      <c r="C158" s="288">
        <v>2002</v>
      </c>
      <c r="D158" s="289">
        <v>0.63560000000000005</v>
      </c>
      <c r="E158" s="289">
        <v>8.3299999999999999E-2</v>
      </c>
      <c r="F158" s="289">
        <v>8.4199999999999997E-2</v>
      </c>
      <c r="G158" s="289">
        <v>0.64990000000000003</v>
      </c>
      <c r="H158" s="289">
        <v>0.4345</v>
      </c>
      <c r="I158" s="289" t="e">
        <v>#N/A</v>
      </c>
    </row>
    <row r="159" spans="2:9">
      <c r="B159" s="287">
        <v>37468</v>
      </c>
      <c r="C159" s="288">
        <v>2002</v>
      </c>
      <c r="D159" s="289">
        <v>0.63800000000000001</v>
      </c>
      <c r="E159" s="289">
        <v>8.2400000000000001E-2</v>
      </c>
      <c r="F159" s="289">
        <v>8.1600000000000006E-2</v>
      </c>
      <c r="G159" s="289">
        <v>0.64270000000000005</v>
      </c>
      <c r="H159" s="289">
        <v>0.43630000000000002</v>
      </c>
      <c r="I159" s="289" t="s">
        <v>1009</v>
      </c>
    </row>
    <row r="160" spans="2:9">
      <c r="B160" s="287">
        <v>37437</v>
      </c>
      <c r="C160" s="288">
        <v>2002</v>
      </c>
      <c r="D160" s="289">
        <v>0.64390000000000003</v>
      </c>
      <c r="E160" s="289">
        <v>8.6499999999999994E-2</v>
      </c>
      <c r="F160" s="289">
        <v>8.1500000000000003E-2</v>
      </c>
      <c r="G160" s="289">
        <v>0.67449999999999999</v>
      </c>
      <c r="H160" s="289">
        <v>0.43780000000000002</v>
      </c>
      <c r="I160" s="289" t="e">
        <v>#N/A</v>
      </c>
    </row>
    <row r="161" spans="2:9">
      <c r="B161" s="287">
        <v>37407</v>
      </c>
      <c r="C161" s="288">
        <v>2002</v>
      </c>
      <c r="D161" s="289">
        <v>0.62749999999999995</v>
      </c>
      <c r="E161" s="289">
        <v>8.7800000000000003E-2</v>
      </c>
      <c r="F161" s="289">
        <v>8.2199999999999995E-2</v>
      </c>
      <c r="G161" s="289">
        <v>0.6845</v>
      </c>
      <c r="H161" s="289">
        <v>0.43099999999999999</v>
      </c>
      <c r="I161" s="289" t="s">
        <v>1010</v>
      </c>
    </row>
    <row r="162" spans="2:9">
      <c r="B162" s="287">
        <v>37376</v>
      </c>
      <c r="C162" s="288">
        <v>2002</v>
      </c>
      <c r="D162" s="289">
        <v>0.61399999999999999</v>
      </c>
      <c r="E162" s="289">
        <v>8.8800000000000004E-2</v>
      </c>
      <c r="F162" s="289">
        <v>8.3299999999999999E-2</v>
      </c>
      <c r="G162" s="289">
        <v>0.69299999999999995</v>
      </c>
      <c r="H162" s="289">
        <v>0.41899999999999998</v>
      </c>
      <c r="I162" s="289" t="s">
        <v>1011</v>
      </c>
    </row>
    <row r="163" spans="2:9">
      <c r="B163" s="287">
        <v>37346</v>
      </c>
      <c r="C163" s="288">
        <v>2002</v>
      </c>
      <c r="D163" s="289">
        <v>0.61519999999999997</v>
      </c>
      <c r="E163" s="289">
        <v>9.01E-2</v>
      </c>
      <c r="F163" s="289">
        <v>8.43E-2</v>
      </c>
      <c r="G163" s="289">
        <v>0.70240000000000002</v>
      </c>
      <c r="H163" s="289">
        <v>0.41909999999999997</v>
      </c>
      <c r="I163" s="289" t="e">
        <v>#N/A</v>
      </c>
    </row>
    <row r="164" spans="2:9">
      <c r="B164" s="287">
        <v>37315</v>
      </c>
      <c r="C164" s="288">
        <v>2002</v>
      </c>
      <c r="D164" s="289">
        <v>0.61129999999999995</v>
      </c>
      <c r="E164" s="289">
        <v>9.01E-2</v>
      </c>
      <c r="F164" s="289">
        <v>8.5000000000000006E-2</v>
      </c>
      <c r="G164" s="289">
        <v>0.70250000000000001</v>
      </c>
      <c r="H164" s="289">
        <v>0.41360000000000002</v>
      </c>
      <c r="I164" s="289" t="s">
        <v>1012</v>
      </c>
    </row>
    <row r="165" spans="2:9">
      <c r="B165" s="287">
        <v>37287</v>
      </c>
      <c r="C165" s="288">
        <v>2002</v>
      </c>
      <c r="D165" s="289">
        <v>0.61619999999999997</v>
      </c>
      <c r="E165" s="289">
        <v>8.9300000000000004E-2</v>
      </c>
      <c r="F165" s="289">
        <v>8.5099999999999995E-2</v>
      </c>
      <c r="G165" s="289">
        <v>0.69679999999999997</v>
      </c>
      <c r="H165" s="289">
        <v>0.4178</v>
      </c>
      <c r="I165" s="289" t="s">
        <v>1013</v>
      </c>
    </row>
    <row r="166" spans="2:9">
      <c r="B166" s="287">
        <v>37256</v>
      </c>
      <c r="C166" s="288">
        <v>2001</v>
      </c>
      <c r="D166" s="289">
        <v>0.61909999999999998</v>
      </c>
      <c r="E166" s="289">
        <v>8.8999999999999996E-2</v>
      </c>
      <c r="F166" s="289">
        <v>8.3099999999999993E-2</v>
      </c>
      <c r="G166" s="289">
        <v>0.69389999999999996</v>
      </c>
      <c r="H166" s="289">
        <v>0.41949999999999998</v>
      </c>
      <c r="I166" s="289" t="s">
        <v>1014</v>
      </c>
    </row>
    <row r="167" spans="2:9">
      <c r="B167" s="287">
        <v>37225</v>
      </c>
      <c r="C167" s="288">
        <v>2001</v>
      </c>
      <c r="D167" s="289">
        <v>0.61819999999999997</v>
      </c>
      <c r="E167" s="289">
        <v>8.9200000000000002E-2</v>
      </c>
      <c r="F167" s="289">
        <v>8.3000000000000004E-2</v>
      </c>
      <c r="G167" s="289">
        <v>0.6956</v>
      </c>
      <c r="H167" s="289">
        <v>0.42170000000000002</v>
      </c>
      <c r="I167" s="289" t="s">
        <v>1015</v>
      </c>
    </row>
    <row r="168" spans="2:9">
      <c r="B168" s="287">
        <v>37195</v>
      </c>
      <c r="C168" s="288">
        <v>2001</v>
      </c>
      <c r="D168" s="289">
        <v>0.62370000000000003</v>
      </c>
      <c r="E168" s="289">
        <v>8.8300000000000003E-2</v>
      </c>
      <c r="F168" s="289">
        <v>8.3900000000000002E-2</v>
      </c>
      <c r="G168" s="289">
        <v>0.68859999999999999</v>
      </c>
      <c r="H168" s="289">
        <v>0.42149999999999999</v>
      </c>
      <c r="I168" s="289" t="s">
        <v>1016</v>
      </c>
    </row>
    <row r="169" spans="2:9">
      <c r="B169" s="287">
        <v>37164</v>
      </c>
      <c r="C169" s="288">
        <v>2001</v>
      </c>
      <c r="D169" s="289">
        <v>0.62329999999999997</v>
      </c>
      <c r="E169" s="289">
        <v>8.7599999999999997E-2</v>
      </c>
      <c r="F169" s="289">
        <v>8.3699999999999997E-2</v>
      </c>
      <c r="G169" s="289">
        <v>0.68289999999999995</v>
      </c>
      <c r="H169" s="289">
        <v>0.41789999999999999</v>
      </c>
      <c r="I169" s="289" t="e">
        <v>#N/A</v>
      </c>
    </row>
    <row r="170" spans="2:9">
      <c r="B170" s="287">
        <v>37134</v>
      </c>
      <c r="C170" s="288">
        <v>2001</v>
      </c>
      <c r="D170" s="289">
        <v>0.62690000000000001</v>
      </c>
      <c r="E170" s="289">
        <v>8.9200000000000002E-2</v>
      </c>
      <c r="F170" s="289">
        <v>8.4199999999999997E-2</v>
      </c>
      <c r="G170" s="289">
        <v>0.69599999999999995</v>
      </c>
      <c r="H170" s="289">
        <v>0.4138</v>
      </c>
      <c r="I170" s="289" t="s">
        <v>1017</v>
      </c>
    </row>
    <row r="171" spans="2:9">
      <c r="B171" s="287">
        <v>37103</v>
      </c>
      <c r="C171" s="288">
        <v>2001</v>
      </c>
      <c r="D171" s="289">
        <v>0.60770000000000002</v>
      </c>
      <c r="E171" s="289">
        <v>9.06E-2</v>
      </c>
      <c r="F171" s="289">
        <v>8.1600000000000006E-2</v>
      </c>
      <c r="G171" s="289">
        <v>0.70630000000000004</v>
      </c>
      <c r="H171" s="289">
        <v>0.40150000000000002</v>
      </c>
      <c r="I171" s="289" t="s">
        <v>1018</v>
      </c>
    </row>
    <row r="172" spans="2:9">
      <c r="B172" s="287">
        <v>37072</v>
      </c>
      <c r="C172" s="288">
        <v>2001</v>
      </c>
      <c r="D172" s="289">
        <v>0.6079</v>
      </c>
      <c r="E172" s="289">
        <v>9.1300000000000006E-2</v>
      </c>
      <c r="F172" s="289">
        <v>8.1500000000000003E-2</v>
      </c>
      <c r="G172" s="289">
        <v>0.71240000000000003</v>
      </c>
      <c r="H172" s="289">
        <v>0.39900000000000002</v>
      </c>
      <c r="I172" s="289" t="e">
        <v>#N/A</v>
      </c>
    </row>
    <row r="173" spans="2:9">
      <c r="B173" s="287">
        <v>37042</v>
      </c>
      <c r="C173" s="288">
        <v>2001</v>
      </c>
      <c r="D173" s="289">
        <v>0.61360000000000003</v>
      </c>
      <c r="E173" s="289">
        <v>8.9800000000000005E-2</v>
      </c>
      <c r="F173" s="289">
        <v>8.2199999999999995E-2</v>
      </c>
      <c r="G173" s="289">
        <v>0.7</v>
      </c>
      <c r="H173" s="289">
        <v>0.39989999999999998</v>
      </c>
      <c r="I173" s="289" t="s">
        <v>1019</v>
      </c>
    </row>
    <row r="174" spans="2:9">
      <c r="B174" s="287">
        <v>37011</v>
      </c>
      <c r="C174" s="288">
        <v>2001</v>
      </c>
      <c r="D174" s="289">
        <v>0.62170000000000003</v>
      </c>
      <c r="E174" s="289">
        <v>8.9300000000000004E-2</v>
      </c>
      <c r="F174" s="289">
        <v>8.3299999999999999E-2</v>
      </c>
      <c r="G174" s="289">
        <v>0.69640000000000002</v>
      </c>
      <c r="H174" s="289">
        <v>0.40670000000000001</v>
      </c>
      <c r="I174" s="289" t="s">
        <v>1020</v>
      </c>
    </row>
    <row r="175" spans="2:9">
      <c r="B175" s="287">
        <v>36981</v>
      </c>
      <c r="C175" s="288">
        <v>2001</v>
      </c>
      <c r="D175" s="289">
        <v>0.62949999999999995</v>
      </c>
      <c r="E175" s="289">
        <v>8.8700000000000001E-2</v>
      </c>
      <c r="F175" s="289">
        <v>8.43E-2</v>
      </c>
      <c r="G175" s="289">
        <v>0.69169999999999998</v>
      </c>
      <c r="H175" s="289">
        <v>0.4098</v>
      </c>
      <c r="I175" s="289" t="e">
        <v>#N/A</v>
      </c>
    </row>
    <row r="176" spans="2:9">
      <c r="B176" s="287">
        <v>36950</v>
      </c>
      <c r="C176" s="288">
        <v>2001</v>
      </c>
      <c r="D176" s="289">
        <v>0.6341</v>
      </c>
      <c r="E176" s="289">
        <v>8.8200000000000001E-2</v>
      </c>
      <c r="F176" s="289">
        <v>8.5000000000000006E-2</v>
      </c>
      <c r="G176" s="289">
        <v>0.68769999999999998</v>
      </c>
      <c r="H176" s="289">
        <v>0.41270000000000001</v>
      </c>
      <c r="I176" s="289" t="s">
        <v>1021</v>
      </c>
    </row>
    <row r="177" spans="2:31">
      <c r="B177" s="287">
        <v>36922</v>
      </c>
      <c r="C177" s="288">
        <v>2001</v>
      </c>
      <c r="D177" s="289">
        <v>0.6351</v>
      </c>
      <c r="E177" s="289">
        <v>8.6699999999999999E-2</v>
      </c>
      <c r="F177" s="289">
        <v>8.5099999999999995E-2</v>
      </c>
      <c r="G177" s="289">
        <v>0.67620000000000002</v>
      </c>
      <c r="H177" s="289">
        <v>0.4153</v>
      </c>
      <c r="I177" s="289" t="s">
        <v>1022</v>
      </c>
    </row>
    <row r="178" spans="2:31">
      <c r="B178" s="287">
        <v>36891</v>
      </c>
      <c r="C178" s="288">
        <v>2000</v>
      </c>
      <c r="D178" s="289">
        <v>0.61429999999999996</v>
      </c>
      <c r="E178" s="289">
        <v>8.7599999999999997E-2</v>
      </c>
      <c r="F178" s="289">
        <v>8.2400000000000001E-2</v>
      </c>
      <c r="G178" s="289">
        <v>0.68300000000000005</v>
      </c>
      <c r="H178" s="289">
        <v>0.40620000000000001</v>
      </c>
      <c r="I178" s="289" t="e">
        <v>#N/A</v>
      </c>
    </row>
    <row r="179" spans="2:31">
      <c r="B179" s="287">
        <v>36860</v>
      </c>
      <c r="C179" s="288">
        <v>2000</v>
      </c>
      <c r="D179" s="289">
        <v>0.59889999999999999</v>
      </c>
      <c r="E179" s="289">
        <v>8.9899999999999994E-2</v>
      </c>
      <c r="F179" s="289">
        <v>8.0299999999999996E-2</v>
      </c>
      <c r="G179" s="289">
        <v>0.70099999999999996</v>
      </c>
      <c r="H179" s="289">
        <v>0.39350000000000002</v>
      </c>
      <c r="I179" s="289" t="s">
        <v>1023</v>
      </c>
    </row>
    <row r="180" spans="2:31">
      <c r="B180" s="287">
        <v>36830</v>
      </c>
      <c r="C180" s="288">
        <v>2000</v>
      </c>
      <c r="D180" s="289">
        <v>0.58840000000000003</v>
      </c>
      <c r="E180" s="289">
        <v>8.8200000000000001E-2</v>
      </c>
      <c r="F180" s="289">
        <v>7.9000000000000001E-2</v>
      </c>
      <c r="G180" s="289">
        <v>0.68769999999999998</v>
      </c>
      <c r="H180" s="289">
        <v>0.38869999999999999</v>
      </c>
      <c r="I180" s="289" t="s">
        <v>1024</v>
      </c>
    </row>
    <row r="181" spans="2:31">
      <c r="B181" s="287">
        <v>36799</v>
      </c>
      <c r="C181" s="288">
        <v>2000</v>
      </c>
      <c r="D181" s="289">
        <v>0.60780000000000001</v>
      </c>
      <c r="E181" s="289">
        <v>8.9399999999999993E-2</v>
      </c>
      <c r="F181" s="289">
        <v>8.1500000000000003E-2</v>
      </c>
      <c r="G181" s="289">
        <v>0.69710000000000005</v>
      </c>
      <c r="H181" s="289">
        <v>0.39679999999999999</v>
      </c>
      <c r="I181" s="289" t="e">
        <v>#N/A</v>
      </c>
    </row>
    <row r="182" spans="2:31">
      <c r="B182" s="287">
        <v>36769</v>
      </c>
      <c r="C182" s="288">
        <v>2000</v>
      </c>
      <c r="D182" s="289">
        <v>0.60709999999999997</v>
      </c>
      <c r="E182" s="289">
        <v>8.5999999999999993E-2</v>
      </c>
      <c r="F182" s="289">
        <v>8.14E-2</v>
      </c>
      <c r="G182" s="289">
        <v>0.67049999999999998</v>
      </c>
      <c r="H182" s="289">
        <v>0.39140000000000003</v>
      </c>
      <c r="I182" s="289" t="s">
        <v>1025</v>
      </c>
    </row>
    <row r="183" spans="2:31">
      <c r="B183" s="287">
        <v>36738</v>
      </c>
      <c r="C183" s="288">
        <v>2000</v>
      </c>
      <c r="D183" s="289">
        <v>0.62250000000000005</v>
      </c>
      <c r="E183" s="289">
        <v>8.4900000000000003E-2</v>
      </c>
      <c r="F183" s="289">
        <v>8.3500000000000005E-2</v>
      </c>
      <c r="G183" s="289">
        <v>0.66220000000000001</v>
      </c>
      <c r="H183" s="289">
        <v>0.40160000000000001</v>
      </c>
      <c r="I183" s="289" t="s">
        <v>1026</v>
      </c>
    </row>
    <row r="184" spans="2:31">
      <c r="B184" s="287">
        <v>36707</v>
      </c>
      <c r="C184" s="288">
        <v>2000</v>
      </c>
      <c r="D184" s="289">
        <v>0.62860000000000005</v>
      </c>
      <c r="E184" s="289">
        <v>8.5000000000000006E-2</v>
      </c>
      <c r="F184" s="289">
        <v>8.43E-2</v>
      </c>
      <c r="G184" s="289">
        <v>0.66210000000000002</v>
      </c>
      <c r="H184" s="289">
        <v>0.4027</v>
      </c>
      <c r="I184" s="289" t="s">
        <v>1027</v>
      </c>
    </row>
    <row r="185" spans="2:31">
      <c r="B185" s="287">
        <v>36677</v>
      </c>
      <c r="C185" s="288">
        <v>2000</v>
      </c>
      <c r="D185" s="289">
        <v>0.60109999999999997</v>
      </c>
      <c r="E185" s="289">
        <v>8.5000000000000006E-2</v>
      </c>
      <c r="F185" s="289">
        <v>8.0600000000000005E-2</v>
      </c>
      <c r="G185" s="289">
        <v>0.66220000000000001</v>
      </c>
      <c r="H185" s="289">
        <v>0.38640000000000002</v>
      </c>
      <c r="I185" s="289" t="s">
        <v>1028</v>
      </c>
    </row>
    <row r="186" spans="2:31">
      <c r="B186" s="287">
        <v>36646</v>
      </c>
      <c r="C186" s="288">
        <v>2000</v>
      </c>
      <c r="D186" s="289">
        <v>0.59770000000000001</v>
      </c>
      <c r="E186" s="289">
        <v>8.1199999999999994E-2</v>
      </c>
      <c r="F186" s="289">
        <v>8.0299999999999996E-2</v>
      </c>
      <c r="G186" s="289">
        <v>0.6321</v>
      </c>
      <c r="H186" s="289">
        <v>0.38019999999999998</v>
      </c>
      <c r="I186" s="289" t="e">
        <v>#N/A</v>
      </c>
    </row>
    <row r="187" spans="2:31">
      <c r="B187" s="287">
        <v>36616</v>
      </c>
      <c r="C187" s="288">
        <v>2000</v>
      </c>
      <c r="D187" s="289">
        <v>0.61070000000000002</v>
      </c>
      <c r="E187" s="289">
        <v>8.1199999999999994E-2</v>
      </c>
      <c r="F187" s="289">
        <v>8.2000000000000003E-2</v>
      </c>
      <c r="G187" s="289">
        <v>0.63229999999999997</v>
      </c>
      <c r="H187" s="289">
        <v>0.38159999999999999</v>
      </c>
      <c r="I187" s="289" t="s">
        <v>1029</v>
      </c>
    </row>
    <row r="188" spans="2:31">
      <c r="B188" s="287">
        <v>36585</v>
      </c>
      <c r="C188" s="288">
        <v>2000</v>
      </c>
      <c r="D188" s="289">
        <v>0.61429999999999996</v>
      </c>
      <c r="E188" s="289">
        <v>8.0199999999999994E-2</v>
      </c>
      <c r="F188" s="289">
        <v>8.2500000000000004E-2</v>
      </c>
      <c r="G188" s="289">
        <v>0.62450000000000006</v>
      </c>
      <c r="H188" s="289">
        <v>0.3826</v>
      </c>
      <c r="I188" s="289" t="s">
        <v>1030</v>
      </c>
    </row>
    <row r="189" spans="2:31">
      <c r="B189" s="287">
        <v>36556</v>
      </c>
      <c r="C189" s="288">
        <v>2000</v>
      </c>
      <c r="D189" s="289">
        <v>0.61809999999999998</v>
      </c>
      <c r="E189" s="289">
        <v>7.85E-2</v>
      </c>
      <c r="F189" s="289">
        <v>8.3000000000000004E-2</v>
      </c>
      <c r="G189" s="289">
        <v>0.61050000000000004</v>
      </c>
      <c r="H189" s="289">
        <v>0.38390000000000002</v>
      </c>
      <c r="I189" s="289" t="s">
        <v>1031</v>
      </c>
    </row>
    <row r="192" spans="2:31">
      <c r="B192" s="278" t="s">
        <v>122</v>
      </c>
      <c r="C192" s="285"/>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79"/>
      <c r="AE192" s="279"/>
    </row>
  </sheetData>
  <hyperlinks>
    <hyperlink ref="C9" r:id="rId1"/>
  </hyperlinks>
  <pageMargins left="0.75" right="0.75" top="1" bottom="1" header="0.5" footer="0.5"/>
  <pageSetup paperSize="9" scale="28" orientation="landscape" r:id="rId2"/>
  <headerFooter>
    <oddFooter>&amp;L&amp;F \ &amp;A&amp;R&amp;T &amp;D</oddFooter>
  </headerFooter>
</worksheet>
</file>

<file path=xl/worksheets/sheet34.xml><?xml version="1.0" encoding="utf-8"?>
<worksheet xmlns="http://schemas.openxmlformats.org/spreadsheetml/2006/main" xmlns:r="http://schemas.openxmlformats.org/officeDocument/2006/relationships">
  <sheetPr>
    <pageSetUpPr autoPageBreaks="0" fitToPage="1"/>
  </sheetPr>
  <dimension ref="A1:BC537"/>
  <sheetViews>
    <sheetView showGridLines="0" zoomScale="70" zoomScaleNormal="70" workbookViewId="0">
      <pane xSplit="3" ySplit="15" topLeftCell="D517" activePane="bottomRight" state="frozen"/>
      <selection pane="topRight" activeCell="D1" sqref="D1"/>
      <selection pane="bottomLeft" activeCell="A11" sqref="A11"/>
      <selection pane="bottomRight" activeCell="I8" sqref="I8"/>
    </sheetView>
  </sheetViews>
  <sheetFormatPr defaultRowHeight="12.75"/>
  <cols>
    <col min="1" max="1" width="8" style="90" customWidth="1"/>
    <col min="2" max="2" width="44" style="90" customWidth="1"/>
    <col min="3" max="3" width="14.85546875" style="90" customWidth="1"/>
    <col min="4" max="15" width="10.7109375" style="90" customWidth="1"/>
    <col min="16" max="16" width="10.7109375" style="126" customWidth="1"/>
    <col min="17" max="35" width="10.7109375" style="90" customWidth="1"/>
    <col min="36" max="48" width="9.42578125" style="90" bestFit="1" customWidth="1"/>
    <col min="49" max="49" width="10.28515625" style="90" bestFit="1" customWidth="1"/>
    <col min="50" max="50" width="9.85546875" style="90" bestFit="1" customWidth="1"/>
    <col min="51" max="51" width="10.28515625" style="90" bestFit="1" customWidth="1"/>
    <col min="52" max="52" width="10.140625" style="90" bestFit="1" customWidth="1"/>
    <col min="53" max="54" width="10.28515625" style="90" bestFit="1" customWidth="1"/>
    <col min="55" max="16384" width="9.140625" style="90"/>
  </cols>
  <sheetData>
    <row r="1" spans="1:55" ht="12.75" customHeight="1">
      <c r="A1" s="145"/>
    </row>
    <row r="2" spans="1:55">
      <c r="B2" s="146" t="s">
        <v>134</v>
      </c>
      <c r="C2" s="91"/>
      <c r="D2" s="91"/>
      <c r="E2" s="147" t="str">
        <f>Info!$D$10</f>
        <v>Duncan Kernohan</v>
      </c>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row>
    <row r="3" spans="1:55">
      <c r="B3" s="148" t="s">
        <v>137</v>
      </c>
      <c r="C3" s="92"/>
      <c r="D3" s="92"/>
      <c r="E3" s="149" t="str">
        <f>Info!$D$11 &amp; " - " &amp; Info!$D$12</f>
        <v>Airport Opex Benchmarking 2013 - duncan.kernohan@caa.co.uk</v>
      </c>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c r="B4" s="148" t="s">
        <v>130</v>
      </c>
      <c r="C4" s="92"/>
      <c r="D4" s="92"/>
      <c r="E4" s="150">
        <f>Info!$D$16</f>
        <v>2.8</v>
      </c>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row>
    <row r="5" spans="1:55">
      <c r="B5" s="151" t="s">
        <v>138</v>
      </c>
      <c r="C5" s="93"/>
      <c r="D5" s="93"/>
      <c r="E5" s="152" t="str">
        <f ca="1">IF(CELL("filename",D1)="","",MID(CELL("filename",A1),FIND("]",CELL("filename",A1))+1,99))</f>
        <v>PPP</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row>
    <row r="6" spans="1:55">
      <c r="P6" s="90"/>
    </row>
    <row r="7" spans="1:55">
      <c r="B7" s="90" t="s">
        <v>143</v>
      </c>
      <c r="C7" s="90" t="s">
        <v>911</v>
      </c>
      <c r="P7" s="90"/>
    </row>
    <row r="8" spans="1:55">
      <c r="B8" s="90" t="s">
        <v>910</v>
      </c>
      <c r="C8" s="71" t="s">
        <v>1121</v>
      </c>
      <c r="P8" s="90"/>
    </row>
    <row r="9" spans="1:55">
      <c r="P9" s="90"/>
    </row>
    <row r="10" spans="1:55">
      <c r="B10" s="72" t="s">
        <v>1120</v>
      </c>
      <c r="P10" s="90"/>
    </row>
    <row r="11" spans="1:55">
      <c r="B11" s="297" t="s">
        <v>1207</v>
      </c>
      <c r="P11" s="90"/>
    </row>
    <row r="12" spans="1:55">
      <c r="P12" s="90"/>
    </row>
    <row r="13" spans="1:55" s="126" customFormat="1">
      <c r="A13" s="90"/>
      <c r="B13" s="153" t="s">
        <v>1094</v>
      </c>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row>
    <row r="15" spans="1:55" s="126" customFormat="1">
      <c r="A15" s="90"/>
      <c r="B15" s="286" t="s">
        <v>400</v>
      </c>
      <c r="C15" s="286" t="s">
        <v>401</v>
      </c>
      <c r="D15" s="286" t="s">
        <v>402</v>
      </c>
      <c r="E15" s="286" t="s">
        <v>403</v>
      </c>
      <c r="F15" s="286" t="s">
        <v>404</v>
      </c>
      <c r="G15" s="286" t="s">
        <v>405</v>
      </c>
      <c r="H15" s="286" t="s">
        <v>406</v>
      </c>
      <c r="I15" s="286" t="s">
        <v>407</v>
      </c>
      <c r="J15" s="286" t="s">
        <v>408</v>
      </c>
      <c r="K15" s="286" t="s">
        <v>409</v>
      </c>
      <c r="L15" s="286" t="s">
        <v>410</v>
      </c>
      <c r="M15" s="286" t="s">
        <v>411</v>
      </c>
      <c r="N15" s="286" t="s">
        <v>412</v>
      </c>
      <c r="O15" s="286" t="s">
        <v>413</v>
      </c>
      <c r="P15" s="286" t="s">
        <v>414</v>
      </c>
      <c r="Q15" s="286" t="s">
        <v>415</v>
      </c>
      <c r="R15" s="286" t="s">
        <v>416</v>
      </c>
      <c r="S15" s="286" t="s">
        <v>417</v>
      </c>
      <c r="T15" s="286" t="s">
        <v>418</v>
      </c>
      <c r="U15" s="286" t="s">
        <v>419</v>
      </c>
      <c r="V15" s="286" t="s">
        <v>420</v>
      </c>
      <c r="W15" s="286" t="s">
        <v>421</v>
      </c>
      <c r="X15" s="286" t="s">
        <v>422</v>
      </c>
      <c r="Y15" s="286" t="s">
        <v>423</v>
      </c>
      <c r="Z15" s="286" t="s">
        <v>424</v>
      </c>
      <c r="AA15" s="286" t="s">
        <v>425</v>
      </c>
      <c r="AB15" s="286" t="s">
        <v>426</v>
      </c>
      <c r="AC15" s="286" t="s">
        <v>427</v>
      </c>
      <c r="AD15" s="286" t="s">
        <v>428</v>
      </c>
      <c r="AE15" s="286" t="s">
        <v>429</v>
      </c>
      <c r="AF15" s="286" t="s">
        <v>430</v>
      </c>
      <c r="AG15" s="286" t="s">
        <v>431</v>
      </c>
      <c r="AH15" s="286" t="s">
        <v>432</v>
      </c>
      <c r="AI15" s="286" t="s">
        <v>433</v>
      </c>
      <c r="AJ15" s="326" t="s">
        <v>1122</v>
      </c>
    </row>
    <row r="16" spans="1:55" s="126" customFormat="1">
      <c r="A16" s="90"/>
      <c r="B16" s="72" t="s">
        <v>434</v>
      </c>
      <c r="C16" s="72" t="s">
        <v>435</v>
      </c>
      <c r="D16" s="72"/>
      <c r="E16" s="72"/>
      <c r="F16" s="72"/>
      <c r="G16" s="72"/>
      <c r="H16" s="72"/>
      <c r="I16" s="72"/>
      <c r="J16" s="72"/>
      <c r="K16" s="72"/>
      <c r="L16" s="72"/>
      <c r="M16" s="72"/>
      <c r="N16" s="72"/>
      <c r="O16" s="72"/>
      <c r="P16" s="72"/>
      <c r="Q16" s="72"/>
      <c r="R16" s="281"/>
      <c r="S16" s="281"/>
      <c r="T16" s="281"/>
      <c r="U16" s="281"/>
      <c r="V16" s="281"/>
      <c r="W16" s="281"/>
      <c r="X16" s="281"/>
      <c r="Y16" s="281"/>
      <c r="Z16" s="281"/>
      <c r="AA16" s="281"/>
      <c r="AB16" s="281"/>
      <c r="AC16" s="281"/>
      <c r="AD16" s="281"/>
      <c r="AE16" s="281"/>
      <c r="AF16" s="281"/>
      <c r="AG16" s="281"/>
      <c r="AH16" s="281"/>
      <c r="AI16" s="281"/>
      <c r="AJ16" s="328"/>
    </row>
    <row r="17" spans="1:36" s="126" customFormat="1">
      <c r="A17" s="90"/>
      <c r="B17" s="72" t="s">
        <v>436</v>
      </c>
      <c r="C17" s="72" t="s">
        <v>437</v>
      </c>
      <c r="D17" s="72"/>
      <c r="E17" s="72"/>
      <c r="F17" s="72"/>
      <c r="G17" s="72"/>
      <c r="H17" s="72"/>
      <c r="I17" s="72"/>
      <c r="J17" s="72"/>
      <c r="K17" s="72"/>
      <c r="L17" s="72"/>
      <c r="M17" s="72"/>
      <c r="N17" s="72"/>
      <c r="O17" s="72"/>
      <c r="P17" s="72"/>
      <c r="Q17" s="72"/>
      <c r="R17" s="281"/>
      <c r="S17" s="281"/>
      <c r="T17" s="281"/>
      <c r="U17" s="281"/>
      <c r="V17" s="281"/>
      <c r="W17" s="281"/>
      <c r="X17" s="281"/>
      <c r="Y17" s="281"/>
      <c r="Z17" s="281"/>
      <c r="AA17" s="281"/>
      <c r="AB17" s="281"/>
      <c r="AC17" s="281"/>
      <c r="AD17" s="281"/>
      <c r="AE17" s="281"/>
      <c r="AF17" s="281"/>
      <c r="AG17" s="281"/>
      <c r="AH17" s="281"/>
      <c r="AI17" s="281"/>
      <c r="AJ17" s="328"/>
    </row>
    <row r="18" spans="1:36" s="126" customFormat="1">
      <c r="A18" s="90"/>
      <c r="B18" s="72" t="s">
        <v>438</v>
      </c>
      <c r="C18" s="72" t="s">
        <v>439</v>
      </c>
      <c r="D18" s="72"/>
      <c r="E18" s="72"/>
      <c r="F18" s="72"/>
      <c r="G18" s="72"/>
      <c r="H18" s="72"/>
      <c r="I18" s="72"/>
      <c r="J18" s="72"/>
      <c r="K18" s="72"/>
      <c r="L18" s="72"/>
      <c r="M18" s="72"/>
      <c r="N18" s="72"/>
      <c r="O18" s="72"/>
      <c r="P18" s="72"/>
      <c r="Q18" s="72"/>
      <c r="R18" s="281"/>
      <c r="S18" s="281"/>
      <c r="T18" s="281"/>
      <c r="U18" s="281"/>
      <c r="V18" s="281"/>
      <c r="W18" s="281"/>
      <c r="X18" s="281"/>
      <c r="Y18" s="281"/>
      <c r="Z18" s="281"/>
      <c r="AA18" s="281"/>
      <c r="AB18" s="281"/>
      <c r="AC18" s="281"/>
      <c r="AD18" s="281"/>
      <c r="AE18" s="281"/>
      <c r="AF18" s="281"/>
      <c r="AG18" s="281"/>
      <c r="AH18" s="281"/>
      <c r="AI18" s="281"/>
      <c r="AJ18" s="328"/>
    </row>
    <row r="19" spans="1:36" s="126" customFormat="1">
      <c r="A19" s="90"/>
      <c r="B19" s="72" t="s">
        <v>440</v>
      </c>
      <c r="C19" s="72" t="s">
        <v>441</v>
      </c>
      <c r="D19" s="72"/>
      <c r="E19" s="72"/>
      <c r="F19" s="72"/>
      <c r="G19" s="72"/>
      <c r="H19" s="72"/>
      <c r="I19" s="72"/>
      <c r="J19" s="72"/>
      <c r="K19" s="72"/>
      <c r="L19" s="72"/>
      <c r="M19" s="72"/>
      <c r="N19" s="72"/>
      <c r="O19" s="72"/>
      <c r="P19" s="72"/>
      <c r="Q19" s="72"/>
      <c r="R19" s="281"/>
      <c r="S19" s="281"/>
      <c r="T19" s="281"/>
      <c r="U19" s="281"/>
      <c r="V19" s="281"/>
      <c r="W19" s="281"/>
      <c r="X19" s="281"/>
      <c r="Y19" s="281"/>
      <c r="Z19" s="281"/>
      <c r="AA19" s="281"/>
      <c r="AB19" s="281"/>
      <c r="AC19" s="281"/>
      <c r="AD19" s="281"/>
      <c r="AE19" s="281"/>
      <c r="AF19" s="281"/>
      <c r="AG19" s="281"/>
      <c r="AH19" s="281"/>
      <c r="AI19" s="281"/>
      <c r="AJ19" s="328"/>
    </row>
    <row r="20" spans="1:36" s="126" customFormat="1">
      <c r="A20" s="90"/>
      <c r="B20" s="72" t="s">
        <v>442</v>
      </c>
      <c r="C20" s="72" t="s">
        <v>443</v>
      </c>
      <c r="D20" s="72"/>
      <c r="E20" s="72"/>
      <c r="F20" s="72"/>
      <c r="G20" s="72"/>
      <c r="H20" s="72"/>
      <c r="I20" s="72"/>
      <c r="J20" s="72"/>
      <c r="K20" s="72"/>
      <c r="L20" s="72"/>
      <c r="M20" s="72"/>
      <c r="N20" s="72"/>
      <c r="O20" s="72"/>
      <c r="P20" s="72"/>
      <c r="Q20" s="72"/>
      <c r="R20" s="281"/>
      <c r="S20" s="281"/>
      <c r="T20" s="281"/>
      <c r="U20" s="281"/>
      <c r="V20" s="281"/>
      <c r="W20" s="281"/>
      <c r="X20" s="281"/>
      <c r="Y20" s="281"/>
      <c r="Z20" s="281"/>
      <c r="AA20" s="281"/>
      <c r="AB20" s="281"/>
      <c r="AC20" s="281"/>
      <c r="AD20" s="281"/>
      <c r="AE20" s="281"/>
      <c r="AF20" s="281"/>
      <c r="AG20" s="281"/>
      <c r="AH20" s="281"/>
      <c r="AI20" s="281"/>
      <c r="AJ20" s="328"/>
    </row>
    <row r="21" spans="1:36" s="126" customFormat="1">
      <c r="A21" s="90"/>
      <c r="B21" s="72" t="s">
        <v>444</v>
      </c>
      <c r="C21" s="72" t="s">
        <v>445</v>
      </c>
      <c r="D21" s="72"/>
      <c r="E21" s="72"/>
      <c r="F21" s="72"/>
      <c r="G21" s="72"/>
      <c r="H21" s="72"/>
      <c r="I21" s="72"/>
      <c r="J21" s="72"/>
      <c r="K21" s="72"/>
      <c r="L21" s="72"/>
      <c r="M21" s="72"/>
      <c r="N21" s="72"/>
      <c r="O21" s="72"/>
      <c r="P21" s="72"/>
      <c r="Q21" s="72"/>
      <c r="R21" s="281"/>
      <c r="S21" s="281"/>
      <c r="T21" s="281"/>
      <c r="U21" s="281"/>
      <c r="V21" s="281"/>
      <c r="W21" s="281"/>
      <c r="X21" s="281"/>
      <c r="Y21" s="281"/>
      <c r="Z21" s="281"/>
      <c r="AA21" s="281"/>
      <c r="AB21" s="281"/>
      <c r="AC21" s="281"/>
      <c r="AD21" s="281"/>
      <c r="AE21" s="281"/>
      <c r="AF21" s="281"/>
      <c r="AG21" s="281"/>
      <c r="AH21" s="281"/>
      <c r="AI21" s="281"/>
      <c r="AJ21" s="328"/>
    </row>
    <row r="22" spans="1:36">
      <c r="B22" s="72" t="s">
        <v>446</v>
      </c>
      <c r="C22" s="72" t="s">
        <v>447</v>
      </c>
      <c r="D22" s="72"/>
      <c r="E22" s="72"/>
      <c r="F22" s="72"/>
      <c r="G22" s="72"/>
      <c r="H22" s="72"/>
      <c r="I22" s="72"/>
      <c r="J22" s="72"/>
      <c r="K22" s="72"/>
      <c r="L22" s="72"/>
      <c r="M22" s="72"/>
      <c r="N22" s="72"/>
      <c r="O22" s="72"/>
      <c r="P22" s="72"/>
      <c r="Q22" s="72"/>
      <c r="R22" s="281"/>
      <c r="S22" s="281"/>
      <c r="T22" s="281"/>
      <c r="U22" s="281"/>
      <c r="V22" s="281"/>
      <c r="W22" s="281"/>
      <c r="X22" s="281"/>
      <c r="Y22" s="281"/>
      <c r="Z22" s="281"/>
      <c r="AA22" s="281"/>
      <c r="AB22" s="281"/>
      <c r="AC22" s="281"/>
      <c r="AD22" s="281"/>
      <c r="AE22" s="281"/>
      <c r="AF22" s="281"/>
      <c r="AG22" s="281"/>
      <c r="AH22" s="281"/>
      <c r="AI22" s="281"/>
      <c r="AJ22" s="328"/>
    </row>
    <row r="23" spans="1:36">
      <c r="B23" s="72" t="s">
        <v>448</v>
      </c>
      <c r="C23" s="72" t="s">
        <v>449</v>
      </c>
      <c r="D23" s="72"/>
      <c r="E23" s="72"/>
      <c r="F23" s="72"/>
      <c r="G23" s="72"/>
      <c r="H23" s="72"/>
      <c r="I23" s="72"/>
      <c r="J23" s="72"/>
      <c r="K23" s="72"/>
      <c r="L23" s="72"/>
      <c r="M23" s="72"/>
      <c r="N23" s="72"/>
      <c r="O23" s="72"/>
      <c r="P23" s="72"/>
      <c r="Q23" s="72"/>
      <c r="R23" s="281"/>
      <c r="S23" s="281"/>
      <c r="T23" s="281"/>
      <c r="U23" s="281"/>
      <c r="V23" s="281"/>
      <c r="W23" s="281"/>
      <c r="X23" s="281"/>
      <c r="Y23" s="281"/>
      <c r="Z23" s="281"/>
      <c r="AA23" s="281"/>
      <c r="AB23" s="281"/>
      <c r="AC23" s="281"/>
      <c r="AD23" s="281"/>
      <c r="AE23" s="281"/>
      <c r="AF23" s="281"/>
      <c r="AG23" s="281"/>
      <c r="AH23" s="281"/>
      <c r="AI23" s="281"/>
      <c r="AJ23" s="328"/>
    </row>
    <row r="24" spans="1:36">
      <c r="B24" s="72" t="s">
        <v>450</v>
      </c>
      <c r="C24" s="72" t="s">
        <v>451</v>
      </c>
      <c r="D24" s="72"/>
      <c r="E24" s="72"/>
      <c r="F24" s="72"/>
      <c r="G24" s="72"/>
      <c r="H24" s="72"/>
      <c r="I24" s="72"/>
      <c r="J24" s="72"/>
      <c r="K24" s="72"/>
      <c r="L24" s="72"/>
      <c r="M24" s="72"/>
      <c r="N24" s="72"/>
      <c r="O24" s="72"/>
      <c r="P24" s="72"/>
      <c r="Q24" s="72"/>
      <c r="R24" s="281"/>
      <c r="S24" s="281"/>
      <c r="T24" s="281"/>
      <c r="U24" s="281"/>
      <c r="V24" s="281"/>
      <c r="W24" s="281"/>
      <c r="X24" s="281"/>
      <c r="Y24" s="281"/>
      <c r="Z24" s="281"/>
      <c r="AA24" s="281"/>
      <c r="AB24" s="281"/>
      <c r="AC24" s="281"/>
      <c r="AD24" s="281"/>
      <c r="AE24" s="281"/>
      <c r="AF24" s="281"/>
      <c r="AG24" s="281"/>
      <c r="AH24" s="281"/>
      <c r="AI24" s="281"/>
      <c r="AJ24" s="328"/>
    </row>
    <row r="25" spans="1:36">
      <c r="B25" s="72" t="s">
        <v>452</v>
      </c>
      <c r="C25" s="72" t="s">
        <v>453</v>
      </c>
      <c r="D25" s="72"/>
      <c r="E25" s="72"/>
      <c r="F25" s="72"/>
      <c r="G25" s="72"/>
      <c r="H25" s="72"/>
      <c r="I25" s="72"/>
      <c r="J25" s="72"/>
      <c r="K25" s="72"/>
      <c r="L25" s="72"/>
      <c r="M25" s="72"/>
      <c r="N25" s="72"/>
      <c r="O25" s="72"/>
      <c r="P25" s="72"/>
      <c r="Q25" s="72"/>
      <c r="R25" s="281"/>
      <c r="S25" s="281"/>
      <c r="T25" s="281"/>
      <c r="U25" s="281"/>
      <c r="V25" s="281"/>
      <c r="W25" s="281"/>
      <c r="X25" s="281"/>
      <c r="Y25" s="281"/>
      <c r="Z25" s="281"/>
      <c r="AA25" s="281"/>
      <c r="AB25" s="281"/>
      <c r="AC25" s="281"/>
      <c r="AD25" s="281"/>
      <c r="AE25" s="281"/>
      <c r="AF25" s="281"/>
      <c r="AG25" s="281"/>
      <c r="AH25" s="281"/>
      <c r="AI25" s="281"/>
      <c r="AJ25" s="328"/>
    </row>
    <row r="26" spans="1:36">
      <c r="B26" s="72" t="s">
        <v>454</v>
      </c>
      <c r="C26" s="72" t="s">
        <v>455</v>
      </c>
      <c r="D26" s="72"/>
      <c r="E26" s="72"/>
      <c r="F26" s="72"/>
      <c r="G26" s="72"/>
      <c r="H26" s="72"/>
      <c r="I26" s="72"/>
      <c r="J26" s="72"/>
      <c r="K26" s="72"/>
      <c r="L26" s="72"/>
      <c r="M26" s="72"/>
      <c r="N26" s="72"/>
      <c r="O26" s="72"/>
      <c r="P26" s="72"/>
      <c r="Q26" s="72"/>
      <c r="R26" s="281"/>
      <c r="S26" s="281"/>
      <c r="T26" s="281"/>
      <c r="U26" s="281"/>
      <c r="V26" s="281"/>
      <c r="W26" s="281"/>
      <c r="X26" s="281"/>
      <c r="Y26" s="281"/>
      <c r="Z26" s="281"/>
      <c r="AA26" s="281"/>
      <c r="AB26" s="281"/>
      <c r="AC26" s="281"/>
      <c r="AD26" s="281"/>
      <c r="AE26" s="281"/>
      <c r="AF26" s="281"/>
      <c r="AG26" s="281"/>
      <c r="AH26" s="281"/>
      <c r="AI26" s="281"/>
      <c r="AJ26" s="328"/>
    </row>
    <row r="27" spans="1:36">
      <c r="B27" s="72" t="s">
        <v>456</v>
      </c>
      <c r="C27" s="72" t="s">
        <v>457</v>
      </c>
      <c r="D27" s="72"/>
      <c r="E27" s="72"/>
      <c r="F27" s="72"/>
      <c r="G27" s="72"/>
      <c r="H27" s="72"/>
      <c r="I27" s="72"/>
      <c r="J27" s="72"/>
      <c r="K27" s="72"/>
      <c r="L27" s="72"/>
      <c r="M27" s="72"/>
      <c r="N27" s="72"/>
      <c r="O27" s="72"/>
      <c r="P27" s="72"/>
      <c r="Q27" s="72"/>
      <c r="R27" s="281"/>
      <c r="S27" s="281"/>
      <c r="T27" s="281"/>
      <c r="U27" s="281"/>
      <c r="V27" s="281"/>
      <c r="W27" s="281"/>
      <c r="X27" s="281"/>
      <c r="Y27" s="281"/>
      <c r="Z27" s="281"/>
      <c r="AA27" s="281"/>
      <c r="AB27" s="281"/>
      <c r="AC27" s="281"/>
      <c r="AD27" s="281"/>
      <c r="AE27" s="281"/>
      <c r="AF27" s="281"/>
      <c r="AG27" s="281"/>
      <c r="AH27" s="281"/>
      <c r="AI27" s="281"/>
      <c r="AJ27" s="328"/>
    </row>
    <row r="28" spans="1:36">
      <c r="B28" s="72" t="s">
        <v>458</v>
      </c>
      <c r="C28" s="72" t="s">
        <v>459</v>
      </c>
      <c r="D28" s="72"/>
      <c r="E28" s="72"/>
      <c r="F28" s="72"/>
      <c r="G28" s="72"/>
      <c r="H28" s="72"/>
      <c r="I28" s="72"/>
      <c r="J28" s="72"/>
      <c r="K28" s="72"/>
      <c r="L28" s="72"/>
      <c r="M28" s="72"/>
      <c r="N28" s="72"/>
      <c r="O28" s="72"/>
      <c r="P28" s="72"/>
      <c r="Q28" s="72"/>
      <c r="R28" s="281"/>
      <c r="S28" s="281"/>
      <c r="T28" s="281"/>
      <c r="U28" s="281"/>
      <c r="V28" s="281"/>
      <c r="W28" s="281"/>
      <c r="X28" s="281"/>
      <c r="Y28" s="281"/>
      <c r="Z28" s="281"/>
      <c r="AA28" s="281"/>
      <c r="AB28" s="281"/>
      <c r="AC28" s="281"/>
      <c r="AD28" s="281"/>
      <c r="AE28" s="281"/>
      <c r="AF28" s="281"/>
      <c r="AG28" s="281"/>
      <c r="AH28" s="281"/>
      <c r="AI28" s="281"/>
      <c r="AJ28" s="328"/>
    </row>
    <row r="29" spans="1:36">
      <c r="B29" s="72" t="s">
        <v>460</v>
      </c>
      <c r="C29" s="72" t="s">
        <v>461</v>
      </c>
      <c r="D29" s="72"/>
      <c r="E29" s="72"/>
      <c r="F29" s="72"/>
      <c r="G29" s="72"/>
      <c r="H29" s="72"/>
      <c r="I29" s="72"/>
      <c r="J29" s="72"/>
      <c r="K29" s="72"/>
      <c r="L29" s="72"/>
      <c r="M29" s="72"/>
      <c r="N29" s="72"/>
      <c r="O29" s="72"/>
      <c r="P29" s="72"/>
      <c r="Q29" s="72"/>
      <c r="R29" s="281"/>
      <c r="S29" s="281"/>
      <c r="T29" s="281"/>
      <c r="U29" s="281"/>
      <c r="V29" s="281"/>
      <c r="W29" s="281"/>
      <c r="X29" s="281"/>
      <c r="Y29" s="281"/>
      <c r="Z29" s="281"/>
      <c r="AA29" s="281"/>
      <c r="AB29" s="281"/>
      <c r="AC29" s="281"/>
      <c r="AD29" s="281"/>
      <c r="AE29" s="281"/>
      <c r="AF29" s="281"/>
      <c r="AG29" s="281"/>
      <c r="AH29" s="281"/>
      <c r="AI29" s="281"/>
      <c r="AJ29" s="328"/>
    </row>
    <row r="30" spans="1:36">
      <c r="B30" s="72" t="s">
        <v>462</v>
      </c>
      <c r="C30" s="72" t="s">
        <v>463</v>
      </c>
      <c r="D30" s="72"/>
      <c r="E30" s="72"/>
      <c r="F30" s="72"/>
      <c r="G30" s="72"/>
      <c r="H30" s="72"/>
      <c r="I30" s="72"/>
      <c r="J30" s="72"/>
      <c r="K30" s="72"/>
      <c r="L30" s="72"/>
      <c r="M30" s="72"/>
      <c r="N30" s="72"/>
      <c r="O30" s="72"/>
      <c r="P30" s="72"/>
      <c r="Q30" s="72"/>
      <c r="R30" s="281"/>
      <c r="S30" s="281"/>
      <c r="T30" s="281"/>
      <c r="U30" s="281"/>
      <c r="V30" s="281"/>
      <c r="W30" s="281"/>
      <c r="X30" s="281"/>
      <c r="Y30" s="281"/>
      <c r="Z30" s="281"/>
      <c r="AA30" s="281"/>
      <c r="AB30" s="281"/>
      <c r="AC30" s="281"/>
      <c r="AD30" s="281"/>
      <c r="AE30" s="281"/>
      <c r="AF30" s="281"/>
      <c r="AG30" s="281"/>
      <c r="AH30" s="281"/>
      <c r="AI30" s="281"/>
      <c r="AJ30" s="328"/>
    </row>
    <row r="31" spans="1:36">
      <c r="B31" s="72" t="s">
        <v>464</v>
      </c>
      <c r="C31" s="72" t="s">
        <v>465</v>
      </c>
      <c r="D31" s="72"/>
      <c r="E31" s="72"/>
      <c r="F31" s="72"/>
      <c r="G31" s="72"/>
      <c r="H31" s="72"/>
      <c r="I31" s="72"/>
      <c r="J31" s="72"/>
      <c r="K31" s="72"/>
      <c r="L31" s="72"/>
      <c r="M31" s="72"/>
      <c r="N31" s="72"/>
      <c r="O31" s="72"/>
      <c r="P31" s="72"/>
      <c r="Q31" s="72"/>
      <c r="R31" s="281"/>
      <c r="S31" s="281"/>
      <c r="T31" s="281"/>
      <c r="U31" s="281"/>
      <c r="V31" s="281"/>
      <c r="W31" s="281"/>
      <c r="X31" s="281"/>
      <c r="Y31" s="281"/>
      <c r="Z31" s="281"/>
      <c r="AA31" s="281"/>
      <c r="AB31" s="281"/>
      <c r="AC31" s="281"/>
      <c r="AD31" s="281"/>
      <c r="AE31" s="281"/>
      <c r="AF31" s="281"/>
      <c r="AG31" s="281"/>
      <c r="AH31" s="281"/>
      <c r="AI31" s="281"/>
      <c r="AJ31" s="328"/>
    </row>
    <row r="32" spans="1:36">
      <c r="B32" s="72" t="s">
        <v>466</v>
      </c>
      <c r="C32" s="72" t="s">
        <v>467</v>
      </c>
      <c r="D32" s="72"/>
      <c r="E32" s="72"/>
      <c r="F32" s="72"/>
      <c r="G32" s="72"/>
      <c r="H32" s="72"/>
      <c r="I32" s="72"/>
      <c r="J32" s="72"/>
      <c r="K32" s="72"/>
      <c r="L32" s="72"/>
      <c r="M32" s="72"/>
      <c r="N32" s="72"/>
      <c r="O32" s="72"/>
      <c r="P32" s="72"/>
      <c r="Q32" s="72"/>
      <c r="R32" s="281"/>
      <c r="S32" s="281"/>
      <c r="T32" s="281"/>
      <c r="U32" s="281"/>
      <c r="V32" s="281"/>
      <c r="W32" s="281"/>
      <c r="X32" s="281"/>
      <c r="Y32" s="281"/>
      <c r="Z32" s="281"/>
      <c r="AA32" s="281"/>
      <c r="AB32" s="281"/>
      <c r="AC32" s="281"/>
      <c r="AD32" s="281"/>
      <c r="AE32" s="281"/>
      <c r="AF32" s="281"/>
      <c r="AG32" s="281"/>
      <c r="AH32" s="281"/>
      <c r="AI32" s="281"/>
      <c r="AJ32" s="328"/>
    </row>
    <row r="33" spans="2:36">
      <c r="B33" s="72" t="s">
        <v>468</v>
      </c>
      <c r="C33" s="72" t="s">
        <v>469</v>
      </c>
      <c r="D33" s="72"/>
      <c r="E33" s="72"/>
      <c r="F33" s="72"/>
      <c r="G33" s="72"/>
      <c r="H33" s="72"/>
      <c r="I33" s="72"/>
      <c r="J33" s="72"/>
      <c r="K33" s="72"/>
      <c r="L33" s="72"/>
      <c r="M33" s="72"/>
      <c r="N33" s="72"/>
      <c r="O33" s="72"/>
      <c r="P33" s="72"/>
      <c r="Q33" s="72"/>
      <c r="R33" s="281"/>
      <c r="S33" s="281"/>
      <c r="T33" s="281"/>
      <c r="U33" s="281"/>
      <c r="V33" s="281"/>
      <c r="W33" s="281"/>
      <c r="X33" s="281"/>
      <c r="Y33" s="281"/>
      <c r="Z33" s="281"/>
      <c r="AA33" s="281"/>
      <c r="AB33" s="281"/>
      <c r="AC33" s="281"/>
      <c r="AD33" s="281"/>
      <c r="AE33" s="281"/>
      <c r="AF33" s="281"/>
      <c r="AG33" s="281"/>
      <c r="AH33" s="281"/>
      <c r="AI33" s="281"/>
      <c r="AJ33" s="328"/>
    </row>
    <row r="34" spans="2:36">
      <c r="B34" s="72" t="s">
        <v>470</v>
      </c>
      <c r="C34" s="72" t="s">
        <v>471</v>
      </c>
      <c r="D34" s="72"/>
      <c r="E34" s="72"/>
      <c r="F34" s="72"/>
      <c r="G34" s="72"/>
      <c r="H34" s="72"/>
      <c r="I34" s="72"/>
      <c r="J34" s="72"/>
      <c r="K34" s="72"/>
      <c r="L34" s="72"/>
      <c r="M34" s="72"/>
      <c r="N34" s="72"/>
      <c r="O34" s="72"/>
      <c r="P34" s="72"/>
      <c r="Q34" s="72"/>
      <c r="R34" s="281"/>
      <c r="S34" s="281"/>
      <c r="T34" s="281"/>
      <c r="U34" s="281"/>
      <c r="V34" s="281"/>
      <c r="W34" s="281"/>
      <c r="X34" s="281"/>
      <c r="Y34" s="281"/>
      <c r="Z34" s="281"/>
      <c r="AA34" s="281"/>
      <c r="AB34" s="281"/>
      <c r="AC34" s="281"/>
      <c r="AD34" s="281"/>
      <c r="AE34" s="281"/>
      <c r="AF34" s="281"/>
      <c r="AG34" s="281"/>
      <c r="AH34" s="281"/>
      <c r="AI34" s="281"/>
      <c r="AJ34" s="328"/>
    </row>
    <row r="35" spans="2:36">
      <c r="B35" s="72" t="s">
        <v>472</v>
      </c>
      <c r="C35" s="72" t="s">
        <v>473</v>
      </c>
      <c r="D35" s="72"/>
      <c r="E35" s="72"/>
      <c r="F35" s="72"/>
      <c r="G35" s="72"/>
      <c r="H35" s="72"/>
      <c r="I35" s="72"/>
      <c r="J35" s="72"/>
      <c r="K35" s="72"/>
      <c r="L35" s="72"/>
      <c r="M35" s="72"/>
      <c r="N35" s="72"/>
      <c r="O35" s="72"/>
      <c r="P35" s="72"/>
      <c r="Q35" s="72"/>
      <c r="R35" s="281"/>
      <c r="S35" s="281"/>
      <c r="T35" s="281"/>
      <c r="U35" s="281"/>
      <c r="V35" s="281"/>
      <c r="W35" s="281"/>
      <c r="X35" s="281"/>
      <c r="Y35" s="281"/>
      <c r="Z35" s="281"/>
      <c r="AA35" s="281"/>
      <c r="AB35" s="281"/>
      <c r="AC35" s="281"/>
      <c r="AD35" s="281"/>
      <c r="AE35" s="281"/>
      <c r="AF35" s="281"/>
      <c r="AG35" s="281"/>
      <c r="AH35" s="281"/>
      <c r="AI35" s="281"/>
      <c r="AJ35" s="328"/>
    </row>
    <row r="36" spans="2:36">
      <c r="B36" s="72" t="s">
        <v>474</v>
      </c>
      <c r="C36" s="72" t="s">
        <v>475</v>
      </c>
      <c r="D36" s="72"/>
      <c r="E36" s="72"/>
      <c r="F36" s="72"/>
      <c r="G36" s="72"/>
      <c r="H36" s="72"/>
      <c r="I36" s="72"/>
      <c r="J36" s="72"/>
      <c r="K36" s="72"/>
      <c r="L36" s="72"/>
      <c r="M36" s="72"/>
      <c r="N36" s="72"/>
      <c r="O36" s="72"/>
      <c r="P36" s="72"/>
      <c r="Q36" s="72"/>
      <c r="R36" s="281"/>
      <c r="S36" s="281"/>
      <c r="T36" s="281"/>
      <c r="U36" s="281"/>
      <c r="V36" s="281"/>
      <c r="W36" s="281"/>
      <c r="X36" s="281"/>
      <c r="Y36" s="281"/>
      <c r="Z36" s="281"/>
      <c r="AA36" s="281"/>
      <c r="AB36" s="281"/>
      <c r="AC36" s="281"/>
      <c r="AD36" s="281"/>
      <c r="AE36" s="281"/>
      <c r="AF36" s="281"/>
      <c r="AG36" s="281"/>
      <c r="AH36" s="281"/>
      <c r="AI36" s="281"/>
      <c r="AJ36" s="328"/>
    </row>
    <row r="37" spans="2:36">
      <c r="B37" s="72" t="s">
        <v>335</v>
      </c>
      <c r="C37" s="72" t="s">
        <v>476</v>
      </c>
      <c r="D37" s="72"/>
      <c r="E37" s="72"/>
      <c r="F37" s="72"/>
      <c r="G37" s="72"/>
      <c r="H37" s="72"/>
      <c r="I37" s="72"/>
      <c r="J37" s="72"/>
      <c r="K37" s="72"/>
      <c r="L37" s="72"/>
      <c r="M37" s="72"/>
      <c r="N37" s="72"/>
      <c r="O37" s="72"/>
      <c r="P37" s="72"/>
      <c r="Q37" s="72"/>
      <c r="R37" s="281"/>
      <c r="S37" s="281"/>
      <c r="T37" s="281"/>
      <c r="U37" s="281"/>
      <c r="V37" s="281"/>
      <c r="W37" s="281"/>
      <c r="X37" s="281"/>
      <c r="Y37" s="281"/>
      <c r="Z37" s="281"/>
      <c r="AA37" s="281"/>
      <c r="AB37" s="281"/>
      <c r="AC37" s="281"/>
      <c r="AD37" s="281"/>
      <c r="AE37" s="281"/>
      <c r="AF37" s="281"/>
      <c r="AG37" s="281"/>
      <c r="AH37" s="281"/>
      <c r="AI37" s="281"/>
      <c r="AJ37" s="328"/>
    </row>
    <row r="38" spans="2:36">
      <c r="B38" s="72" t="s">
        <v>477</v>
      </c>
      <c r="C38" s="72" t="s">
        <v>478</v>
      </c>
      <c r="D38" s="72"/>
      <c r="E38" s="72"/>
      <c r="F38" s="72"/>
      <c r="G38" s="72"/>
      <c r="H38" s="72"/>
      <c r="I38" s="72"/>
      <c r="J38" s="72"/>
      <c r="K38" s="72"/>
      <c r="L38" s="72"/>
      <c r="M38" s="72"/>
      <c r="N38" s="72"/>
      <c r="O38" s="72"/>
      <c r="P38" s="72"/>
      <c r="Q38" s="72"/>
      <c r="R38" s="281"/>
      <c r="S38" s="281"/>
      <c r="T38" s="281"/>
      <c r="U38" s="281"/>
      <c r="V38" s="281"/>
      <c r="W38" s="281"/>
      <c r="X38" s="281"/>
      <c r="Y38" s="281"/>
      <c r="Z38" s="281"/>
      <c r="AA38" s="281"/>
      <c r="AB38" s="281"/>
      <c r="AC38" s="281"/>
      <c r="AD38" s="281"/>
      <c r="AE38" s="281"/>
      <c r="AF38" s="281"/>
      <c r="AG38" s="281"/>
      <c r="AH38" s="281"/>
      <c r="AI38" s="281"/>
      <c r="AJ38" s="328"/>
    </row>
    <row r="39" spans="2:36">
      <c r="B39" s="72" t="s">
        <v>479</v>
      </c>
      <c r="C39" s="72" t="s">
        <v>480</v>
      </c>
      <c r="D39" s="72"/>
      <c r="E39" s="72"/>
      <c r="F39" s="72"/>
      <c r="G39" s="72"/>
      <c r="H39" s="72"/>
      <c r="I39" s="72"/>
      <c r="J39" s="72"/>
      <c r="K39" s="72"/>
      <c r="L39" s="72"/>
      <c r="M39" s="72"/>
      <c r="N39" s="72"/>
      <c r="O39" s="72"/>
      <c r="P39" s="72"/>
      <c r="Q39" s="72"/>
      <c r="R39" s="281"/>
      <c r="S39" s="281"/>
      <c r="T39" s="281"/>
      <c r="U39" s="281"/>
      <c r="V39" s="281"/>
      <c r="W39" s="281"/>
      <c r="X39" s="281"/>
      <c r="Y39" s="281"/>
      <c r="Z39" s="281"/>
      <c r="AA39" s="281"/>
      <c r="AB39" s="281"/>
      <c r="AC39" s="281"/>
      <c r="AD39" s="281"/>
      <c r="AE39" s="281"/>
      <c r="AF39" s="281"/>
      <c r="AG39" s="281"/>
      <c r="AH39" s="281"/>
      <c r="AI39" s="281"/>
      <c r="AJ39" s="328"/>
    </row>
    <row r="40" spans="2:36">
      <c r="B40" s="72" t="s">
        <v>481</v>
      </c>
      <c r="C40" s="72" t="s">
        <v>482</v>
      </c>
      <c r="D40" s="72"/>
      <c r="E40" s="72"/>
      <c r="F40" s="72"/>
      <c r="G40" s="72"/>
      <c r="H40" s="72"/>
      <c r="I40" s="72"/>
      <c r="J40" s="72"/>
      <c r="K40" s="72"/>
      <c r="L40" s="72"/>
      <c r="M40" s="72"/>
      <c r="N40" s="72"/>
      <c r="O40" s="72"/>
      <c r="P40" s="72"/>
      <c r="Q40" s="72"/>
      <c r="R40" s="281"/>
      <c r="S40" s="281"/>
      <c r="T40" s="281"/>
      <c r="U40" s="281"/>
      <c r="V40" s="281"/>
      <c r="W40" s="281"/>
      <c r="X40" s="281"/>
      <c r="Y40" s="281"/>
      <c r="Z40" s="281"/>
      <c r="AA40" s="281"/>
      <c r="AB40" s="281"/>
      <c r="AC40" s="281"/>
      <c r="AD40" s="281"/>
      <c r="AE40" s="281"/>
      <c r="AF40" s="281"/>
      <c r="AG40" s="281"/>
      <c r="AH40" s="281"/>
      <c r="AI40" s="281"/>
      <c r="AJ40" s="328"/>
    </row>
    <row r="41" spans="2:36">
      <c r="B41" s="72" t="s">
        <v>483</v>
      </c>
      <c r="C41" s="72" t="s">
        <v>484</v>
      </c>
      <c r="D41" s="72"/>
      <c r="E41" s="72"/>
      <c r="F41" s="72"/>
      <c r="G41" s="72"/>
      <c r="H41" s="72"/>
      <c r="I41" s="72"/>
      <c r="J41" s="72"/>
      <c r="K41" s="72"/>
      <c r="L41" s="72"/>
      <c r="M41" s="72"/>
      <c r="N41" s="72"/>
      <c r="O41" s="72"/>
      <c r="P41" s="72"/>
      <c r="Q41" s="72"/>
      <c r="R41" s="281"/>
      <c r="S41" s="281"/>
      <c r="T41" s="281"/>
      <c r="U41" s="281"/>
      <c r="V41" s="281"/>
      <c r="W41" s="281"/>
      <c r="X41" s="281"/>
      <c r="Y41" s="281"/>
      <c r="Z41" s="281"/>
      <c r="AA41" s="281"/>
      <c r="AB41" s="281"/>
      <c r="AC41" s="281"/>
      <c r="AD41" s="281"/>
      <c r="AE41" s="281"/>
      <c r="AF41" s="281"/>
      <c r="AG41" s="281"/>
      <c r="AH41" s="281"/>
      <c r="AI41" s="281"/>
      <c r="AJ41" s="328"/>
    </row>
    <row r="42" spans="2:36">
      <c r="B42" s="72" t="s">
        <v>485</v>
      </c>
      <c r="C42" s="72" t="s">
        <v>486</v>
      </c>
      <c r="D42" s="72"/>
      <c r="E42" s="72"/>
      <c r="F42" s="72"/>
      <c r="G42" s="72"/>
      <c r="H42" s="72"/>
      <c r="I42" s="72"/>
      <c r="J42" s="72"/>
      <c r="K42" s="72"/>
      <c r="L42" s="72"/>
      <c r="M42" s="72"/>
      <c r="N42" s="72"/>
      <c r="O42" s="72"/>
      <c r="P42" s="72"/>
      <c r="Q42" s="72"/>
      <c r="R42" s="281"/>
      <c r="S42" s="281"/>
      <c r="T42" s="281"/>
      <c r="U42" s="281"/>
      <c r="V42" s="281"/>
      <c r="W42" s="281"/>
      <c r="X42" s="281"/>
      <c r="Y42" s="281"/>
      <c r="Z42" s="281"/>
      <c r="AA42" s="281"/>
      <c r="AB42" s="281"/>
      <c r="AC42" s="281"/>
      <c r="AD42" s="281"/>
      <c r="AE42" s="281"/>
      <c r="AF42" s="281"/>
      <c r="AG42" s="281"/>
      <c r="AH42" s="281"/>
      <c r="AI42" s="281"/>
      <c r="AJ42" s="328"/>
    </row>
    <row r="43" spans="2:36">
      <c r="B43" s="72" t="s">
        <v>487</v>
      </c>
      <c r="C43" s="72" t="s">
        <v>488</v>
      </c>
      <c r="D43" s="72"/>
      <c r="E43" s="72"/>
      <c r="F43" s="72"/>
      <c r="G43" s="72"/>
      <c r="H43" s="72"/>
      <c r="I43" s="72"/>
      <c r="J43" s="72"/>
      <c r="K43" s="72"/>
      <c r="L43" s="72"/>
      <c r="M43" s="72"/>
      <c r="N43" s="72"/>
      <c r="O43" s="72"/>
      <c r="P43" s="72"/>
      <c r="Q43" s="72"/>
      <c r="R43" s="281"/>
      <c r="S43" s="281"/>
      <c r="T43" s="281"/>
      <c r="U43" s="281"/>
      <c r="V43" s="281"/>
      <c r="W43" s="281"/>
      <c r="X43" s="281"/>
      <c r="Y43" s="281"/>
      <c r="Z43" s="281"/>
      <c r="AA43" s="281"/>
      <c r="AB43" s="281"/>
      <c r="AC43" s="281"/>
      <c r="AD43" s="281"/>
      <c r="AE43" s="281"/>
      <c r="AF43" s="281"/>
      <c r="AG43" s="281"/>
      <c r="AH43" s="281"/>
      <c r="AI43" s="281"/>
      <c r="AJ43" s="328"/>
    </row>
    <row r="44" spans="2:36">
      <c r="B44" s="72" t="s">
        <v>489</v>
      </c>
      <c r="C44" s="72" t="s">
        <v>490</v>
      </c>
      <c r="D44" s="72"/>
      <c r="E44" s="72"/>
      <c r="F44" s="72"/>
      <c r="G44" s="72"/>
      <c r="H44" s="72"/>
      <c r="I44" s="72"/>
      <c r="J44" s="72"/>
      <c r="K44" s="72"/>
      <c r="L44" s="72"/>
      <c r="M44" s="72"/>
      <c r="N44" s="72"/>
      <c r="O44" s="72"/>
      <c r="P44" s="72"/>
      <c r="Q44" s="72"/>
      <c r="R44" s="281"/>
      <c r="S44" s="281"/>
      <c r="T44" s="281"/>
      <c r="U44" s="281"/>
      <c r="V44" s="281"/>
      <c r="W44" s="281"/>
      <c r="X44" s="281"/>
      <c r="Y44" s="281"/>
      <c r="Z44" s="281"/>
      <c r="AA44" s="281"/>
      <c r="AB44" s="281"/>
      <c r="AC44" s="281"/>
      <c r="AD44" s="281"/>
      <c r="AE44" s="281"/>
      <c r="AF44" s="281"/>
      <c r="AG44" s="281"/>
      <c r="AH44" s="281"/>
      <c r="AI44" s="281"/>
      <c r="AJ44" s="328"/>
    </row>
    <row r="45" spans="2:36">
      <c r="B45" s="72" t="s">
        <v>491</v>
      </c>
      <c r="C45" s="72" t="s">
        <v>492</v>
      </c>
      <c r="D45" s="72"/>
      <c r="E45" s="72"/>
      <c r="F45" s="72"/>
      <c r="G45" s="72"/>
      <c r="H45" s="72"/>
      <c r="I45" s="72"/>
      <c r="J45" s="72"/>
      <c r="K45" s="72"/>
      <c r="L45" s="72"/>
      <c r="M45" s="72"/>
      <c r="N45" s="72"/>
      <c r="O45" s="72"/>
      <c r="P45" s="72"/>
      <c r="Q45" s="72"/>
      <c r="R45" s="281"/>
      <c r="S45" s="281"/>
      <c r="T45" s="281"/>
      <c r="U45" s="281"/>
      <c r="V45" s="281"/>
      <c r="W45" s="281"/>
      <c r="X45" s="281"/>
      <c r="Y45" s="281"/>
      <c r="Z45" s="281"/>
      <c r="AA45" s="281"/>
      <c r="AB45" s="281"/>
      <c r="AC45" s="281"/>
      <c r="AD45" s="281"/>
      <c r="AE45" s="281"/>
      <c r="AF45" s="281"/>
      <c r="AG45" s="281"/>
      <c r="AH45" s="281"/>
      <c r="AI45" s="281"/>
      <c r="AJ45" s="328"/>
    </row>
    <row r="46" spans="2:36">
      <c r="B46" s="72" t="s">
        <v>493</v>
      </c>
      <c r="C46" s="72" t="s">
        <v>494</v>
      </c>
      <c r="D46" s="72"/>
      <c r="E46" s="72"/>
      <c r="F46" s="72"/>
      <c r="G46" s="72"/>
      <c r="H46" s="72"/>
      <c r="I46" s="72"/>
      <c r="J46" s="72"/>
      <c r="K46" s="72"/>
      <c r="L46" s="72"/>
      <c r="M46" s="72"/>
      <c r="N46" s="72"/>
      <c r="O46" s="72"/>
      <c r="P46" s="72"/>
      <c r="Q46" s="72"/>
      <c r="R46" s="281"/>
      <c r="S46" s="281"/>
      <c r="T46" s="281"/>
      <c r="U46" s="281"/>
      <c r="V46" s="281"/>
      <c r="W46" s="281"/>
      <c r="X46" s="281"/>
      <c r="Y46" s="281"/>
      <c r="Z46" s="281"/>
      <c r="AA46" s="281"/>
      <c r="AB46" s="281"/>
      <c r="AC46" s="281"/>
      <c r="AD46" s="281"/>
      <c r="AE46" s="281"/>
      <c r="AF46" s="281"/>
      <c r="AG46" s="281"/>
      <c r="AH46" s="281"/>
      <c r="AI46" s="281"/>
      <c r="AJ46" s="328"/>
    </row>
    <row r="47" spans="2:36">
      <c r="B47" s="72" t="s">
        <v>495</v>
      </c>
      <c r="C47" s="72" t="s">
        <v>496</v>
      </c>
      <c r="D47" s="72"/>
      <c r="E47" s="72"/>
      <c r="F47" s="72"/>
      <c r="G47" s="72"/>
      <c r="H47" s="72"/>
      <c r="I47" s="72"/>
      <c r="J47" s="72"/>
      <c r="K47" s="72"/>
      <c r="L47" s="72"/>
      <c r="M47" s="72"/>
      <c r="N47" s="72"/>
      <c r="O47" s="72"/>
      <c r="P47" s="72"/>
      <c r="Q47" s="72"/>
      <c r="R47" s="281"/>
      <c r="S47" s="281"/>
      <c r="T47" s="281"/>
      <c r="U47" s="281"/>
      <c r="V47" s="281"/>
      <c r="W47" s="281"/>
      <c r="X47" s="281"/>
      <c r="Y47" s="281"/>
      <c r="Z47" s="281"/>
      <c r="AA47" s="281"/>
      <c r="AB47" s="281"/>
      <c r="AC47" s="281"/>
      <c r="AD47" s="281"/>
      <c r="AE47" s="281"/>
      <c r="AF47" s="281"/>
      <c r="AG47" s="281"/>
      <c r="AH47" s="281"/>
      <c r="AI47" s="281"/>
      <c r="AJ47" s="328"/>
    </row>
    <row r="48" spans="2:36">
      <c r="B48" s="72" t="s">
        <v>497</v>
      </c>
      <c r="C48" s="72" t="s">
        <v>498</v>
      </c>
      <c r="D48" s="72"/>
      <c r="E48" s="72"/>
      <c r="F48" s="72"/>
      <c r="G48" s="72"/>
      <c r="H48" s="72"/>
      <c r="I48" s="72"/>
      <c r="J48" s="72"/>
      <c r="K48" s="72"/>
      <c r="L48" s="72"/>
      <c r="M48" s="72"/>
      <c r="N48" s="72"/>
      <c r="O48" s="72"/>
      <c r="P48" s="72"/>
      <c r="Q48" s="72"/>
      <c r="R48" s="281"/>
      <c r="S48" s="281"/>
      <c r="T48" s="281"/>
      <c r="U48" s="281"/>
      <c r="V48" s="281"/>
      <c r="W48" s="281"/>
      <c r="X48" s="281"/>
      <c r="Y48" s="281"/>
      <c r="Z48" s="281">
        <v>0.26285091434475283</v>
      </c>
      <c r="AA48" s="281">
        <v>0.26610463081569685</v>
      </c>
      <c r="AB48" s="281">
        <v>0.29488243290232791</v>
      </c>
      <c r="AC48" s="281">
        <v>0.30460695024241857</v>
      </c>
      <c r="AD48" s="281">
        <v>0.31469642939071557</v>
      </c>
      <c r="AE48" s="281">
        <v>0.33226286713387487</v>
      </c>
      <c r="AF48" s="281">
        <v>0.38199016644971806</v>
      </c>
      <c r="AG48" s="281">
        <v>0.35928530256704067</v>
      </c>
      <c r="AH48" s="281">
        <v>0.42220493295098543</v>
      </c>
      <c r="AI48" s="281">
        <v>0.47670580968736237</v>
      </c>
      <c r="AJ48" s="329">
        <v>0.47670580968736237</v>
      </c>
    </row>
    <row r="49" spans="1:36">
      <c r="B49" s="72" t="s">
        <v>499</v>
      </c>
      <c r="C49" s="72" t="s">
        <v>330</v>
      </c>
      <c r="D49" s="72"/>
      <c r="E49" s="72"/>
      <c r="F49" s="72"/>
      <c r="G49" s="72"/>
      <c r="H49" s="72">
        <v>0.26146579711518164</v>
      </c>
      <c r="I49" s="72">
        <v>0.25460842585373927</v>
      </c>
      <c r="J49" s="72">
        <v>0.26074382978749999</v>
      </c>
      <c r="K49" s="72">
        <v>0.25332175060000001</v>
      </c>
      <c r="L49" s="72">
        <v>0.2447970276375</v>
      </c>
      <c r="M49" s="72">
        <v>0.23591618089999999</v>
      </c>
      <c r="N49" s="72">
        <v>0.22623045382500001</v>
      </c>
      <c r="O49" s="72">
        <v>0.168433684843913</v>
      </c>
      <c r="P49" s="72">
        <v>0.11070427800170519</v>
      </c>
      <c r="Q49" s="72">
        <v>0.17109425762645439</v>
      </c>
      <c r="R49" s="281">
        <v>0.25034428709773326</v>
      </c>
      <c r="S49" s="281">
        <v>0.26365385944361586</v>
      </c>
      <c r="T49" s="281">
        <v>0.29511754791086253</v>
      </c>
      <c r="U49" s="281">
        <v>0.23500236125426038</v>
      </c>
      <c r="V49" s="281">
        <v>0.25539762624371526</v>
      </c>
      <c r="W49" s="281">
        <v>0.28784260933381611</v>
      </c>
      <c r="X49" s="281">
        <v>0.28186378660907724</v>
      </c>
      <c r="Y49" s="281">
        <v>0.28583761397744678</v>
      </c>
      <c r="Z49" s="281">
        <v>0.2972866764723695</v>
      </c>
      <c r="AA49" s="281">
        <v>0.34992539478375967</v>
      </c>
      <c r="AB49" s="281">
        <v>0.42443245040527144</v>
      </c>
      <c r="AC49" s="281">
        <v>0.43695723638882999</v>
      </c>
      <c r="AD49" s="281">
        <v>0.42570256861637823</v>
      </c>
      <c r="AE49" s="281">
        <v>0.47046073354573092</v>
      </c>
      <c r="AF49" s="281">
        <v>0.49839961134566468</v>
      </c>
      <c r="AG49" s="281">
        <v>0.44271507379069491</v>
      </c>
      <c r="AH49" s="281">
        <v>0.4287731187846367</v>
      </c>
      <c r="AI49" s="281">
        <v>0.45450504348420245</v>
      </c>
      <c r="AJ49" s="329">
        <v>0.45450504348420245</v>
      </c>
    </row>
    <row r="50" spans="1:36">
      <c r="B50" s="72" t="s">
        <v>500</v>
      </c>
      <c r="C50" s="72" t="s">
        <v>501</v>
      </c>
      <c r="D50" s="72">
        <v>0.7415240419499044</v>
      </c>
      <c r="E50" s="72">
        <v>0.68937590271512494</v>
      </c>
      <c r="F50" s="72">
        <v>0.62252180933128598</v>
      </c>
      <c r="G50" s="72">
        <v>0.61332664081326638</v>
      </c>
      <c r="H50" s="72">
        <v>0.61594837994102836</v>
      </c>
      <c r="I50" s="72">
        <v>0.62187490359295006</v>
      </c>
      <c r="J50" s="72">
        <v>0.66606603015502119</v>
      </c>
      <c r="K50" s="72">
        <v>0.68283080462264312</v>
      </c>
      <c r="L50" s="72">
        <v>0.59008930288524919</v>
      </c>
      <c r="M50" s="72">
        <v>0.51284058544593192</v>
      </c>
      <c r="N50" s="72">
        <v>0.54669153066508036</v>
      </c>
      <c r="O50" s="72">
        <v>0.39429975054203603</v>
      </c>
      <c r="P50" s="72">
        <v>0.39832255382122728</v>
      </c>
      <c r="Q50" s="72">
        <v>0.41425454941298018</v>
      </c>
      <c r="R50" s="281">
        <v>0.34894674629163919</v>
      </c>
      <c r="S50" s="281">
        <v>0.32251714343839211</v>
      </c>
      <c r="T50" s="281">
        <v>0.34216334409841392</v>
      </c>
      <c r="U50" s="281">
        <v>0.34078494774293655</v>
      </c>
      <c r="V50" s="281">
        <v>0.31982201364973278</v>
      </c>
      <c r="W50" s="281">
        <v>0.3082967694970199</v>
      </c>
      <c r="X50" s="281">
        <v>0.3326013968706717</v>
      </c>
      <c r="Y50" s="281">
        <v>0.31924825558663522</v>
      </c>
      <c r="Z50" s="281">
        <v>0.31022395829860411</v>
      </c>
      <c r="AA50" s="281">
        <v>0.33883892825711975</v>
      </c>
      <c r="AB50" s="281">
        <v>0.39156024166710596</v>
      </c>
      <c r="AC50" s="281">
        <v>0.43407622654207972</v>
      </c>
      <c r="AD50" s="281">
        <v>0.47200774610002549</v>
      </c>
      <c r="AE50" s="281">
        <v>0.51617564373253189</v>
      </c>
      <c r="AF50" s="281">
        <v>0.62094931697195854</v>
      </c>
      <c r="AG50" s="281">
        <v>0.48346378574476578</v>
      </c>
      <c r="AH50" s="281">
        <v>0.54501742464474179</v>
      </c>
      <c r="AI50" s="281">
        <v>0.60587616919237008</v>
      </c>
      <c r="AJ50" s="329">
        <v>0.60587616919237008</v>
      </c>
    </row>
    <row r="51" spans="1:36">
      <c r="B51" s="72" t="s">
        <v>502</v>
      </c>
      <c r="C51" s="72" t="s">
        <v>503</v>
      </c>
      <c r="D51" s="72"/>
      <c r="E51" s="72"/>
      <c r="F51" s="72"/>
      <c r="G51" s="72"/>
      <c r="H51" s="72"/>
      <c r="I51" s="72"/>
      <c r="J51" s="72"/>
      <c r="K51" s="72"/>
      <c r="L51" s="72"/>
      <c r="M51" s="72"/>
      <c r="N51" s="72"/>
      <c r="O51" s="72"/>
      <c r="P51" s="72"/>
      <c r="Q51" s="72"/>
      <c r="R51" s="281"/>
      <c r="S51" s="281"/>
      <c r="T51" s="281"/>
      <c r="U51" s="281"/>
      <c r="V51" s="281"/>
      <c r="W51" s="281"/>
      <c r="X51" s="281"/>
      <c r="Y51" s="281"/>
      <c r="Z51" s="281"/>
      <c r="AA51" s="281"/>
      <c r="AB51" s="281"/>
      <c r="AC51" s="281"/>
      <c r="AD51" s="281"/>
      <c r="AE51" s="281"/>
      <c r="AF51" s="281"/>
      <c r="AG51" s="281"/>
      <c r="AH51" s="281"/>
      <c r="AI51" s="281"/>
      <c r="AJ51" s="329"/>
    </row>
    <row r="52" spans="1:36">
      <c r="B52" s="72" t="s">
        <v>504</v>
      </c>
      <c r="C52" s="72" t="s">
        <v>505</v>
      </c>
      <c r="D52" s="72"/>
      <c r="E52" s="72"/>
      <c r="F52" s="72"/>
      <c r="G52" s="72"/>
      <c r="H52" s="72"/>
      <c r="I52" s="72"/>
      <c r="J52" s="72"/>
      <c r="K52" s="72"/>
      <c r="L52" s="72"/>
      <c r="M52" s="72"/>
      <c r="N52" s="72"/>
      <c r="O52" s="72"/>
      <c r="P52" s="72"/>
      <c r="Q52" s="72"/>
      <c r="R52" s="281"/>
      <c r="S52" s="281"/>
      <c r="T52" s="281"/>
      <c r="U52" s="281"/>
      <c r="V52" s="281"/>
      <c r="W52" s="281"/>
      <c r="X52" s="281"/>
      <c r="Y52" s="281"/>
      <c r="Z52" s="281"/>
      <c r="AA52" s="281"/>
      <c r="AB52" s="281"/>
      <c r="AC52" s="281"/>
      <c r="AD52" s="281"/>
      <c r="AE52" s="281"/>
      <c r="AF52" s="281"/>
      <c r="AG52" s="281"/>
      <c r="AH52" s="281"/>
      <c r="AI52" s="281"/>
      <c r="AJ52" s="329"/>
    </row>
    <row r="53" spans="1:36">
      <c r="B53" s="72" t="s">
        <v>506</v>
      </c>
      <c r="C53" s="72" t="s">
        <v>507</v>
      </c>
      <c r="D53" s="72"/>
      <c r="E53" s="72"/>
      <c r="F53" s="72"/>
      <c r="G53" s="72"/>
      <c r="H53" s="72"/>
      <c r="I53" s="72">
        <v>0.40521435594919786</v>
      </c>
      <c r="J53" s="72">
        <v>0.36014675992647061</v>
      </c>
      <c r="K53" s="72">
        <v>0.37668890300802138</v>
      </c>
      <c r="L53" s="72">
        <v>0.37235395808823529</v>
      </c>
      <c r="M53" s="72">
        <v>0.41602681473930481</v>
      </c>
      <c r="N53" s="72">
        <v>0.44434930133689843</v>
      </c>
      <c r="O53" s="72">
        <v>0.51693451749742136</v>
      </c>
      <c r="P53" s="72">
        <v>0.25773793534620471</v>
      </c>
      <c r="Q53" s="72">
        <v>0.30632102389755439</v>
      </c>
      <c r="R53" s="281">
        <v>0.22277652081710661</v>
      </c>
      <c r="S53" s="281">
        <v>0.24480601503529195</v>
      </c>
      <c r="T53" s="281">
        <v>0.32306800960438486</v>
      </c>
      <c r="U53" s="281">
        <v>0.17404972190851581</v>
      </c>
      <c r="V53" s="281">
        <v>3.2692624344212363E-2</v>
      </c>
      <c r="W53" s="281">
        <v>5.8831518829571022E-2</v>
      </c>
      <c r="X53" s="281">
        <v>0.13584141554767146</v>
      </c>
      <c r="Y53" s="281">
        <v>0.14032505444847168</v>
      </c>
      <c r="Z53" s="281">
        <v>0.17765504208107558</v>
      </c>
      <c r="AA53" s="281">
        <v>0.31470596142120616</v>
      </c>
      <c r="AB53" s="281">
        <v>0.41869016052755342</v>
      </c>
      <c r="AC53" s="281">
        <v>0.5535475944726076</v>
      </c>
      <c r="AD53" s="281">
        <v>0.63512035803677536</v>
      </c>
      <c r="AE53" s="281">
        <v>0.71059469000053876</v>
      </c>
      <c r="AF53" s="281">
        <v>0.78700448698218994</v>
      </c>
      <c r="AG53" s="281">
        <v>0.6207331001196662</v>
      </c>
      <c r="AH53" s="281">
        <v>0.73964498268091172</v>
      </c>
      <c r="AI53" s="281">
        <v>0.8983776785700951</v>
      </c>
      <c r="AJ53" s="329">
        <v>0.8983776785700951</v>
      </c>
    </row>
    <row r="54" spans="1:36" s="126" customFormat="1">
      <c r="A54" s="90"/>
      <c r="B54" s="72" t="s">
        <v>508</v>
      </c>
      <c r="C54" s="72" t="s">
        <v>509</v>
      </c>
      <c r="D54" s="72">
        <v>0.44790196949717331</v>
      </c>
      <c r="E54" s="72">
        <v>0.44491483692029837</v>
      </c>
      <c r="F54" s="72">
        <v>0.46403690428629418</v>
      </c>
      <c r="G54" s="72">
        <v>0.47378201259567082</v>
      </c>
      <c r="H54" s="72">
        <v>0.47099557738562181</v>
      </c>
      <c r="I54" s="72">
        <v>0.49237582926729218</v>
      </c>
      <c r="J54" s="72">
        <v>0.52046265525274249</v>
      </c>
      <c r="K54" s="72">
        <v>0.54412724679777369</v>
      </c>
      <c r="L54" s="72">
        <v>0.58969685669668903</v>
      </c>
      <c r="M54" s="72">
        <v>0.59234434968696958</v>
      </c>
      <c r="N54" s="72">
        <v>0.58361200606341057</v>
      </c>
      <c r="O54" s="72">
        <v>0.57975041613160871</v>
      </c>
      <c r="P54" s="72">
        <v>0.58136342721423306</v>
      </c>
      <c r="Q54" s="72">
        <v>0.58154370387771592</v>
      </c>
      <c r="R54" s="281">
        <v>0.5871565383711822</v>
      </c>
      <c r="S54" s="281">
        <v>0.59174957458636257</v>
      </c>
      <c r="T54" s="281">
        <v>0.59642613728154936</v>
      </c>
      <c r="U54" s="281">
        <v>0.59787111110788205</v>
      </c>
      <c r="V54" s="281">
        <v>0.60383325407666089</v>
      </c>
      <c r="W54" s="281">
        <v>0.61201807985803758</v>
      </c>
      <c r="X54" s="281">
        <v>0.68876744391000233</v>
      </c>
      <c r="Y54" s="281">
        <v>0.68690859142431226</v>
      </c>
      <c r="Z54" s="281">
        <v>0.68071111660783767</v>
      </c>
      <c r="AA54" s="281">
        <v>0.65862299110903921</v>
      </c>
      <c r="AB54" s="281">
        <v>0.65079351980286826</v>
      </c>
      <c r="AC54" s="281">
        <v>0.65710924765429135</v>
      </c>
      <c r="AD54" s="281">
        <v>0.63870185897937759</v>
      </c>
      <c r="AE54" s="281">
        <v>0.64278141587029303</v>
      </c>
      <c r="AF54" s="281">
        <v>0.65721119281481477</v>
      </c>
      <c r="AG54" s="281">
        <v>0.65968870092592591</v>
      </c>
      <c r="AH54" s="281">
        <v>0.67588193903703697</v>
      </c>
      <c r="AI54" s="281">
        <v>0.67486164585185182</v>
      </c>
      <c r="AJ54" s="329">
        <v>0.67486164585185182</v>
      </c>
    </row>
    <row r="55" spans="1:36" s="126" customFormat="1">
      <c r="A55" s="90"/>
      <c r="B55" s="72" t="s">
        <v>510</v>
      </c>
      <c r="C55" s="72" t="s">
        <v>511</v>
      </c>
      <c r="D55" s="72">
        <v>0.56871861965225945</v>
      </c>
      <c r="E55" s="72">
        <v>0.56363891386265508</v>
      </c>
      <c r="F55" s="72">
        <v>0.59898374482312589</v>
      </c>
      <c r="G55" s="72">
        <v>0.68412557962648746</v>
      </c>
      <c r="H55" s="72">
        <v>0.49069252195593577</v>
      </c>
      <c r="I55" s="72">
        <v>0.57598578038395809</v>
      </c>
      <c r="J55" s="72">
        <v>0.65526405424406498</v>
      </c>
      <c r="K55" s="72">
        <v>0.61956798368029209</v>
      </c>
      <c r="L55" s="72">
        <v>0.69793680979882722</v>
      </c>
      <c r="M55" s="72">
        <v>0.44153301314324156</v>
      </c>
      <c r="N55" s="72">
        <v>0.80391031194725904</v>
      </c>
      <c r="O55" s="72">
        <v>0.92618294326522421</v>
      </c>
      <c r="P55" s="72">
        <v>0.9771463128689859</v>
      </c>
      <c r="Q55" s="72">
        <v>0.93432154790831878</v>
      </c>
      <c r="R55" s="281">
        <v>0.94077986635999999</v>
      </c>
      <c r="S55" s="281">
        <v>0.94849118224999995</v>
      </c>
      <c r="T55" s="281">
        <v>0.93149964048</v>
      </c>
      <c r="U55" s="281">
        <v>0.90964211735</v>
      </c>
      <c r="V55" s="281">
        <v>0.88174369585000001</v>
      </c>
      <c r="W55" s="281">
        <v>0.85304160223000003</v>
      </c>
      <c r="X55" s="281">
        <v>0.84363602430999995</v>
      </c>
      <c r="Y55" s="281">
        <v>0.81589453633999998</v>
      </c>
      <c r="Z55" s="281">
        <v>0.34217097465354945</v>
      </c>
      <c r="AA55" s="281">
        <v>0.39105387492448973</v>
      </c>
      <c r="AB55" s="281">
        <v>0.41220606353134415</v>
      </c>
      <c r="AC55" s="281">
        <v>0.43716480806238689</v>
      </c>
      <c r="AD55" s="281">
        <v>0.45624762409450798</v>
      </c>
      <c r="AE55" s="281">
        <v>0.49711083254123367</v>
      </c>
      <c r="AF55" s="281">
        <v>0.57054479876040243</v>
      </c>
      <c r="AG55" s="281">
        <v>0.52516706713146077</v>
      </c>
      <c r="AH55" s="281">
        <v>0.57349732964611888</v>
      </c>
      <c r="AI55" s="281">
        <v>0.62332713337759105</v>
      </c>
      <c r="AJ55" s="329">
        <v>0.62332713337759105</v>
      </c>
    </row>
    <row r="56" spans="1:36" s="126" customFormat="1">
      <c r="A56" s="90"/>
      <c r="B56" s="72" t="s">
        <v>512</v>
      </c>
      <c r="C56" s="72" t="s">
        <v>513</v>
      </c>
      <c r="D56" s="72"/>
      <c r="E56" s="72"/>
      <c r="F56" s="72"/>
      <c r="G56" s="72"/>
      <c r="H56" s="72"/>
      <c r="I56" s="72"/>
      <c r="J56" s="72"/>
      <c r="K56" s="72"/>
      <c r="L56" s="72"/>
      <c r="M56" s="72"/>
      <c r="N56" s="72">
        <v>0.30006297554392869</v>
      </c>
      <c r="O56" s="72">
        <v>0.30123026064418607</v>
      </c>
      <c r="P56" s="72">
        <v>0.31185026909908031</v>
      </c>
      <c r="Q56" s="72">
        <v>0.31586735364485041</v>
      </c>
      <c r="R56" s="281">
        <v>0.32153813257323544</v>
      </c>
      <c r="S56" s="281">
        <v>0.32817739062293122</v>
      </c>
      <c r="T56" s="281">
        <v>0.33128995176589993</v>
      </c>
      <c r="U56" s="281">
        <v>0.32295332788187769</v>
      </c>
      <c r="V56" s="281">
        <v>0.34283815762140735</v>
      </c>
      <c r="W56" s="281">
        <v>0.31875693742424233</v>
      </c>
      <c r="X56" s="281">
        <v>0.30517283067355333</v>
      </c>
      <c r="Y56" s="281">
        <v>0.3018591609015242</v>
      </c>
      <c r="Z56" s="281">
        <v>0.29437470571204322</v>
      </c>
      <c r="AA56" s="281">
        <v>0.29862843822243723</v>
      </c>
      <c r="AB56" s="281">
        <v>0.33502270426469211</v>
      </c>
      <c r="AC56" s="281">
        <v>0.39017778904935657</v>
      </c>
      <c r="AD56" s="281">
        <v>0.43503478413133345</v>
      </c>
      <c r="AE56" s="281">
        <v>0.53594971416043025</v>
      </c>
      <c r="AF56" s="281">
        <v>0.62135080841258938</v>
      </c>
      <c r="AG56" s="281">
        <v>0.52973596005835721</v>
      </c>
      <c r="AH56" s="281">
        <v>0.55830313728591285</v>
      </c>
      <c r="AI56" s="281">
        <v>0.57095690652299003</v>
      </c>
      <c r="AJ56" s="329">
        <v>0.57095690652299003</v>
      </c>
    </row>
    <row r="57" spans="1:36" s="126" customFormat="1">
      <c r="A57" s="90"/>
      <c r="B57" s="72" t="s">
        <v>514</v>
      </c>
      <c r="C57" s="72" t="s">
        <v>515</v>
      </c>
      <c r="D57" s="72"/>
      <c r="E57" s="72"/>
      <c r="F57" s="72"/>
      <c r="G57" s="72"/>
      <c r="H57" s="72"/>
      <c r="I57" s="72"/>
      <c r="J57" s="72"/>
      <c r="K57" s="72"/>
      <c r="L57" s="72"/>
      <c r="M57" s="72"/>
      <c r="N57" s="72"/>
      <c r="O57" s="72"/>
      <c r="P57" s="72"/>
      <c r="Q57" s="72"/>
      <c r="R57" s="281"/>
      <c r="S57" s="281"/>
      <c r="T57" s="281"/>
      <c r="U57" s="281"/>
      <c r="V57" s="281"/>
      <c r="W57" s="281"/>
      <c r="X57" s="281"/>
      <c r="Y57" s="281"/>
      <c r="Z57" s="281"/>
      <c r="AA57" s="281"/>
      <c r="AB57" s="281"/>
      <c r="AC57" s="281"/>
      <c r="AD57" s="281"/>
      <c r="AE57" s="281"/>
      <c r="AF57" s="281"/>
      <c r="AG57" s="281"/>
      <c r="AH57" s="281"/>
      <c r="AI57" s="281"/>
      <c r="AJ57" s="329"/>
    </row>
    <row r="58" spans="1:36" s="126" customFormat="1">
      <c r="A58" s="90"/>
      <c r="B58" s="72" t="s">
        <v>516</v>
      </c>
      <c r="C58" s="72" t="s">
        <v>331</v>
      </c>
      <c r="D58" s="72">
        <v>1.1102355498607244</v>
      </c>
      <c r="E58" s="72">
        <v>1.1642289875769187</v>
      </c>
      <c r="F58" s="72">
        <v>1.1677435098753173</v>
      </c>
      <c r="G58" s="72">
        <v>1.0344351399157699</v>
      </c>
      <c r="H58" s="72">
        <v>1.0242328554609672</v>
      </c>
      <c r="I58" s="72">
        <v>0.88649654445041026</v>
      </c>
      <c r="J58" s="72">
        <v>0.83871178791270284</v>
      </c>
      <c r="K58" s="72">
        <v>0.82678882477501314</v>
      </c>
      <c r="L58" s="72">
        <v>0.95481254292782303</v>
      </c>
      <c r="M58" s="72">
        <v>1.1081733816464456</v>
      </c>
      <c r="N58" s="72">
        <v>1.0572957214313197</v>
      </c>
      <c r="O58" s="72">
        <v>1.0616778251314654</v>
      </c>
      <c r="P58" s="72">
        <v>1.0234842482504038</v>
      </c>
      <c r="Q58" s="72">
        <v>0.92791345559302973</v>
      </c>
      <c r="R58" s="281">
        <v>0.90594350951227953</v>
      </c>
      <c r="S58" s="281">
        <v>0.97562234852984853</v>
      </c>
      <c r="T58" s="281">
        <v>0.99879537481031855</v>
      </c>
      <c r="U58" s="281">
        <v>1.0268747973078729</v>
      </c>
      <c r="V58" s="281">
        <v>0.88162961134097539</v>
      </c>
      <c r="W58" s="281">
        <v>0.81272715879182855</v>
      </c>
      <c r="X58" s="281">
        <v>0.82626642152860641</v>
      </c>
      <c r="Y58" s="281">
        <v>0.71383697703123317</v>
      </c>
      <c r="Z58" s="281">
        <v>0.69929356111343666</v>
      </c>
      <c r="AA58" s="281">
        <v>0.78696971636575419</v>
      </c>
      <c r="AB58" s="281">
        <v>0.96974184450135159</v>
      </c>
      <c r="AC58" s="281">
        <v>1.043719581265975</v>
      </c>
      <c r="AD58" s="281">
        <v>1.0540743643306378</v>
      </c>
      <c r="AE58" s="281">
        <v>1.1175347091151762</v>
      </c>
      <c r="AF58" s="281">
        <v>1.3242017963636465</v>
      </c>
      <c r="AG58" s="281">
        <v>1.0803517458146201</v>
      </c>
      <c r="AH58" s="281">
        <v>1.3475751658269515</v>
      </c>
      <c r="AI58" s="281">
        <v>1.5351837030785038</v>
      </c>
      <c r="AJ58" s="329">
        <v>1.5351837030785038</v>
      </c>
    </row>
    <row r="59" spans="1:36" s="126" customFormat="1">
      <c r="A59" s="90"/>
      <c r="B59" s="72" t="s">
        <v>517</v>
      </c>
      <c r="C59" s="72" t="s">
        <v>518</v>
      </c>
      <c r="D59" s="72">
        <v>1.036544775579664</v>
      </c>
      <c r="E59" s="72">
        <v>0.82157936927596342</v>
      </c>
      <c r="F59" s="72">
        <v>0.76170518915866747</v>
      </c>
      <c r="G59" s="72">
        <v>0.7200098651754252</v>
      </c>
      <c r="H59" s="72">
        <v>0.65381869334983844</v>
      </c>
      <c r="I59" s="72">
        <v>0.63173623503591381</v>
      </c>
      <c r="J59" s="72">
        <v>0.86211982424515554</v>
      </c>
      <c r="K59" s="72">
        <v>1.0360474793208534</v>
      </c>
      <c r="L59" s="72">
        <v>1.0410935918867714</v>
      </c>
      <c r="M59" s="72">
        <v>0.96388091107644303</v>
      </c>
      <c r="N59" s="72">
        <v>1.112229814837226</v>
      </c>
      <c r="O59" s="72">
        <v>1.0841506175604008</v>
      </c>
      <c r="P59" s="72">
        <v>1.1643176796894565</v>
      </c>
      <c r="Q59" s="72">
        <v>1.1060418076422571</v>
      </c>
      <c r="R59" s="281">
        <v>1.1310728382122637</v>
      </c>
      <c r="S59" s="281">
        <v>1.2781533601746964</v>
      </c>
      <c r="T59" s="281">
        <v>1.2102678853652196</v>
      </c>
      <c r="U59" s="281">
        <v>1.0432557808095613</v>
      </c>
      <c r="V59" s="281">
        <v>1.0203298977323254</v>
      </c>
      <c r="W59" s="281">
        <v>0.97708153633070538</v>
      </c>
      <c r="X59" s="281">
        <v>0.82941937718813352</v>
      </c>
      <c r="Y59" s="281">
        <v>0.82085951767337817</v>
      </c>
      <c r="Z59" s="281">
        <v>0.84293286561264813</v>
      </c>
      <c r="AA59" s="281">
        <v>0.99841274266365687</v>
      </c>
      <c r="AB59" s="281">
        <v>1.0857590607985199</v>
      </c>
      <c r="AC59" s="281">
        <v>1.1023284783365668</v>
      </c>
      <c r="AD59" s="281">
        <v>1.075673631139284</v>
      </c>
      <c r="AE59" s="281">
        <v>1.1873202584590452</v>
      </c>
      <c r="AF59" s="281">
        <v>1.2487547647123447</v>
      </c>
      <c r="AG59" s="281">
        <v>1.1792839730330085</v>
      </c>
      <c r="AH59" s="281">
        <v>1.1117582631578946</v>
      </c>
      <c r="AI59" s="281">
        <v>1.1756835916666666</v>
      </c>
      <c r="AJ59" s="329">
        <v>1.1756835916666666</v>
      </c>
    </row>
    <row r="60" spans="1:36" s="126" customFormat="1">
      <c r="A60" s="90"/>
      <c r="B60" s="72" t="s">
        <v>519</v>
      </c>
      <c r="C60" s="72" t="s">
        <v>520</v>
      </c>
      <c r="D60" s="72"/>
      <c r="E60" s="72"/>
      <c r="F60" s="72"/>
      <c r="G60" s="72"/>
      <c r="H60" s="72"/>
      <c r="I60" s="72"/>
      <c r="J60" s="72"/>
      <c r="K60" s="72"/>
      <c r="L60" s="72"/>
      <c r="M60" s="72"/>
      <c r="N60" s="72">
        <v>0.36037759439298828</v>
      </c>
      <c r="O60" s="72">
        <v>0.34838918492563564</v>
      </c>
      <c r="P60" s="72">
        <v>0.25025534085947077</v>
      </c>
      <c r="Q60" s="72">
        <v>0.25347899324155337</v>
      </c>
      <c r="R60" s="281">
        <v>0.25802971149983778</v>
      </c>
      <c r="S60" s="281">
        <v>0.26335762029073168</v>
      </c>
      <c r="T60" s="281">
        <v>0.26585540568472449</v>
      </c>
      <c r="U60" s="281">
        <v>0.30752231661229606</v>
      </c>
      <c r="V60" s="281">
        <v>0.30934356503961008</v>
      </c>
      <c r="W60" s="281">
        <v>0.29247464651106364</v>
      </c>
      <c r="X60" s="281">
        <v>0.29656664083124101</v>
      </c>
      <c r="Y60" s="281">
        <v>0.28563890708853046</v>
      </c>
      <c r="Z60" s="281">
        <v>0.27766387131460124</v>
      </c>
      <c r="AA60" s="281">
        <v>0.28531999225574384</v>
      </c>
      <c r="AB60" s="281">
        <v>0.30045247953206256</v>
      </c>
      <c r="AC60" s="281">
        <v>0.35104911068190786</v>
      </c>
      <c r="AD60" s="281">
        <v>0.40053757361200321</v>
      </c>
      <c r="AE60" s="281">
        <v>0.49030041068608882</v>
      </c>
      <c r="AF60" s="281">
        <v>0.63995096459347611</v>
      </c>
      <c r="AG60" s="281">
        <v>0.52393858790743975</v>
      </c>
      <c r="AH60" s="281">
        <v>0.5918599954525634</v>
      </c>
      <c r="AI60" s="281">
        <v>0.68696689135454958</v>
      </c>
      <c r="AJ60" s="329">
        <v>0.68696689135454958</v>
      </c>
    </row>
    <row r="61" spans="1:36" s="126" customFormat="1">
      <c r="A61" s="90"/>
      <c r="B61" s="72" t="s">
        <v>521</v>
      </c>
      <c r="C61" s="72" t="s">
        <v>522</v>
      </c>
      <c r="D61" s="72">
        <v>0.50988060530000001</v>
      </c>
      <c r="E61" s="72">
        <v>0.54864865632000004</v>
      </c>
      <c r="F61" s="72">
        <v>0.53624881899999999</v>
      </c>
      <c r="G61" s="72">
        <v>0.54667628514</v>
      </c>
      <c r="H61" s="72">
        <v>0.54359788033000001</v>
      </c>
      <c r="I61" s="72">
        <v>0.57211796962000006</v>
      </c>
      <c r="J61" s="72">
        <v>0.58568512393000005</v>
      </c>
      <c r="K61" s="72">
        <v>0.60649062894000005</v>
      </c>
      <c r="L61" s="72">
        <v>0.59478041606999998</v>
      </c>
      <c r="M61" s="72">
        <v>0.58359588735000001</v>
      </c>
      <c r="N61" s="72">
        <v>0.59079932325999995</v>
      </c>
      <c r="O61" s="72">
        <v>0.58598931398999998</v>
      </c>
      <c r="P61" s="72">
        <v>0.5963151511</v>
      </c>
      <c r="Q61" s="72">
        <v>0.57855058444999996</v>
      </c>
      <c r="R61" s="281">
        <v>0.57938600838999998</v>
      </c>
      <c r="S61" s="281">
        <v>0.57075684061999998</v>
      </c>
      <c r="T61" s="281">
        <v>0.56634603354000002</v>
      </c>
      <c r="U61" s="281">
        <v>0.74837110910000004</v>
      </c>
      <c r="V61" s="281">
        <v>0.76050731512000003</v>
      </c>
      <c r="W61" s="281">
        <v>0.78662533711000004</v>
      </c>
      <c r="X61" s="281">
        <v>0.77706316149999999</v>
      </c>
      <c r="Y61" s="281">
        <v>0.76252364969999997</v>
      </c>
      <c r="Z61" s="281">
        <v>0.78005858639000003</v>
      </c>
      <c r="AA61" s="281">
        <v>0.77278671387999998</v>
      </c>
      <c r="AB61" s="281">
        <v>0.76063284777999995</v>
      </c>
      <c r="AC61" s="281">
        <v>0.77342473828000002</v>
      </c>
      <c r="AD61" s="281">
        <v>0.75545752233999997</v>
      </c>
      <c r="AE61" s="281">
        <v>0.75581296540999998</v>
      </c>
      <c r="AF61" s="281">
        <v>0.75047067725000005</v>
      </c>
      <c r="AG61" s="281">
        <v>0.72856104563000001</v>
      </c>
      <c r="AH61" s="281">
        <v>0.72723055129000003</v>
      </c>
      <c r="AI61" s="281">
        <v>0.70144158826000003</v>
      </c>
      <c r="AJ61" s="329">
        <v>0.70144158826000003</v>
      </c>
    </row>
    <row r="62" spans="1:36" s="126" customFormat="1">
      <c r="A62" s="90"/>
      <c r="B62" s="72" t="s">
        <v>523</v>
      </c>
      <c r="C62" s="72" t="s">
        <v>524</v>
      </c>
      <c r="D62" s="72">
        <v>0.85050150829393467</v>
      </c>
      <c r="E62" s="72">
        <v>0.92689525367927839</v>
      </c>
      <c r="F62" s="72">
        <v>0.9935664472387602</v>
      </c>
      <c r="G62" s="72">
        <v>0.92049376713029796</v>
      </c>
      <c r="H62" s="72">
        <v>0.88346154184632142</v>
      </c>
      <c r="I62" s="72">
        <v>0.84163526544074496</v>
      </c>
      <c r="J62" s="72">
        <v>0.68004688833865401</v>
      </c>
      <c r="K62" s="72">
        <v>0.66504346476641163</v>
      </c>
      <c r="L62" s="72">
        <v>0.65557738401675192</v>
      </c>
      <c r="M62" s="72">
        <v>0.65690580079096161</v>
      </c>
      <c r="N62" s="72">
        <v>0.66345073122783227</v>
      </c>
      <c r="O62" s="72">
        <v>0.62956617099844336</v>
      </c>
      <c r="P62" s="72">
        <v>0.59479741587175727</v>
      </c>
      <c r="Q62" s="72">
        <v>0.56442555057647614</v>
      </c>
      <c r="R62" s="281">
        <v>0.59371642838793481</v>
      </c>
      <c r="S62" s="281">
        <v>0.58654621878071767</v>
      </c>
      <c r="T62" s="281">
        <v>0.57747457735307473</v>
      </c>
      <c r="U62" s="281">
        <v>0.57183141120240044</v>
      </c>
      <c r="V62" s="281">
        <v>0.52412587285710444</v>
      </c>
      <c r="W62" s="281">
        <v>0.53027354247443814</v>
      </c>
      <c r="X62" s="281">
        <v>0.59338291343842098</v>
      </c>
      <c r="Y62" s="281">
        <v>0.55180582428491964</v>
      </c>
      <c r="Z62" s="281">
        <v>0.55243415734669443</v>
      </c>
      <c r="AA62" s="281">
        <v>0.57937791771215241</v>
      </c>
      <c r="AB62" s="281">
        <v>0.61511728530268983</v>
      </c>
      <c r="AC62" s="281">
        <v>0.66162257119946455</v>
      </c>
      <c r="AD62" s="281">
        <v>0.70757111936487671</v>
      </c>
      <c r="AE62" s="281">
        <v>0.73951107994893495</v>
      </c>
      <c r="AF62" s="281">
        <v>0.80700096751029271</v>
      </c>
      <c r="AG62" s="281">
        <v>0.68141982781731714</v>
      </c>
      <c r="AH62" s="281">
        <v>0.76905572365131536</v>
      </c>
      <c r="AI62" s="281"/>
      <c r="AJ62" s="329"/>
    </row>
    <row r="63" spans="1:36" s="126" customFormat="1">
      <c r="A63" s="90"/>
      <c r="B63" s="72" t="s">
        <v>525</v>
      </c>
      <c r="C63" s="72" t="s">
        <v>526</v>
      </c>
      <c r="D63" s="72">
        <v>0.69529442993548385</v>
      </c>
      <c r="E63" s="72">
        <v>0.66815514544551668</v>
      </c>
      <c r="F63" s="72">
        <v>0.56299716369999997</v>
      </c>
      <c r="G63" s="72">
        <v>0.49385846746992051</v>
      </c>
      <c r="H63" s="72">
        <v>0.51886165586064315</v>
      </c>
      <c r="I63" s="72">
        <v>0.53594598915384617</v>
      </c>
      <c r="J63" s="72">
        <v>0.49232056092994614</v>
      </c>
      <c r="K63" s="72">
        <v>0.51821439164434302</v>
      </c>
      <c r="L63" s="72">
        <v>0.52847562220529154</v>
      </c>
      <c r="M63" s="72">
        <v>0.51930642791568182</v>
      </c>
      <c r="N63" s="72">
        <v>0.53043226993056181</v>
      </c>
      <c r="O63" s="72">
        <v>0.51007513851102382</v>
      </c>
      <c r="P63" s="72">
        <v>0.48713118801985139</v>
      </c>
      <c r="Q63" s="72">
        <v>0.47678378406764965</v>
      </c>
      <c r="R63" s="281">
        <v>0.45708275472451204</v>
      </c>
      <c r="S63" s="281">
        <v>0.47830881888257043</v>
      </c>
      <c r="T63" s="281">
        <v>0.48150383257416773</v>
      </c>
      <c r="U63" s="281">
        <v>0.46646560124391073</v>
      </c>
      <c r="V63" s="281">
        <v>0.45546558925110137</v>
      </c>
      <c r="W63" s="281">
        <v>0.44359657019550747</v>
      </c>
      <c r="X63" s="281">
        <v>0.42267232933810372</v>
      </c>
      <c r="Y63" s="281">
        <v>0.39145473148628612</v>
      </c>
      <c r="Z63" s="281">
        <v>0.37349011997213999</v>
      </c>
      <c r="AA63" s="281">
        <v>0.37924267661485317</v>
      </c>
      <c r="AB63" s="281">
        <v>0.37817820434856469</v>
      </c>
      <c r="AC63" s="281">
        <v>0.36815638473170736</v>
      </c>
      <c r="AD63" s="281">
        <v>0.34348629932995833</v>
      </c>
      <c r="AE63" s="281">
        <v>0.34665547041702865</v>
      </c>
      <c r="AF63" s="281">
        <v>0.37138425665354902</v>
      </c>
      <c r="AG63" s="281">
        <v>0.38938365363372096</v>
      </c>
      <c r="AH63" s="281">
        <v>0.40938965487078666</v>
      </c>
      <c r="AI63" s="281">
        <v>0.41837874828851745</v>
      </c>
      <c r="AJ63" s="329">
        <v>0.41837874828851745</v>
      </c>
    </row>
    <row r="64" spans="1:36" s="126" customFormat="1">
      <c r="A64" s="90"/>
      <c r="B64" s="72" t="s">
        <v>527</v>
      </c>
      <c r="C64" s="72" t="s">
        <v>528</v>
      </c>
      <c r="D64" s="72"/>
      <c r="E64" s="72"/>
      <c r="F64" s="72"/>
      <c r="G64" s="72"/>
      <c r="H64" s="72"/>
      <c r="I64" s="72">
        <v>0.54706992284519407</v>
      </c>
      <c r="J64" s="72">
        <v>0.53689457574878963</v>
      </c>
      <c r="K64" s="72">
        <v>0.56858033140141639</v>
      </c>
      <c r="L64" s="72">
        <v>0.55004890128744677</v>
      </c>
      <c r="M64" s="72">
        <v>0.55805703702229081</v>
      </c>
      <c r="N64" s="72">
        <v>0.56697412404284242</v>
      </c>
      <c r="O64" s="72">
        <v>0.55710320471629948</v>
      </c>
      <c r="P64" s="72">
        <v>0.54061921749999997</v>
      </c>
      <c r="Q64" s="72">
        <v>0.54123117383103692</v>
      </c>
      <c r="R64" s="281">
        <v>0.5367973889086628</v>
      </c>
      <c r="S64" s="281">
        <v>0.55646029125531282</v>
      </c>
      <c r="T64" s="281">
        <v>0.57267078938591998</v>
      </c>
      <c r="U64" s="281">
        <v>0.58385479471942081</v>
      </c>
      <c r="V64" s="281">
        <v>0.59645550799145952</v>
      </c>
      <c r="W64" s="281">
        <v>0.59814904732060203</v>
      </c>
      <c r="X64" s="281">
        <v>0.59321995694999996</v>
      </c>
      <c r="Y64" s="281">
        <v>0.60983346235000002</v>
      </c>
      <c r="Z64" s="281">
        <v>0.60312773295</v>
      </c>
      <c r="AA64" s="281">
        <v>0.63021976489999998</v>
      </c>
      <c r="AB64" s="281">
        <v>0.61952154250000002</v>
      </c>
      <c r="AC64" s="281">
        <v>0.618371</v>
      </c>
      <c r="AD64" s="281">
        <v>0.61507425005000005</v>
      </c>
      <c r="AE64" s="281">
        <v>0.63560250304999999</v>
      </c>
      <c r="AF64" s="281">
        <v>0.66825854780000005</v>
      </c>
      <c r="AG64" s="281">
        <v>0.68225632510000001</v>
      </c>
      <c r="AH64" s="281"/>
      <c r="AI64" s="281"/>
      <c r="AJ64" s="329"/>
    </row>
    <row r="65" spans="1:36" s="126" customFormat="1">
      <c r="A65" s="90"/>
      <c r="B65" s="72" t="s">
        <v>529</v>
      </c>
      <c r="C65" s="72" t="s">
        <v>530</v>
      </c>
      <c r="D65" s="72"/>
      <c r="E65" s="72"/>
      <c r="F65" s="72"/>
      <c r="G65" s="72"/>
      <c r="H65" s="72"/>
      <c r="I65" s="72"/>
      <c r="J65" s="72"/>
      <c r="K65" s="72"/>
      <c r="L65" s="72"/>
      <c r="M65" s="72"/>
      <c r="N65" s="72">
        <v>0.36685952365615976</v>
      </c>
      <c r="O65" s="72">
        <v>0.3682866598911117</v>
      </c>
      <c r="P65" s="72">
        <v>0.3812707660092895</v>
      </c>
      <c r="Q65" s="72">
        <v>0.38618211062263375</v>
      </c>
      <c r="R65" s="281">
        <v>0.3931152581354504</v>
      </c>
      <c r="S65" s="281">
        <v>0.4012324493929097</v>
      </c>
      <c r="T65" s="281">
        <v>0.40503789915384619</v>
      </c>
      <c r="U65" s="281">
        <v>0.34152092380603916</v>
      </c>
      <c r="V65" s="281">
        <v>0.33474037153139091</v>
      </c>
      <c r="W65" s="281">
        <v>0.25442402119978341</v>
      </c>
      <c r="X65" s="281">
        <v>0.24698664586754956</v>
      </c>
      <c r="Y65" s="281">
        <v>0.22369696283453239</v>
      </c>
      <c r="Z65" s="281">
        <v>0.24754448834312257</v>
      </c>
      <c r="AA65" s="281">
        <v>0.27661722538367672</v>
      </c>
      <c r="AB65" s="281">
        <v>0.31340918141721963</v>
      </c>
      <c r="AC65" s="281">
        <v>0.36183422144376037</v>
      </c>
      <c r="AD65" s="281">
        <v>0.38988663261384066</v>
      </c>
      <c r="AE65" s="281">
        <v>0.4271874637478566</v>
      </c>
      <c r="AF65" s="281">
        <v>0.5087741898408239</v>
      </c>
      <c r="AG65" s="281">
        <v>0.40601504360902252</v>
      </c>
      <c r="AH65" s="281">
        <v>0.4200034254783484</v>
      </c>
      <c r="AI65" s="281">
        <v>0.38960578154773867</v>
      </c>
      <c r="AJ65" s="329">
        <v>0.38960578154773867</v>
      </c>
    </row>
    <row r="66" spans="1:36">
      <c r="B66" s="72" t="s">
        <v>531</v>
      </c>
      <c r="C66" s="72" t="s">
        <v>532</v>
      </c>
      <c r="D66" s="72">
        <v>1.242991931300869</v>
      </c>
      <c r="E66" s="72">
        <v>0.94108074858757063</v>
      </c>
      <c r="F66" s="72">
        <v>0.77541457354758958</v>
      </c>
      <c r="G66" s="72">
        <v>0.70393363076923066</v>
      </c>
      <c r="H66" s="72">
        <v>0.63299974169226481</v>
      </c>
      <c r="I66" s="72">
        <v>0.62541994225151165</v>
      </c>
      <c r="J66" s="72">
        <v>0.83583643218349291</v>
      </c>
      <c r="K66" s="72">
        <v>0.98798775904916269</v>
      </c>
      <c r="L66" s="72">
        <v>0.99068657597366983</v>
      </c>
      <c r="M66" s="72">
        <v>0.93345773648648644</v>
      </c>
      <c r="N66" s="72">
        <v>1.0895056096088844</v>
      </c>
      <c r="O66" s="72">
        <v>1.0593348033077377</v>
      </c>
      <c r="P66" s="72">
        <v>1.1366640677540778</v>
      </c>
      <c r="Q66" s="72">
        <v>1.0749310202891791</v>
      </c>
      <c r="R66" s="281">
        <v>1.1115062093079335</v>
      </c>
      <c r="S66" s="281">
        <v>1.2509156896551723</v>
      </c>
      <c r="T66" s="281">
        <v>1.1902268091205213</v>
      </c>
      <c r="U66" s="281">
        <v>1.0294075</v>
      </c>
      <c r="V66" s="281">
        <v>1.027921186930429</v>
      </c>
      <c r="W66" s="281">
        <v>0.98153457170253566</v>
      </c>
      <c r="X66" s="281">
        <v>0.82086474571586521</v>
      </c>
      <c r="Y66" s="281">
        <v>0.79248114809843406</v>
      </c>
      <c r="Z66" s="281">
        <v>0.81425221626199884</v>
      </c>
      <c r="AA66" s="281">
        <v>0.99156139954853262</v>
      </c>
      <c r="AB66" s="281">
        <v>1.1132096813246168</v>
      </c>
      <c r="AC66" s="281">
        <v>1.1187385862806547</v>
      </c>
      <c r="AD66" s="281">
        <v>1.1089716662422333</v>
      </c>
      <c r="AE66" s="281">
        <v>1.2138194317842761</v>
      </c>
      <c r="AF66" s="281">
        <v>1.2795319529790896</v>
      </c>
      <c r="AG66" s="281">
        <v>1.19892454882523</v>
      </c>
      <c r="AH66" s="281">
        <v>1.1367256421052632</v>
      </c>
      <c r="AI66" s="281">
        <v>1.2036231555555557</v>
      </c>
      <c r="AJ66" s="329">
        <v>1.2036231555555557</v>
      </c>
    </row>
    <row r="67" spans="1:36" s="126" customFormat="1">
      <c r="A67" s="90"/>
      <c r="B67" s="72" t="s">
        <v>533</v>
      </c>
      <c r="C67" s="72" t="s">
        <v>534</v>
      </c>
      <c r="D67" s="72">
        <v>0.83596257920000006</v>
      </c>
      <c r="E67" s="72">
        <v>0.74742005249999999</v>
      </c>
      <c r="F67" s="72">
        <v>0.65650390734999997</v>
      </c>
      <c r="G67" s="72">
        <v>0.68019957244999996</v>
      </c>
      <c r="H67" s="72">
        <v>0.71749372524999999</v>
      </c>
      <c r="I67" s="72">
        <v>0.68316557590000004</v>
      </c>
      <c r="J67" s="72">
        <v>0.69612729694999997</v>
      </c>
      <c r="K67" s="72">
        <v>0.73808298149999996</v>
      </c>
      <c r="L67" s="72">
        <v>0.74347384890000001</v>
      </c>
      <c r="M67" s="72">
        <v>0.73063970514999999</v>
      </c>
      <c r="N67" s="72">
        <v>0.72374601505000002</v>
      </c>
      <c r="O67" s="72">
        <v>0.68203495950000004</v>
      </c>
      <c r="P67" s="72">
        <v>0.69464058044999999</v>
      </c>
      <c r="Q67" s="72">
        <v>0.69096411020000004</v>
      </c>
      <c r="R67" s="281">
        <v>0.70147442135000004</v>
      </c>
      <c r="S67" s="281">
        <v>0.72719900024999995</v>
      </c>
      <c r="T67" s="281">
        <v>0.72861367674999999</v>
      </c>
      <c r="U67" s="281">
        <v>0.70427515249999995</v>
      </c>
      <c r="V67" s="281">
        <v>0.70495751569999998</v>
      </c>
      <c r="W67" s="281">
        <v>0.67924029765000005</v>
      </c>
      <c r="X67" s="281">
        <v>0.66776008679999999</v>
      </c>
      <c r="Y67" s="281">
        <v>0.65210385564999995</v>
      </c>
      <c r="Z67" s="281">
        <v>0.65315651350000004</v>
      </c>
      <c r="AA67" s="281">
        <v>0.61997251835</v>
      </c>
      <c r="AB67" s="281">
        <v>0.61611021440000002</v>
      </c>
      <c r="AC67" s="281">
        <v>0.61088450000000005</v>
      </c>
      <c r="AD67" s="281">
        <v>0.61530489290000001</v>
      </c>
      <c r="AE67" s="281">
        <v>0.62101849284999999</v>
      </c>
      <c r="AF67" s="281">
        <v>0.62697321284999996</v>
      </c>
      <c r="AG67" s="281">
        <v>0.61224604745</v>
      </c>
      <c r="AH67" s="281">
        <v>0.61249763040000005</v>
      </c>
      <c r="AI67" s="281">
        <v>0.6083983114</v>
      </c>
      <c r="AJ67" s="329">
        <v>0.6083983114</v>
      </c>
    </row>
    <row r="68" spans="1:36">
      <c r="B68" s="72" t="s">
        <v>535</v>
      </c>
      <c r="C68" s="72" t="s">
        <v>536</v>
      </c>
      <c r="D68" s="72">
        <v>0.71873216614578028</v>
      </c>
      <c r="E68" s="72">
        <v>0.54916697349086041</v>
      </c>
      <c r="F68" s="72">
        <v>0.49713575152887957</v>
      </c>
      <c r="G68" s="72">
        <v>0.43197134265659143</v>
      </c>
      <c r="H68" s="72">
        <v>0.37017625939016674</v>
      </c>
      <c r="I68" s="72">
        <v>0.3323329671116077</v>
      </c>
      <c r="J68" s="72">
        <v>0.40651185934826123</v>
      </c>
      <c r="K68" s="72">
        <v>0.46885540518289465</v>
      </c>
      <c r="L68" s="72">
        <v>0.45437846159709178</v>
      </c>
      <c r="M68" s="72">
        <v>0.41794532976553289</v>
      </c>
      <c r="N68" s="72">
        <v>0.47914988816132331</v>
      </c>
      <c r="O68" s="72">
        <v>0.4503636205350548</v>
      </c>
      <c r="P68" s="72">
        <v>0.36681673082740873</v>
      </c>
      <c r="Q68" s="72">
        <v>0.44963314063919496</v>
      </c>
      <c r="R68" s="281">
        <v>0.30004156296358669</v>
      </c>
      <c r="S68" s="281">
        <v>0.37626685592817949</v>
      </c>
      <c r="T68" s="281">
        <v>0.3849541022968076</v>
      </c>
      <c r="U68" s="281">
        <v>0.34753014660550646</v>
      </c>
      <c r="V68" s="281">
        <v>0.35485716809969853</v>
      </c>
      <c r="W68" s="281">
        <v>0.34159333863920666</v>
      </c>
      <c r="X68" s="281">
        <v>0.2984859171603178</v>
      </c>
      <c r="Y68" s="281">
        <v>0.29238739730437635</v>
      </c>
      <c r="Z68" s="281">
        <v>0.32588830109470723</v>
      </c>
      <c r="AA68" s="281">
        <v>0.38931952355471439</v>
      </c>
      <c r="AB68" s="281">
        <v>0.41781341085338813</v>
      </c>
      <c r="AC68" s="281">
        <v>0.41629957398363504</v>
      </c>
      <c r="AD68" s="281">
        <v>0.42782974399969403</v>
      </c>
      <c r="AE68" s="281">
        <v>0.46560349529594153</v>
      </c>
      <c r="AF68" s="281">
        <v>0.52224645327259334</v>
      </c>
      <c r="AG68" s="281">
        <v>0.48933575031873033</v>
      </c>
      <c r="AH68" s="281">
        <v>0.46983362238618598</v>
      </c>
      <c r="AI68" s="281">
        <v>0.49583484974412034</v>
      </c>
      <c r="AJ68" s="329">
        <v>0.49583484974412034</v>
      </c>
    </row>
    <row r="69" spans="1:36">
      <c r="B69" s="72" t="s">
        <v>537</v>
      </c>
      <c r="C69" s="72" t="s">
        <v>538</v>
      </c>
      <c r="D69" s="72"/>
      <c r="E69" s="72"/>
      <c r="F69" s="72"/>
      <c r="G69" s="72"/>
      <c r="H69" s="72"/>
      <c r="I69" s="72"/>
      <c r="J69" s="72"/>
      <c r="K69" s="72"/>
      <c r="L69" s="72"/>
      <c r="M69" s="72"/>
      <c r="N69" s="72"/>
      <c r="O69" s="72"/>
      <c r="P69" s="72"/>
      <c r="Q69" s="72"/>
      <c r="R69" s="281"/>
      <c r="S69" s="281"/>
      <c r="T69" s="281"/>
      <c r="U69" s="281"/>
      <c r="V69" s="281"/>
      <c r="W69" s="281"/>
      <c r="X69" s="281"/>
      <c r="Y69" s="281"/>
      <c r="Z69" s="281"/>
      <c r="AA69" s="281"/>
      <c r="AB69" s="281"/>
      <c r="AC69" s="281"/>
      <c r="AD69" s="281"/>
      <c r="AE69" s="281"/>
      <c r="AF69" s="281"/>
      <c r="AG69" s="281"/>
      <c r="AH69" s="281"/>
      <c r="AI69" s="281"/>
      <c r="AJ69" s="329"/>
    </row>
    <row r="70" spans="1:36">
      <c r="B70" s="72" t="s">
        <v>539</v>
      </c>
      <c r="C70" s="72" t="s">
        <v>540</v>
      </c>
      <c r="D70" s="72">
        <v>0.75558975054707378</v>
      </c>
      <c r="E70" s="72">
        <v>0.65450241711316404</v>
      </c>
      <c r="F70" s="72">
        <v>0.60691079664904857</v>
      </c>
      <c r="G70" s="72">
        <v>0.58313476998019798</v>
      </c>
      <c r="H70" s="72">
        <v>0.54986838177816899</v>
      </c>
      <c r="I70" s="72">
        <v>0.52093967767987071</v>
      </c>
      <c r="J70" s="72">
        <v>0.53326305289452813</v>
      </c>
      <c r="K70" s="72">
        <v>0.5061280034259259</v>
      </c>
      <c r="L70" s="72">
        <v>0.52230178845545983</v>
      </c>
      <c r="M70" s="72">
        <v>0.45548000010474426</v>
      </c>
      <c r="N70" s="72">
        <v>0.42997848809822958</v>
      </c>
      <c r="O70" s="72">
        <v>0.3482687678320141</v>
      </c>
      <c r="P70" s="72">
        <v>0.32705787121527774</v>
      </c>
      <c r="Q70" s="72">
        <v>0.29434493018366681</v>
      </c>
      <c r="R70" s="281">
        <v>0.31641360752948677</v>
      </c>
      <c r="S70" s="281">
        <v>0.32318472158495221</v>
      </c>
      <c r="T70" s="281">
        <v>0.31408929630256843</v>
      </c>
      <c r="U70" s="281">
        <v>0.33822185899201324</v>
      </c>
      <c r="V70" s="281">
        <v>0.32436957098885122</v>
      </c>
      <c r="W70" s="281">
        <v>0.32909443548536921</v>
      </c>
      <c r="X70" s="281">
        <v>0.31570528382287494</v>
      </c>
      <c r="Y70" s="281">
        <v>0.30946990112311934</v>
      </c>
      <c r="Z70" s="281">
        <v>0.31005925811561408</v>
      </c>
      <c r="AA70" s="281">
        <v>0.32667308984542726</v>
      </c>
      <c r="AB70" s="281">
        <v>0.33895413292144749</v>
      </c>
      <c r="AC70" s="281">
        <v>0.35688998405895694</v>
      </c>
      <c r="AD70" s="281">
        <v>0.35471258956080332</v>
      </c>
      <c r="AE70" s="281">
        <v>0.38948173392986701</v>
      </c>
      <c r="AF70" s="281">
        <v>0.38275503792231674</v>
      </c>
      <c r="AG70" s="281">
        <v>0.35599439812022315</v>
      </c>
      <c r="AH70" s="281">
        <v>0.39639329934778217</v>
      </c>
      <c r="AI70" s="281">
        <v>0.40137619734249225</v>
      </c>
      <c r="AJ70" s="329">
        <v>0.40137619734249225</v>
      </c>
    </row>
    <row r="71" spans="1:36">
      <c r="B71" s="72" t="s">
        <v>541</v>
      </c>
      <c r="C71" s="72" t="s">
        <v>542</v>
      </c>
      <c r="D71" s="72">
        <v>0.46982534437194129</v>
      </c>
      <c r="E71" s="72">
        <v>0.55622666631321371</v>
      </c>
      <c r="F71" s="72">
        <v>0.51822169661488615</v>
      </c>
      <c r="G71" s="72">
        <v>0.50357919772913695</v>
      </c>
      <c r="H71" s="72">
        <v>0.55330526912443279</v>
      </c>
      <c r="I71" s="72">
        <v>0.4759442450838467</v>
      </c>
      <c r="J71" s="72">
        <v>0.35174461113654809</v>
      </c>
      <c r="K71" s="72">
        <v>0.36429363941406917</v>
      </c>
      <c r="L71" s="72">
        <v>0.36375965671590987</v>
      </c>
      <c r="M71" s="72">
        <v>0.34645693162262975</v>
      </c>
      <c r="N71" s="72">
        <v>0.3292639695837864</v>
      </c>
      <c r="O71" s="72">
        <v>0.33207272847363994</v>
      </c>
      <c r="P71" s="72">
        <v>0.33795465332827418</v>
      </c>
      <c r="Q71" s="72">
        <v>0.32226849074343267</v>
      </c>
      <c r="R71" s="281">
        <v>0.314725662674331</v>
      </c>
      <c r="S71" s="281">
        <v>0.3298789744476433</v>
      </c>
      <c r="T71" s="281">
        <v>0.34212771495740557</v>
      </c>
      <c r="U71" s="281">
        <v>0.34267511103371356</v>
      </c>
      <c r="V71" s="281">
        <v>0.34495687301388533</v>
      </c>
      <c r="W71" s="281">
        <v>0.3300635861544523</v>
      </c>
      <c r="X71" s="281">
        <v>0.31946017174628127</v>
      </c>
      <c r="Y71" s="281">
        <v>0.29782807442802395</v>
      </c>
      <c r="Z71" s="281">
        <v>0.27767100817294282</v>
      </c>
      <c r="AA71" s="281">
        <v>0.27068893088937834</v>
      </c>
      <c r="AB71" s="281">
        <v>0.27434876552419357</v>
      </c>
      <c r="AC71" s="281">
        <v>0.27677597598561865</v>
      </c>
      <c r="AD71" s="281">
        <v>0.30681625061158257</v>
      </c>
      <c r="AE71" s="281">
        <v>0.32672262895172588</v>
      </c>
      <c r="AF71" s="281">
        <v>0.382720337510362</v>
      </c>
      <c r="AG71" s="281">
        <v>0.38005328339031341</v>
      </c>
      <c r="AH71" s="281">
        <v>0.41070797384323021</v>
      </c>
      <c r="AI71" s="281">
        <v>0.46556339315658696</v>
      </c>
      <c r="AJ71" s="329">
        <v>0.46556339315658696</v>
      </c>
    </row>
    <row r="72" spans="1:36">
      <c r="B72" s="72" t="s">
        <v>543</v>
      </c>
      <c r="C72" s="72" t="s">
        <v>544</v>
      </c>
      <c r="D72" s="72"/>
      <c r="E72" s="72"/>
      <c r="F72" s="72"/>
      <c r="G72" s="72"/>
      <c r="H72" s="72"/>
      <c r="I72" s="72"/>
      <c r="J72" s="72"/>
      <c r="K72" s="72"/>
      <c r="L72" s="72"/>
      <c r="M72" s="72"/>
      <c r="N72" s="72"/>
      <c r="O72" s="72"/>
      <c r="P72" s="72"/>
      <c r="Q72" s="72"/>
      <c r="R72" s="281">
        <v>0.34406344828973956</v>
      </c>
      <c r="S72" s="281">
        <v>0.413720783668311</v>
      </c>
      <c r="T72" s="281">
        <v>0.32111689641041335</v>
      </c>
      <c r="U72" s="281">
        <v>0.30895686282861029</v>
      </c>
      <c r="V72" s="281">
        <v>0.29549457406279861</v>
      </c>
      <c r="W72" s="281">
        <v>0.30244417077342045</v>
      </c>
      <c r="X72" s="281">
        <v>0.32972643993405554</v>
      </c>
      <c r="Y72" s="281">
        <v>0.32245860449125646</v>
      </c>
      <c r="Z72" s="281">
        <v>0.34862612811838312</v>
      </c>
      <c r="AA72" s="281">
        <v>0.41314082604731678</v>
      </c>
      <c r="AB72" s="281">
        <v>0.45352958662857146</v>
      </c>
      <c r="AC72" s="281">
        <v>0.4566474296623641</v>
      </c>
      <c r="AD72" s="281">
        <v>0.4577722117824386</v>
      </c>
      <c r="AE72" s="281">
        <v>0.51189392209937024</v>
      </c>
      <c r="AF72" s="281">
        <v>0.56553808008538042</v>
      </c>
      <c r="AG72" s="281">
        <v>0.53075353179203066</v>
      </c>
      <c r="AH72" s="281">
        <v>0.51270029426010566</v>
      </c>
      <c r="AI72" s="281">
        <v>0.53112029181902809</v>
      </c>
      <c r="AJ72" s="329">
        <v>0.53112029181902809</v>
      </c>
    </row>
    <row r="73" spans="1:36">
      <c r="B73" s="72" t="s">
        <v>545</v>
      </c>
      <c r="C73" s="72" t="s">
        <v>546</v>
      </c>
      <c r="D73" s="72">
        <v>0.64978282147355382</v>
      </c>
      <c r="E73" s="72">
        <v>0.55135841087081217</v>
      </c>
      <c r="F73" s="72">
        <v>0.43792850164571057</v>
      </c>
      <c r="G73" s="72">
        <v>0.43001517392927291</v>
      </c>
      <c r="H73" s="72">
        <v>0.40416328488601122</v>
      </c>
      <c r="I73" s="72">
        <v>0.32891324847954195</v>
      </c>
      <c r="J73" s="72">
        <v>0.37153142319589028</v>
      </c>
      <c r="K73" s="72">
        <v>0.45528111972975116</v>
      </c>
      <c r="L73" s="72">
        <v>0.49564085014799675</v>
      </c>
      <c r="M73" s="72">
        <v>0.49266165291251074</v>
      </c>
      <c r="N73" s="72">
        <v>0.54644258571442117</v>
      </c>
      <c r="O73" s="72">
        <v>0.51155270275216858</v>
      </c>
      <c r="P73" s="72">
        <v>0.51193520525186931</v>
      </c>
      <c r="Q73" s="72">
        <v>0.49315856475759107</v>
      </c>
      <c r="R73" s="281">
        <v>0.4865685210207456</v>
      </c>
      <c r="S73" s="281">
        <v>0.50091779793954694</v>
      </c>
      <c r="T73" s="281">
        <v>0.46889747647301205</v>
      </c>
      <c r="U73" s="281">
        <v>0.45063774125776479</v>
      </c>
      <c r="V73" s="281">
        <v>0.40272871591242537</v>
      </c>
      <c r="W73" s="281">
        <v>0.42695439822104303</v>
      </c>
      <c r="X73" s="281">
        <v>0.37894842102460607</v>
      </c>
      <c r="Y73" s="281">
        <v>0.38335079895125429</v>
      </c>
      <c r="Z73" s="281">
        <v>0.34936124898432447</v>
      </c>
      <c r="AA73" s="281">
        <v>0.42740929734587629</v>
      </c>
      <c r="AB73" s="281">
        <v>0.48743735147190964</v>
      </c>
      <c r="AC73" s="281">
        <v>0.47370965138505144</v>
      </c>
      <c r="AD73" s="281">
        <v>0.47905798282617124</v>
      </c>
      <c r="AE73" s="281">
        <v>0.48853093923638718</v>
      </c>
      <c r="AF73" s="281">
        <v>0.50423049007425069</v>
      </c>
      <c r="AG73" s="281">
        <v>0.44875402445395995</v>
      </c>
      <c r="AH73" s="281">
        <v>0.53795538691257072</v>
      </c>
      <c r="AI73" s="281">
        <v>0.57864944819710473</v>
      </c>
      <c r="AJ73" s="329">
        <v>0.57864944819710473</v>
      </c>
    </row>
    <row r="74" spans="1:36">
      <c r="B74" s="72" t="s">
        <v>547</v>
      </c>
      <c r="C74" s="72" t="s">
        <v>548</v>
      </c>
      <c r="D74" s="72">
        <v>0.5344988223995657</v>
      </c>
      <c r="E74" s="72">
        <v>0.57321703869482876</v>
      </c>
      <c r="F74" s="72">
        <v>0.57411492464637526</v>
      </c>
      <c r="G74" s="72">
        <v>0.41267257567074012</v>
      </c>
      <c r="H74" s="72">
        <v>0.38845571655508065</v>
      </c>
      <c r="I74" s="72">
        <v>0.3724502817782705</v>
      </c>
      <c r="J74" s="72">
        <v>0.40574350207410398</v>
      </c>
      <c r="K74" s="72">
        <v>0.41731706259376095</v>
      </c>
      <c r="L74" s="72">
        <v>0.45353515911908904</v>
      </c>
      <c r="M74" s="72">
        <v>0.54514099030999996</v>
      </c>
      <c r="N74" s="72">
        <v>0.59570385263999992</v>
      </c>
      <c r="O74" s="72">
        <v>0.5004459650270271</v>
      </c>
      <c r="P74" s="72">
        <v>0.47214713712753642</v>
      </c>
      <c r="Q74" s="72">
        <v>0.49537336481983646</v>
      </c>
      <c r="R74" s="281">
        <v>0.64615036371030821</v>
      </c>
      <c r="S74" s="281">
        <v>0.75679540695984726</v>
      </c>
      <c r="T74" s="281">
        <v>0.79493856425231313</v>
      </c>
      <c r="U74" s="281">
        <v>0.7827600621340417</v>
      </c>
      <c r="V74" s="281">
        <v>0.74739692736943963</v>
      </c>
      <c r="W74" s="281">
        <v>0.51097980871015192</v>
      </c>
      <c r="X74" s="281">
        <v>0.526770223186663</v>
      </c>
      <c r="Y74" s="281">
        <v>0.43655120550973558</v>
      </c>
      <c r="Z74" s="281">
        <v>0.38114848800709678</v>
      </c>
      <c r="AA74" s="281">
        <v>0.40436728992525189</v>
      </c>
      <c r="AB74" s="281">
        <v>0.44699800854700861</v>
      </c>
      <c r="AC74" s="281">
        <v>0.55741291405094495</v>
      </c>
      <c r="AD74" s="281">
        <v>0.64117352104779413</v>
      </c>
      <c r="AE74" s="281">
        <v>0.73674549468767647</v>
      </c>
      <c r="AF74" s="281">
        <v>0.82929547402966564</v>
      </c>
      <c r="AG74" s="281">
        <v>0.80573585460440933</v>
      </c>
      <c r="AH74" s="281">
        <v>0.98324295173420506</v>
      </c>
      <c r="AI74" s="281">
        <v>1.0819756379518997</v>
      </c>
      <c r="AJ74" s="329">
        <v>1.0819756379518997</v>
      </c>
    </row>
    <row r="75" spans="1:36">
      <c r="B75" s="72" t="s">
        <v>549</v>
      </c>
      <c r="C75" s="72" t="s">
        <v>550</v>
      </c>
      <c r="D75" s="72">
        <v>0.67669511171305818</v>
      </c>
      <c r="E75" s="72">
        <v>0.68362416656411229</v>
      </c>
      <c r="F75" s="72">
        <v>0.60536480401869164</v>
      </c>
      <c r="G75" s="72">
        <v>0.52241947354472318</v>
      </c>
      <c r="H75" s="72">
        <v>0.49240955623271288</v>
      </c>
      <c r="I75" s="72">
        <v>0.45184694066633335</v>
      </c>
      <c r="J75" s="72">
        <v>0.30409456277670616</v>
      </c>
      <c r="K75" s="72">
        <v>0.33822987922602094</v>
      </c>
      <c r="L75" s="72">
        <v>0.31581800149572647</v>
      </c>
      <c r="M75" s="72">
        <v>0.34136824120391734</v>
      </c>
      <c r="N75" s="72">
        <v>0.38366255348413791</v>
      </c>
      <c r="O75" s="72">
        <v>0.37824243260592727</v>
      </c>
      <c r="P75" s="72">
        <v>0.39964593756292205</v>
      </c>
      <c r="Q75" s="72">
        <v>0.38263017404381733</v>
      </c>
      <c r="R75" s="281">
        <v>0.361933273706953</v>
      </c>
      <c r="S75" s="281">
        <v>0.39210497946945111</v>
      </c>
      <c r="T75" s="281">
        <v>0.40468988470212763</v>
      </c>
      <c r="U75" s="281">
        <v>0.40940226141567887</v>
      </c>
      <c r="V75" s="281">
        <v>0.31646185908819313</v>
      </c>
      <c r="W75" s="281">
        <v>0.34365470779941004</v>
      </c>
      <c r="X75" s="281">
        <v>0.4266783467227378</v>
      </c>
      <c r="Y75" s="281">
        <v>0.37900585082324051</v>
      </c>
      <c r="Z75" s="281">
        <v>0.37457516258237461</v>
      </c>
      <c r="AA75" s="281">
        <v>0.40005576867753417</v>
      </c>
      <c r="AB75" s="281">
        <v>0.4648048123476512</v>
      </c>
      <c r="AC75" s="281">
        <v>0.54257903045541933</v>
      </c>
      <c r="AD75" s="281">
        <v>0.60592124325634089</v>
      </c>
      <c r="AE75" s="281">
        <v>0.62776295183464925</v>
      </c>
      <c r="AF75" s="281">
        <v>0.73604107860570134</v>
      </c>
      <c r="AG75" s="281">
        <v>0.55144422892204048</v>
      </c>
      <c r="AH75" s="281">
        <v>0.61512460427544735</v>
      </c>
      <c r="AI75" s="281">
        <v>0.77861708050021261</v>
      </c>
      <c r="AJ75" s="329">
        <v>0.77861708050021261</v>
      </c>
    </row>
    <row r="76" spans="1:36">
      <c r="B76" s="72" t="s">
        <v>551</v>
      </c>
      <c r="C76" s="72" t="s">
        <v>552</v>
      </c>
      <c r="D76" s="72">
        <v>0.817710123503814</v>
      </c>
      <c r="E76" s="72">
        <v>0.7133052912830965</v>
      </c>
      <c r="F76" s="72">
        <v>0.64874318522584351</v>
      </c>
      <c r="G76" s="72">
        <v>0.5166929146092929</v>
      </c>
      <c r="H76" s="72">
        <v>0.49446158895033865</v>
      </c>
      <c r="I76" s="72">
        <v>0.47132099872373723</v>
      </c>
      <c r="J76" s="72">
        <v>0.5103898870707807</v>
      </c>
      <c r="K76" s="72">
        <v>0.65603616809927534</v>
      </c>
      <c r="L76" s="72">
        <v>0.46234609339903998</v>
      </c>
      <c r="M76" s="72">
        <v>0.4355802984576414</v>
      </c>
      <c r="N76" s="72">
        <v>0.44009580790867581</v>
      </c>
      <c r="O76" s="72">
        <v>0.24546500819657158</v>
      </c>
      <c r="P76" s="72">
        <v>0.24571293304384001</v>
      </c>
      <c r="Q76" s="72">
        <v>0.25488032523540571</v>
      </c>
      <c r="R76" s="281">
        <v>0.21980602807201122</v>
      </c>
      <c r="S76" s="281">
        <v>0.28122881698157692</v>
      </c>
      <c r="T76" s="281">
        <v>0.22914125997132981</v>
      </c>
      <c r="U76" s="281">
        <v>0.24911422774649647</v>
      </c>
      <c r="V76" s="281">
        <v>0.28935763610852328</v>
      </c>
      <c r="W76" s="281">
        <v>0.2844168181359768</v>
      </c>
      <c r="X76" s="281">
        <v>0.25370797844751164</v>
      </c>
      <c r="Y76" s="281">
        <v>0.25579132895137352</v>
      </c>
      <c r="Z76" s="281">
        <v>0.26792871603755414</v>
      </c>
      <c r="AA76" s="281">
        <v>0.32167727148958269</v>
      </c>
      <c r="AB76" s="281">
        <v>0.36632795286648467</v>
      </c>
      <c r="AC76" s="281">
        <v>0.38058090318912396</v>
      </c>
      <c r="AD76" s="281">
        <v>0.38988195899442063</v>
      </c>
      <c r="AE76" s="281">
        <v>0.44540369528374502</v>
      </c>
      <c r="AF76" s="281">
        <v>0.48852956490165284</v>
      </c>
      <c r="AG76" s="281">
        <v>0.4702334377052676</v>
      </c>
      <c r="AH76" s="281">
        <v>0.45598893762790754</v>
      </c>
      <c r="AI76" s="281">
        <v>0.48284112022200287</v>
      </c>
      <c r="AJ76" s="329">
        <v>0.48284112022200287</v>
      </c>
    </row>
    <row r="77" spans="1:36">
      <c r="B77" s="72" t="s">
        <v>553</v>
      </c>
      <c r="C77" s="72" t="s">
        <v>554</v>
      </c>
      <c r="D77" s="72">
        <v>0.91323495434466595</v>
      </c>
      <c r="E77" s="72">
        <v>0.73749042103443985</v>
      </c>
      <c r="F77" s="72">
        <v>0.62679564095467488</v>
      </c>
      <c r="G77" s="72">
        <v>0.54808332549326289</v>
      </c>
      <c r="H77" s="72">
        <v>0.49062736209806973</v>
      </c>
      <c r="I77" s="72">
        <v>0.46655894576361195</v>
      </c>
      <c r="J77" s="72">
        <v>0.55446726343747932</v>
      </c>
      <c r="K77" s="72">
        <v>0.62839438411083992</v>
      </c>
      <c r="L77" s="72">
        <v>0.63361329038340597</v>
      </c>
      <c r="M77" s="72">
        <v>0.59766962439076654</v>
      </c>
      <c r="N77" s="72">
        <v>0.68690289440128804</v>
      </c>
      <c r="O77" s="72">
        <v>0.61571054953215443</v>
      </c>
      <c r="P77" s="72">
        <v>0.42990105142736268</v>
      </c>
      <c r="Q77" s="72">
        <v>0.42325709948519952</v>
      </c>
      <c r="R77" s="281">
        <v>0.33275494120686261</v>
      </c>
      <c r="S77" s="281">
        <v>0.38619130621481484</v>
      </c>
      <c r="T77" s="281">
        <v>0.37156470654572771</v>
      </c>
      <c r="U77" s="281">
        <v>0.32446587173414965</v>
      </c>
      <c r="V77" s="281">
        <v>0.34170091004126857</v>
      </c>
      <c r="W77" s="281">
        <v>0.33699435799301514</v>
      </c>
      <c r="X77" s="281">
        <v>0.28050258140476703</v>
      </c>
      <c r="Y77" s="281">
        <v>0.27707234823204108</v>
      </c>
      <c r="Z77" s="281">
        <v>0.30454874559765399</v>
      </c>
      <c r="AA77" s="281">
        <v>0.3583597358662966</v>
      </c>
      <c r="AB77" s="281">
        <v>0.3985377107003818</v>
      </c>
      <c r="AC77" s="281">
        <v>0.37959944944025692</v>
      </c>
      <c r="AD77" s="281">
        <v>0.36850900201174008</v>
      </c>
      <c r="AE77" s="281">
        <v>0.39954699506330488</v>
      </c>
      <c r="AF77" s="281">
        <v>0.4566933311002434</v>
      </c>
      <c r="AG77" s="281">
        <v>0.43764846844252053</v>
      </c>
      <c r="AH77" s="281">
        <v>0.4258382949816924</v>
      </c>
      <c r="AI77" s="281">
        <v>0.46161886131469393</v>
      </c>
      <c r="AJ77" s="329">
        <v>0.46161886131469393</v>
      </c>
    </row>
    <row r="78" spans="1:36">
      <c r="B78" s="72" t="s">
        <v>555</v>
      </c>
      <c r="C78" s="72" t="s">
        <v>556</v>
      </c>
      <c r="D78" s="72">
        <v>0.77183106670000001</v>
      </c>
      <c r="E78" s="72">
        <v>0.66290289966666671</v>
      </c>
      <c r="F78" s="72">
        <v>0.6602738544222222</v>
      </c>
      <c r="G78" s="72">
        <v>0.65452729545992472</v>
      </c>
      <c r="H78" s="72">
        <v>0.5741460656336147</v>
      </c>
      <c r="I78" s="72">
        <v>0.58061840479741489</v>
      </c>
      <c r="J78" s="72">
        <v>0.57479305282473503</v>
      </c>
      <c r="K78" s="72">
        <v>0.49835755391712527</v>
      </c>
      <c r="L78" s="72">
        <v>0.43863620432351574</v>
      </c>
      <c r="M78" s="72">
        <v>0.4292407920487562</v>
      </c>
      <c r="N78" s="72">
        <v>0.40609228386324492</v>
      </c>
      <c r="O78" s="72">
        <v>0.38571695522634741</v>
      </c>
      <c r="P78" s="72">
        <v>0.34695738919266644</v>
      </c>
      <c r="Q78" s="72">
        <v>0.31382828384678751</v>
      </c>
      <c r="R78" s="281">
        <v>0.31518053063566887</v>
      </c>
      <c r="S78" s="281">
        <v>0.3617729400099296</v>
      </c>
      <c r="T78" s="281">
        <v>0.33564181370767959</v>
      </c>
      <c r="U78" s="281">
        <v>0.37460550288065841</v>
      </c>
      <c r="V78" s="281">
        <v>0.32398211118401632</v>
      </c>
      <c r="W78" s="281">
        <v>0.29163161849669961</v>
      </c>
      <c r="X78" s="281">
        <v>0.29763427241317109</v>
      </c>
      <c r="Y78" s="281">
        <v>0.28071806933220933</v>
      </c>
      <c r="Z78" s="281">
        <v>0.25088293477822032</v>
      </c>
      <c r="AA78" s="281">
        <v>0.24208086121630862</v>
      </c>
      <c r="AB78" s="281">
        <v>0.26594836045634973</v>
      </c>
      <c r="AC78" s="281">
        <v>0.31709580699532164</v>
      </c>
      <c r="AD78" s="281">
        <v>0.32281862249253712</v>
      </c>
      <c r="AE78" s="281">
        <v>0.31923989635538469</v>
      </c>
      <c r="AF78" s="281">
        <v>0.36523427765174199</v>
      </c>
      <c r="AG78" s="281">
        <v>0.39021416194378056</v>
      </c>
      <c r="AH78" s="281">
        <v>0.41688093924157366</v>
      </c>
      <c r="AI78" s="281">
        <v>0.4491467366801703</v>
      </c>
      <c r="AJ78" s="329">
        <v>0.4491467366801703</v>
      </c>
    </row>
    <row r="79" spans="1:36">
      <c r="B79" s="72" t="s">
        <v>557</v>
      </c>
      <c r="C79" s="72" t="s">
        <v>558</v>
      </c>
      <c r="D79" s="72"/>
      <c r="E79" s="72"/>
      <c r="F79" s="72"/>
      <c r="G79" s="72"/>
      <c r="H79" s="72"/>
      <c r="I79" s="72"/>
      <c r="J79" s="72"/>
      <c r="K79" s="72"/>
      <c r="L79" s="72"/>
      <c r="M79" s="72"/>
      <c r="N79" s="72"/>
      <c r="O79" s="72"/>
      <c r="P79" s="72"/>
      <c r="Q79" s="72">
        <v>0.41692551312755671</v>
      </c>
      <c r="R79" s="281">
        <v>0.41261968830886425</v>
      </c>
      <c r="S79" s="281">
        <v>0.46701238774957499</v>
      </c>
      <c r="T79" s="281">
        <v>0.44361020562428677</v>
      </c>
      <c r="U79" s="281">
        <v>0.4046269211359414</v>
      </c>
      <c r="V79" s="281">
        <v>0.3443452216719915</v>
      </c>
      <c r="W79" s="281">
        <v>0.34181632106231924</v>
      </c>
      <c r="X79" s="281">
        <v>0.31957277623248576</v>
      </c>
      <c r="Y79" s="281">
        <v>0.31502511424566765</v>
      </c>
      <c r="Z79" s="281">
        <v>0.31276914814909368</v>
      </c>
      <c r="AA79" s="281">
        <v>0.30696402367428999</v>
      </c>
      <c r="AB79" s="281">
        <v>0.31006553295321565</v>
      </c>
      <c r="AC79" s="281">
        <v>0.3124133392547343</v>
      </c>
      <c r="AD79" s="281">
        <v>0.31582889011283605</v>
      </c>
      <c r="AE79" s="281">
        <v>0.33073656782209948</v>
      </c>
      <c r="AF79" s="281">
        <v>0.36341118898919639</v>
      </c>
      <c r="AG79" s="281">
        <v>0.36011333181938976</v>
      </c>
      <c r="AH79" s="281">
        <v>0.36472675329516452</v>
      </c>
      <c r="AI79" s="281">
        <v>0.38026614648269069</v>
      </c>
      <c r="AJ79" s="329">
        <v>0.38026614648269069</v>
      </c>
    </row>
    <row r="80" spans="1:36">
      <c r="B80" s="72" t="s">
        <v>559</v>
      </c>
      <c r="C80" s="72" t="s">
        <v>560</v>
      </c>
      <c r="D80" s="72">
        <v>0.77229919570404115</v>
      </c>
      <c r="E80" s="72">
        <v>0.68322264324334658</v>
      </c>
      <c r="F80" s="72">
        <v>0.57438198364535931</v>
      </c>
      <c r="G80" s="72">
        <v>0.52118489373620613</v>
      </c>
      <c r="H80" s="72">
        <v>0.4939770376504547</v>
      </c>
      <c r="I80" s="72">
        <v>0.46326478822155814</v>
      </c>
      <c r="J80" s="72">
        <v>0.55319530860922594</v>
      </c>
      <c r="K80" s="72">
        <v>0.63618243591666568</v>
      </c>
      <c r="L80" s="72">
        <v>0.6772983454508793</v>
      </c>
      <c r="M80" s="72">
        <v>0.5928098298079989</v>
      </c>
      <c r="N80" s="72">
        <v>0.60891796949606325</v>
      </c>
      <c r="O80" s="72">
        <v>0.68264713741733418</v>
      </c>
      <c r="P80" s="72">
        <v>0.63235422720496759</v>
      </c>
      <c r="Q80" s="72">
        <v>0.75904772558863121</v>
      </c>
      <c r="R80" s="281">
        <v>0.51987267342435561</v>
      </c>
      <c r="S80" s="281">
        <v>0.46583337325463997</v>
      </c>
      <c r="T80" s="281">
        <v>0.48580372106072961</v>
      </c>
      <c r="U80" s="281">
        <v>0.45853006163309101</v>
      </c>
      <c r="V80" s="281">
        <v>0.42125808810009141</v>
      </c>
      <c r="W80" s="281">
        <v>0.43308214648066073</v>
      </c>
      <c r="X80" s="281">
        <v>0.36030453886314345</v>
      </c>
      <c r="Y80" s="281">
        <v>0.34964882260342783</v>
      </c>
      <c r="Z80" s="281">
        <v>0.37361021014597828</v>
      </c>
      <c r="AA80" s="281">
        <v>0.44036975116233634</v>
      </c>
      <c r="AB80" s="281">
        <v>0.47833693704885411</v>
      </c>
      <c r="AC80" s="281">
        <v>0.47588713422289447</v>
      </c>
      <c r="AD80" s="281">
        <v>0.4833810434634509</v>
      </c>
      <c r="AE80" s="281">
        <v>0.51712215445154286</v>
      </c>
      <c r="AF80" s="281">
        <v>0.57308536785498909</v>
      </c>
      <c r="AG80" s="281">
        <v>0.51852371916835449</v>
      </c>
      <c r="AH80" s="281">
        <v>0.5056084495828107</v>
      </c>
      <c r="AI80" s="281">
        <v>0.53412060000546924</v>
      </c>
      <c r="AJ80" s="329">
        <v>0.53412060000546924</v>
      </c>
    </row>
    <row r="81" spans="2:36">
      <c r="B81" s="72" t="s">
        <v>561</v>
      </c>
      <c r="C81" s="72" t="s">
        <v>336</v>
      </c>
      <c r="D81" s="72">
        <v>0.991191170886076</v>
      </c>
      <c r="E81" s="72">
        <v>0.97904774960380336</v>
      </c>
      <c r="F81" s="72">
        <v>0.97283901353651614</v>
      </c>
      <c r="G81" s="72">
        <v>0.98771719084712772</v>
      </c>
      <c r="H81" s="72">
        <v>0.93558532159678798</v>
      </c>
      <c r="I81" s="72">
        <v>0.88781673306481146</v>
      </c>
      <c r="J81" s="72">
        <v>0.87925055775458794</v>
      </c>
      <c r="K81" s="72">
        <v>0.93633412820512818</v>
      </c>
      <c r="L81" s="72">
        <v>1.0189179702608271</v>
      </c>
      <c r="M81" s="72">
        <v>1.0668076292229731</v>
      </c>
      <c r="N81" s="72">
        <v>1.0753250694206375</v>
      </c>
      <c r="O81" s="72">
        <v>1.08889622850659</v>
      </c>
      <c r="P81" s="72">
        <v>1.0214891908662198</v>
      </c>
      <c r="Q81" s="72">
        <v>0.94996610262770331</v>
      </c>
      <c r="R81" s="281">
        <v>0.88915362917398955</v>
      </c>
      <c r="S81" s="281">
        <v>0.8863442502185952</v>
      </c>
      <c r="T81" s="281">
        <v>0.88955703116978369</v>
      </c>
      <c r="U81" s="281">
        <v>0.87110018561317337</v>
      </c>
      <c r="V81" s="281">
        <v>0.80050069834850024</v>
      </c>
      <c r="W81" s="281">
        <v>0.80151443763882335</v>
      </c>
      <c r="X81" s="281">
        <v>0.82934491953403811</v>
      </c>
      <c r="Y81" s="281">
        <v>0.78631115831611575</v>
      </c>
      <c r="Z81" s="281">
        <v>0.78336423819537382</v>
      </c>
      <c r="AA81" s="281">
        <v>0.87526057883091857</v>
      </c>
      <c r="AB81" s="281">
        <v>0.94603992329095632</v>
      </c>
      <c r="AC81" s="281">
        <v>1.0015547913778307</v>
      </c>
      <c r="AD81" s="281">
        <v>1.0647547233682428</v>
      </c>
      <c r="AE81" s="281">
        <v>1.1276611404897123</v>
      </c>
      <c r="AF81" s="281">
        <v>1.1568357634203028</v>
      </c>
      <c r="AG81" s="281">
        <v>1.0498397891698015</v>
      </c>
      <c r="AH81" s="281">
        <v>1.1834040261576795</v>
      </c>
      <c r="AI81" s="281">
        <v>1.2471130121212122</v>
      </c>
      <c r="AJ81" s="329">
        <v>1.2471130121212122</v>
      </c>
    </row>
    <row r="82" spans="2:36">
      <c r="B82" s="72" t="s">
        <v>562</v>
      </c>
      <c r="C82" s="72" t="s">
        <v>563</v>
      </c>
      <c r="D82" s="72">
        <v>0.99996428949418659</v>
      </c>
      <c r="E82" s="72">
        <v>0.82655794698396345</v>
      </c>
      <c r="F82" s="72">
        <v>0.76400115889819242</v>
      </c>
      <c r="G82" s="72">
        <v>0.66076184502370072</v>
      </c>
      <c r="H82" s="72">
        <v>0.58501505588616121</v>
      </c>
      <c r="I82" s="72">
        <v>0.54511778392193977</v>
      </c>
      <c r="J82" s="72">
        <v>0.71747796961503474</v>
      </c>
      <c r="K82" s="72">
        <v>0.82459513471182266</v>
      </c>
      <c r="L82" s="72">
        <v>0.84461053240364947</v>
      </c>
      <c r="M82" s="72">
        <v>0.7792398895202628</v>
      </c>
      <c r="N82" s="72">
        <v>0.85556552954179055</v>
      </c>
      <c r="O82" s="72">
        <v>0.85038348346123682</v>
      </c>
      <c r="P82" s="72">
        <v>0.90258213784586439</v>
      </c>
      <c r="Q82" s="72">
        <v>1.1301284688350925</v>
      </c>
      <c r="R82" s="281">
        <v>0.85873165583519562</v>
      </c>
      <c r="S82" s="281">
        <v>0.93542819943268318</v>
      </c>
      <c r="T82" s="281">
        <v>0.88771244425531015</v>
      </c>
      <c r="U82" s="281">
        <v>0.7907842446492046</v>
      </c>
      <c r="V82" s="281">
        <v>0.76520688265857084</v>
      </c>
      <c r="W82" s="281">
        <v>0.7652666950880177</v>
      </c>
      <c r="X82" s="281">
        <v>0.63561556094249161</v>
      </c>
      <c r="Y82" s="281">
        <v>0.6114271388068947</v>
      </c>
      <c r="Z82" s="281">
        <v>0.6302888688213012</v>
      </c>
      <c r="AA82" s="281">
        <v>0.77293050180182477</v>
      </c>
      <c r="AB82" s="281">
        <v>0.81868057320642407</v>
      </c>
      <c r="AC82" s="281">
        <v>0.78222683136729321</v>
      </c>
      <c r="AD82" s="281">
        <v>0.78421050542928672</v>
      </c>
      <c r="AE82" s="281">
        <v>0.8428373206552191</v>
      </c>
      <c r="AF82" s="281">
        <v>0.91093821758437254</v>
      </c>
      <c r="AG82" s="281">
        <v>0.88862244093342513</v>
      </c>
      <c r="AH82" s="281">
        <v>0.86920128595207113</v>
      </c>
      <c r="AI82" s="281">
        <v>0.9275196143890404</v>
      </c>
      <c r="AJ82" s="329">
        <v>0.9275196143890404</v>
      </c>
    </row>
    <row r="83" spans="2:36">
      <c r="B83" s="72" t="s">
        <v>564</v>
      </c>
      <c r="C83" s="72" t="s">
        <v>565</v>
      </c>
      <c r="D83" s="72"/>
      <c r="E83" s="72"/>
      <c r="F83" s="72"/>
      <c r="G83" s="72"/>
      <c r="H83" s="72"/>
      <c r="I83" s="72"/>
      <c r="J83" s="72"/>
      <c r="K83" s="72"/>
      <c r="L83" s="72"/>
      <c r="M83" s="72"/>
      <c r="N83" s="72"/>
      <c r="O83" s="72"/>
      <c r="P83" s="72"/>
      <c r="Q83" s="72"/>
      <c r="R83" s="281"/>
      <c r="S83" s="281"/>
      <c r="T83" s="281"/>
      <c r="U83" s="281"/>
      <c r="V83" s="281"/>
      <c r="W83" s="281"/>
      <c r="X83" s="281"/>
      <c r="Y83" s="281"/>
      <c r="Z83" s="281"/>
      <c r="AA83" s="281"/>
      <c r="AB83" s="281"/>
      <c r="AC83" s="281"/>
      <c r="AD83" s="281"/>
      <c r="AE83" s="281"/>
      <c r="AF83" s="281"/>
      <c r="AG83" s="281"/>
      <c r="AH83" s="281"/>
      <c r="AI83" s="281"/>
      <c r="AJ83" s="329"/>
    </row>
    <row r="84" spans="2:36">
      <c r="B84" s="72" t="s">
        <v>566</v>
      </c>
      <c r="C84" s="72" t="s">
        <v>567</v>
      </c>
      <c r="D84" s="72">
        <v>0.73873680469043923</v>
      </c>
      <c r="E84" s="72">
        <v>0.59802551325963538</v>
      </c>
      <c r="F84" s="72">
        <v>0.56360603259452213</v>
      </c>
      <c r="G84" s="72">
        <v>0.51943191588874993</v>
      </c>
      <c r="H84" s="72">
        <v>0.44279251849881707</v>
      </c>
      <c r="I84" s="72">
        <v>0.56059363779019578</v>
      </c>
      <c r="J84" s="72">
        <v>0.68567372064945564</v>
      </c>
      <c r="K84" s="72">
        <v>0.75806978838325867</v>
      </c>
      <c r="L84" s="72">
        <v>0.76251823828180509</v>
      </c>
      <c r="M84" s="72">
        <v>0.71261595708774383</v>
      </c>
      <c r="N84" s="72">
        <v>0.82267941883521833</v>
      </c>
      <c r="O84" s="72">
        <v>0.75531747757907741</v>
      </c>
      <c r="P84" s="72">
        <v>0.80731102559473589</v>
      </c>
      <c r="Q84" s="72">
        <v>0.71306862476861987</v>
      </c>
      <c r="R84" s="281">
        <v>0.43751336188041634</v>
      </c>
      <c r="S84" s="281">
        <v>0.52459256702626422</v>
      </c>
      <c r="T84" s="281">
        <v>0.51213486875963743</v>
      </c>
      <c r="U84" s="281">
        <v>0.44639342467290249</v>
      </c>
      <c r="V84" s="281">
        <v>0.43981984952773906</v>
      </c>
      <c r="W84" s="281">
        <v>0.42004801019047305</v>
      </c>
      <c r="X84" s="281">
        <v>0.36677303411417839</v>
      </c>
      <c r="Y84" s="281">
        <v>0.36329869292196554</v>
      </c>
      <c r="Z84" s="281">
        <v>0.38265168708541608</v>
      </c>
      <c r="AA84" s="281">
        <v>0.46358838883026193</v>
      </c>
      <c r="AB84" s="281">
        <v>0.49749273915001435</v>
      </c>
      <c r="AC84" s="281">
        <v>0.50001170252665261</v>
      </c>
      <c r="AD84" s="281">
        <v>0.509196841318316</v>
      </c>
      <c r="AE84" s="281">
        <v>0.54981629917261488</v>
      </c>
      <c r="AF84" s="281">
        <v>0.61620749652641704</v>
      </c>
      <c r="AG84" s="281">
        <v>0.59758451585244365</v>
      </c>
      <c r="AH84" s="281">
        <v>0.57735512013772106</v>
      </c>
      <c r="AI84" s="281">
        <v>0.60418225521407876</v>
      </c>
      <c r="AJ84" s="329">
        <v>0.60418225521407876</v>
      </c>
    </row>
    <row r="85" spans="2:36">
      <c r="B85" s="72" t="s">
        <v>568</v>
      </c>
      <c r="C85" s="72" t="s">
        <v>569</v>
      </c>
      <c r="D85" s="72">
        <v>0.73042129345557294</v>
      </c>
      <c r="E85" s="72">
        <v>0.56108479435469027</v>
      </c>
      <c r="F85" s="72">
        <v>0.47765175179927266</v>
      </c>
      <c r="G85" s="72">
        <v>0.39627032443283955</v>
      </c>
      <c r="H85" s="72">
        <v>0.41323392017484634</v>
      </c>
      <c r="I85" s="72">
        <v>0.37006252654915511</v>
      </c>
      <c r="J85" s="72">
        <v>0.3900684062026249</v>
      </c>
      <c r="K85" s="72">
        <v>0.42299796858934896</v>
      </c>
      <c r="L85" s="72">
        <v>0.45106583000668132</v>
      </c>
      <c r="M85" s="72">
        <v>0.40078380584125112</v>
      </c>
      <c r="N85" s="72">
        <v>0.4886829450459847</v>
      </c>
      <c r="O85" s="72">
        <v>0.47015217914542756</v>
      </c>
      <c r="P85" s="72">
        <v>0.42740973788304104</v>
      </c>
      <c r="Q85" s="72">
        <v>0.38583478022249695</v>
      </c>
      <c r="R85" s="281">
        <v>0.27682346673270891</v>
      </c>
      <c r="S85" s="281">
        <v>0.32748731824100974</v>
      </c>
      <c r="T85" s="281">
        <v>0.34996741696803835</v>
      </c>
      <c r="U85" s="281">
        <v>0.31230658139016915</v>
      </c>
      <c r="V85" s="281">
        <v>0.32523947962711863</v>
      </c>
      <c r="W85" s="281">
        <v>0.28431456237904468</v>
      </c>
      <c r="X85" s="281">
        <v>0.25301994169780045</v>
      </c>
      <c r="Y85" s="281">
        <v>0.27345902265906363</v>
      </c>
      <c r="Z85" s="281">
        <v>0.28844378612426463</v>
      </c>
      <c r="AA85" s="281">
        <v>0.3389969218685478</v>
      </c>
      <c r="AB85" s="281">
        <v>0.39806866468539415</v>
      </c>
      <c r="AC85" s="281">
        <v>0.39433489986160347</v>
      </c>
      <c r="AD85" s="281">
        <v>0.43856410728833978</v>
      </c>
      <c r="AE85" s="281">
        <v>0.48933069680317592</v>
      </c>
      <c r="AF85" s="281">
        <v>0.57252418756696433</v>
      </c>
      <c r="AG85" s="281">
        <v>0.48486801374999999</v>
      </c>
      <c r="AH85" s="281">
        <v>0.51363698265742119</v>
      </c>
      <c r="AI85" s="281">
        <v>0.5412595438043396</v>
      </c>
      <c r="AJ85" s="329">
        <v>0.5412595438043396</v>
      </c>
    </row>
    <row r="86" spans="2:36">
      <c r="B86" s="72" t="s">
        <v>570</v>
      </c>
      <c r="C86" s="72" t="s">
        <v>384</v>
      </c>
      <c r="D86" s="72"/>
      <c r="E86" s="72"/>
      <c r="F86" s="72"/>
      <c r="G86" s="72"/>
      <c r="H86" s="72"/>
      <c r="I86" s="72"/>
      <c r="J86" s="72"/>
      <c r="K86" s="72"/>
      <c r="L86" s="72"/>
      <c r="M86" s="72"/>
      <c r="N86" s="72"/>
      <c r="O86" s="72"/>
      <c r="P86" s="72"/>
      <c r="Q86" s="72"/>
      <c r="R86" s="281"/>
      <c r="S86" s="281"/>
      <c r="T86" s="281"/>
      <c r="U86" s="281"/>
      <c r="V86" s="281"/>
      <c r="W86" s="281"/>
      <c r="X86" s="281"/>
      <c r="Y86" s="281"/>
      <c r="Z86" s="281"/>
      <c r="AA86" s="281"/>
      <c r="AB86" s="281"/>
      <c r="AC86" s="281"/>
      <c r="AD86" s="281"/>
      <c r="AE86" s="281"/>
      <c r="AF86" s="281"/>
      <c r="AG86" s="281"/>
      <c r="AH86" s="281"/>
      <c r="AI86" s="281"/>
      <c r="AJ86" s="329"/>
    </row>
    <row r="87" spans="2:36">
      <c r="B87" s="72" t="s">
        <v>571</v>
      </c>
      <c r="C87" s="72" t="s">
        <v>572</v>
      </c>
      <c r="D87" s="72">
        <v>1.0589035206666666</v>
      </c>
      <c r="E87" s="72">
        <v>1.0944332385128206</v>
      </c>
      <c r="F87" s="72">
        <v>0.85766712828520919</v>
      </c>
      <c r="G87" s="72">
        <v>0.69653145354740453</v>
      </c>
      <c r="H87" s="72">
        <v>0.60483627618805846</v>
      </c>
      <c r="I87" s="72">
        <v>0.46965640279746362</v>
      </c>
      <c r="J87" s="72">
        <v>0.46766822780283002</v>
      </c>
      <c r="K87" s="72">
        <v>0.49771393646597695</v>
      </c>
      <c r="L87" s="72">
        <v>0.52325082690502422</v>
      </c>
      <c r="M87" s="72">
        <v>0.52007144933508143</v>
      </c>
      <c r="N87" s="72">
        <v>0.53151265168907846</v>
      </c>
      <c r="O87" s="72">
        <v>0.54326907708607752</v>
      </c>
      <c r="P87" s="72">
        <v>0.57127748800264766</v>
      </c>
      <c r="Q87" s="72">
        <v>0.55484064675755251</v>
      </c>
      <c r="R87" s="281">
        <v>0.58863599100385555</v>
      </c>
      <c r="S87" s="281">
        <v>0.66763253875040962</v>
      </c>
      <c r="T87" s="281">
        <v>0.64692300118854151</v>
      </c>
      <c r="U87" s="281">
        <v>0.65198672175717254</v>
      </c>
      <c r="V87" s="281">
        <v>0.59891983553846484</v>
      </c>
      <c r="W87" s="281">
        <v>0.54727685404300486</v>
      </c>
      <c r="X87" s="281">
        <v>0.52847679845780282</v>
      </c>
      <c r="Y87" s="281">
        <v>0.4559502816014111</v>
      </c>
      <c r="Z87" s="281">
        <v>0.43093826298371413</v>
      </c>
      <c r="AA87" s="281">
        <v>0.44519371159965287</v>
      </c>
      <c r="AB87" s="281">
        <v>0.5278825618099191</v>
      </c>
      <c r="AC87" s="281">
        <v>0.59612249728681987</v>
      </c>
      <c r="AD87" s="281">
        <v>0.68675336306633361</v>
      </c>
      <c r="AE87" s="281">
        <v>0.71019298235764128</v>
      </c>
      <c r="AF87" s="281">
        <v>0.69811881783343821</v>
      </c>
      <c r="AG87" s="281">
        <v>0.6718929810566141</v>
      </c>
      <c r="AH87" s="281">
        <v>0.78323188553304779</v>
      </c>
      <c r="AI87" s="281">
        <v>0.83155562463430421</v>
      </c>
      <c r="AJ87" s="329">
        <v>0.83155562463430421</v>
      </c>
    </row>
    <row r="88" spans="2:36">
      <c r="B88" s="72" t="s">
        <v>573</v>
      </c>
      <c r="C88" s="72" t="s">
        <v>574</v>
      </c>
      <c r="D88" s="72">
        <v>0.77159177529803147</v>
      </c>
      <c r="E88" s="72">
        <v>0.68728161282097577</v>
      </c>
      <c r="F88" s="72">
        <v>0.62152924669022092</v>
      </c>
      <c r="G88" s="72">
        <v>0.60617367428741231</v>
      </c>
      <c r="H88" s="72">
        <v>0.57146935969635171</v>
      </c>
      <c r="I88" s="72">
        <v>0.58201771251587708</v>
      </c>
      <c r="J88" s="72">
        <v>0.50816903552713333</v>
      </c>
      <c r="K88" s="72">
        <v>0.40159950203591838</v>
      </c>
      <c r="L88" s="72">
        <v>0.39917379921904317</v>
      </c>
      <c r="M88" s="72">
        <v>0.41067258038484328</v>
      </c>
      <c r="N88" s="72">
        <v>0.39554717211386897</v>
      </c>
      <c r="O88" s="72">
        <v>0.37243154648829574</v>
      </c>
      <c r="P88" s="72">
        <v>0.35574915298465626</v>
      </c>
      <c r="Q88" s="72">
        <v>0.31825496899217864</v>
      </c>
      <c r="R88" s="281">
        <v>0.35010523204010729</v>
      </c>
      <c r="S88" s="281">
        <v>0.40163215135439861</v>
      </c>
      <c r="T88" s="281">
        <v>0.42188490096401271</v>
      </c>
      <c r="U88" s="281">
        <v>0.42140448552817683</v>
      </c>
      <c r="V88" s="281">
        <v>0.4125310705541117</v>
      </c>
      <c r="W88" s="281">
        <v>0.40150679586802934</v>
      </c>
      <c r="X88" s="281">
        <v>0.40110303516119455</v>
      </c>
      <c r="Y88" s="281">
        <v>0.40032729645398213</v>
      </c>
      <c r="Z88" s="281">
        <v>0.39623695275516913</v>
      </c>
      <c r="AA88" s="281">
        <v>0.39819314963193181</v>
      </c>
      <c r="AB88" s="281">
        <v>0.41408981163009856</v>
      </c>
      <c r="AC88" s="281">
        <v>0.42073024457244668</v>
      </c>
      <c r="AD88" s="281">
        <v>0.4347303014397873</v>
      </c>
      <c r="AE88" s="281">
        <v>0.47646401527440024</v>
      </c>
      <c r="AF88" s="281">
        <v>0.55043311806885431</v>
      </c>
      <c r="AG88" s="281">
        <v>0.54915889781844807</v>
      </c>
      <c r="AH88" s="281">
        <v>0.58688879179701348</v>
      </c>
      <c r="AI88" s="281">
        <v>0.64817617900007796</v>
      </c>
      <c r="AJ88" s="329">
        <v>0.64817617900007796</v>
      </c>
    </row>
    <row r="89" spans="2:36">
      <c r="B89" s="72" t="s">
        <v>575</v>
      </c>
      <c r="C89" s="72" t="s">
        <v>576</v>
      </c>
      <c r="D89" s="72">
        <v>0.49142903953890121</v>
      </c>
      <c r="E89" s="72">
        <v>0.47867517505926227</v>
      </c>
      <c r="F89" s="72">
        <v>0.47863096114325865</v>
      </c>
      <c r="G89" s="72">
        <v>0.45046748886282223</v>
      </c>
      <c r="H89" s="72">
        <v>0.41489762251593226</v>
      </c>
      <c r="I89" s="72">
        <v>0.35625104954852527</v>
      </c>
      <c r="J89" s="72">
        <v>0.32969122983789034</v>
      </c>
      <c r="K89" s="72">
        <v>0.31642559075870363</v>
      </c>
      <c r="L89" s="72">
        <v>0.31678482308917943</v>
      </c>
      <c r="M89" s="72">
        <v>0.29766980435653889</v>
      </c>
      <c r="N89" s="72">
        <v>0.27547348108549358</v>
      </c>
      <c r="O89" s="72">
        <v>0.26673140210093993</v>
      </c>
      <c r="P89" s="72">
        <v>0.29720092689310396</v>
      </c>
      <c r="Q89" s="72">
        <v>0.32170980295180807</v>
      </c>
      <c r="R89" s="281">
        <v>0.43617903411195635</v>
      </c>
      <c r="S89" s="281">
        <v>0.45876083537010232</v>
      </c>
      <c r="T89" s="281">
        <v>0.46391416634974869</v>
      </c>
      <c r="U89" s="281">
        <v>0.48306873709749315</v>
      </c>
      <c r="V89" s="281">
        <v>0.43719102692300449</v>
      </c>
      <c r="W89" s="281">
        <v>0.39377807272356613</v>
      </c>
      <c r="X89" s="281">
        <v>0.42779997849714529</v>
      </c>
      <c r="Y89" s="281">
        <v>0.40448117234287873</v>
      </c>
      <c r="Z89" s="281">
        <v>0.38722681679337667</v>
      </c>
      <c r="AA89" s="281">
        <v>0.35283260506864628</v>
      </c>
      <c r="AB89" s="281">
        <v>0.40285349962324196</v>
      </c>
      <c r="AC89" s="281">
        <v>0.46604259577459539</v>
      </c>
      <c r="AD89" s="281">
        <v>0.47007694487658164</v>
      </c>
      <c r="AE89" s="281">
        <v>0.54482040328332371</v>
      </c>
      <c r="AF89" s="281">
        <v>0.60546154666431784</v>
      </c>
      <c r="AG89" s="281">
        <v>0.56447809323961928</v>
      </c>
      <c r="AH89" s="281">
        <v>0.65858634060303667</v>
      </c>
      <c r="AI89" s="281">
        <v>0.70806456888693536</v>
      </c>
      <c r="AJ89" s="329">
        <v>0.70806456888693536</v>
      </c>
    </row>
    <row r="90" spans="2:36">
      <c r="B90" s="72" t="s">
        <v>577</v>
      </c>
      <c r="C90" s="72" t="s">
        <v>578</v>
      </c>
      <c r="D90" s="72">
        <v>0.65240539041706247</v>
      </c>
      <c r="E90" s="72">
        <v>0.5313657661160196</v>
      </c>
      <c r="F90" s="72">
        <v>0.44120532480818403</v>
      </c>
      <c r="G90" s="72">
        <v>0.42164706702806914</v>
      </c>
      <c r="H90" s="72">
        <v>0.3762352431375115</v>
      </c>
      <c r="I90" s="72">
        <v>0.38019409391931264</v>
      </c>
      <c r="J90" s="72">
        <v>0.51810487270523387</v>
      </c>
      <c r="K90" s="72">
        <v>0.59870813624073294</v>
      </c>
      <c r="L90" s="72">
        <v>0.59509218827833565</v>
      </c>
      <c r="M90" s="72">
        <v>0.56738148624650775</v>
      </c>
      <c r="N90" s="72">
        <v>0.65443238259452174</v>
      </c>
      <c r="O90" s="72">
        <v>0.66043894477452347</v>
      </c>
      <c r="P90" s="72">
        <v>0.6427375336028156</v>
      </c>
      <c r="Q90" s="72">
        <v>0.60457789340981605</v>
      </c>
      <c r="R90" s="281">
        <v>0.44086473739376675</v>
      </c>
      <c r="S90" s="281">
        <v>0.51910175063634478</v>
      </c>
      <c r="T90" s="281">
        <v>0.5136236841256494</v>
      </c>
      <c r="U90" s="281">
        <v>0.44572757611508573</v>
      </c>
      <c r="V90" s="281">
        <v>0.44072678303664498</v>
      </c>
      <c r="W90" s="281">
        <v>0.44037635962610805</v>
      </c>
      <c r="X90" s="281">
        <v>0.38553329137273235</v>
      </c>
      <c r="Y90" s="281">
        <v>0.39775690484026749</v>
      </c>
      <c r="Z90" s="281">
        <v>0.42881388023350464</v>
      </c>
      <c r="AA90" s="281">
        <v>0.52944434040686184</v>
      </c>
      <c r="AB90" s="281">
        <v>0.57657947974769863</v>
      </c>
      <c r="AC90" s="281">
        <v>0.57177399142602481</v>
      </c>
      <c r="AD90" s="281">
        <v>0.56992921271835717</v>
      </c>
      <c r="AE90" s="281">
        <v>0.63560741549656641</v>
      </c>
      <c r="AF90" s="281">
        <v>0.70219071023842694</v>
      </c>
      <c r="AG90" s="281">
        <v>0.68742643112590862</v>
      </c>
      <c r="AH90" s="281">
        <v>0.67857731231076102</v>
      </c>
      <c r="AI90" s="281">
        <v>0.72941451914414068</v>
      </c>
      <c r="AJ90" s="329">
        <v>0.72941451914414068</v>
      </c>
    </row>
    <row r="91" spans="2:36">
      <c r="B91" s="72" t="s">
        <v>579</v>
      </c>
      <c r="C91" s="72" t="s">
        <v>580</v>
      </c>
      <c r="D91" s="72">
        <v>1.4330094570739769</v>
      </c>
      <c r="E91" s="72">
        <v>1.1149721113089555</v>
      </c>
      <c r="F91" s="72">
        <v>1.1495663241748206</v>
      </c>
      <c r="G91" s="72">
        <v>0.8791647991619137</v>
      </c>
      <c r="H91" s="72">
        <v>0.57316050728662049</v>
      </c>
      <c r="I91" s="72">
        <v>0.50689824473023182</v>
      </c>
      <c r="J91" s="72">
        <v>0.53272389851887791</v>
      </c>
      <c r="K91" s="72">
        <v>0.47706486869819403</v>
      </c>
      <c r="L91" s="72">
        <v>0.53070057567008322</v>
      </c>
      <c r="M91" s="72">
        <v>0.5273918620794491</v>
      </c>
      <c r="N91" s="72">
        <v>0.56360829483910435</v>
      </c>
      <c r="O91" s="72">
        <v>0.57854089246326501</v>
      </c>
      <c r="P91" s="72">
        <v>0.57165667255294772</v>
      </c>
      <c r="Q91" s="72">
        <v>0.84353222361167357</v>
      </c>
      <c r="R91" s="281">
        <v>0.4676020244135991</v>
      </c>
      <c r="S91" s="281">
        <v>0.4399985843849229</v>
      </c>
      <c r="T91" s="281">
        <v>0.44672095051267141</v>
      </c>
      <c r="U91" s="281">
        <v>0.49005199952400086</v>
      </c>
      <c r="V91" s="281">
        <v>0.50130286605888863</v>
      </c>
      <c r="W91" s="281">
        <v>0.39118801361818178</v>
      </c>
      <c r="X91" s="281">
        <v>0.37588600117391302</v>
      </c>
      <c r="Y91" s="281">
        <v>0.40914339496666668</v>
      </c>
      <c r="Z91" s="281">
        <v>0.45982281500624855</v>
      </c>
      <c r="AA91" s="281">
        <v>0.43533172228431499</v>
      </c>
      <c r="AB91" s="281">
        <v>0.45594891775185004</v>
      </c>
      <c r="AC91" s="281">
        <v>0.45212771253867029</v>
      </c>
      <c r="AD91" s="281">
        <v>0.50902876308788891</v>
      </c>
      <c r="AE91" s="281">
        <v>0.5283435012587353</v>
      </c>
      <c r="AF91" s="281">
        <v>0.56773359678661728</v>
      </c>
      <c r="AG91" s="281">
        <v>0.52291449755140174</v>
      </c>
      <c r="AH91" s="281">
        <v>0.56682114138870543</v>
      </c>
      <c r="AI91" s="281">
        <v>0.61952553077989969</v>
      </c>
      <c r="AJ91" s="329">
        <v>0.61952553077989969</v>
      </c>
    </row>
    <row r="92" spans="2:36">
      <c r="B92" s="72" t="s">
        <v>581</v>
      </c>
      <c r="C92" s="72" t="s">
        <v>582</v>
      </c>
      <c r="D92" s="72">
        <v>0.67298630771006507</v>
      </c>
      <c r="E92" s="72">
        <v>0.61137845380424305</v>
      </c>
      <c r="F92" s="72">
        <v>0.50533282153215708</v>
      </c>
      <c r="G92" s="72">
        <v>0.44575425641209571</v>
      </c>
      <c r="H92" s="72">
        <v>0.42004437698224589</v>
      </c>
      <c r="I92" s="72">
        <v>0.40633659378201981</v>
      </c>
      <c r="J92" s="72">
        <v>0.3651941796358672</v>
      </c>
      <c r="K92" s="72">
        <v>0.44001152307051211</v>
      </c>
      <c r="L92" s="72">
        <v>0.40232851737286746</v>
      </c>
      <c r="M92" s="72">
        <v>0.40814934987006968</v>
      </c>
      <c r="N92" s="72">
        <v>0.45600643030196142</v>
      </c>
      <c r="O92" s="72">
        <v>0.41933071773748309</v>
      </c>
      <c r="P92" s="72">
        <v>0.43083200664650734</v>
      </c>
      <c r="Q92" s="72">
        <v>0.27854046634989477</v>
      </c>
      <c r="R92" s="281">
        <v>0.26633021798243633</v>
      </c>
      <c r="S92" s="281">
        <v>0.29933631236159325</v>
      </c>
      <c r="T92" s="281">
        <v>0.33863228492252356</v>
      </c>
      <c r="U92" s="281">
        <v>0.3056339592255119</v>
      </c>
      <c r="V92" s="281">
        <v>0.2438536674711371</v>
      </c>
      <c r="W92" s="281">
        <v>0.29787896121142549</v>
      </c>
      <c r="X92" s="281">
        <v>0.37075059768154189</v>
      </c>
      <c r="Y92" s="281">
        <v>0.30308235603888167</v>
      </c>
      <c r="Z92" s="281">
        <v>0.3082107113970643</v>
      </c>
      <c r="AA92" s="281">
        <v>0.34659784486717204</v>
      </c>
      <c r="AB92" s="281">
        <v>0.43322340014519134</v>
      </c>
      <c r="AC92" s="281">
        <v>0.50952880170722381</v>
      </c>
      <c r="AD92" s="281">
        <v>0.59013975255748197</v>
      </c>
      <c r="AE92" s="281">
        <v>0.63273803123013972</v>
      </c>
      <c r="AF92" s="281">
        <v>0.82835982196349733</v>
      </c>
      <c r="AG92" s="281">
        <v>0.61544128301230228</v>
      </c>
      <c r="AH92" s="281">
        <v>0.70336640752222812</v>
      </c>
      <c r="AI92" s="281">
        <v>0.79922870998545448</v>
      </c>
      <c r="AJ92" s="329">
        <v>0.79922870998545448</v>
      </c>
    </row>
    <row r="93" spans="2:36">
      <c r="B93" s="72" t="s">
        <v>583</v>
      </c>
      <c r="C93" s="72" t="s">
        <v>257</v>
      </c>
      <c r="D93" s="72">
        <v>0.67708806278073264</v>
      </c>
      <c r="E93" s="72">
        <v>0.34397531515647245</v>
      </c>
      <c r="F93" s="72">
        <v>0.34740825639125988</v>
      </c>
      <c r="G93" s="72">
        <v>0.49562295609718809</v>
      </c>
      <c r="H93" s="72">
        <v>0.5196302028322296</v>
      </c>
      <c r="I93" s="72">
        <v>0.52105554390099007</v>
      </c>
      <c r="J93" s="72">
        <v>0.55021708605734765</v>
      </c>
      <c r="K93" s="72">
        <v>0.5333322268440337</v>
      </c>
      <c r="L93" s="72">
        <v>0.51534475607599939</v>
      </c>
      <c r="M93" s="72">
        <v>0.5352736690666996</v>
      </c>
      <c r="N93" s="72">
        <v>0.53515405549486561</v>
      </c>
      <c r="O93" s="72">
        <v>0.48816831048762555</v>
      </c>
      <c r="P93" s="72">
        <v>0.52430194361899773</v>
      </c>
      <c r="Q93" s="72">
        <v>0.53695712124846229</v>
      </c>
      <c r="R93" s="281">
        <v>0.55040062946506163</v>
      </c>
      <c r="S93" s="281">
        <v>0.57469945070422535</v>
      </c>
      <c r="T93" s="281">
        <v>0.56550911116460445</v>
      </c>
      <c r="U93" s="281">
        <v>0.56923917841788485</v>
      </c>
      <c r="V93" s="281">
        <v>0.569006048874373</v>
      </c>
      <c r="W93" s="281">
        <v>0.58069490387846545</v>
      </c>
      <c r="X93" s="281">
        <v>0.56363905613420295</v>
      </c>
      <c r="Y93" s="281">
        <v>0.56090692474229931</v>
      </c>
      <c r="Z93" s="281">
        <v>0.55079016613862486</v>
      </c>
      <c r="AA93" s="281">
        <v>0.52721880317561187</v>
      </c>
      <c r="AB93" s="281">
        <v>0.52214253714511893</v>
      </c>
      <c r="AC93" s="281">
        <v>0.51239703843235751</v>
      </c>
      <c r="AD93" s="281">
        <v>0.51486813416264132</v>
      </c>
      <c r="AE93" s="281">
        <v>0.54168469079825809</v>
      </c>
      <c r="AF93" s="281">
        <v>0.58464821585215587</v>
      </c>
      <c r="AG93" s="281">
        <v>0.57449836832460732</v>
      </c>
      <c r="AH93" s="281">
        <v>0.67139369661995585</v>
      </c>
      <c r="AI93" s="281">
        <v>0.71128762051151129</v>
      </c>
      <c r="AJ93" s="329">
        <v>0.71128762051151129</v>
      </c>
    </row>
    <row r="94" spans="2:36">
      <c r="B94" s="72" t="s">
        <v>584</v>
      </c>
      <c r="C94" s="72" t="s">
        <v>585</v>
      </c>
      <c r="D94" s="72">
        <v>0.95690389009797661</v>
      </c>
      <c r="E94" s="72">
        <v>0.70051673721861174</v>
      </c>
      <c r="F94" s="72">
        <v>0.59133081310354507</v>
      </c>
      <c r="G94" s="72">
        <v>0.53489846344978909</v>
      </c>
      <c r="H94" s="72">
        <v>0.53011675105403822</v>
      </c>
      <c r="I94" s="72">
        <v>0.50203562134186064</v>
      </c>
      <c r="J94" s="72">
        <v>0.62417614829598533</v>
      </c>
      <c r="K94" s="72">
        <v>0.67028413288991562</v>
      </c>
      <c r="L94" s="72">
        <v>0.65108456423973182</v>
      </c>
      <c r="M94" s="72">
        <v>0.57991292303603259</v>
      </c>
      <c r="N94" s="72">
        <v>0.62503524315914016</v>
      </c>
      <c r="O94" s="72">
        <v>0.58727375925976355</v>
      </c>
      <c r="P94" s="72">
        <v>0.6128548530039799</v>
      </c>
      <c r="Q94" s="72">
        <v>0.59508757038992854</v>
      </c>
      <c r="R94" s="281">
        <v>0.43542144974588493</v>
      </c>
      <c r="S94" s="281">
        <v>0.52558094662319566</v>
      </c>
      <c r="T94" s="281">
        <v>0.52902429320326649</v>
      </c>
      <c r="U94" s="281">
        <v>0.47407619556243108</v>
      </c>
      <c r="V94" s="281">
        <v>0.48666901685187353</v>
      </c>
      <c r="W94" s="281">
        <v>0.46379393913765304</v>
      </c>
      <c r="X94" s="281">
        <v>0.3910938925358482</v>
      </c>
      <c r="Y94" s="281">
        <v>0.38721347285633806</v>
      </c>
      <c r="Z94" s="281">
        <v>0.42106493942071838</v>
      </c>
      <c r="AA94" s="281">
        <v>0.50097606439031728</v>
      </c>
      <c r="AB94" s="281">
        <v>0.53944658822882419</v>
      </c>
      <c r="AC94" s="281">
        <v>0.54502879325018228</v>
      </c>
      <c r="AD94" s="281">
        <v>0.55658044424872832</v>
      </c>
      <c r="AE94" s="281">
        <v>0.60613771843336051</v>
      </c>
      <c r="AF94" s="281">
        <v>0.68545438354926314</v>
      </c>
      <c r="AG94" s="281">
        <v>0.64171712935314607</v>
      </c>
      <c r="AH94" s="281">
        <v>0.61905166245768661</v>
      </c>
      <c r="AI94" s="281">
        <v>0.66758938188962003</v>
      </c>
      <c r="AJ94" s="329">
        <v>0.66758938188962003</v>
      </c>
    </row>
    <row r="95" spans="2:36">
      <c r="B95" s="72" t="s">
        <v>586</v>
      </c>
      <c r="C95" s="72" t="s">
        <v>587</v>
      </c>
      <c r="D95" s="72"/>
      <c r="E95" s="72"/>
      <c r="F95" s="72"/>
      <c r="G95" s="72"/>
      <c r="H95" s="72"/>
      <c r="I95" s="72"/>
      <c r="J95" s="72"/>
      <c r="K95" s="72"/>
      <c r="L95" s="72"/>
      <c r="M95" s="72"/>
      <c r="N95" s="72"/>
      <c r="O95" s="72"/>
      <c r="P95" s="72"/>
      <c r="Q95" s="72"/>
      <c r="R95" s="281"/>
      <c r="S95" s="281">
        <v>0.59222107419515169</v>
      </c>
      <c r="T95" s="281">
        <v>0.57720720606529019</v>
      </c>
      <c r="U95" s="281">
        <v>0.53623888053111712</v>
      </c>
      <c r="V95" s="281">
        <v>0.55317171939088217</v>
      </c>
      <c r="W95" s="281">
        <v>0.50835611461394603</v>
      </c>
      <c r="X95" s="281">
        <v>0.44513794396994338</v>
      </c>
      <c r="Y95" s="281">
        <v>0.44511945292813043</v>
      </c>
      <c r="Z95" s="281">
        <v>0.47516472224551243</v>
      </c>
      <c r="AA95" s="281">
        <v>0.57294519615212525</v>
      </c>
      <c r="AB95" s="281">
        <v>0.639667443050561</v>
      </c>
      <c r="AC95" s="281">
        <v>0.65813088939689368</v>
      </c>
      <c r="AD95" s="281">
        <v>0.66858142281338862</v>
      </c>
      <c r="AE95" s="281">
        <v>0.71579811307670804</v>
      </c>
      <c r="AF95" s="281">
        <v>0.77633351544939444</v>
      </c>
      <c r="AG95" s="281">
        <v>0.73308815904918712</v>
      </c>
      <c r="AH95" s="281">
        <v>0.71881490328160713</v>
      </c>
      <c r="AI95" s="281">
        <v>0.72835870105179867</v>
      </c>
      <c r="AJ95" s="329">
        <v>0.72835870105179867</v>
      </c>
    </row>
    <row r="96" spans="2:36">
      <c r="B96" s="72" t="s">
        <v>588</v>
      </c>
      <c r="C96" s="72" t="s">
        <v>589</v>
      </c>
      <c r="D96" s="72"/>
      <c r="E96" s="72"/>
      <c r="F96" s="72"/>
      <c r="G96" s="72"/>
      <c r="H96" s="72"/>
      <c r="I96" s="72"/>
      <c r="J96" s="72"/>
      <c r="K96" s="72"/>
      <c r="L96" s="72"/>
      <c r="M96" s="72"/>
      <c r="N96" s="72"/>
      <c r="O96" s="72"/>
      <c r="P96" s="72"/>
      <c r="Q96" s="72"/>
      <c r="R96" s="281"/>
      <c r="S96" s="281"/>
      <c r="T96" s="281"/>
      <c r="U96" s="281"/>
      <c r="V96" s="281"/>
      <c r="W96" s="281"/>
      <c r="X96" s="281"/>
      <c r="Y96" s="281"/>
      <c r="Z96" s="281"/>
      <c r="AA96" s="281"/>
      <c r="AB96" s="281"/>
      <c r="AC96" s="281"/>
      <c r="AD96" s="281"/>
      <c r="AE96" s="281"/>
      <c r="AF96" s="281"/>
      <c r="AG96" s="281"/>
      <c r="AH96" s="281"/>
      <c r="AI96" s="281"/>
      <c r="AJ96" s="329"/>
    </row>
    <row r="97" spans="1:36">
      <c r="B97" s="72" t="s">
        <v>590</v>
      </c>
      <c r="C97" s="72" t="s">
        <v>591</v>
      </c>
      <c r="D97" s="72"/>
      <c r="E97" s="72"/>
      <c r="F97" s="72"/>
      <c r="G97" s="72"/>
      <c r="H97" s="72"/>
      <c r="I97" s="72"/>
      <c r="J97" s="72"/>
      <c r="K97" s="72"/>
      <c r="L97" s="72"/>
      <c r="M97" s="72"/>
      <c r="N97" s="72"/>
      <c r="O97" s="72"/>
      <c r="P97" s="72"/>
      <c r="Q97" s="72"/>
      <c r="R97" s="281"/>
      <c r="S97" s="281"/>
      <c r="T97" s="281"/>
      <c r="U97" s="281"/>
      <c r="V97" s="281"/>
      <c r="W97" s="281"/>
      <c r="X97" s="281"/>
      <c r="Y97" s="281"/>
      <c r="Z97" s="281"/>
      <c r="AA97" s="281"/>
      <c r="AB97" s="281"/>
      <c r="AC97" s="281"/>
      <c r="AD97" s="281"/>
      <c r="AE97" s="281"/>
      <c r="AF97" s="281"/>
      <c r="AG97" s="281"/>
      <c r="AH97" s="281"/>
      <c r="AI97" s="281"/>
      <c r="AJ97" s="329"/>
    </row>
    <row r="98" spans="1:36">
      <c r="B98" s="72" t="s">
        <v>592</v>
      </c>
      <c r="C98" s="72" t="s">
        <v>593</v>
      </c>
      <c r="D98" s="72">
        <v>0.83620580139303491</v>
      </c>
      <c r="E98" s="72">
        <v>0.72264829800557884</v>
      </c>
      <c r="F98" s="72">
        <v>0.66454135479654752</v>
      </c>
      <c r="G98" s="72">
        <v>0.60577220827586209</v>
      </c>
      <c r="H98" s="72">
        <v>0.56612304143569303</v>
      </c>
      <c r="I98" s="72">
        <v>0.55875530910748561</v>
      </c>
      <c r="J98" s="72">
        <v>0.67020003898305092</v>
      </c>
      <c r="K98" s="72">
        <v>0.72898557744214376</v>
      </c>
      <c r="L98" s="72">
        <v>0.74884265603513167</v>
      </c>
      <c r="M98" s="72">
        <v>0.71302547145562134</v>
      </c>
      <c r="N98" s="72">
        <v>0.78364884193341866</v>
      </c>
      <c r="O98" s="72">
        <v>0.7764242951767677</v>
      </c>
      <c r="P98" s="72">
        <v>0.83262922305084741</v>
      </c>
      <c r="Q98" s="72">
        <v>0.77142739177856301</v>
      </c>
      <c r="R98" s="281">
        <v>0.80441208542857146</v>
      </c>
      <c r="S98" s="281">
        <v>0.92296684953428199</v>
      </c>
      <c r="T98" s="281">
        <v>0.89492727618569634</v>
      </c>
      <c r="U98" s="281">
        <v>0.81660044624857475</v>
      </c>
      <c r="V98" s="281">
        <v>0.81930741375565608</v>
      </c>
      <c r="W98" s="281">
        <v>0.79164147656957917</v>
      </c>
      <c r="X98" s="281">
        <v>0.69044295866164007</v>
      </c>
      <c r="Y98" s="281">
        <v>0.65915718757741348</v>
      </c>
      <c r="Z98" s="281">
        <v>0.69530373744230767</v>
      </c>
      <c r="AA98" s="281">
        <v>0.84517646799546997</v>
      </c>
      <c r="AB98" s="281">
        <v>0.92128237523750001</v>
      </c>
      <c r="AC98" s="281">
        <v>0.91898427209595956</v>
      </c>
      <c r="AD98" s="281">
        <v>0.90763969734355043</v>
      </c>
      <c r="AE98" s="281">
        <v>0.97805596467675382</v>
      </c>
      <c r="AF98" s="281">
        <v>1.0035408111908599</v>
      </c>
      <c r="AG98" s="281">
        <v>0.93414030176437912</v>
      </c>
      <c r="AH98" s="281">
        <v>0.90558430135099333</v>
      </c>
      <c r="AI98" s="281">
        <v>0.9508930150681123</v>
      </c>
      <c r="AJ98" s="329">
        <v>0.9508930150681123</v>
      </c>
    </row>
    <row r="99" spans="1:36">
      <c r="B99" s="72" t="s">
        <v>594</v>
      </c>
      <c r="C99" s="72" t="s">
        <v>595</v>
      </c>
      <c r="D99" s="72"/>
      <c r="E99" s="72"/>
      <c r="F99" s="72"/>
      <c r="G99" s="72"/>
      <c r="H99" s="72"/>
      <c r="I99" s="72"/>
      <c r="J99" s="72"/>
      <c r="K99" s="72"/>
      <c r="L99" s="72"/>
      <c r="M99" s="72"/>
      <c r="N99" s="72">
        <v>0.30751798558215515</v>
      </c>
      <c r="O99" s="72">
        <v>0.24634912951360402</v>
      </c>
      <c r="P99" s="72">
        <v>0.28191381152989353</v>
      </c>
      <c r="Q99" s="72">
        <v>0.32370225364505989</v>
      </c>
      <c r="R99" s="281">
        <v>0.36075619958475008</v>
      </c>
      <c r="S99" s="281">
        <v>0.41822906405425775</v>
      </c>
      <c r="T99" s="281">
        <v>0.4407831543982656</v>
      </c>
      <c r="U99" s="281">
        <v>0.40140234206050263</v>
      </c>
      <c r="V99" s="281">
        <v>0.43043538461538422</v>
      </c>
      <c r="W99" s="281">
        <v>0.40899080946216659</v>
      </c>
      <c r="X99" s="281">
        <v>0.36824181135106421</v>
      </c>
      <c r="Y99" s="281">
        <v>0.37391232246926098</v>
      </c>
      <c r="Z99" s="281">
        <v>0.43737017647373294</v>
      </c>
      <c r="AA99" s="281">
        <v>0.49750708071891953</v>
      </c>
      <c r="AB99" s="281">
        <v>0.5560756338096674</v>
      </c>
      <c r="AC99" s="281">
        <v>0.5975056869782972</v>
      </c>
      <c r="AD99" s="281">
        <v>0.62182118008849552</v>
      </c>
      <c r="AE99" s="281">
        <v>0.68728449630359789</v>
      </c>
      <c r="AF99" s="281">
        <v>0.83549768248388989</v>
      </c>
      <c r="AG99" s="281">
        <v>0.73330264742917106</v>
      </c>
      <c r="AH99" s="281">
        <v>0.74572782722513076</v>
      </c>
      <c r="AI99" s="281">
        <v>0.78522913672316386</v>
      </c>
      <c r="AJ99" s="329">
        <v>0.78522913672316386</v>
      </c>
    </row>
    <row r="100" spans="1:36">
      <c r="B100" s="72" t="s">
        <v>596</v>
      </c>
      <c r="C100" s="72" t="s">
        <v>597</v>
      </c>
      <c r="D100" s="72">
        <v>1.3681239393885625</v>
      </c>
      <c r="E100" s="72">
        <v>1.0930638081534099</v>
      </c>
      <c r="F100" s="72">
        <v>0.96975445465892185</v>
      </c>
      <c r="G100" s="72">
        <v>0.91288310235101155</v>
      </c>
      <c r="H100" s="72">
        <v>0.8233939299577081</v>
      </c>
      <c r="I100" s="72">
        <v>0.81451742252085613</v>
      </c>
      <c r="J100" s="72">
        <v>1.0712209475960945</v>
      </c>
      <c r="K100" s="72">
        <v>1.2900270227913981</v>
      </c>
      <c r="L100" s="72">
        <v>1.3169249758597639</v>
      </c>
      <c r="M100" s="72">
        <v>1.2262962779404121</v>
      </c>
      <c r="N100" s="72">
        <v>1.4341420031994312</v>
      </c>
      <c r="O100" s="72">
        <v>1.3758858733682484</v>
      </c>
      <c r="P100" s="72">
        <v>1.4481080863471445</v>
      </c>
      <c r="Q100" s="72">
        <v>1.3279166493931123</v>
      </c>
      <c r="R100" s="281">
        <v>1.3462549825488161</v>
      </c>
      <c r="S100" s="281">
        <v>1.5162005606525775</v>
      </c>
      <c r="T100" s="281">
        <v>1.4578778124407192</v>
      </c>
      <c r="U100" s="281">
        <v>1.2780378428344312</v>
      </c>
      <c r="V100" s="281">
        <v>1.2532152793696274</v>
      </c>
      <c r="W100" s="281">
        <v>1.2140863880049311</v>
      </c>
      <c r="X100" s="281">
        <v>1.0403350452178002</v>
      </c>
      <c r="Y100" s="281">
        <v>1.0174388787427306</v>
      </c>
      <c r="Z100" s="281">
        <v>1.0516177369627724</v>
      </c>
      <c r="AA100" s="281">
        <v>1.2958506422575407</v>
      </c>
      <c r="AB100" s="281">
        <v>1.4027800269067576</v>
      </c>
      <c r="AC100" s="281">
        <v>1.4324181211657339</v>
      </c>
      <c r="AD100" s="281">
        <v>1.4017573246361896</v>
      </c>
      <c r="AE100" s="281">
        <v>1.51279441482815</v>
      </c>
      <c r="AF100" s="281">
        <v>1.5716079046630824</v>
      </c>
      <c r="AG100" s="281">
        <v>1.4692861787359142</v>
      </c>
      <c r="AH100" s="281">
        <v>1.3916938222419928</v>
      </c>
      <c r="AI100" s="281">
        <v>1.4630994722532589</v>
      </c>
      <c r="AJ100" s="329">
        <v>1.4630994722532589</v>
      </c>
    </row>
    <row r="101" spans="1:36" s="126" customFormat="1">
      <c r="A101" s="90"/>
      <c r="B101" s="72" t="s">
        <v>598</v>
      </c>
      <c r="C101" s="72" t="s">
        <v>599</v>
      </c>
      <c r="D101" s="72"/>
      <c r="E101" s="72"/>
      <c r="F101" s="72"/>
      <c r="G101" s="72"/>
      <c r="H101" s="72"/>
      <c r="I101" s="72"/>
      <c r="J101" s="72"/>
      <c r="K101" s="72"/>
      <c r="L101" s="72"/>
      <c r="M101" s="72"/>
      <c r="N101" s="72">
        <v>0.40703865124086741</v>
      </c>
      <c r="O101" s="72">
        <v>0.42042974259290417</v>
      </c>
      <c r="P101" s="72">
        <v>0.42575640003948007</v>
      </c>
      <c r="Q101" s="72">
        <v>0.43495376611887054</v>
      </c>
      <c r="R101" s="281">
        <v>0.45398257472000719</v>
      </c>
      <c r="S101" s="281">
        <v>0.46533851298849943</v>
      </c>
      <c r="T101" s="281">
        <v>0.47330401781023707</v>
      </c>
      <c r="U101" s="281">
        <v>0.47605356084753342</v>
      </c>
      <c r="V101" s="281">
        <v>0.47980785712159463</v>
      </c>
      <c r="W101" s="281">
        <v>0.48241879019178269</v>
      </c>
      <c r="X101" s="281">
        <v>0.48353445394747946</v>
      </c>
      <c r="Y101" s="281">
        <v>0.48113543626808314</v>
      </c>
      <c r="Z101" s="281">
        <v>0.47644187465746873</v>
      </c>
      <c r="AA101" s="281">
        <v>0.4757968335987306</v>
      </c>
      <c r="AB101" s="281">
        <v>0.47727829265534183</v>
      </c>
      <c r="AC101" s="281">
        <v>0.47650540703124561</v>
      </c>
      <c r="AD101" s="281">
        <v>0.47777414245924793</v>
      </c>
      <c r="AE101" s="281">
        <v>0.48720011386949202</v>
      </c>
      <c r="AF101" s="281">
        <v>0.52205492677286314</v>
      </c>
      <c r="AG101" s="281">
        <v>0.52396152011298602</v>
      </c>
      <c r="AH101" s="281"/>
      <c r="AI101" s="281"/>
      <c r="AJ101" s="329"/>
    </row>
    <row r="102" spans="1:36">
      <c r="B102" s="72" t="s">
        <v>600</v>
      </c>
      <c r="C102" s="72" t="s">
        <v>601</v>
      </c>
      <c r="D102" s="72">
        <v>0.38730453860439956</v>
      </c>
      <c r="E102" s="72">
        <v>0.35399075138903863</v>
      </c>
      <c r="F102" s="72">
        <v>0.34864021876871759</v>
      </c>
      <c r="G102" s="72">
        <v>0.36227391274645643</v>
      </c>
      <c r="H102" s="72">
        <v>0.37230355927673386</v>
      </c>
      <c r="I102" s="72">
        <v>0.39137385964364391</v>
      </c>
      <c r="J102" s="72">
        <v>0.40642688297039054</v>
      </c>
      <c r="K102" s="72">
        <v>0.41401921846593465</v>
      </c>
      <c r="L102" s="72">
        <v>0.41935083659399708</v>
      </c>
      <c r="M102" s="72">
        <v>0.43219550040418919</v>
      </c>
      <c r="N102" s="72">
        <v>0.42901248842336615</v>
      </c>
      <c r="O102" s="72">
        <v>0.44740364024671486</v>
      </c>
      <c r="P102" s="72">
        <v>0.45632654631135289</v>
      </c>
      <c r="Q102" s="72">
        <v>0.45898562389402148</v>
      </c>
      <c r="R102" s="281">
        <v>0.4767611178763913</v>
      </c>
      <c r="S102" s="281">
        <v>0.47508904768369886</v>
      </c>
      <c r="T102" s="281">
        <v>0.47999560326371266</v>
      </c>
      <c r="U102" s="281">
        <v>0.48232305211149729</v>
      </c>
      <c r="V102" s="281">
        <v>0.47642272795644158</v>
      </c>
      <c r="W102" s="281">
        <v>0.52288112383966034</v>
      </c>
      <c r="X102" s="281">
        <v>0.62621104642219549</v>
      </c>
      <c r="Y102" s="281">
        <v>0.62498074681429383</v>
      </c>
      <c r="Z102" s="281">
        <v>0.62088473884959483</v>
      </c>
      <c r="AA102" s="281">
        <v>0.59012479772616833</v>
      </c>
      <c r="AB102" s="281">
        <v>0.59989390907215812</v>
      </c>
      <c r="AC102" s="281">
        <v>0.57685518518518519</v>
      </c>
      <c r="AD102" s="281">
        <v>0.57409628251851852</v>
      </c>
      <c r="AE102" s="281">
        <v>0.57184646174074072</v>
      </c>
      <c r="AF102" s="281">
        <v>0.57151391407407404</v>
      </c>
      <c r="AG102" s="281">
        <v>0.55468188885185188</v>
      </c>
      <c r="AH102" s="281">
        <v>0.53486680362962957</v>
      </c>
      <c r="AI102" s="281">
        <v>0.53837814233333336</v>
      </c>
      <c r="AJ102" s="329">
        <v>0.53837814233333336</v>
      </c>
    </row>
    <row r="103" spans="1:36">
      <c r="B103" s="72" t="s">
        <v>602</v>
      </c>
      <c r="C103" s="72" t="s">
        <v>603</v>
      </c>
      <c r="D103" s="72">
        <v>0.63650829387999996</v>
      </c>
      <c r="E103" s="72">
        <v>0.61160657728000001</v>
      </c>
      <c r="F103" s="72">
        <v>0.6212222342</v>
      </c>
      <c r="G103" s="72">
        <v>0.61834158719999999</v>
      </c>
      <c r="H103" s="72">
        <v>0.70520949836000002</v>
      </c>
      <c r="I103" s="72">
        <v>0.34141189773977321</v>
      </c>
      <c r="J103" s="72">
        <v>0.39148913488914672</v>
      </c>
      <c r="K103" s="72">
        <v>0.32875214520653839</v>
      </c>
      <c r="L103" s="72">
        <v>0.28682146009573467</v>
      </c>
      <c r="M103" s="72">
        <v>0.32941505553627759</v>
      </c>
      <c r="N103" s="72">
        <v>0.35512040552238633</v>
      </c>
      <c r="O103" s="72">
        <v>0.46773262866921461</v>
      </c>
      <c r="P103" s="72">
        <v>0.48071687583077738</v>
      </c>
      <c r="Q103" s="72">
        <v>0.50479910405600004</v>
      </c>
      <c r="R103" s="281">
        <v>0.54078229757142859</v>
      </c>
      <c r="S103" s="281">
        <v>0.56474230417829452</v>
      </c>
      <c r="T103" s="281">
        <v>0.57412789678434895</v>
      </c>
      <c r="U103" s="281">
        <v>0.56356611090326225</v>
      </c>
      <c r="V103" s="281">
        <v>0.56117028306275551</v>
      </c>
      <c r="W103" s="281">
        <v>0.53142304638061921</v>
      </c>
      <c r="X103" s="281">
        <v>0.54419819743534281</v>
      </c>
      <c r="Y103" s="281">
        <v>0.54224281642202388</v>
      </c>
      <c r="Z103" s="281">
        <v>0.53832975225945479</v>
      </c>
      <c r="AA103" s="281">
        <v>0.42308303229492172</v>
      </c>
      <c r="AB103" s="281">
        <v>0.42091367012313835</v>
      </c>
      <c r="AC103" s="281">
        <v>0.57527244845231951</v>
      </c>
      <c r="AD103" s="281">
        <v>0.53241826055950725</v>
      </c>
      <c r="AE103" s="281">
        <v>0.54813072495457293</v>
      </c>
      <c r="AF103" s="281">
        <v>0.56487423339145604</v>
      </c>
      <c r="AG103" s="281">
        <v>0.55048424768673354</v>
      </c>
      <c r="AH103" s="281">
        <v>0.55921468163238275</v>
      </c>
      <c r="AI103" s="281">
        <v>0.5645146283522855</v>
      </c>
      <c r="AJ103" s="329">
        <v>0.5645146283522855</v>
      </c>
    </row>
    <row r="104" spans="1:36">
      <c r="B104" s="72" t="s">
        <v>604</v>
      </c>
      <c r="C104" s="72" t="s">
        <v>605</v>
      </c>
      <c r="D104" s="72">
        <v>0.54964407475367394</v>
      </c>
      <c r="E104" s="72">
        <v>0.57091397589348425</v>
      </c>
      <c r="F104" s="72">
        <v>0.51098576150463493</v>
      </c>
      <c r="G104" s="72">
        <v>0.42763814470104389</v>
      </c>
      <c r="H104" s="72">
        <v>0.40395922740524903</v>
      </c>
      <c r="I104" s="72">
        <v>0.39607246289581377</v>
      </c>
      <c r="J104" s="72">
        <v>0.32413203370167526</v>
      </c>
      <c r="K104" s="72">
        <v>0.28402361870186094</v>
      </c>
      <c r="L104" s="72">
        <v>0.25324953248589244</v>
      </c>
      <c r="M104" s="72">
        <v>0.25309373935489721</v>
      </c>
      <c r="N104" s="72">
        <v>0.258124835541165</v>
      </c>
      <c r="O104" s="72">
        <v>0.26005925573482908</v>
      </c>
      <c r="P104" s="72">
        <v>0.26523289239930053</v>
      </c>
      <c r="Q104" s="72">
        <v>0.32492484212231976</v>
      </c>
      <c r="R104" s="281">
        <v>0.37518560508165194</v>
      </c>
      <c r="S104" s="281">
        <v>0.39182477554440498</v>
      </c>
      <c r="T104" s="281">
        <v>0.39593765475418302</v>
      </c>
      <c r="U104" s="281">
        <v>0.41488356804717907</v>
      </c>
      <c r="V104" s="281">
        <v>0.39421195894463967</v>
      </c>
      <c r="W104" s="281">
        <v>0.29729618464907337</v>
      </c>
      <c r="X104" s="281">
        <v>0.27050313190130826</v>
      </c>
      <c r="Y104" s="281">
        <v>0.33472066733</v>
      </c>
      <c r="Z104" s="281">
        <v>0.36449212128000003</v>
      </c>
      <c r="AA104" s="281">
        <v>0.39728120971999997</v>
      </c>
      <c r="AB104" s="281">
        <v>0.40803179823000002</v>
      </c>
      <c r="AC104" s="281">
        <v>0.42262771142</v>
      </c>
      <c r="AD104" s="281">
        <v>0.44123706448</v>
      </c>
      <c r="AE104" s="281">
        <v>0.45851853105000001</v>
      </c>
      <c r="AF104" s="281">
        <v>0.49832920326000002</v>
      </c>
      <c r="AG104" s="281">
        <v>0.47031204224000001</v>
      </c>
      <c r="AH104" s="281">
        <v>0.50248715488999995</v>
      </c>
      <c r="AI104" s="281">
        <v>0.51870135842999998</v>
      </c>
      <c r="AJ104" s="329">
        <v>0.51870135842999998</v>
      </c>
    </row>
    <row r="105" spans="1:36">
      <c r="B105" s="72" t="s">
        <v>606</v>
      </c>
      <c r="C105" s="72" t="s">
        <v>607</v>
      </c>
      <c r="D105" s="72">
        <v>0.44413189614345072</v>
      </c>
      <c r="E105" s="72">
        <v>0.3997923832260577</v>
      </c>
      <c r="F105" s="72">
        <v>0.37490129800440469</v>
      </c>
      <c r="G105" s="72">
        <v>0.36917603477985972</v>
      </c>
      <c r="H105" s="72">
        <v>0.36524721042378311</v>
      </c>
      <c r="I105" s="72">
        <v>0.37637952235985173</v>
      </c>
      <c r="J105" s="72">
        <v>0.37096642727531626</v>
      </c>
      <c r="K105" s="72">
        <v>0.39689101001806004</v>
      </c>
      <c r="L105" s="72">
        <v>0.31510478873947395</v>
      </c>
      <c r="M105" s="72">
        <v>0.32729259014414613</v>
      </c>
      <c r="N105" s="72">
        <v>0.32452277702963317</v>
      </c>
      <c r="O105" s="72">
        <v>0.26616051649956474</v>
      </c>
      <c r="P105" s="72">
        <v>0.28258804084887063</v>
      </c>
      <c r="Q105" s="72">
        <v>0.29905487591127938</v>
      </c>
      <c r="R105" s="281">
        <v>0.31407966414283917</v>
      </c>
      <c r="S105" s="281">
        <v>0.34001326717047908</v>
      </c>
      <c r="T105" s="281">
        <v>0.35773835086349259</v>
      </c>
      <c r="U105" s="281">
        <v>0.38586739649584045</v>
      </c>
      <c r="V105" s="281">
        <v>0.39556597121402204</v>
      </c>
      <c r="W105" s="281">
        <v>0.39289324920686081</v>
      </c>
      <c r="X105" s="281">
        <v>0.40170641197466866</v>
      </c>
      <c r="Y105" s="281">
        <v>0.37100409790439737</v>
      </c>
      <c r="Z105" s="281">
        <v>0.32089359534478745</v>
      </c>
      <c r="AA105" s="281">
        <v>0.2874675336583557</v>
      </c>
      <c r="AB105" s="281">
        <v>0.25540320134522587</v>
      </c>
      <c r="AC105" s="281">
        <v>0.26914996830604732</v>
      </c>
      <c r="AD105" s="281">
        <v>0.29246672945414048</v>
      </c>
      <c r="AE105" s="281">
        <v>0.32219400728769765</v>
      </c>
      <c r="AF105" s="281">
        <v>0.36708523941818183</v>
      </c>
      <c r="AG105" s="281">
        <v>0.40171709513577225</v>
      </c>
      <c r="AH105" s="281">
        <v>0.43941760624064585</v>
      </c>
      <c r="AI105" s="281">
        <v>0.44275618856288229</v>
      </c>
      <c r="AJ105" s="329">
        <v>0.44275618856288229</v>
      </c>
    </row>
    <row r="106" spans="1:36">
      <c r="B106" s="72" t="s">
        <v>608</v>
      </c>
      <c r="C106" s="72" t="s">
        <v>609</v>
      </c>
      <c r="D106" s="72">
        <v>0.36772812422000001</v>
      </c>
      <c r="E106" s="72">
        <v>0.36108827196999999</v>
      </c>
      <c r="F106" s="72">
        <v>0.35924051863000001</v>
      </c>
      <c r="G106" s="72">
        <v>0.35107633255999998</v>
      </c>
      <c r="H106" s="72">
        <v>0.34869647002999998</v>
      </c>
      <c r="I106" s="72">
        <v>0.34902632770000003</v>
      </c>
      <c r="J106" s="72">
        <v>0.33817374868</v>
      </c>
      <c r="K106" s="72">
        <v>0.33632928863</v>
      </c>
      <c r="L106" s="72">
        <v>0.33770773645000002</v>
      </c>
      <c r="M106" s="72">
        <v>0.3363828089</v>
      </c>
      <c r="N106" s="72">
        <v>0.33946621360000001</v>
      </c>
      <c r="O106" s="72">
        <v>0.3506546062</v>
      </c>
      <c r="P106" s="72">
        <v>0.35802972983999998</v>
      </c>
      <c r="Q106" s="72">
        <v>0.38018417822</v>
      </c>
      <c r="R106" s="281">
        <v>0.40945398370000002</v>
      </c>
      <c r="S106" s="281">
        <v>0.44190741190999999</v>
      </c>
      <c r="T106" s="281">
        <v>0.46356106799000002</v>
      </c>
      <c r="U106" s="281">
        <v>0.47091461465000001</v>
      </c>
      <c r="V106" s="281">
        <v>0.48272999289000001</v>
      </c>
      <c r="W106" s="281">
        <v>0.47736568655</v>
      </c>
      <c r="X106" s="281">
        <v>0.48197608125000002</v>
      </c>
      <c r="Y106" s="281">
        <v>0.48731211877000002</v>
      </c>
      <c r="Z106" s="281">
        <v>0.48531612333000002</v>
      </c>
      <c r="AA106" s="281">
        <v>0.48864948587000001</v>
      </c>
      <c r="AB106" s="281">
        <v>0.48996132324000002</v>
      </c>
      <c r="AC106" s="281">
        <v>0.4954558</v>
      </c>
      <c r="AD106" s="281">
        <v>0.50127043472999999</v>
      </c>
      <c r="AE106" s="281">
        <v>0.50843844692999995</v>
      </c>
      <c r="AF106" s="281">
        <v>0.52357735194999999</v>
      </c>
      <c r="AG106" s="281">
        <v>0.51432106016000001</v>
      </c>
      <c r="AH106" s="281">
        <v>0.52253906023999996</v>
      </c>
      <c r="AI106" s="281">
        <v>0.5419691968</v>
      </c>
      <c r="AJ106" s="329">
        <v>0.5419691968</v>
      </c>
    </row>
    <row r="107" spans="1:36">
      <c r="B107" s="72" t="s">
        <v>610</v>
      </c>
      <c r="C107" s="72" t="s">
        <v>611</v>
      </c>
      <c r="D107" s="72"/>
      <c r="E107" s="72"/>
      <c r="F107" s="72"/>
      <c r="G107" s="72"/>
      <c r="H107" s="72"/>
      <c r="I107" s="72">
        <v>0.18467419551910741</v>
      </c>
      <c r="J107" s="72">
        <v>0.22969522843122783</v>
      </c>
      <c r="K107" s="72">
        <v>0.25878143448146396</v>
      </c>
      <c r="L107" s="72">
        <v>0.25884232457536238</v>
      </c>
      <c r="M107" s="72">
        <v>0.22238606298148633</v>
      </c>
      <c r="N107" s="72">
        <v>0.24477846118771304</v>
      </c>
      <c r="O107" s="72">
        <v>0.23666945576638534</v>
      </c>
      <c r="P107" s="72">
        <v>0.24720875494667166</v>
      </c>
      <c r="Q107" s="72">
        <v>0.22454465240171328</v>
      </c>
      <c r="R107" s="281">
        <v>0.17304441089207773</v>
      </c>
      <c r="S107" s="281">
        <v>0.19300581343574261</v>
      </c>
      <c r="T107" s="281">
        <v>0.23201264677279823</v>
      </c>
      <c r="U107" s="281">
        <v>0.25546244449946592</v>
      </c>
      <c r="V107" s="281">
        <v>0.18923234252726828</v>
      </c>
      <c r="W107" s="281">
        <v>0.252250523129806</v>
      </c>
      <c r="X107" s="281">
        <v>0.31293849351704162</v>
      </c>
      <c r="Y107" s="281">
        <v>0.26162844955658787</v>
      </c>
      <c r="Z107" s="281">
        <v>0.26647786963683873</v>
      </c>
      <c r="AA107" s="281">
        <v>0.31496275527493051</v>
      </c>
      <c r="AB107" s="281">
        <v>0.39407108093047338</v>
      </c>
      <c r="AC107" s="281">
        <v>0.54491083382297401</v>
      </c>
      <c r="AD107" s="281">
        <v>0.60921693548113698</v>
      </c>
      <c r="AE107" s="281">
        <v>0.63846326807040565</v>
      </c>
      <c r="AF107" s="281">
        <v>0.82685990330095271</v>
      </c>
      <c r="AG107" s="281">
        <v>0.51758734931039496</v>
      </c>
      <c r="AH107" s="281">
        <v>0.6129065077514334</v>
      </c>
      <c r="AI107" s="281">
        <v>0.75901298407642981</v>
      </c>
      <c r="AJ107" s="329">
        <v>0.75901298407642981</v>
      </c>
    </row>
    <row r="108" spans="1:36">
      <c r="B108" s="72" t="s">
        <v>612</v>
      </c>
      <c r="C108" s="72" t="s">
        <v>613</v>
      </c>
      <c r="D108" s="72"/>
      <c r="E108" s="72"/>
      <c r="F108" s="72"/>
      <c r="G108" s="72"/>
      <c r="H108" s="72"/>
      <c r="I108" s="72"/>
      <c r="J108" s="72"/>
      <c r="K108" s="72"/>
      <c r="L108" s="72"/>
      <c r="M108" s="72"/>
      <c r="N108" s="72"/>
      <c r="O108" s="72"/>
      <c r="P108" s="72">
        <v>0.4365622054414941</v>
      </c>
      <c r="Q108" s="72">
        <v>0.36925381428374726</v>
      </c>
      <c r="R108" s="281">
        <v>0.33924869717532469</v>
      </c>
      <c r="S108" s="281">
        <v>0.35040724092187508</v>
      </c>
      <c r="T108" s="281">
        <v>0.37811421918605564</v>
      </c>
      <c r="U108" s="281">
        <v>0.34028449596339039</v>
      </c>
      <c r="V108" s="281">
        <v>0.35807869608389137</v>
      </c>
      <c r="W108" s="281">
        <v>0.32606552953658957</v>
      </c>
      <c r="X108" s="281">
        <v>0.33785917686233763</v>
      </c>
      <c r="Y108" s="281">
        <v>0.29570063141606612</v>
      </c>
      <c r="Z108" s="281">
        <v>0.27750834734421342</v>
      </c>
      <c r="AA108" s="281">
        <v>0.35969484430641524</v>
      </c>
      <c r="AB108" s="281">
        <v>0.43946783194197642</v>
      </c>
      <c r="AC108" s="281">
        <v>0.4107246273075697</v>
      </c>
      <c r="AD108" s="281">
        <v>0.44299694918373983</v>
      </c>
      <c r="AE108" s="281">
        <v>0.46188776915121954</v>
      </c>
      <c r="AF108" s="281">
        <v>0.52458993468617887</v>
      </c>
      <c r="AG108" s="281">
        <v>0.67056101834146331</v>
      </c>
      <c r="AH108" s="281">
        <v>0.7428378928780488</v>
      </c>
      <c r="AI108" s="281">
        <v>0.82362271395121944</v>
      </c>
      <c r="AJ108" s="329">
        <v>0.82362271395121944</v>
      </c>
    </row>
    <row r="109" spans="1:36">
      <c r="B109" s="72" t="s">
        <v>614</v>
      </c>
      <c r="C109" s="72" t="s">
        <v>615</v>
      </c>
      <c r="D109" s="72">
        <v>4.7743683559880873E-3</v>
      </c>
      <c r="E109" s="72">
        <v>3.6302761922412307E-3</v>
      </c>
      <c r="F109" s="72">
        <v>3.0899224829394208E-3</v>
      </c>
      <c r="G109" s="72">
        <v>2.9183532387773866E-3</v>
      </c>
      <c r="H109" s="72">
        <v>2.5141053254934325E-3</v>
      </c>
      <c r="I109" s="72">
        <v>2.2270025380420324E-3</v>
      </c>
      <c r="J109" s="72">
        <v>3.0425161627760256E-3</v>
      </c>
      <c r="K109" s="72">
        <v>3.6350338248802784E-3</v>
      </c>
      <c r="L109" s="72">
        <v>3.7033240969575392E-3</v>
      </c>
      <c r="M109" s="72">
        <v>3.6035821270930836E-3</v>
      </c>
      <c r="N109" s="72">
        <v>5.3996156266489168E-3</v>
      </c>
      <c r="O109" s="72">
        <v>1.1827408579846788E-2</v>
      </c>
      <c r="P109" s="72">
        <v>0.1198282351465064</v>
      </c>
      <c r="Q109" s="72">
        <v>0.20472647225836979</v>
      </c>
      <c r="R109" s="281">
        <v>0.28520922298518253</v>
      </c>
      <c r="S109" s="281">
        <v>0.41632346799508668</v>
      </c>
      <c r="T109" s="281">
        <v>0.4815969430725241</v>
      </c>
      <c r="U109" s="281">
        <v>0.452262871800654</v>
      </c>
      <c r="V109" s="281">
        <v>0.47721873832814588</v>
      </c>
      <c r="W109" s="281">
        <v>0.47294763370978049</v>
      </c>
      <c r="X109" s="281">
        <v>0.41934728118665932</v>
      </c>
      <c r="Y109" s="281">
        <v>0.42666843937360183</v>
      </c>
      <c r="Z109" s="281">
        <v>0.44927067570111051</v>
      </c>
      <c r="AA109" s="281">
        <v>0.54254396839729113</v>
      </c>
      <c r="AB109" s="281">
        <v>0.60332776442979275</v>
      </c>
      <c r="AC109" s="281">
        <v>0.62426312739392131</v>
      </c>
      <c r="AD109" s="281">
        <v>0.65332437799586274</v>
      </c>
      <c r="AE109" s="281">
        <v>0.75953067456113699</v>
      </c>
      <c r="AF109" s="281">
        <v>0.80391314022045623</v>
      </c>
      <c r="AG109" s="281">
        <v>0.73260478882200708</v>
      </c>
      <c r="AH109" s="281">
        <v>0.69987557763157893</v>
      </c>
      <c r="AI109" s="281">
        <v>0.7516759652777778</v>
      </c>
      <c r="AJ109" s="329">
        <v>0.7516759652777778</v>
      </c>
    </row>
    <row r="110" spans="1:36">
      <c r="B110" s="72" t="s">
        <v>616</v>
      </c>
      <c r="C110" s="72" t="s">
        <v>617</v>
      </c>
      <c r="D110" s="72"/>
      <c r="E110" s="72">
        <v>0.63972409605783764</v>
      </c>
      <c r="F110" s="72">
        <v>0.62873681233272305</v>
      </c>
      <c r="G110" s="72">
        <v>0.62116509126626329</v>
      </c>
      <c r="H110" s="72">
        <v>0.58231326663895289</v>
      </c>
      <c r="I110" s="72">
        <v>0.74467419869565221</v>
      </c>
      <c r="J110" s="72">
        <v>0.68998222811594212</v>
      </c>
      <c r="K110" s="72">
        <v>0.62931024835748794</v>
      </c>
      <c r="L110" s="72">
        <v>0.62702190705314009</v>
      </c>
      <c r="M110" s="72">
        <v>0.6380222821739131</v>
      </c>
      <c r="N110" s="72">
        <v>0.63482059425120785</v>
      </c>
      <c r="O110" s="72">
        <v>0.73112214057971014</v>
      </c>
      <c r="P110" s="72">
        <v>0.6110350745405887</v>
      </c>
      <c r="Q110" s="72">
        <v>0.37996684425999999</v>
      </c>
      <c r="R110" s="281">
        <v>0.35068519959743827</v>
      </c>
      <c r="S110" s="281">
        <v>0.34277277148579183</v>
      </c>
      <c r="T110" s="281">
        <v>0.32733696957101871</v>
      </c>
      <c r="U110" s="281">
        <v>0.31777055731001908</v>
      </c>
      <c r="V110" s="281">
        <v>0.29417148610449134</v>
      </c>
      <c r="W110" s="281">
        <v>0.26147777704051123</v>
      </c>
      <c r="X110" s="281">
        <v>0.26439231537688473</v>
      </c>
      <c r="Y110" s="281">
        <v>0.23673270955632031</v>
      </c>
      <c r="Z110" s="281">
        <v>0.22162465732543551</v>
      </c>
      <c r="AA110" s="281">
        <v>0.2438557629408836</v>
      </c>
      <c r="AB110" s="281">
        <v>0.24544066540573412</v>
      </c>
      <c r="AC110" s="281">
        <v>0.26008548716937835</v>
      </c>
      <c r="AD110" s="281">
        <v>0.28002414468815406</v>
      </c>
      <c r="AE110" s="281">
        <v>0.30948707713070006</v>
      </c>
      <c r="AF110" s="281">
        <v>0.36852436182570875</v>
      </c>
      <c r="AG110" s="281">
        <v>0.36806298880422406</v>
      </c>
      <c r="AH110" s="281">
        <v>0.31024286372232535</v>
      </c>
      <c r="AI110" s="281">
        <v>0.32191757898925816</v>
      </c>
      <c r="AJ110" s="329">
        <v>0.32191757898925816</v>
      </c>
    </row>
    <row r="111" spans="1:36">
      <c r="B111" s="72" t="s">
        <v>618</v>
      </c>
      <c r="C111" s="72" t="s">
        <v>619</v>
      </c>
      <c r="D111" s="72"/>
      <c r="E111" s="72"/>
      <c r="F111" s="72"/>
      <c r="G111" s="72"/>
      <c r="H111" s="72"/>
      <c r="I111" s="72"/>
      <c r="J111" s="72"/>
      <c r="K111" s="72"/>
      <c r="L111" s="72"/>
      <c r="M111" s="72"/>
      <c r="N111" s="72"/>
      <c r="O111" s="72"/>
      <c r="P111" s="72"/>
      <c r="Q111" s="72"/>
      <c r="R111" s="281"/>
      <c r="S111" s="281"/>
      <c r="T111" s="281"/>
      <c r="U111" s="281"/>
      <c r="V111" s="281"/>
      <c r="W111" s="281"/>
      <c r="X111" s="281"/>
      <c r="Y111" s="281"/>
      <c r="Z111" s="281"/>
      <c r="AA111" s="281"/>
      <c r="AB111" s="281"/>
      <c r="AC111" s="281"/>
      <c r="AD111" s="281"/>
      <c r="AE111" s="281"/>
      <c r="AF111" s="281"/>
      <c r="AG111" s="281"/>
      <c r="AH111" s="281"/>
      <c r="AI111" s="281"/>
      <c r="AJ111" s="329"/>
    </row>
    <row r="112" spans="1:36">
      <c r="B112" s="72" t="s">
        <v>620</v>
      </c>
      <c r="C112" s="72" t="s">
        <v>621</v>
      </c>
      <c r="D112" s="72">
        <v>1.1543945727506113</v>
      </c>
      <c r="E112" s="72">
        <v>1.0201517842499415</v>
      </c>
      <c r="F112" s="72">
        <v>0.98804877487129983</v>
      </c>
      <c r="G112" s="72">
        <v>0.93087308558505411</v>
      </c>
      <c r="H112" s="72">
        <v>0.86816105048956216</v>
      </c>
      <c r="I112" s="72">
        <v>0.85559825010402224</v>
      </c>
      <c r="J112" s="72">
        <v>0.87811281216347425</v>
      </c>
      <c r="K112" s="72">
        <v>0.83401981461532271</v>
      </c>
      <c r="L112" s="72">
        <v>0.75228334356428728</v>
      </c>
      <c r="M112" s="72">
        <v>0.71899900229218638</v>
      </c>
      <c r="N112" s="72">
        <v>0.74019492632858386</v>
      </c>
      <c r="O112" s="72">
        <v>0.76149534352127946</v>
      </c>
      <c r="P112" s="72">
        <v>0.77806350518962086</v>
      </c>
      <c r="Q112" s="72">
        <v>0.79592297003502399</v>
      </c>
      <c r="R112" s="281">
        <v>0.82835133160303265</v>
      </c>
      <c r="S112" s="281">
        <v>0.8525403753822085</v>
      </c>
      <c r="T112" s="281">
        <v>0.86380951899094982</v>
      </c>
      <c r="U112" s="281">
        <v>0.85218150398282189</v>
      </c>
      <c r="V112" s="281">
        <v>0.6563787015300987</v>
      </c>
      <c r="W112" s="281">
        <v>0.69698776426685627</v>
      </c>
      <c r="X112" s="281">
        <v>0.60180782439161884</v>
      </c>
      <c r="Y112" s="281">
        <v>0.56870390977773877</v>
      </c>
      <c r="Z112" s="281">
        <v>0.60190575229777299</v>
      </c>
      <c r="AA112" s="281">
        <v>0.73354663651229035</v>
      </c>
      <c r="AB112" s="281">
        <v>0.79798979001731096</v>
      </c>
      <c r="AC112" s="281">
        <v>0.84550147185097568</v>
      </c>
      <c r="AD112" s="281">
        <v>0.82995735337954935</v>
      </c>
      <c r="AE112" s="281">
        <v>0.88604898717869685</v>
      </c>
      <c r="AF112" s="281">
        <v>0.91132629146800492</v>
      </c>
      <c r="AG112" s="281">
        <v>0.73054740013278185</v>
      </c>
      <c r="AH112" s="281">
        <v>0.80116521004183505</v>
      </c>
      <c r="AI112" s="281">
        <v>0.9242734625600626</v>
      </c>
      <c r="AJ112" s="329">
        <v>0.9242734625600626</v>
      </c>
    </row>
    <row r="113" spans="2:36">
      <c r="B113" s="72" t="s">
        <v>622</v>
      </c>
      <c r="C113" s="72" t="s">
        <v>385</v>
      </c>
      <c r="D113" s="72">
        <v>1.2388154670066944</v>
      </c>
      <c r="E113" s="72">
        <v>1.0926075750895563</v>
      </c>
      <c r="F113" s="72">
        <v>1.0068359047736524</v>
      </c>
      <c r="G113" s="72">
        <v>0.90600753629376607</v>
      </c>
      <c r="H113" s="72">
        <v>0.87776682627621694</v>
      </c>
      <c r="I113" s="72">
        <v>0.86979910974673835</v>
      </c>
      <c r="J113" s="72">
        <v>1.0902994593009616</v>
      </c>
      <c r="K113" s="72">
        <v>1.274391109157311</v>
      </c>
      <c r="L113" s="72">
        <v>1.393494186211798</v>
      </c>
      <c r="M113" s="72">
        <v>1.3923579229596783</v>
      </c>
      <c r="N113" s="72">
        <v>1.5860328751360597</v>
      </c>
      <c r="O113" s="72">
        <v>1.4701465710924864</v>
      </c>
      <c r="P113" s="72">
        <v>1.3082392885585348</v>
      </c>
      <c r="Q113" s="72">
        <v>1.0232238419902155</v>
      </c>
      <c r="R113" s="281">
        <v>1.1139821969265795</v>
      </c>
      <c r="S113" s="281">
        <v>1.3645221732026145</v>
      </c>
      <c r="T113" s="281">
        <v>1.3006234079730781</v>
      </c>
      <c r="U113" s="281">
        <v>1.1434391913870119</v>
      </c>
      <c r="V113" s="281">
        <v>1.1162602091677793</v>
      </c>
      <c r="W113" s="281">
        <v>1.0684449946729171</v>
      </c>
      <c r="X113" s="281">
        <v>0.91660876451077944</v>
      </c>
      <c r="Y113" s="281">
        <v>0.90523355167785247</v>
      </c>
      <c r="Z113" s="281">
        <v>0.94415409749670609</v>
      </c>
      <c r="AA113" s="281">
        <v>1.1405298645598194</v>
      </c>
      <c r="AB113" s="281">
        <v>1.2109739844666705</v>
      </c>
      <c r="AC113" s="281">
        <v>1.2152814604785356</v>
      </c>
      <c r="AD113" s="281">
        <v>1.193077305018811</v>
      </c>
      <c r="AE113" s="281">
        <v>1.2874375162529188</v>
      </c>
      <c r="AF113" s="281">
        <v>1.3441663148643204</v>
      </c>
      <c r="AG113" s="281">
        <v>1.2615880059957518</v>
      </c>
      <c r="AH113" s="281">
        <v>1.2174382986842105</v>
      </c>
      <c r="AI113" s="281">
        <v>1.3031961791666666</v>
      </c>
      <c r="AJ113" s="329">
        <v>1.3031961791666666</v>
      </c>
    </row>
    <row r="114" spans="2:36">
      <c r="B114" s="72" t="s">
        <v>623</v>
      </c>
      <c r="C114" s="72" t="s">
        <v>328</v>
      </c>
      <c r="D114" s="72">
        <v>1.3206006054020492</v>
      </c>
      <c r="E114" s="72">
        <v>1.0483200881110439</v>
      </c>
      <c r="F114" s="72">
        <v>0.91597110490068867</v>
      </c>
      <c r="G114" s="72">
        <v>0.83366105258628109</v>
      </c>
      <c r="H114" s="72">
        <v>0.75042912632290026</v>
      </c>
      <c r="I114" s="72">
        <v>0.7465958680099285</v>
      </c>
      <c r="J114" s="72">
        <v>0.99671809830476366</v>
      </c>
      <c r="K114" s="72">
        <v>1.1444511219033069</v>
      </c>
      <c r="L114" s="72">
        <v>1.1527632991961239</v>
      </c>
      <c r="M114" s="72">
        <v>1.072285022619782</v>
      </c>
      <c r="N114" s="72">
        <v>1.2429257932779185</v>
      </c>
      <c r="O114" s="72">
        <v>1.1892193872805488</v>
      </c>
      <c r="P114" s="72">
        <v>1.261962750929368</v>
      </c>
      <c r="Q114" s="72">
        <v>1.174370606902942</v>
      </c>
      <c r="R114" s="281">
        <v>1.1866134652646503</v>
      </c>
      <c r="S114" s="281">
        <v>1.3090900565120251</v>
      </c>
      <c r="T114" s="281">
        <v>1.268921060392358</v>
      </c>
      <c r="U114" s="281">
        <v>1.0958580119127894</v>
      </c>
      <c r="V114" s="281">
        <v>1.075640736046253</v>
      </c>
      <c r="W114" s="281">
        <v>1.0226635712763692</v>
      </c>
      <c r="X114" s="281">
        <v>0.86518452275658753</v>
      </c>
      <c r="Y114" s="281">
        <v>0.82195255033557046</v>
      </c>
      <c r="Z114" s="281">
        <v>0.85165666948993046</v>
      </c>
      <c r="AA114" s="281">
        <v>1.0584673250564334</v>
      </c>
      <c r="AB114" s="281">
        <v>1.1671512506751598</v>
      </c>
      <c r="AC114" s="281">
        <v>1.1482537345172363</v>
      </c>
      <c r="AD114" s="281">
        <v>1.1337546243387306</v>
      </c>
      <c r="AE114" s="281">
        <v>1.2222334603456158</v>
      </c>
      <c r="AF114" s="281">
        <v>1.292326420331783</v>
      </c>
      <c r="AG114" s="281">
        <v>1.202629976258712</v>
      </c>
      <c r="AH114" s="281">
        <v>1.14325755</v>
      </c>
      <c r="AI114" s="281">
        <v>1.2023460694444446</v>
      </c>
      <c r="AJ114" s="329">
        <v>1.2023460694444446</v>
      </c>
    </row>
    <row r="115" spans="2:36">
      <c r="B115" s="72" t="s">
        <v>624</v>
      </c>
      <c r="C115" s="72" t="s">
        <v>625</v>
      </c>
      <c r="D115" s="72"/>
      <c r="E115" s="72"/>
      <c r="F115" s="72"/>
      <c r="G115" s="72"/>
      <c r="H115" s="72"/>
      <c r="I115" s="72"/>
      <c r="J115" s="72"/>
      <c r="K115" s="72"/>
      <c r="L115" s="72"/>
      <c r="M115" s="72"/>
      <c r="N115" s="72"/>
      <c r="O115" s="72"/>
      <c r="P115" s="72"/>
      <c r="Q115" s="72"/>
      <c r="R115" s="281"/>
      <c r="S115" s="281"/>
      <c r="T115" s="281"/>
      <c r="U115" s="281"/>
      <c r="V115" s="281"/>
      <c r="W115" s="281"/>
      <c r="X115" s="281"/>
      <c r="Y115" s="281"/>
      <c r="Z115" s="281"/>
      <c r="AA115" s="281"/>
      <c r="AB115" s="281"/>
      <c r="AC115" s="281"/>
      <c r="AD115" s="281"/>
      <c r="AE115" s="281"/>
      <c r="AF115" s="281"/>
      <c r="AG115" s="281"/>
      <c r="AH115" s="281"/>
      <c r="AI115" s="281"/>
      <c r="AJ115" s="329"/>
    </row>
    <row r="116" spans="2:36">
      <c r="B116" s="72" t="s">
        <v>626</v>
      </c>
      <c r="C116" s="72" t="s">
        <v>627</v>
      </c>
      <c r="D116" s="72">
        <v>0.77208469429730331</v>
      </c>
      <c r="E116" s="72">
        <v>0.60619097459720994</v>
      </c>
      <c r="F116" s="72">
        <v>0.55235172331217175</v>
      </c>
      <c r="G116" s="72">
        <v>0.47158926412578056</v>
      </c>
      <c r="H116" s="72">
        <v>0.44398824315736046</v>
      </c>
      <c r="I116" s="72">
        <v>0.41368242075625522</v>
      </c>
      <c r="J116" s="72">
        <v>0.41569559644892173</v>
      </c>
      <c r="K116" s="72">
        <v>0.46999021194633855</v>
      </c>
      <c r="L116" s="72">
        <v>0.47025799924170919</v>
      </c>
      <c r="M116" s="72">
        <v>0.45583693346686227</v>
      </c>
      <c r="N116" s="72">
        <v>0.59361102655581199</v>
      </c>
      <c r="O116" s="72">
        <v>0.49109545641545471</v>
      </c>
      <c r="P116" s="72">
        <v>0.51370560687834221</v>
      </c>
      <c r="Q116" s="72">
        <v>0.37864122549089713</v>
      </c>
      <c r="R116" s="281">
        <v>0.34245332230841602</v>
      </c>
      <c r="S116" s="281">
        <v>0.37723676419591406</v>
      </c>
      <c r="T116" s="281">
        <v>0.41073934431139419</v>
      </c>
      <c r="U116" s="281">
        <v>0.35652374646997359</v>
      </c>
      <c r="V116" s="281">
        <v>0.28597218573156769</v>
      </c>
      <c r="W116" s="281">
        <v>0.32188048934858071</v>
      </c>
      <c r="X116" s="281">
        <v>0.34899077135530215</v>
      </c>
      <c r="Y116" s="281">
        <v>0.31072487259969994</v>
      </c>
      <c r="Z116" s="281">
        <v>0.32080257383396549</v>
      </c>
      <c r="AA116" s="281">
        <v>0.37643693267636663</v>
      </c>
      <c r="AB116" s="281">
        <v>0.42830191172790172</v>
      </c>
      <c r="AC116" s="281">
        <v>0.48577400083425293</v>
      </c>
      <c r="AD116" s="281">
        <v>0.5123427985658664</v>
      </c>
      <c r="AE116" s="281">
        <v>0.57177083320716182</v>
      </c>
      <c r="AF116" s="281">
        <v>0.68677209048251942</v>
      </c>
      <c r="AG116" s="281">
        <v>0.5177535249100198</v>
      </c>
      <c r="AH116" s="281">
        <v>0.58153994178244395</v>
      </c>
      <c r="AI116" s="281">
        <v>0.70112405648797838</v>
      </c>
      <c r="AJ116" s="329">
        <v>0.70112405648797838</v>
      </c>
    </row>
    <row r="117" spans="2:36">
      <c r="B117" s="72" t="s">
        <v>628</v>
      </c>
      <c r="C117" s="72" t="s">
        <v>629</v>
      </c>
      <c r="D117" s="72">
        <v>0.4895573009949104</v>
      </c>
      <c r="E117" s="72">
        <v>0.39311533051496167</v>
      </c>
      <c r="F117" s="72">
        <v>0.36875640977302448</v>
      </c>
      <c r="G117" s="72">
        <v>0.31605604741413396</v>
      </c>
      <c r="H117" s="72">
        <v>0.24444407128139117</v>
      </c>
      <c r="I117" s="72">
        <v>0.30438987374492843</v>
      </c>
      <c r="J117" s="72">
        <v>0.23524403571191152</v>
      </c>
      <c r="K117" s="72">
        <v>0.26510404029430545</v>
      </c>
      <c r="L117" s="72">
        <v>0.29638085186647195</v>
      </c>
      <c r="M117" s="72">
        <v>0.28737427192956894</v>
      </c>
      <c r="N117" s="72">
        <v>0.29837733078715883</v>
      </c>
      <c r="O117" s="72">
        <v>0.60930510260280313</v>
      </c>
      <c r="P117" s="72">
        <v>0.59725406734606246</v>
      </c>
      <c r="Q117" s="72">
        <v>0.59974963777264034</v>
      </c>
      <c r="R117" s="281">
        <v>0.58023303685209116</v>
      </c>
      <c r="S117" s="281">
        <v>0.59183098311329985</v>
      </c>
      <c r="T117" s="281">
        <v>0.61393139109202333</v>
      </c>
      <c r="U117" s="281">
        <v>0.54399055433590982</v>
      </c>
      <c r="V117" s="281">
        <v>0.54195233014817101</v>
      </c>
      <c r="W117" s="281">
        <v>0.48672253237434182</v>
      </c>
      <c r="X117" s="281">
        <v>0.43394601602526889</v>
      </c>
      <c r="Y117" s="281">
        <v>0.3521408247075159</v>
      </c>
      <c r="Z117" s="281">
        <v>0.30127145339915373</v>
      </c>
      <c r="AA117" s="281">
        <v>0.23254539724502568</v>
      </c>
      <c r="AB117" s="281">
        <v>0.25109260220113822</v>
      </c>
      <c r="AC117" s="281">
        <v>0.26457548251662061</v>
      </c>
      <c r="AD117" s="281">
        <v>0.2660030985623924</v>
      </c>
      <c r="AE117" s="281">
        <v>0.30421093498423635</v>
      </c>
      <c r="AF117" s="281">
        <v>0.34029588707820485</v>
      </c>
      <c r="AG117" s="281">
        <v>0.29424174127781427</v>
      </c>
      <c r="AH117" s="281">
        <v>0.28986312282548626</v>
      </c>
      <c r="AI117" s="281">
        <v>0.27960987599497267</v>
      </c>
      <c r="AJ117" s="329">
        <v>0.27960987599497267</v>
      </c>
    </row>
    <row r="118" spans="2:36">
      <c r="B118" s="72" t="s">
        <v>630</v>
      </c>
      <c r="C118" s="72" t="s">
        <v>631</v>
      </c>
      <c r="D118" s="72"/>
      <c r="E118" s="72"/>
      <c r="F118" s="72"/>
      <c r="G118" s="72"/>
      <c r="H118" s="72"/>
      <c r="I118" s="72"/>
      <c r="J118" s="72"/>
      <c r="K118" s="72"/>
      <c r="L118" s="72"/>
      <c r="M118" s="72"/>
      <c r="N118" s="72">
        <v>0.36349124908717001</v>
      </c>
      <c r="O118" s="72">
        <v>0.36490527863969885</v>
      </c>
      <c r="P118" s="72">
        <v>0.37777017852717526</v>
      </c>
      <c r="Q118" s="72">
        <v>0.38263640727884224</v>
      </c>
      <c r="R118" s="281">
        <v>0.38950589362503218</v>
      </c>
      <c r="S118" s="281">
        <v>0.39754857934878468</v>
      </c>
      <c r="T118" s="281">
        <v>0.40360539291884995</v>
      </c>
      <c r="U118" s="281">
        <v>0.40639894874759153</v>
      </c>
      <c r="V118" s="281">
        <v>0.40010002646152271</v>
      </c>
      <c r="W118" s="281">
        <v>0.29702630292991689</v>
      </c>
      <c r="X118" s="281">
        <v>0.31173453062354811</v>
      </c>
      <c r="Y118" s="281">
        <v>0.30626124949808409</v>
      </c>
      <c r="Z118" s="281">
        <v>0.30137282923491659</v>
      </c>
      <c r="AA118" s="281">
        <v>0.31238033810267291</v>
      </c>
      <c r="AB118" s="281">
        <v>0.3685665557064603</v>
      </c>
      <c r="AC118" s="281">
        <v>0.40714037673896852</v>
      </c>
      <c r="AD118" s="281">
        <v>0.43655254155933093</v>
      </c>
      <c r="AE118" s="281">
        <v>0.49490796541362381</v>
      </c>
      <c r="AF118" s="281">
        <v>0.59547024741998256</v>
      </c>
      <c r="AG118" s="281">
        <v>0.51380279617479796</v>
      </c>
      <c r="AH118" s="281">
        <v>0.51903602319327524</v>
      </c>
      <c r="AI118" s="281">
        <v>0.58599779018084786</v>
      </c>
      <c r="AJ118" s="329">
        <v>0.58599779018084786</v>
      </c>
    </row>
    <row r="119" spans="2:36">
      <c r="B119" s="72" t="s">
        <v>632</v>
      </c>
      <c r="C119" s="72" t="s">
        <v>633</v>
      </c>
      <c r="D119" s="72">
        <v>1.1921422476866794</v>
      </c>
      <c r="E119" s="72">
        <v>0.9133089969710082</v>
      </c>
      <c r="F119" s="72">
        <v>0.83847110905134214</v>
      </c>
      <c r="G119" s="72">
        <v>0.78805597472232858</v>
      </c>
      <c r="H119" s="72">
        <v>0.69499728197374755</v>
      </c>
      <c r="I119" s="72">
        <v>0.66580640446452288</v>
      </c>
      <c r="J119" s="72">
        <v>0.90935489777537604</v>
      </c>
      <c r="K119" s="72">
        <v>1.081009633297062</v>
      </c>
      <c r="L119" s="72">
        <v>1.0875348546608754</v>
      </c>
      <c r="M119" s="72">
        <v>1.0069220274628108</v>
      </c>
      <c r="N119" s="72">
        <v>1.1664129766372111</v>
      </c>
      <c r="O119" s="72">
        <v>1.1305840789628756</v>
      </c>
      <c r="P119" s="72">
        <v>1.2368842993112086</v>
      </c>
      <c r="Q119" s="72">
        <v>1.1888597361883355</v>
      </c>
      <c r="R119" s="281">
        <v>1.2159772978184886</v>
      </c>
      <c r="S119" s="281">
        <v>1.3760735853691823</v>
      </c>
      <c r="T119" s="281">
        <v>1.2919390161164546</v>
      </c>
      <c r="U119" s="281">
        <v>1.1179053902549063</v>
      </c>
      <c r="V119" s="281">
        <v>1.0985774936089807</v>
      </c>
      <c r="W119" s="281">
        <v>1.0386733858938846</v>
      </c>
      <c r="X119" s="281">
        <v>0.89086280081076108</v>
      </c>
      <c r="Y119" s="281">
        <v>0.85500262281879202</v>
      </c>
      <c r="Z119" s="281">
        <v>0.8863856192358367</v>
      </c>
      <c r="AA119" s="281">
        <v>1.0355318453724605</v>
      </c>
      <c r="AB119" s="281">
        <v>1.1132634370751151</v>
      </c>
      <c r="AC119" s="281">
        <v>1.0780423406954187</v>
      </c>
      <c r="AD119" s="281">
        <v>1.0517666297430441</v>
      </c>
      <c r="AE119" s="281">
        <v>1.1368870890919991</v>
      </c>
      <c r="AF119" s="281">
        <v>1.1889269330208372</v>
      </c>
      <c r="AG119" s="281">
        <v>1.1303509723648073</v>
      </c>
      <c r="AH119" s="281">
        <v>1.0667229276315788</v>
      </c>
      <c r="AI119" s="281">
        <v>1.1156921041666668</v>
      </c>
      <c r="AJ119" s="329">
        <v>1.1156921041666668</v>
      </c>
    </row>
    <row r="120" spans="2:36">
      <c r="B120" s="72" t="s">
        <v>634</v>
      </c>
      <c r="C120" s="72" t="s">
        <v>635</v>
      </c>
      <c r="D120" s="72">
        <v>0.85860435590675566</v>
      </c>
      <c r="E120" s="72">
        <v>0.77275469397605645</v>
      </c>
      <c r="F120" s="72">
        <v>0.7480030392694571</v>
      </c>
      <c r="G120" s="72">
        <v>0.75792498963107924</v>
      </c>
      <c r="H120" s="72">
        <v>0.73117757601123878</v>
      </c>
      <c r="I120" s="72">
        <v>0.68922088094355216</v>
      </c>
      <c r="J120" s="72">
        <v>0.81486177778815461</v>
      </c>
      <c r="K120" s="72">
        <v>0.66934610878231293</v>
      </c>
      <c r="L120" s="72">
        <v>0.62720010467518439</v>
      </c>
      <c r="M120" s="72">
        <v>0.58115988747763903</v>
      </c>
      <c r="N120" s="72">
        <v>0.60765511041180786</v>
      </c>
      <c r="O120" s="72">
        <v>0.62587197662412986</v>
      </c>
      <c r="P120" s="72">
        <v>0.57335438550187789</v>
      </c>
      <c r="Q120" s="72">
        <v>0.49780716215804366</v>
      </c>
      <c r="R120" s="281">
        <v>0.4309428852140586</v>
      </c>
      <c r="S120" s="281">
        <v>0.480119833509212</v>
      </c>
      <c r="T120" s="281">
        <v>0.48370165793488201</v>
      </c>
      <c r="U120" s="281">
        <v>0.45271186293371601</v>
      </c>
      <c r="V120" s="281">
        <v>0.46294262385366214</v>
      </c>
      <c r="W120" s="281">
        <v>0.45081046334559949</v>
      </c>
      <c r="X120" s="281">
        <v>0.27471680348006905</v>
      </c>
      <c r="Y120" s="281">
        <v>0.27550597310140562</v>
      </c>
      <c r="Z120" s="281">
        <v>0.30098410846060825</v>
      </c>
      <c r="AA120" s="281">
        <v>0.34684586202751921</v>
      </c>
      <c r="AB120" s="281">
        <v>0.37173562338832755</v>
      </c>
      <c r="AC120" s="281">
        <v>0.41053526129330636</v>
      </c>
      <c r="AD120" s="281">
        <v>0.71087357066649848</v>
      </c>
      <c r="AE120" s="281">
        <v>0.78714756496586835</v>
      </c>
      <c r="AF120" s="281">
        <v>0.81840506924898271</v>
      </c>
      <c r="AG120" s="281">
        <v>0.70734851696479273</v>
      </c>
      <c r="AH120" s="281">
        <v>0.80541573878863049</v>
      </c>
      <c r="AI120" s="281">
        <v>0.83913142990376033</v>
      </c>
      <c r="AJ120" s="329">
        <v>0.83913142990376033</v>
      </c>
    </row>
    <row r="121" spans="2:36">
      <c r="B121" s="72" t="s">
        <v>636</v>
      </c>
      <c r="C121" s="72" t="s">
        <v>637</v>
      </c>
      <c r="D121" s="72">
        <v>0.68330061550759391</v>
      </c>
      <c r="E121" s="72">
        <v>0.58454448954489546</v>
      </c>
      <c r="F121" s="72">
        <v>0.58146937244897956</v>
      </c>
      <c r="G121" s="72">
        <v>0.51172198529411761</v>
      </c>
      <c r="H121" s="72">
        <v>0.46969785973397821</v>
      </c>
      <c r="I121" s="72">
        <v>0.44277640759930914</v>
      </c>
      <c r="J121" s="72">
        <v>0.50797579600778975</v>
      </c>
      <c r="K121" s="72">
        <v>0.58795717916456969</v>
      </c>
      <c r="L121" s="72">
        <v>0.63300763872207544</v>
      </c>
      <c r="M121" s="72">
        <v>0.60998552035249676</v>
      </c>
      <c r="N121" s="72">
        <v>0.72615784823731733</v>
      </c>
      <c r="O121" s="72">
        <v>0.73060806505888953</v>
      </c>
      <c r="P121" s="72">
        <v>0.78339124955309258</v>
      </c>
      <c r="Q121" s="72">
        <v>0.72932345124851372</v>
      </c>
      <c r="R121" s="281">
        <v>0.75053206882022472</v>
      </c>
      <c r="S121" s="281">
        <v>0.84538643329901464</v>
      </c>
      <c r="T121" s="281">
        <v>0.85734737967157415</v>
      </c>
      <c r="U121" s="281">
        <v>0.78682153126169974</v>
      </c>
      <c r="V121" s="281">
        <v>0.76360090626080945</v>
      </c>
      <c r="W121" s="281">
        <v>0.72515273385893886</v>
      </c>
      <c r="X121" s="281">
        <v>0.62459978717523501</v>
      </c>
      <c r="Y121" s="281">
        <v>0.60035270514541395</v>
      </c>
      <c r="Z121" s="281">
        <v>0.62109172971955573</v>
      </c>
      <c r="AA121" s="281">
        <v>0.77732684537246044</v>
      </c>
      <c r="AB121" s="281">
        <v>0.86364566252568709</v>
      </c>
      <c r="AC121" s="281">
        <v>0.88797274163060247</v>
      </c>
      <c r="AD121" s="281">
        <v>0.87813311823127904</v>
      </c>
      <c r="AE121" s="281">
        <v>0.98361088664974994</v>
      </c>
      <c r="AF121" s="281">
        <v>1.0268575808400777</v>
      </c>
      <c r="AG121" s="281">
        <v>0.97435296029828722</v>
      </c>
      <c r="AH121" s="281">
        <v>0.93868228421052635</v>
      </c>
      <c r="AI121" s="281">
        <v>0.99118456527777776</v>
      </c>
      <c r="AJ121" s="329">
        <v>0.99118456527777776</v>
      </c>
    </row>
    <row r="122" spans="2:36">
      <c r="B122" s="72" t="s">
        <v>638</v>
      </c>
      <c r="C122" s="72" t="s">
        <v>639</v>
      </c>
      <c r="D122" s="72"/>
      <c r="E122" s="72"/>
      <c r="F122" s="72"/>
      <c r="G122" s="72"/>
      <c r="H122" s="72"/>
      <c r="I122" s="72"/>
      <c r="J122" s="72"/>
      <c r="K122" s="72"/>
      <c r="L122" s="72"/>
      <c r="M122" s="72"/>
      <c r="N122" s="72"/>
      <c r="O122" s="72"/>
      <c r="P122" s="72"/>
      <c r="Q122" s="72"/>
      <c r="R122" s="281"/>
      <c r="S122" s="281"/>
      <c r="T122" s="281"/>
      <c r="U122" s="281"/>
      <c r="V122" s="281"/>
      <c r="W122" s="281"/>
      <c r="X122" s="281"/>
      <c r="Y122" s="281"/>
      <c r="Z122" s="281"/>
      <c r="AA122" s="281"/>
      <c r="AB122" s="281"/>
      <c r="AC122" s="281"/>
      <c r="AD122" s="281"/>
      <c r="AE122" s="281"/>
      <c r="AF122" s="281"/>
      <c r="AG122" s="281"/>
      <c r="AH122" s="281"/>
      <c r="AI122" s="281"/>
      <c r="AJ122" s="329"/>
    </row>
    <row r="123" spans="2:36">
      <c r="B123" s="72" t="s">
        <v>640</v>
      </c>
      <c r="C123" s="72" t="s">
        <v>641</v>
      </c>
      <c r="D123" s="72">
        <v>0.498472863492948</v>
      </c>
      <c r="E123" s="72">
        <v>0.47500580961109484</v>
      </c>
      <c r="F123" s="72">
        <v>0.46234945594572524</v>
      </c>
      <c r="G123" s="72">
        <v>0.45925445155594052</v>
      </c>
      <c r="H123" s="72">
        <v>0.45951798003276795</v>
      </c>
      <c r="I123" s="72">
        <v>0.48042422958947617</v>
      </c>
      <c r="J123" s="72">
        <v>0.48760182912938183</v>
      </c>
      <c r="K123" s="72">
        <v>0.49491678540760242</v>
      </c>
      <c r="L123" s="72">
        <v>0.51025636035891808</v>
      </c>
      <c r="M123" s="72">
        <v>0.53527843662071595</v>
      </c>
      <c r="N123" s="72">
        <v>0.5086462614243904</v>
      </c>
      <c r="O123" s="72">
        <v>0.52547594568272304</v>
      </c>
      <c r="P123" s="72">
        <v>0.5361324618648925</v>
      </c>
      <c r="Q123" s="72">
        <v>0.53744660765649876</v>
      </c>
      <c r="R123" s="281">
        <v>0.53620170975255843</v>
      </c>
      <c r="S123" s="281">
        <v>0.53956282984134707</v>
      </c>
      <c r="T123" s="281">
        <v>0.54335073281148738</v>
      </c>
      <c r="U123" s="281">
        <v>0.52738235150090662</v>
      </c>
      <c r="V123" s="281">
        <v>0.54556864255009541</v>
      </c>
      <c r="W123" s="281">
        <v>0.54117844577577734</v>
      </c>
      <c r="X123" s="281">
        <v>0.71229652245742681</v>
      </c>
      <c r="Y123" s="281">
        <v>0.71144191239844567</v>
      </c>
      <c r="Z123" s="281">
        <v>0.70267524759030753</v>
      </c>
      <c r="AA123" s="281">
        <v>0.68757842059766783</v>
      </c>
      <c r="AB123" s="281">
        <v>0.67989101547417308</v>
      </c>
      <c r="AC123" s="281">
        <v>0.67671702508578335</v>
      </c>
      <c r="AD123" s="281">
        <v>0.68611358451242666</v>
      </c>
      <c r="AE123" s="281">
        <v>0.68223758669199042</v>
      </c>
      <c r="AF123" s="281">
        <v>0.71993009932261287</v>
      </c>
      <c r="AG123" s="281">
        <v>0.70893936377597555</v>
      </c>
      <c r="AH123" s="281">
        <v>0.71161050546954219</v>
      </c>
      <c r="AI123" s="281">
        <v>0.71792045313588237</v>
      </c>
      <c r="AJ123" s="329">
        <v>0.71792045313588237</v>
      </c>
    </row>
    <row r="124" spans="2:36">
      <c r="B124" s="72" t="s">
        <v>642</v>
      </c>
      <c r="C124" s="72" t="s">
        <v>643</v>
      </c>
      <c r="D124" s="72"/>
      <c r="E124" s="72"/>
      <c r="F124" s="72"/>
      <c r="G124" s="72"/>
      <c r="H124" s="72"/>
      <c r="I124" s="72"/>
      <c r="J124" s="72"/>
      <c r="K124" s="72"/>
      <c r="L124" s="72"/>
      <c r="M124" s="72"/>
      <c r="N124" s="72"/>
      <c r="O124" s="72"/>
      <c r="P124" s="72"/>
      <c r="Q124" s="72"/>
      <c r="R124" s="281"/>
      <c r="S124" s="281"/>
      <c r="T124" s="281"/>
      <c r="U124" s="281"/>
      <c r="V124" s="281"/>
      <c r="W124" s="281"/>
      <c r="X124" s="281"/>
      <c r="Y124" s="281"/>
      <c r="Z124" s="281"/>
      <c r="AA124" s="281"/>
      <c r="AB124" s="281"/>
      <c r="AC124" s="281"/>
      <c r="AD124" s="281"/>
      <c r="AE124" s="281"/>
      <c r="AF124" s="281"/>
      <c r="AG124" s="281"/>
      <c r="AH124" s="281"/>
      <c r="AI124" s="281"/>
      <c r="AJ124" s="329"/>
    </row>
    <row r="125" spans="2:36">
      <c r="B125" s="72" t="s">
        <v>644</v>
      </c>
      <c r="C125" s="72" t="s">
        <v>645</v>
      </c>
      <c r="D125" s="72">
        <v>0.60551843911000003</v>
      </c>
      <c r="E125" s="72">
        <v>0.60095515129999999</v>
      </c>
      <c r="F125" s="72">
        <v>0.59464029371000005</v>
      </c>
      <c r="G125" s="72">
        <v>0.60954381489999998</v>
      </c>
      <c r="H125" s="72">
        <v>0.61170576321000003</v>
      </c>
      <c r="I125" s="72">
        <v>0.61308744199751619</v>
      </c>
      <c r="J125" s="72">
        <v>0.44546543704578229</v>
      </c>
      <c r="K125" s="72">
        <v>0.40944381103999994</v>
      </c>
      <c r="L125" s="72">
        <v>0.42154703222985856</v>
      </c>
      <c r="M125" s="72">
        <v>0.41921097332977697</v>
      </c>
      <c r="N125" s="72">
        <v>0.3563133019370795</v>
      </c>
      <c r="O125" s="72">
        <v>0.40874780445521552</v>
      </c>
      <c r="P125" s="72">
        <v>0.42384659556265841</v>
      </c>
      <c r="Q125" s="72">
        <v>0.43574093072748332</v>
      </c>
      <c r="R125" s="281">
        <v>0.46749917502576843</v>
      </c>
      <c r="S125" s="281">
        <v>0.4914464960240964</v>
      </c>
      <c r="T125" s="281">
        <v>0.50501237294214874</v>
      </c>
      <c r="U125" s="281">
        <v>0.5351198958526866</v>
      </c>
      <c r="V125" s="281">
        <v>0.5479573270680218</v>
      </c>
      <c r="W125" s="281">
        <v>0.49116469127834816</v>
      </c>
      <c r="X125" s="281">
        <v>0.48867710631884059</v>
      </c>
      <c r="Y125" s="281">
        <v>0.45272485515322403</v>
      </c>
      <c r="Z125" s="281">
        <v>0.47646476582775521</v>
      </c>
      <c r="AA125" s="281">
        <v>0.48010952472383256</v>
      </c>
      <c r="AB125" s="281">
        <v>0.49500659704272315</v>
      </c>
      <c r="AC125" s="281">
        <v>0.5268203575087046</v>
      </c>
      <c r="AD125" s="281">
        <v>0.53804969842015193</v>
      </c>
      <c r="AE125" s="281">
        <v>0.55504474449063634</v>
      </c>
      <c r="AF125" s="281">
        <v>0.60320702763084266</v>
      </c>
      <c r="AG125" s="281">
        <v>0.57102990113409702</v>
      </c>
      <c r="AH125" s="281">
        <v>0.60365674963420402</v>
      </c>
      <c r="AI125" s="281">
        <v>0.64496047159947689</v>
      </c>
      <c r="AJ125" s="329">
        <v>0.64496047159947689</v>
      </c>
    </row>
    <row r="126" spans="2:36">
      <c r="B126" s="72" t="s">
        <v>646</v>
      </c>
      <c r="C126" s="72" t="s">
        <v>647</v>
      </c>
      <c r="D126" s="72"/>
      <c r="E126" s="72"/>
      <c r="F126" s="72"/>
      <c r="G126" s="72"/>
      <c r="H126" s="72"/>
      <c r="I126" s="72"/>
      <c r="J126" s="72">
        <v>0.70748737799475059</v>
      </c>
      <c r="K126" s="72">
        <v>0.70655388474034886</v>
      </c>
      <c r="L126" s="72">
        <v>0.75009308867522828</v>
      </c>
      <c r="M126" s="72">
        <v>0.7089695708846474</v>
      </c>
      <c r="N126" s="72">
        <v>0.71790750034837925</v>
      </c>
      <c r="O126" s="72">
        <v>0.76500049058230535</v>
      </c>
      <c r="P126" s="72">
        <v>0.79039678648558753</v>
      </c>
      <c r="Q126" s="72">
        <v>0.73505316536891674</v>
      </c>
      <c r="R126" s="281">
        <v>0.71488643032971533</v>
      </c>
      <c r="S126" s="281">
        <v>0.72916094449263669</v>
      </c>
      <c r="T126" s="281">
        <v>0.71841998630478088</v>
      </c>
      <c r="U126" s="281">
        <v>0.65534593439240396</v>
      </c>
      <c r="V126" s="281">
        <v>0.59134142162640768</v>
      </c>
      <c r="W126" s="281">
        <v>0.54151188466222033</v>
      </c>
      <c r="X126" s="281">
        <v>0.44749335281388997</v>
      </c>
      <c r="Y126" s="281">
        <v>0.39931136278365337</v>
      </c>
      <c r="Z126" s="281">
        <v>0.38895593568023801</v>
      </c>
      <c r="AA126" s="281">
        <v>0.43960287668437847</v>
      </c>
      <c r="AB126" s="281">
        <v>0.44446339351692676</v>
      </c>
      <c r="AC126" s="281">
        <v>0.3345875367042474</v>
      </c>
      <c r="AD126" s="281">
        <v>0.30377539558878502</v>
      </c>
      <c r="AE126" s="281">
        <v>0.43284309476569316</v>
      </c>
      <c r="AF126" s="281">
        <v>0.36222770461818182</v>
      </c>
      <c r="AG126" s="281">
        <v>0.39519125916378145</v>
      </c>
      <c r="AH126" s="281">
        <v>0.43777510411234627</v>
      </c>
      <c r="AI126" s="281">
        <v>0.44288820782015553</v>
      </c>
      <c r="AJ126" s="329">
        <v>0.44288820782015553</v>
      </c>
    </row>
    <row r="127" spans="2:36">
      <c r="B127" s="72" t="s">
        <v>648</v>
      </c>
      <c r="C127" s="72" t="s">
        <v>649</v>
      </c>
      <c r="D127" s="72">
        <v>0.306687576372844</v>
      </c>
      <c r="E127" s="72">
        <v>0.33182104536363632</v>
      </c>
      <c r="F127" s="72">
        <v>0.32109248646714589</v>
      </c>
      <c r="G127" s="72">
        <v>0.3159812524028961</v>
      </c>
      <c r="H127" s="72">
        <v>0.23629137595649902</v>
      </c>
      <c r="I127" s="72">
        <v>0.22866532425750014</v>
      </c>
      <c r="J127" s="72">
        <v>0.20409091856147882</v>
      </c>
      <c r="K127" s="72">
        <v>0.25722493659840279</v>
      </c>
      <c r="L127" s="72">
        <v>0.22481648822304975</v>
      </c>
      <c r="M127" s="72">
        <v>0.26465656377158664</v>
      </c>
      <c r="N127" s="72">
        <v>0.27507440636136132</v>
      </c>
      <c r="O127" s="72">
        <v>0.26680834490147892</v>
      </c>
      <c r="P127" s="72">
        <v>0.22746736297702261</v>
      </c>
      <c r="Q127" s="72">
        <v>0.22818875562542754</v>
      </c>
      <c r="R127" s="281">
        <v>0.21554825882323284</v>
      </c>
      <c r="S127" s="281">
        <v>0.2174746825214407</v>
      </c>
      <c r="T127" s="281">
        <v>0.20388856875976596</v>
      </c>
      <c r="U127" s="281">
        <v>0.18652613632703413</v>
      </c>
      <c r="V127" s="281">
        <v>0.19667834474895909</v>
      </c>
      <c r="W127" s="281">
        <v>0.19547787019652427</v>
      </c>
      <c r="X127" s="281">
        <v>0.1708588387173797</v>
      </c>
      <c r="Y127" s="281">
        <v>0.15402947836407291</v>
      </c>
      <c r="Z127" s="281">
        <v>0.16690592090273892</v>
      </c>
      <c r="AA127" s="281">
        <v>0.38392782241913276</v>
      </c>
      <c r="AB127" s="281">
        <v>0.40179333612224516</v>
      </c>
      <c r="AC127" s="281">
        <v>0.41196721531082336</v>
      </c>
      <c r="AD127" s="281">
        <v>0.39460956715561596</v>
      </c>
      <c r="AE127" s="281">
        <v>0.44366348922416943</v>
      </c>
      <c r="AF127" s="281">
        <v>0.51557275272438086</v>
      </c>
      <c r="AG127" s="281">
        <v>0.48697651338361986</v>
      </c>
      <c r="AH127" s="281">
        <v>0.4677244399801791</v>
      </c>
      <c r="AI127" s="281">
        <v>0.50629588197887132</v>
      </c>
      <c r="AJ127" s="329">
        <v>0.50629588197887132</v>
      </c>
    </row>
    <row r="128" spans="2:36">
      <c r="B128" s="72" t="s">
        <v>650</v>
      </c>
      <c r="C128" s="72" t="s">
        <v>651</v>
      </c>
      <c r="D128" s="72">
        <v>0.78999798580000002</v>
      </c>
      <c r="E128" s="72">
        <v>0.67290587967380544</v>
      </c>
      <c r="F128" s="72">
        <v>0.61744683523333332</v>
      </c>
      <c r="G128" s="72">
        <v>0.64693157820000002</v>
      </c>
      <c r="H128" s="72">
        <v>0.58716216447317793</v>
      </c>
      <c r="I128" s="72">
        <v>0.57657035191347317</v>
      </c>
      <c r="J128" s="72">
        <v>0.63329004560686331</v>
      </c>
      <c r="K128" s="72">
        <v>0.42845963132426662</v>
      </c>
      <c r="L128" s="72">
        <v>0.50170664358000006</v>
      </c>
      <c r="M128" s="72">
        <v>0.46683639433206159</v>
      </c>
      <c r="N128" s="72">
        <v>0.48439441263291144</v>
      </c>
      <c r="O128" s="72">
        <v>0.37528685259137162</v>
      </c>
      <c r="P128" s="72">
        <v>0.37281300680949275</v>
      </c>
      <c r="Q128" s="72">
        <v>0.40485621912076203</v>
      </c>
      <c r="R128" s="281">
        <v>0.4471263146527743</v>
      </c>
      <c r="S128" s="281">
        <v>0.47834640119014088</v>
      </c>
      <c r="T128" s="281">
        <v>0.49439513300248289</v>
      </c>
      <c r="U128" s="281">
        <v>0.48491947444502204</v>
      </c>
      <c r="V128" s="281">
        <v>0.46598710402881571</v>
      </c>
      <c r="W128" s="281">
        <v>0.43185014835310043</v>
      </c>
      <c r="X128" s="281">
        <v>0.43965563933637114</v>
      </c>
      <c r="Y128" s="281">
        <v>0.41078165409862027</v>
      </c>
      <c r="Z128" s="281">
        <v>0.41505356705013735</v>
      </c>
      <c r="AA128" s="281">
        <v>0.42168381685830753</v>
      </c>
      <c r="AB128" s="281">
        <v>0.420616052902689</v>
      </c>
      <c r="AC128" s="281">
        <v>0.4358137836147592</v>
      </c>
      <c r="AD128" s="281">
        <v>0.7100469899794194</v>
      </c>
      <c r="AE128" s="281">
        <v>0.76939764832630342</v>
      </c>
      <c r="AF128" s="281">
        <v>0.81546736485513305</v>
      </c>
      <c r="AG128" s="281">
        <v>0.82074062039715623</v>
      </c>
      <c r="AH128" s="281">
        <v>0.87095416610534471</v>
      </c>
      <c r="AI128" s="281"/>
      <c r="AJ128" s="329"/>
    </row>
    <row r="129" spans="2:36">
      <c r="B129" s="72" t="s">
        <v>652</v>
      </c>
      <c r="C129" s="72" t="s">
        <v>653</v>
      </c>
      <c r="D129" s="72"/>
      <c r="E129" s="72"/>
      <c r="F129" s="72"/>
      <c r="G129" s="72"/>
      <c r="H129" s="72"/>
      <c r="I129" s="72"/>
      <c r="J129" s="72"/>
      <c r="K129" s="72"/>
      <c r="L129" s="72"/>
      <c r="M129" s="72"/>
      <c r="N129" s="72"/>
      <c r="O129" s="72">
        <v>0.46465390554340336</v>
      </c>
      <c r="P129" s="72">
        <v>0.29189132487637975</v>
      </c>
      <c r="Q129" s="72">
        <v>0.25837289444181399</v>
      </c>
      <c r="R129" s="281">
        <v>0.33831876500038871</v>
      </c>
      <c r="S129" s="281">
        <v>0.38163086476655039</v>
      </c>
      <c r="T129" s="281">
        <v>0.39688051973378269</v>
      </c>
      <c r="U129" s="281">
        <v>0.41379926051053351</v>
      </c>
      <c r="V129" s="281">
        <v>0.46267647580227111</v>
      </c>
      <c r="W129" s="281">
        <v>0.48315493960369854</v>
      </c>
      <c r="X129" s="281">
        <v>0.42017936222144953</v>
      </c>
      <c r="Y129" s="281">
        <v>0.39745971551800713</v>
      </c>
      <c r="Z129" s="281">
        <v>0.35934240338461537</v>
      </c>
      <c r="AA129" s="281">
        <v>0.30831793007597519</v>
      </c>
      <c r="AB129" s="281">
        <v>0.40250702873641675</v>
      </c>
      <c r="AC129" s="281">
        <v>0.434348326454224</v>
      </c>
      <c r="AD129" s="281">
        <v>0.48336241124911333</v>
      </c>
      <c r="AE129" s="281">
        <v>0.55622461318858651</v>
      </c>
      <c r="AF129" s="281">
        <v>0.57907681802616706</v>
      </c>
      <c r="AG129" s="281">
        <v>0.56098832165216761</v>
      </c>
      <c r="AH129" s="281">
        <v>0.60390901285008558</v>
      </c>
      <c r="AI129" s="281">
        <v>0.61947383226558039</v>
      </c>
      <c r="AJ129" s="329">
        <v>0.61947383226558039</v>
      </c>
    </row>
    <row r="130" spans="2:36">
      <c r="B130" s="72" t="s">
        <v>654</v>
      </c>
      <c r="C130" s="72" t="s">
        <v>338</v>
      </c>
      <c r="D130" s="72">
        <v>0.52540700004999996</v>
      </c>
      <c r="E130" s="72">
        <v>0.51480079509999999</v>
      </c>
      <c r="F130" s="72">
        <v>0.50674270965000001</v>
      </c>
      <c r="G130" s="72">
        <v>0.52140915514999997</v>
      </c>
      <c r="H130" s="72">
        <v>0.51948371915000002</v>
      </c>
      <c r="I130" s="72">
        <v>0.53054601545000002</v>
      </c>
      <c r="J130" s="72">
        <v>0.53914343239999996</v>
      </c>
      <c r="K130" s="72">
        <v>0.53862171225</v>
      </c>
      <c r="L130" s="72">
        <v>0.47573823274504157</v>
      </c>
      <c r="M130" s="72">
        <v>0.39442587565517245</v>
      </c>
      <c r="N130" s="72">
        <v>0.32482595334603287</v>
      </c>
      <c r="O130" s="72">
        <v>0.30620803512011241</v>
      </c>
      <c r="P130" s="72">
        <v>0.31640166799618458</v>
      </c>
      <c r="Q130" s="72">
        <v>0.29678442031276375</v>
      </c>
      <c r="R130" s="281">
        <v>0.29050226573351728</v>
      </c>
      <c r="S130" s="281">
        <v>0.31086132716371218</v>
      </c>
      <c r="T130" s="281">
        <v>0.30412361833614865</v>
      </c>
      <c r="U130" s="281">
        <v>0.32850190821292774</v>
      </c>
      <c r="V130" s="281">
        <v>0.35120605059822746</v>
      </c>
      <c r="W130" s="281">
        <v>0.36434804879442512</v>
      </c>
      <c r="X130" s="281">
        <v>0.4460300969020653</v>
      </c>
      <c r="Y130" s="281">
        <v>0.45212402503514376</v>
      </c>
      <c r="Z130" s="281">
        <v>0.44069800367248646</v>
      </c>
      <c r="AA130" s="281">
        <v>0.43712286855001442</v>
      </c>
      <c r="AB130" s="281">
        <v>0.43119658139624301</v>
      </c>
      <c r="AC130" s="281">
        <v>0.43094279672217817</v>
      </c>
      <c r="AD130" s="281">
        <v>0.43864331403638285</v>
      </c>
      <c r="AE130" s="281">
        <v>0.45452813857632485</v>
      </c>
      <c r="AF130" s="281">
        <v>0.47930665909708042</v>
      </c>
      <c r="AG130" s="281">
        <v>0.49341982651726868</v>
      </c>
      <c r="AH130" s="281">
        <v>0.51792272175059317</v>
      </c>
      <c r="AI130" s="281">
        <v>0.55529671857752916</v>
      </c>
      <c r="AJ130" s="329">
        <v>0.55529671857752916</v>
      </c>
    </row>
    <row r="131" spans="2:36">
      <c r="B131" s="72" t="s">
        <v>655</v>
      </c>
      <c r="C131" s="72" t="s">
        <v>337</v>
      </c>
      <c r="D131" s="72">
        <v>0.84568856660838809</v>
      </c>
      <c r="E131" s="72">
        <v>0.76146965108331999</v>
      </c>
      <c r="F131" s="72">
        <v>0.7249196476383466</v>
      </c>
      <c r="G131" s="72">
        <v>0.60942351182348731</v>
      </c>
      <c r="H131" s="72">
        <v>0.59846206092350984</v>
      </c>
      <c r="I131" s="72">
        <v>0.61399717936540532</v>
      </c>
      <c r="J131" s="72">
        <v>0.62221553256955398</v>
      </c>
      <c r="K131" s="72">
        <v>0.65698067483938816</v>
      </c>
      <c r="L131" s="72">
        <v>0.69007093644632334</v>
      </c>
      <c r="M131" s="72">
        <v>0.74914665959820004</v>
      </c>
      <c r="N131" s="72">
        <v>0.77738004599604615</v>
      </c>
      <c r="O131" s="72">
        <v>0.82251391692402709</v>
      </c>
      <c r="P131" s="72">
        <v>0.88878960304110799</v>
      </c>
      <c r="Q131" s="72">
        <v>0.94524058410465894</v>
      </c>
      <c r="R131" s="281">
        <v>0.98585528788623777</v>
      </c>
      <c r="S131" s="281">
        <v>1.0023646720571886</v>
      </c>
      <c r="T131" s="281">
        <v>1.0430762564938003</v>
      </c>
      <c r="U131" s="281">
        <v>1.0812050816574315</v>
      </c>
      <c r="V131" s="281">
        <v>1.0787866439776379</v>
      </c>
      <c r="W131" s="281">
        <v>1.0180486054527875</v>
      </c>
      <c r="X131" s="281">
        <v>0.95850095307526439</v>
      </c>
      <c r="Y131" s="281">
        <v>0.91972872471405853</v>
      </c>
      <c r="Z131" s="281">
        <v>0.87423293852979267</v>
      </c>
      <c r="AA131" s="281">
        <v>0.80600987296450399</v>
      </c>
      <c r="AB131" s="281">
        <v>0.75570168686440675</v>
      </c>
      <c r="AC131" s="281">
        <v>0.73133088201560947</v>
      </c>
      <c r="AD131" s="281">
        <v>0.70554795371919976</v>
      </c>
      <c r="AE131" s="281">
        <v>0.70413621752505962</v>
      </c>
      <c r="AF131" s="281">
        <v>0.69903887636769912</v>
      </c>
      <c r="AG131" s="281">
        <v>0.69046976328078635</v>
      </c>
      <c r="AH131" s="281">
        <v>0.68635745814240856</v>
      </c>
      <c r="AI131" s="281">
        <v>0.6954656127183968</v>
      </c>
      <c r="AJ131" s="329">
        <v>0.6954656127183968</v>
      </c>
    </row>
    <row r="132" spans="2:36">
      <c r="B132" s="72" t="s">
        <v>656</v>
      </c>
      <c r="C132" s="72" t="s">
        <v>657</v>
      </c>
      <c r="D132" s="72">
        <v>0.40523097514792905</v>
      </c>
      <c r="E132" s="72">
        <v>0.36935601133615042</v>
      </c>
      <c r="F132" s="72">
        <v>0.34474992147959382</v>
      </c>
      <c r="G132" s="72">
        <v>0.298820032934284</v>
      </c>
      <c r="H132" s="72">
        <v>0.27199800795129314</v>
      </c>
      <c r="I132" s="72">
        <v>0.26794421686258224</v>
      </c>
      <c r="J132" s="72">
        <v>0.29733161186930668</v>
      </c>
      <c r="K132" s="72">
        <v>0.30511472606890655</v>
      </c>
      <c r="L132" s="72">
        <v>0.32286016630246106</v>
      </c>
      <c r="M132" s="72">
        <v>0.31532658142212172</v>
      </c>
      <c r="N132" s="72">
        <v>0.35678228546792184</v>
      </c>
      <c r="O132" s="72">
        <v>0.40407377360005353</v>
      </c>
      <c r="P132" s="72">
        <v>0.45377185664549641</v>
      </c>
      <c r="Q132" s="72">
        <v>0.46267609325513714</v>
      </c>
      <c r="R132" s="281">
        <v>0.4735940309799741</v>
      </c>
      <c r="S132" s="281">
        <v>0.49167215428874328</v>
      </c>
      <c r="T132" s="281">
        <v>0.47963557808883162</v>
      </c>
      <c r="U132" s="281">
        <v>0.45565766938660707</v>
      </c>
      <c r="V132" s="281">
        <v>0.43936104478354421</v>
      </c>
      <c r="W132" s="281">
        <v>0.42620307462004803</v>
      </c>
      <c r="X132" s="281">
        <v>0.38232791518391046</v>
      </c>
      <c r="Y132" s="281">
        <v>0.3862366867664383</v>
      </c>
      <c r="Z132" s="281">
        <v>0.44550609741594444</v>
      </c>
      <c r="AA132" s="281">
        <v>0.53728219491172724</v>
      </c>
      <c r="AB132" s="281">
        <v>0.62298035191845391</v>
      </c>
      <c r="AC132" s="281">
        <v>0.64431412273120126</v>
      </c>
      <c r="AD132" s="281">
        <v>0.61142229526118175</v>
      </c>
      <c r="AE132" s="281">
        <v>0.71523825932262752</v>
      </c>
      <c r="AF132" s="281">
        <v>0.75200045628849344</v>
      </c>
      <c r="AG132" s="281">
        <v>0.62397435624562314</v>
      </c>
      <c r="AH132" s="281">
        <v>0.6203931124362797</v>
      </c>
      <c r="AI132" s="281">
        <v>0.64828946234954743</v>
      </c>
      <c r="AJ132" s="329">
        <v>0.64828946234954743</v>
      </c>
    </row>
    <row r="133" spans="2:36">
      <c r="B133" s="72" t="s">
        <v>658</v>
      </c>
      <c r="C133" s="72" t="s">
        <v>659</v>
      </c>
      <c r="D133" s="72">
        <v>1.2196545214273802</v>
      </c>
      <c r="E133" s="72">
        <v>1.1048158248664213</v>
      </c>
      <c r="F133" s="72">
        <v>0.93582889770473232</v>
      </c>
      <c r="G133" s="72">
        <v>0.79357717085030666</v>
      </c>
      <c r="H133" s="72">
        <v>0.76067752960367518</v>
      </c>
      <c r="I133" s="72">
        <v>0.74444427034020189</v>
      </c>
      <c r="J133" s="72">
        <v>0.91609594469664912</v>
      </c>
      <c r="K133" s="72">
        <v>1.1345110998210832</v>
      </c>
      <c r="L133" s="72">
        <v>1.2141779927465477</v>
      </c>
      <c r="M133" s="72">
        <v>1.0839164986027789</v>
      </c>
      <c r="N133" s="72">
        <v>1.17627847274886</v>
      </c>
      <c r="O133" s="72">
        <v>1.2161792112386709</v>
      </c>
      <c r="P133" s="72">
        <v>1.2599177446177747</v>
      </c>
      <c r="Q133" s="72">
        <v>1.0686679599486415</v>
      </c>
      <c r="R133" s="281">
        <v>1.0380727414918134</v>
      </c>
      <c r="S133" s="281">
        <v>1.1325051082287219</v>
      </c>
      <c r="T133" s="281">
        <v>1.128582042706767</v>
      </c>
      <c r="U133" s="281">
        <v>1.0510971031376095</v>
      </c>
      <c r="V133" s="281">
        <v>1.0887877547799201</v>
      </c>
      <c r="W133" s="281">
        <v>1.1016014470113484</v>
      </c>
      <c r="X133" s="281">
        <v>1.0724428786760964</v>
      </c>
      <c r="Y133" s="281">
        <v>0.91281319174007391</v>
      </c>
      <c r="Z133" s="281">
        <v>0.99650826735703146</v>
      </c>
      <c r="AA133" s="281">
        <v>1.2317175962403368</v>
      </c>
      <c r="AB133" s="281">
        <v>1.3427171628554373</v>
      </c>
      <c r="AC133" s="281">
        <v>1.573130966137783</v>
      </c>
      <c r="AD133" s="281">
        <v>1.5290229139355942</v>
      </c>
      <c r="AE133" s="281">
        <v>1.7657971009288891</v>
      </c>
      <c r="AF133" s="281">
        <v>1.3351234117017006</v>
      </c>
      <c r="AG133" s="281">
        <v>1.0166123942477232</v>
      </c>
      <c r="AH133" s="281">
        <v>1.1131089283376963</v>
      </c>
      <c r="AI133" s="281">
        <v>1.2051449383354895</v>
      </c>
      <c r="AJ133" s="329">
        <v>1.2051449383354895</v>
      </c>
    </row>
    <row r="134" spans="2:36">
      <c r="B134" s="72" t="s">
        <v>660</v>
      </c>
      <c r="C134" s="72" t="s">
        <v>332</v>
      </c>
      <c r="D134" s="72">
        <v>0.64501902646099274</v>
      </c>
      <c r="E134" s="72">
        <v>0.5777208952693812</v>
      </c>
      <c r="F134" s="72">
        <v>0.54590024159252215</v>
      </c>
      <c r="G134" s="72">
        <v>0.53224509105337592</v>
      </c>
      <c r="H134" s="72">
        <v>0.48028043933203401</v>
      </c>
      <c r="I134" s="72">
        <v>0.48526197502740909</v>
      </c>
      <c r="J134" s="72">
        <v>0.48510834731161762</v>
      </c>
      <c r="K134" s="72">
        <v>0.50803072841115005</v>
      </c>
      <c r="L134" s="72">
        <v>0.47599518310154276</v>
      </c>
      <c r="M134" s="72">
        <v>0.43217681720238654</v>
      </c>
      <c r="N134" s="72">
        <v>0.42778765353093573</v>
      </c>
      <c r="O134" s="72">
        <v>0.34451309682383768</v>
      </c>
      <c r="P134" s="72">
        <v>0.34130743530933699</v>
      </c>
      <c r="Q134" s="72">
        <v>0.30897840027419682</v>
      </c>
      <c r="R134" s="281">
        <v>0.33267947473943199</v>
      </c>
      <c r="S134" s="281">
        <v>0.33270378504135251</v>
      </c>
      <c r="T134" s="281">
        <v>0.3314842378911293</v>
      </c>
      <c r="U134" s="281">
        <v>0.33083048533751958</v>
      </c>
      <c r="V134" s="281">
        <v>0.3112977851037948</v>
      </c>
      <c r="W134" s="281">
        <v>0.30634972577450426</v>
      </c>
      <c r="X134" s="281">
        <v>0.29482409946263038</v>
      </c>
      <c r="Y134" s="281">
        <v>0.28494175222732609</v>
      </c>
      <c r="Z134" s="281">
        <v>0.28651569135422028</v>
      </c>
      <c r="AA134" s="281">
        <v>0.30707917358141562</v>
      </c>
      <c r="AB134" s="281">
        <v>0.32358865405865561</v>
      </c>
      <c r="AC134" s="281">
        <v>0.33131589030328468</v>
      </c>
      <c r="AD134" s="281">
        <v>0.3342088412026652</v>
      </c>
      <c r="AE134" s="281">
        <v>0.38605141491281808</v>
      </c>
      <c r="AF134" s="281">
        <v>0.35926698718664168</v>
      </c>
      <c r="AG134" s="281">
        <v>0.36426530450147898</v>
      </c>
      <c r="AH134" s="281">
        <v>0.40858698611611544</v>
      </c>
      <c r="AI134" s="281">
        <v>0.41038158456088858</v>
      </c>
      <c r="AJ134" s="329">
        <v>0.41038158456088858</v>
      </c>
    </row>
    <row r="135" spans="2:36">
      <c r="B135" s="72" t="s">
        <v>661</v>
      </c>
      <c r="C135" s="72" t="s">
        <v>662</v>
      </c>
      <c r="D135" s="72">
        <v>0.81894372034242524</v>
      </c>
      <c r="E135" s="72">
        <v>0.8206881829737035</v>
      </c>
      <c r="F135" s="72">
        <v>0.78365359746079288</v>
      </c>
      <c r="G135" s="72">
        <v>0.62651151509108882</v>
      </c>
      <c r="H135" s="72">
        <v>0.57822878105989883</v>
      </c>
      <c r="I135" s="72">
        <v>0.54054363905739145</v>
      </c>
      <c r="J135" s="72">
        <v>0.45738101828400302</v>
      </c>
      <c r="K135" s="72">
        <v>0.40022123790554209</v>
      </c>
      <c r="L135" s="72">
        <v>0.42522062133399979</v>
      </c>
      <c r="M135" s="72">
        <v>0.42926342492223207</v>
      </c>
      <c r="N135" s="72">
        <v>0.42793432166947398</v>
      </c>
      <c r="O135" s="72">
        <v>0.42557661615433368</v>
      </c>
      <c r="P135" s="72">
        <v>0.42193502329546712</v>
      </c>
      <c r="Q135" s="72">
        <v>0.43723128102229536</v>
      </c>
      <c r="R135" s="281">
        <v>0.44608747164641904</v>
      </c>
      <c r="S135" s="281">
        <v>0.45956189976914885</v>
      </c>
      <c r="T135" s="281">
        <v>0.47188220046914342</v>
      </c>
      <c r="U135" s="281">
        <v>0.41957624506564672</v>
      </c>
      <c r="V135" s="281">
        <v>0.21070418039529443</v>
      </c>
      <c r="W135" s="281">
        <v>0.3022077478485421</v>
      </c>
      <c r="X135" s="281">
        <v>0.33232065147635098</v>
      </c>
      <c r="Y135" s="281">
        <v>0.30483981855090508</v>
      </c>
      <c r="Z135" s="281">
        <v>0.35005295046476748</v>
      </c>
      <c r="AA135" s="281">
        <v>0.39259457335119818</v>
      </c>
      <c r="AB135" s="281">
        <v>0.39773712590166127</v>
      </c>
      <c r="AC135" s="281">
        <v>0.40539598872265248</v>
      </c>
      <c r="AD135" s="281">
        <v>0.47473268467207014</v>
      </c>
      <c r="AE135" s="281">
        <v>0.51432823735915112</v>
      </c>
      <c r="AF135" s="281">
        <v>0.56034570409726714</v>
      </c>
      <c r="AG135" s="281">
        <v>0.55898754130437711</v>
      </c>
      <c r="AH135" s="281">
        <v>0.68585732333992167</v>
      </c>
      <c r="AI135" s="281">
        <v>0.75376536705141917</v>
      </c>
      <c r="AJ135" s="329">
        <v>0.75376536705141917</v>
      </c>
    </row>
    <row r="136" spans="2:36">
      <c r="B136" s="72" t="s">
        <v>663</v>
      </c>
      <c r="C136" s="72" t="s">
        <v>664</v>
      </c>
      <c r="D136" s="72">
        <v>0.68013778848223283</v>
      </c>
      <c r="E136" s="72">
        <v>0.70727557527858442</v>
      </c>
      <c r="F136" s="72">
        <v>0.7387659606738779</v>
      </c>
      <c r="G136" s="72">
        <v>0.76452607012053853</v>
      </c>
      <c r="H136" s="72">
        <v>0.77835400374802832</v>
      </c>
      <c r="I136" s="72">
        <v>0.82512016159122037</v>
      </c>
      <c r="J136" s="72">
        <v>1.0348698194621546</v>
      </c>
      <c r="K136" s="72">
        <v>0.65588559434873517</v>
      </c>
      <c r="L136" s="72">
        <v>0.61533665667728621</v>
      </c>
      <c r="M136" s="72">
        <v>0.54745083477876111</v>
      </c>
      <c r="N136" s="72">
        <v>0.47221263195546465</v>
      </c>
      <c r="O136" s="72"/>
      <c r="P136" s="72"/>
      <c r="Q136" s="72">
        <v>0.19617991121321321</v>
      </c>
      <c r="R136" s="281">
        <v>0.21554662244215939</v>
      </c>
      <c r="S136" s="281">
        <v>0.27765454885686369</v>
      </c>
      <c r="T136" s="281">
        <v>0.31010829166963488</v>
      </c>
      <c r="U136" s="281">
        <v>0.28024406300413746</v>
      </c>
      <c r="V136" s="281">
        <v>0.26225381866188396</v>
      </c>
      <c r="W136" s="281">
        <v>0.25848584261744967</v>
      </c>
      <c r="X136" s="281">
        <v>0.23288757878206245</v>
      </c>
      <c r="Y136" s="281">
        <v>0.25035559578965461</v>
      </c>
      <c r="Z136" s="281">
        <v>0.23108432905252577</v>
      </c>
      <c r="AA136" s="281">
        <v>0.24574644216547128</v>
      </c>
      <c r="AB136" s="281">
        <v>0.27418908869173453</v>
      </c>
      <c r="AC136" s="281">
        <v>0.29838992797293501</v>
      </c>
      <c r="AD136" s="281">
        <v>0.31685543734884319</v>
      </c>
      <c r="AE136" s="281">
        <v>0.36653274825151017</v>
      </c>
      <c r="AF136" s="281">
        <v>0.4144205867404569</v>
      </c>
      <c r="AG136" s="281">
        <v>0.3932820260940969</v>
      </c>
      <c r="AH136" s="281"/>
      <c r="AI136" s="281"/>
      <c r="AJ136" s="329"/>
    </row>
    <row r="137" spans="2:36">
      <c r="B137" s="72" t="s">
        <v>665</v>
      </c>
      <c r="C137" s="72" t="s">
        <v>666</v>
      </c>
      <c r="D137" s="72"/>
      <c r="E137" s="72"/>
      <c r="F137" s="72"/>
      <c r="G137" s="72"/>
      <c r="H137" s="72"/>
      <c r="I137" s="72"/>
      <c r="J137" s="72"/>
      <c r="K137" s="72"/>
      <c r="L137" s="72"/>
      <c r="M137" s="72"/>
      <c r="N137" s="72"/>
      <c r="O137" s="72"/>
      <c r="P137" s="72"/>
      <c r="Q137" s="72"/>
      <c r="R137" s="281"/>
      <c r="S137" s="281"/>
      <c r="T137" s="281"/>
      <c r="U137" s="281">
        <v>0.17195428005438479</v>
      </c>
      <c r="V137" s="281">
        <v>0.13020909124691357</v>
      </c>
      <c r="W137" s="281">
        <v>0.17623434232251523</v>
      </c>
      <c r="X137" s="281">
        <v>0.25976592048704661</v>
      </c>
      <c r="Y137" s="281">
        <v>0.19916355582166925</v>
      </c>
      <c r="Z137" s="281">
        <v>0.21293679548799183</v>
      </c>
      <c r="AA137" s="281"/>
      <c r="AB137" s="281">
        <v>0.32024718990642626</v>
      </c>
      <c r="AC137" s="281">
        <v>0.37955212359374996</v>
      </c>
      <c r="AD137" s="281">
        <v>0.49838256185089275</v>
      </c>
      <c r="AE137" s="281">
        <v>0.60325174528933523</v>
      </c>
      <c r="AF137" s="281">
        <v>0.81837882822898333</v>
      </c>
      <c r="AG137" s="281">
        <v>0.57542236441880346</v>
      </c>
      <c r="AH137" s="281">
        <v>0.71551550183760682</v>
      </c>
      <c r="AI137" s="281">
        <v>0.90596859290598286</v>
      </c>
      <c r="AJ137" s="329">
        <v>0.90596859290598286</v>
      </c>
    </row>
    <row r="138" spans="2:36">
      <c r="B138" s="72" t="s">
        <v>667</v>
      </c>
      <c r="C138" s="72" t="s">
        <v>668</v>
      </c>
      <c r="D138" s="72">
        <v>1.0024585515455575</v>
      </c>
      <c r="E138" s="72">
        <v>0.84310283559386479</v>
      </c>
      <c r="F138" s="72">
        <v>0.80718483344511516</v>
      </c>
      <c r="G138" s="72">
        <v>0.75268515219731813</v>
      </c>
      <c r="H138" s="72">
        <v>0.67309533976438451</v>
      </c>
      <c r="I138" s="72">
        <v>0.67025785625052048</v>
      </c>
      <c r="J138" s="72">
        <v>0.88886740038151757</v>
      </c>
      <c r="K138" s="72">
        <v>0.97465887523408234</v>
      </c>
      <c r="L138" s="72">
        <v>0.99707698260347921</v>
      </c>
      <c r="M138" s="72">
        <v>0.94313402946757441</v>
      </c>
      <c r="N138" s="72">
        <v>1.0519297564152663</v>
      </c>
      <c r="O138" s="72">
        <v>1.0064309773101787</v>
      </c>
      <c r="P138" s="72">
        <v>1.0684248010183572</v>
      </c>
      <c r="Q138" s="72">
        <v>0.9543219699965112</v>
      </c>
      <c r="R138" s="281">
        <v>0.96281272202591284</v>
      </c>
      <c r="S138" s="281">
        <v>1.0418036944444444</v>
      </c>
      <c r="T138" s="281">
        <v>1.0438638293850808</v>
      </c>
      <c r="U138" s="281">
        <v>1.0199129190544411</v>
      </c>
      <c r="V138" s="281">
        <v>0.98947203319502064</v>
      </c>
      <c r="W138" s="281">
        <v>0.99068303750266351</v>
      </c>
      <c r="X138" s="281">
        <v>0.88620094527363191</v>
      </c>
      <c r="Y138" s="281">
        <v>0.88858706756152128</v>
      </c>
      <c r="Z138" s="281">
        <v>0.94475638339920953</v>
      </c>
      <c r="AA138" s="281">
        <v>1.1445915654627541</v>
      </c>
      <c r="AB138" s="281">
        <v>1.2491596605265936</v>
      </c>
      <c r="AC138" s="281">
        <v>1.2563221210764564</v>
      </c>
      <c r="AD138" s="281">
        <v>1.2360748186330901</v>
      </c>
      <c r="AE138" s="281">
        <v>1.3118373531078318</v>
      </c>
      <c r="AF138" s="281">
        <v>1.3938272750576775</v>
      </c>
      <c r="AG138" s="281">
        <v>1.2461334304841472</v>
      </c>
      <c r="AH138" s="281">
        <v>1.1220480105263158</v>
      </c>
      <c r="AI138" s="281">
        <v>1.1617394125</v>
      </c>
      <c r="AJ138" s="329">
        <v>1.1617394125</v>
      </c>
    </row>
    <row r="139" spans="2:36">
      <c r="B139" s="72" t="s">
        <v>669</v>
      </c>
      <c r="C139" s="72" t="s">
        <v>670</v>
      </c>
      <c r="D139" s="72"/>
      <c r="E139" s="72"/>
      <c r="F139" s="72"/>
      <c r="G139" s="72"/>
      <c r="H139" s="72"/>
      <c r="I139" s="72"/>
      <c r="J139" s="72"/>
      <c r="K139" s="72"/>
      <c r="L139" s="72"/>
      <c r="M139" s="72"/>
      <c r="N139" s="72"/>
      <c r="O139" s="72"/>
      <c r="P139" s="72"/>
      <c r="Q139" s="72"/>
      <c r="R139" s="281"/>
      <c r="S139" s="281"/>
      <c r="T139" s="281"/>
      <c r="U139" s="281"/>
      <c r="V139" s="281"/>
      <c r="W139" s="281"/>
      <c r="X139" s="281"/>
      <c r="Y139" s="281"/>
      <c r="Z139" s="281"/>
      <c r="AA139" s="281"/>
      <c r="AB139" s="281"/>
      <c r="AC139" s="281"/>
      <c r="AD139" s="281"/>
      <c r="AE139" s="281"/>
      <c r="AF139" s="281"/>
      <c r="AG139" s="281"/>
      <c r="AH139" s="281"/>
      <c r="AI139" s="281"/>
      <c r="AJ139" s="329"/>
    </row>
    <row r="140" spans="2:36">
      <c r="B140" s="72" t="s">
        <v>671</v>
      </c>
      <c r="C140" s="72" t="s">
        <v>672</v>
      </c>
      <c r="D140" s="72">
        <v>0.75192836352176962</v>
      </c>
      <c r="E140" s="72">
        <v>0.69228449855441132</v>
      </c>
      <c r="F140" s="72">
        <v>0.69846530466781054</v>
      </c>
      <c r="G140" s="72">
        <v>0.72488275874585739</v>
      </c>
      <c r="H140" s="72">
        <v>0.64932395255973929</v>
      </c>
      <c r="I140" s="72">
        <v>0.57129209715142137</v>
      </c>
      <c r="J140" s="72">
        <v>0.66483041085781092</v>
      </c>
      <c r="K140" s="72">
        <v>0.72423859053432793</v>
      </c>
      <c r="L140" s="72">
        <v>0.83197500763177135</v>
      </c>
      <c r="M140" s="72">
        <v>0.79391023018728624</v>
      </c>
      <c r="N140" s="72">
        <v>0.84226982379541937</v>
      </c>
      <c r="O140" s="72">
        <v>0.86446233679259199</v>
      </c>
      <c r="P140" s="72">
        <v>0.87696716602608071</v>
      </c>
      <c r="Q140" s="72">
        <v>0.82833022568342707</v>
      </c>
      <c r="R140" s="281">
        <v>0.85819913415025895</v>
      </c>
      <c r="S140" s="281">
        <v>0.91694339230523658</v>
      </c>
      <c r="T140" s="281">
        <v>0.93333631139828244</v>
      </c>
      <c r="U140" s="281">
        <v>0.9160403181782526</v>
      </c>
      <c r="V140" s="281">
        <v>0.88038727138759509</v>
      </c>
      <c r="W140" s="281">
        <v>0.84659293698952309</v>
      </c>
      <c r="X140" s="281">
        <v>0.84436897530228339</v>
      </c>
      <c r="Y140" s="281">
        <v>0.81470827234467502</v>
      </c>
      <c r="Z140" s="281">
        <v>0.73086167419477399</v>
      </c>
      <c r="AA140" s="281">
        <v>0.79691044531301458</v>
      </c>
      <c r="AB140" s="281">
        <v>0.78864286858545285</v>
      </c>
      <c r="AC140" s="281">
        <v>0.82819461831550789</v>
      </c>
      <c r="AD140" s="281">
        <v>0.86088387696934332</v>
      </c>
      <c r="AE140" s="281">
        <v>0.90542279009761195</v>
      </c>
      <c r="AF140" s="281">
        <v>1.077816241638796</v>
      </c>
      <c r="AG140" s="281">
        <v>1.0214500030516491</v>
      </c>
      <c r="AH140" s="281">
        <v>1.0730102340197913</v>
      </c>
      <c r="AI140" s="281">
        <v>1.1242552548910008</v>
      </c>
      <c r="AJ140" s="329">
        <v>1.1242552548910008</v>
      </c>
    </row>
    <row r="141" spans="2:36">
      <c r="B141" s="72" t="s">
        <v>673</v>
      </c>
      <c r="C141" s="72" t="s">
        <v>674</v>
      </c>
      <c r="D141" s="72">
        <v>0.88274463938503267</v>
      </c>
      <c r="E141" s="72">
        <v>0.72227423437233862</v>
      </c>
      <c r="F141" s="72">
        <v>0.67259116105941308</v>
      </c>
      <c r="G141" s="72">
        <v>0.66312500892401838</v>
      </c>
      <c r="H141" s="72">
        <v>0.61194507934758646</v>
      </c>
      <c r="I141" s="72">
        <v>0.59655071392353709</v>
      </c>
      <c r="J141" s="72">
        <v>0.80332623847252893</v>
      </c>
      <c r="K141" s="72">
        <v>0.95155421272781593</v>
      </c>
      <c r="L141" s="72">
        <v>0.97685274025587621</v>
      </c>
      <c r="M141" s="72">
        <v>0.94819335167936769</v>
      </c>
      <c r="N141" s="72">
        <v>1.1385587621202327</v>
      </c>
      <c r="O141" s="72">
        <v>1.1425148946464803</v>
      </c>
      <c r="P141" s="72">
        <v>1.1724457172034564</v>
      </c>
      <c r="Q141" s="72">
        <v>0.933442469545958</v>
      </c>
      <c r="R141" s="281">
        <v>0.92385683117195005</v>
      </c>
      <c r="S141" s="281">
        <v>0.9400598656840603</v>
      </c>
      <c r="T141" s="281">
        <v>1.0164788630944912</v>
      </c>
      <c r="U141" s="281">
        <v>0.92903235561618913</v>
      </c>
      <c r="V141" s="281">
        <v>0.90177748076279685</v>
      </c>
      <c r="W141" s="281">
        <v>0.87194748774770936</v>
      </c>
      <c r="X141" s="281">
        <v>0.75283888336097293</v>
      </c>
      <c r="Y141" s="281">
        <v>0.72277561431767345</v>
      </c>
      <c r="Z141" s="281">
        <v>0.79561700357613407</v>
      </c>
      <c r="AA141" s="281">
        <v>0.96368822460496606</v>
      </c>
      <c r="AB141" s="281">
        <v>1.0837199704481819</v>
      </c>
      <c r="AC141" s="281">
        <v>1.0777576070735713</v>
      </c>
      <c r="AD141" s="281">
        <v>1.0467042919634042</v>
      </c>
      <c r="AE141" s="281">
        <v>1.1181909468163442</v>
      </c>
      <c r="AF141" s="281">
        <v>1.1555479400886219</v>
      </c>
      <c r="AG141" s="281">
        <v>1.0886740678175657</v>
      </c>
      <c r="AH141" s="281">
        <v>1.0522282460526315</v>
      </c>
      <c r="AI141" s="281">
        <v>1.1058397444444446</v>
      </c>
      <c r="AJ141" s="329">
        <v>1.1058397444444446</v>
      </c>
    </row>
    <row r="142" spans="2:36">
      <c r="B142" s="72" t="s">
        <v>675</v>
      </c>
      <c r="C142" s="72" t="s">
        <v>676</v>
      </c>
      <c r="D142" s="72"/>
      <c r="E142" s="72"/>
      <c r="F142" s="72"/>
      <c r="G142" s="72"/>
      <c r="H142" s="72"/>
      <c r="I142" s="72"/>
      <c r="J142" s="72"/>
      <c r="K142" s="72"/>
      <c r="L142" s="72"/>
      <c r="M142" s="72"/>
      <c r="N142" s="72"/>
      <c r="O142" s="72"/>
      <c r="P142" s="72"/>
      <c r="Q142" s="72"/>
      <c r="R142" s="281"/>
      <c r="S142" s="281"/>
      <c r="T142" s="281"/>
      <c r="U142" s="281"/>
      <c r="V142" s="281"/>
      <c r="W142" s="281"/>
      <c r="X142" s="281"/>
      <c r="Y142" s="281"/>
      <c r="Z142" s="281"/>
      <c r="AA142" s="281"/>
      <c r="AB142" s="281"/>
      <c r="AC142" s="281">
        <v>0.59002405063291141</v>
      </c>
      <c r="AD142" s="281"/>
      <c r="AE142" s="281"/>
      <c r="AF142" s="281"/>
      <c r="AG142" s="281"/>
      <c r="AH142" s="281"/>
      <c r="AI142" s="281"/>
      <c r="AJ142" s="329"/>
    </row>
    <row r="143" spans="2:36">
      <c r="B143" s="72" t="s">
        <v>677</v>
      </c>
      <c r="C143" s="72" t="s">
        <v>678</v>
      </c>
      <c r="D143" s="72">
        <v>1.0918325246272396</v>
      </c>
      <c r="E143" s="72">
        <v>1.0591657182189922</v>
      </c>
      <c r="F143" s="72">
        <v>0.89770909964681567</v>
      </c>
      <c r="G143" s="72">
        <v>0.91387914742726362</v>
      </c>
      <c r="H143" s="72">
        <v>0.89611510277973661</v>
      </c>
      <c r="I143" s="72">
        <v>0.87456928687433921</v>
      </c>
      <c r="J143" s="72">
        <v>1.2323715409109197</v>
      </c>
      <c r="K143" s="72">
        <v>1.3934714275343532</v>
      </c>
      <c r="L143" s="72">
        <v>1.5252515994715636</v>
      </c>
      <c r="M143" s="72">
        <v>1.3954661050241945</v>
      </c>
      <c r="N143" s="72">
        <v>1.3091497059585271</v>
      </c>
      <c r="O143" s="72">
        <v>1.3944140588404288</v>
      </c>
      <c r="P143" s="72">
        <v>1.4717063646405524</v>
      </c>
      <c r="Q143" s="72">
        <v>1.6474033452100671</v>
      </c>
      <c r="R143" s="281">
        <v>1.7576017016313821</v>
      </c>
      <c r="S143" s="281">
        <v>1.8574661895223878</v>
      </c>
      <c r="T143" s="281">
        <v>1.5672258356614459</v>
      </c>
      <c r="U143" s="281">
        <v>1.3927261397344759</v>
      </c>
      <c r="V143" s="281">
        <v>1.2721623081723963</v>
      </c>
      <c r="W143" s="281">
        <v>1.4225291202983492</v>
      </c>
      <c r="X143" s="281">
        <v>1.4393521201126518</v>
      </c>
      <c r="Y143" s="281">
        <v>1.233098110819731</v>
      </c>
      <c r="Z143" s="281">
        <v>1.1466344825661148</v>
      </c>
      <c r="AA143" s="281">
        <v>1.2060721128923046</v>
      </c>
      <c r="AB143" s="281">
        <v>1.2400176564103038</v>
      </c>
      <c r="AC143" s="281">
        <v>1.1754155836614708</v>
      </c>
      <c r="AD143" s="281">
        <v>1.0736431164498406</v>
      </c>
      <c r="AE143" s="281">
        <v>1.0209102128165497</v>
      </c>
      <c r="AF143" s="281">
        <v>1.130485142077613</v>
      </c>
      <c r="AG143" s="281">
        <v>1.2316791955977391</v>
      </c>
      <c r="AH143" s="281">
        <v>1.2685725825928456</v>
      </c>
      <c r="AI143" s="281">
        <v>1.3377406540533767</v>
      </c>
      <c r="AJ143" s="329">
        <v>1.3377406540533767</v>
      </c>
    </row>
    <row r="144" spans="2:36">
      <c r="B144" s="72" t="s">
        <v>679</v>
      </c>
      <c r="C144" s="72" t="s">
        <v>680</v>
      </c>
      <c r="D144" s="72">
        <v>0.96774984187295476</v>
      </c>
      <c r="E144" s="72">
        <v>0.94846058943870626</v>
      </c>
      <c r="F144" s="72">
        <v>0.90353140684043887</v>
      </c>
      <c r="G144" s="72">
        <v>0.88940006431107288</v>
      </c>
      <c r="H144" s="72">
        <v>0.80735935102024892</v>
      </c>
      <c r="I144" s="72">
        <v>0.75221034255305674</v>
      </c>
      <c r="J144" s="72">
        <v>0.83030123977757841</v>
      </c>
      <c r="K144" s="72">
        <v>0.82747918377115104</v>
      </c>
      <c r="L144" s="72">
        <v>0.75533798635824434</v>
      </c>
      <c r="M144" s="72">
        <v>0.57395701374578822</v>
      </c>
      <c r="N144" s="72">
        <v>0.53330302394713369</v>
      </c>
      <c r="O144" s="72">
        <v>0.52834228016966633</v>
      </c>
      <c r="P144" s="72">
        <v>0.55226004226131109</v>
      </c>
      <c r="Q144" s="72">
        <v>0.5451777141549915</v>
      </c>
      <c r="R144" s="281">
        <v>0.5662545900015743</v>
      </c>
      <c r="S144" s="281">
        <v>0.56209454245148405</v>
      </c>
      <c r="T144" s="281">
        <v>0.5571881107757406</v>
      </c>
      <c r="U144" s="281">
        <v>0.55355321188998596</v>
      </c>
      <c r="V144" s="281">
        <v>0.57861920613540196</v>
      </c>
      <c r="W144" s="281">
        <v>0.56810091110014105</v>
      </c>
      <c r="X144" s="281">
        <v>0.55386737185314783</v>
      </c>
      <c r="Y144" s="281">
        <v>0.54587800434995204</v>
      </c>
      <c r="Z144" s="281">
        <v>0.54191623684182411</v>
      </c>
      <c r="AA144" s="281">
        <v>0.54206312553085612</v>
      </c>
      <c r="AB144" s="281">
        <v>0.54347146622659104</v>
      </c>
      <c r="AC144" s="281">
        <v>0.53669219881024832</v>
      </c>
      <c r="AD144" s="281">
        <v>0.57522232459403788</v>
      </c>
      <c r="AE144" s="281">
        <v>0.58725020105840464</v>
      </c>
      <c r="AF144" s="281">
        <v>0.68801648223192902</v>
      </c>
      <c r="AG144" s="281">
        <v>0.69792763295774651</v>
      </c>
      <c r="AH144" s="281">
        <v>0.75149711767605643</v>
      </c>
      <c r="AI144" s="281">
        <v>0.78208437176056345</v>
      </c>
      <c r="AJ144" s="329">
        <v>0.78208437176056345</v>
      </c>
    </row>
    <row r="145" spans="2:36">
      <c r="B145" s="72" t="s">
        <v>681</v>
      </c>
      <c r="C145" s="72" t="s">
        <v>682</v>
      </c>
      <c r="D145" s="72"/>
      <c r="E145" s="72"/>
      <c r="F145" s="72"/>
      <c r="G145" s="72"/>
      <c r="H145" s="72"/>
      <c r="I145" s="72"/>
      <c r="J145" s="72"/>
      <c r="K145" s="72"/>
      <c r="L145" s="72"/>
      <c r="M145" s="72"/>
      <c r="N145" s="72">
        <v>0.32177300753129306</v>
      </c>
      <c r="O145" s="72">
        <v>0.32302474756196248</v>
      </c>
      <c r="P145" s="72">
        <v>0.33441313046879867</v>
      </c>
      <c r="Q145" s="72">
        <v>0.33872085744488051</v>
      </c>
      <c r="R145" s="281">
        <v>0.34480192622982453</v>
      </c>
      <c r="S145" s="281">
        <v>0.3519215451351228</v>
      </c>
      <c r="T145" s="281">
        <v>0.35524172616688249</v>
      </c>
      <c r="U145" s="281">
        <v>0.36111588810604806</v>
      </c>
      <c r="V145" s="281">
        <v>0.3625076828886063</v>
      </c>
      <c r="W145" s="281">
        <v>0.26514091379549715</v>
      </c>
      <c r="X145" s="281">
        <v>0.25627280980901207</v>
      </c>
      <c r="Y145" s="281">
        <v>0.26738450320967688</v>
      </c>
      <c r="Z145" s="281">
        <v>0.26649704614420316</v>
      </c>
      <c r="AA145" s="281">
        <v>0.29885722725928004</v>
      </c>
      <c r="AB145" s="281">
        <v>0.37117918928952109</v>
      </c>
      <c r="AC145" s="281">
        <v>0.43352528300722459</v>
      </c>
      <c r="AD145" s="281">
        <v>0.53798159039762738</v>
      </c>
      <c r="AE145" s="281">
        <v>0.62142719263124668</v>
      </c>
      <c r="AF145" s="281">
        <v>0.74905574047897094</v>
      </c>
      <c r="AG145" s="281">
        <v>0.63128351345270439</v>
      </c>
      <c r="AH145" s="281">
        <v>0.75010376247030885</v>
      </c>
      <c r="AI145" s="281">
        <v>0.86696120426954026</v>
      </c>
      <c r="AJ145" s="329">
        <v>0.86696120426954026</v>
      </c>
    </row>
    <row r="146" spans="2:36">
      <c r="B146" s="72" t="s">
        <v>683</v>
      </c>
      <c r="C146" s="72" t="s">
        <v>684</v>
      </c>
      <c r="D146" s="72">
        <v>0.68033462235022157</v>
      </c>
      <c r="E146" s="72">
        <v>0.56552150970544268</v>
      </c>
      <c r="F146" s="72">
        <v>0.49273331496612771</v>
      </c>
      <c r="G146" s="72">
        <v>0.43495209372532301</v>
      </c>
      <c r="H146" s="72">
        <v>0.42660042442777091</v>
      </c>
      <c r="I146" s="72">
        <v>0.39327423819809448</v>
      </c>
      <c r="J146" s="72">
        <v>0.42350359942481836</v>
      </c>
      <c r="K146" s="72">
        <v>0.42764575459689486</v>
      </c>
      <c r="L146" s="72">
        <v>0.4078904174541193</v>
      </c>
      <c r="M146" s="72">
        <v>0.37223385729470071</v>
      </c>
      <c r="N146" s="72">
        <v>0.35622276184352686</v>
      </c>
      <c r="O146" s="72">
        <v>0.32295531773698638</v>
      </c>
      <c r="P146" s="72">
        <v>0.3210965116890242</v>
      </c>
      <c r="Q146" s="72">
        <v>0.21937743882324559</v>
      </c>
      <c r="R146" s="281">
        <v>0.2603413279346376</v>
      </c>
      <c r="S146" s="281">
        <v>0.30839493472984247</v>
      </c>
      <c r="T146" s="281">
        <v>0.38743987444016303</v>
      </c>
      <c r="U146" s="281">
        <v>0.411917087383462</v>
      </c>
      <c r="V146" s="281">
        <v>0.42260296342188658</v>
      </c>
      <c r="W146" s="281">
        <v>0.3725060891611543</v>
      </c>
      <c r="X146" s="281">
        <v>0.35708469836720325</v>
      </c>
      <c r="Y146" s="281">
        <v>0.34388285976658661</v>
      </c>
      <c r="Z146" s="281">
        <v>0.34073921331840956</v>
      </c>
      <c r="AA146" s="281">
        <v>0.36752167007080772</v>
      </c>
      <c r="AB146" s="281">
        <v>0.3672849852319382</v>
      </c>
      <c r="AC146" s="281">
        <v>0.39076866332438481</v>
      </c>
      <c r="AD146" s="281">
        <v>0.42757651585259154</v>
      </c>
      <c r="AE146" s="281">
        <v>0.47004395924557341</v>
      </c>
      <c r="AF146" s="281">
        <v>0.50665352735787483</v>
      </c>
      <c r="AG146" s="281">
        <v>0.48859215082350071</v>
      </c>
      <c r="AH146" s="281">
        <v>0.48298808335557569</v>
      </c>
      <c r="AI146" s="281">
        <v>0.47265091064614484</v>
      </c>
      <c r="AJ146" s="329">
        <v>0.47265091064614484</v>
      </c>
    </row>
    <row r="147" spans="2:36">
      <c r="B147" s="72" t="s">
        <v>685</v>
      </c>
      <c r="C147" s="72" t="s">
        <v>686</v>
      </c>
      <c r="D147" s="72">
        <v>0.4846841949669779</v>
      </c>
      <c r="E147" s="72">
        <v>0.48162350013789934</v>
      </c>
      <c r="F147" s="72">
        <v>0.43022194630287047</v>
      </c>
      <c r="G147" s="72">
        <v>0.37683464391891885</v>
      </c>
      <c r="H147" s="72">
        <v>0.35787319783238264</v>
      </c>
      <c r="I147" s="72">
        <v>0.27062690326838468</v>
      </c>
      <c r="J147" s="72">
        <v>0.25181437901737969</v>
      </c>
      <c r="K147" s="72">
        <v>0.29349263458199132</v>
      </c>
      <c r="L147" s="72">
        <v>0.30921255277756071</v>
      </c>
      <c r="M147" s="72">
        <v>0.31232468304602246</v>
      </c>
      <c r="N147" s="72">
        <v>0.28321543383030212</v>
      </c>
      <c r="O147" s="72">
        <v>0.48155343591680944</v>
      </c>
      <c r="P147" s="72">
        <v>0.47549845407608693</v>
      </c>
      <c r="Q147" s="72">
        <v>0.43962056011831907</v>
      </c>
      <c r="R147" s="281">
        <v>0.47484195535897061</v>
      </c>
      <c r="S147" s="281">
        <v>0.4803520899777613</v>
      </c>
      <c r="T147" s="281">
        <v>0.52397023471320137</v>
      </c>
      <c r="U147" s="281">
        <v>0.49616216317351935</v>
      </c>
      <c r="V147" s="281">
        <v>0.42777211584998115</v>
      </c>
      <c r="W147" s="281">
        <v>0.44291130327096773</v>
      </c>
      <c r="X147" s="281">
        <v>0.39075995075950837</v>
      </c>
      <c r="Y147" s="281">
        <v>0.36862947873176782</v>
      </c>
      <c r="Z147" s="281">
        <v>0.39707122852874061</v>
      </c>
      <c r="AA147" s="281">
        <v>0.46916738134120239</v>
      </c>
      <c r="AB147" s="281">
        <v>0.49520615285336078</v>
      </c>
      <c r="AC147" s="281">
        <v>0.50574471172203128</v>
      </c>
      <c r="AD147" s="281">
        <v>0.48653396164909635</v>
      </c>
      <c r="AE147" s="281">
        <v>0.5506572003372181</v>
      </c>
      <c r="AF147" s="281">
        <v>0.58456677045240701</v>
      </c>
      <c r="AG147" s="281">
        <v>0.54118320865260139</v>
      </c>
      <c r="AH147" s="281">
        <v>0.62391077040877119</v>
      </c>
      <c r="AI147" s="281">
        <v>0.70566947033554217</v>
      </c>
      <c r="AJ147" s="329">
        <v>0.70566947033554217</v>
      </c>
    </row>
    <row r="148" spans="2:36">
      <c r="B148" s="72" t="s">
        <v>687</v>
      </c>
      <c r="C148" s="72" t="s">
        <v>688</v>
      </c>
      <c r="D148" s="72"/>
      <c r="E148" s="72"/>
      <c r="F148" s="72"/>
      <c r="G148" s="72"/>
      <c r="H148" s="72"/>
      <c r="I148" s="72"/>
      <c r="J148" s="72"/>
      <c r="K148" s="72"/>
      <c r="L148" s="72"/>
      <c r="M148" s="72"/>
      <c r="N148" s="72"/>
      <c r="O148" s="72"/>
      <c r="P148" s="72"/>
      <c r="Q148" s="72"/>
      <c r="R148" s="281"/>
      <c r="S148" s="281"/>
      <c r="T148" s="281"/>
      <c r="U148" s="281"/>
      <c r="V148" s="281"/>
      <c r="W148" s="281"/>
      <c r="X148" s="281"/>
      <c r="Y148" s="281"/>
      <c r="Z148" s="281"/>
      <c r="AA148" s="281"/>
      <c r="AB148" s="281"/>
      <c r="AC148" s="281"/>
      <c r="AD148" s="281"/>
      <c r="AE148" s="281"/>
      <c r="AF148" s="281"/>
      <c r="AG148" s="281"/>
      <c r="AH148" s="281"/>
      <c r="AI148" s="281"/>
      <c r="AJ148" s="329"/>
    </row>
    <row r="149" spans="2:36">
      <c r="B149" s="72" t="s">
        <v>689</v>
      </c>
      <c r="C149" s="72" t="s">
        <v>690</v>
      </c>
      <c r="D149" s="72">
        <v>0.70457953212715874</v>
      </c>
      <c r="E149" s="72">
        <v>0.67444365666710726</v>
      </c>
      <c r="F149" s="72">
        <v>0.62860190704163699</v>
      </c>
      <c r="G149" s="72">
        <v>0.59768360592974545</v>
      </c>
      <c r="H149" s="72">
        <v>0.5791442649941686</v>
      </c>
      <c r="I149" s="72">
        <v>0.54250963977839595</v>
      </c>
      <c r="J149" s="72">
        <v>0.54590181564467632</v>
      </c>
      <c r="K149" s="72">
        <v>0.59551518229451594</v>
      </c>
      <c r="L149" s="72">
        <v>0.69073873706372091</v>
      </c>
      <c r="M149" s="72">
        <v>0.76661266359872526</v>
      </c>
      <c r="N149" s="72">
        <v>0.77298091005425573</v>
      </c>
      <c r="O149" s="72">
        <v>0.79409642721756324</v>
      </c>
      <c r="P149" s="72">
        <v>0.78590224389931473</v>
      </c>
      <c r="Q149" s="72">
        <v>0.79604274085240512</v>
      </c>
      <c r="R149" s="281">
        <v>0.83891188512041814</v>
      </c>
      <c r="S149" s="281">
        <v>0.91998823161798082</v>
      </c>
      <c r="T149" s="281">
        <v>0.90859403269314432</v>
      </c>
      <c r="U149" s="281">
        <v>0.78403410663414941</v>
      </c>
      <c r="V149" s="281">
        <v>0.55231306049491946</v>
      </c>
      <c r="W149" s="281">
        <v>0.63499349775407554</v>
      </c>
      <c r="X149" s="281">
        <v>0.65979901075192759</v>
      </c>
      <c r="Y149" s="281">
        <v>0.58701378019969175</v>
      </c>
      <c r="Z149" s="281">
        <v>0.61528090696912296</v>
      </c>
      <c r="AA149" s="281">
        <v>0.66656222321061431</v>
      </c>
      <c r="AB149" s="281">
        <v>0.69500076389131427</v>
      </c>
      <c r="AC149" s="281">
        <v>0.7703395449751983</v>
      </c>
      <c r="AD149" s="281">
        <v>0.81150357272279772</v>
      </c>
      <c r="AE149" s="281">
        <v>0.82716385069840515</v>
      </c>
      <c r="AF149" s="281">
        <v>0.71296028900685082</v>
      </c>
      <c r="AG149" s="281">
        <v>0.63087009843922526</v>
      </c>
      <c r="AH149" s="281">
        <v>0.71248271096511406</v>
      </c>
      <c r="AI149" s="281">
        <v>0.74040663809643159</v>
      </c>
      <c r="AJ149" s="329">
        <v>0.74040663809643159</v>
      </c>
    </row>
    <row r="150" spans="2:36">
      <c r="B150" s="72" t="s">
        <v>691</v>
      </c>
      <c r="C150" s="72" t="s">
        <v>692</v>
      </c>
      <c r="D150" s="72"/>
      <c r="E150" s="72"/>
      <c r="F150" s="72"/>
      <c r="G150" s="72"/>
      <c r="H150" s="72"/>
      <c r="I150" s="72"/>
      <c r="J150" s="72"/>
      <c r="K150" s="72"/>
      <c r="L150" s="72"/>
      <c r="M150" s="72"/>
      <c r="N150" s="72"/>
      <c r="O150" s="72"/>
      <c r="P150" s="72"/>
      <c r="Q150" s="72"/>
      <c r="R150" s="281"/>
      <c r="S150" s="281"/>
      <c r="T150" s="281"/>
      <c r="U150" s="281"/>
      <c r="V150" s="281"/>
      <c r="W150" s="281"/>
      <c r="X150" s="281"/>
      <c r="Y150" s="281"/>
      <c r="Z150" s="281"/>
      <c r="AA150" s="281"/>
      <c r="AB150" s="281"/>
      <c r="AC150" s="281"/>
      <c r="AD150" s="281"/>
      <c r="AE150" s="281"/>
      <c r="AF150" s="281"/>
      <c r="AG150" s="281"/>
      <c r="AH150" s="281"/>
      <c r="AI150" s="281"/>
      <c r="AJ150" s="329"/>
    </row>
    <row r="151" spans="2:36">
      <c r="B151" s="72" t="s">
        <v>693</v>
      </c>
      <c r="C151" s="72" t="s">
        <v>694</v>
      </c>
      <c r="D151" s="72">
        <v>1.0895129418221281</v>
      </c>
      <c r="E151" s="72">
        <v>1.0764404266010998</v>
      </c>
      <c r="F151" s="72">
        <v>0.99638098327156144</v>
      </c>
      <c r="G151" s="72">
        <v>0.83966056452411841</v>
      </c>
      <c r="H151" s="72">
        <v>0.79951721500982331</v>
      </c>
      <c r="I151" s="72">
        <v>0.80083617996653156</v>
      </c>
      <c r="J151" s="72">
        <v>0.6023560892260259</v>
      </c>
      <c r="K151" s="72">
        <v>0.67609227673304351</v>
      </c>
      <c r="L151" s="72">
        <v>0.67183600622801254</v>
      </c>
      <c r="M151" s="72">
        <v>0.60435539435718955</v>
      </c>
      <c r="N151" s="72"/>
      <c r="O151" s="72"/>
      <c r="P151" s="72">
        <v>0.5856660606272257</v>
      </c>
      <c r="Q151" s="72">
        <v>0.51565514669080292</v>
      </c>
      <c r="R151" s="281">
        <v>0.48370677691022873</v>
      </c>
      <c r="S151" s="281">
        <v>0.49331888635507298</v>
      </c>
      <c r="T151" s="281">
        <v>0.558035404087739</v>
      </c>
      <c r="U151" s="281">
        <v>0.51488487453714959</v>
      </c>
      <c r="V151" s="281">
        <v>0.41873593889041549</v>
      </c>
      <c r="W151" s="281">
        <v>0.48781213846712579</v>
      </c>
      <c r="X151" s="281">
        <v>0.57110066827162842</v>
      </c>
      <c r="Y151" s="281">
        <v>0.51284240149846294</v>
      </c>
      <c r="Z151" s="281">
        <v>0.53555903894293433</v>
      </c>
      <c r="AA151" s="281">
        <v>0.56121771920954311</v>
      </c>
      <c r="AB151" s="281">
        <v>0.61499914373358489</v>
      </c>
      <c r="AC151" s="281">
        <v>0.73156995270547942</v>
      </c>
      <c r="AD151" s="281">
        <v>0.84679524116896998</v>
      </c>
      <c r="AE151" s="281">
        <v>0.89062946926056341</v>
      </c>
      <c r="AF151" s="281">
        <v>1.066574699688974</v>
      </c>
      <c r="AG151" s="281">
        <v>0.79746567778322197</v>
      </c>
      <c r="AH151" s="281">
        <v>0.89906314632580286</v>
      </c>
      <c r="AI151" s="281">
        <v>1.1544052675555594</v>
      </c>
      <c r="AJ151" s="329">
        <v>1.1544052675555594</v>
      </c>
    </row>
    <row r="152" spans="2:36">
      <c r="B152" s="72" t="s">
        <v>695</v>
      </c>
      <c r="C152" s="72" t="s">
        <v>696</v>
      </c>
      <c r="D152" s="72"/>
      <c r="E152" s="72"/>
      <c r="F152" s="72"/>
      <c r="G152" s="72"/>
      <c r="H152" s="72"/>
      <c r="I152" s="72"/>
      <c r="J152" s="72"/>
      <c r="K152" s="72"/>
      <c r="L152" s="72"/>
      <c r="M152" s="72"/>
      <c r="N152" s="72">
        <v>0.33412070376875003</v>
      </c>
      <c r="O152" s="72">
        <v>0.33714129044444446</v>
      </c>
      <c r="P152" s="72">
        <v>0.34551687237499995</v>
      </c>
      <c r="Q152" s="72">
        <v>0.35016458769318182</v>
      </c>
      <c r="R152" s="281">
        <v>0.35590127730069931</v>
      </c>
      <c r="S152" s="281">
        <v>0.36338319084362136</v>
      </c>
      <c r="T152" s="281">
        <v>0.36687237966181124</v>
      </c>
      <c r="U152" s="281">
        <v>0.31676673812472994</v>
      </c>
      <c r="V152" s="281">
        <v>0.28479584530596913</v>
      </c>
      <c r="W152" s="281">
        <v>0.2054858990429089</v>
      </c>
      <c r="X152" s="281">
        <v>0.20920578537567258</v>
      </c>
      <c r="Y152" s="281">
        <v>0.21627167744258066</v>
      </c>
      <c r="Z152" s="281">
        <v>0.22409151631809149</v>
      </c>
      <c r="AA152" s="281">
        <v>0.24507270056926345</v>
      </c>
      <c r="AB152" s="281">
        <v>0.25667096296556735</v>
      </c>
      <c r="AC152" s="281">
        <v>0.2768075113364864</v>
      </c>
      <c r="AD152" s="281">
        <v>0.2996611614852227</v>
      </c>
      <c r="AE152" s="281">
        <v>0.3599718730688734</v>
      </c>
      <c r="AF152" s="281">
        <v>0.43915362396307828</v>
      </c>
      <c r="AG152" s="281">
        <v>0.38441042736875475</v>
      </c>
      <c r="AH152" s="281">
        <v>0.39205455457793792</v>
      </c>
      <c r="AI152" s="281">
        <v>0.44798057383355244</v>
      </c>
      <c r="AJ152" s="329">
        <v>0.44798057383355244</v>
      </c>
    </row>
    <row r="153" spans="2:36">
      <c r="B153" s="72" t="s">
        <v>697</v>
      </c>
      <c r="C153" s="72" t="s">
        <v>698</v>
      </c>
      <c r="D153" s="72"/>
      <c r="E153" s="72"/>
      <c r="F153" s="72"/>
      <c r="G153" s="72"/>
      <c r="H153" s="72">
        <v>0.96357295905714291</v>
      </c>
      <c r="I153" s="72">
        <v>1.1985920000888888</v>
      </c>
      <c r="J153" s="72">
        <v>0.83919995217894738</v>
      </c>
      <c r="K153" s="72">
        <v>0.50611625546267025</v>
      </c>
      <c r="L153" s="72">
        <v>0.27495599061369058</v>
      </c>
      <c r="M153" s="72">
        <v>0.27663824429505562</v>
      </c>
      <c r="N153" s="72">
        <v>0.30278425359237016</v>
      </c>
      <c r="O153" s="72">
        <v>0.33348998961757648</v>
      </c>
      <c r="P153" s="72">
        <v>0.33941874849093195</v>
      </c>
      <c r="Q153" s="72">
        <v>0.36919087222338565</v>
      </c>
      <c r="R153" s="281">
        <v>0.38891560904943373</v>
      </c>
      <c r="S153" s="281">
        <v>0.4056997029160575</v>
      </c>
      <c r="T153" s="281">
        <v>0.39609385192915675</v>
      </c>
      <c r="U153" s="281">
        <v>0.33903433598292382</v>
      </c>
      <c r="V153" s="281">
        <v>0.23564669998153659</v>
      </c>
      <c r="W153" s="281">
        <v>0.24588766471710072</v>
      </c>
      <c r="X153" s="281">
        <v>0.2707778120462046</v>
      </c>
      <c r="Y153" s="281">
        <v>0.25578703673124575</v>
      </c>
      <c r="Z153" s="281">
        <v>0.2362316634384011</v>
      </c>
      <c r="AA153" s="281">
        <v>0.25101956801065045</v>
      </c>
      <c r="AB153" s="281">
        <v>0.26848469006367259</v>
      </c>
      <c r="AC153" s="281">
        <v>0.28046259005931373</v>
      </c>
      <c r="AD153" s="281">
        <v>0.31573145192373941</v>
      </c>
      <c r="AE153" s="281">
        <v>0.34876970410904695</v>
      </c>
      <c r="AF153" s="281">
        <v>0.40796004255392143</v>
      </c>
      <c r="AG153" s="281">
        <v>0.40132194395321802</v>
      </c>
      <c r="AH153" s="281">
        <v>0.45209230035805875</v>
      </c>
      <c r="AI153" s="281">
        <v>0.47295636639802341</v>
      </c>
      <c r="AJ153" s="329">
        <v>0.47295636639802341</v>
      </c>
    </row>
    <row r="154" spans="2:36">
      <c r="B154" s="72" t="s">
        <v>699</v>
      </c>
      <c r="C154" s="72" t="s">
        <v>700</v>
      </c>
      <c r="D154" s="72"/>
      <c r="E154" s="72"/>
      <c r="F154" s="72"/>
      <c r="G154" s="72"/>
      <c r="H154" s="72"/>
      <c r="I154" s="72"/>
      <c r="J154" s="72"/>
      <c r="K154" s="72">
        <v>0.31284662043758854</v>
      </c>
      <c r="L154" s="72">
        <v>0.34357863417480189</v>
      </c>
      <c r="M154" s="72">
        <v>0.35291967884701791</v>
      </c>
      <c r="N154" s="72">
        <v>0.35767841153009494</v>
      </c>
      <c r="O154" s="72">
        <v>0.35906982837246765</v>
      </c>
      <c r="P154" s="72">
        <v>0.37172899683317351</v>
      </c>
      <c r="Q154" s="72">
        <v>0.35281799401074154</v>
      </c>
      <c r="R154" s="281">
        <v>0.38326671755545422</v>
      </c>
      <c r="S154" s="281">
        <v>0.39119047512622629</v>
      </c>
      <c r="T154" s="281">
        <v>0.39405116154334996</v>
      </c>
      <c r="U154" s="281">
        <v>0.39232220522036709</v>
      </c>
      <c r="V154" s="281">
        <v>0.39646435736895019</v>
      </c>
      <c r="W154" s="281">
        <v>0.41123977421830005</v>
      </c>
      <c r="X154" s="281">
        <v>0.41062458507831817</v>
      </c>
      <c r="Y154" s="281">
        <v>0.39580573219071952</v>
      </c>
      <c r="Z154" s="281">
        <v>0.40365412656585659</v>
      </c>
      <c r="AA154" s="281">
        <v>0.45285046917187988</v>
      </c>
      <c r="AB154" s="281">
        <v>0.50720805380271117</v>
      </c>
      <c r="AC154" s="281">
        <v>0.53473375795309863</v>
      </c>
      <c r="AD154" s="281">
        <v>0.58191716388294079</v>
      </c>
      <c r="AE154" s="281">
        <v>0.73703988701829504</v>
      </c>
      <c r="AF154" s="281">
        <v>0.82131220886023293</v>
      </c>
      <c r="AG154" s="281">
        <v>0.72048865393591766</v>
      </c>
      <c r="AH154" s="281">
        <v>0.67258662899425015</v>
      </c>
      <c r="AI154" s="281">
        <v>0.72434635211380016</v>
      </c>
      <c r="AJ154" s="329">
        <v>0.72434635211380016</v>
      </c>
    </row>
    <row r="155" spans="2:36">
      <c r="B155" s="72" t="s">
        <v>701</v>
      </c>
      <c r="C155" s="72" t="s">
        <v>702</v>
      </c>
      <c r="D155" s="72"/>
      <c r="E155" s="72"/>
      <c r="F155" s="72"/>
      <c r="G155" s="72"/>
      <c r="H155" s="72"/>
      <c r="I155" s="72"/>
      <c r="J155" s="72"/>
      <c r="K155" s="72"/>
      <c r="L155" s="72">
        <v>0.21272848651343998</v>
      </c>
      <c r="M155" s="72">
        <v>0.29221155740407689</v>
      </c>
      <c r="N155" s="72">
        <v>0.23236148679675647</v>
      </c>
      <c r="O155" s="72">
        <v>0.25501145147131415</v>
      </c>
      <c r="P155" s="72">
        <v>0.29775469319587183</v>
      </c>
      <c r="Q155" s="72">
        <v>0.36998920218666081</v>
      </c>
      <c r="R155" s="281">
        <v>0.42769345614650006</v>
      </c>
      <c r="S155" s="281">
        <v>0.47896506080332868</v>
      </c>
      <c r="T155" s="281">
        <v>0.52294352353495233</v>
      </c>
      <c r="U155" s="281">
        <v>0.60413039827866188</v>
      </c>
      <c r="V155" s="281">
        <v>0.62969332522643162</v>
      </c>
      <c r="W155" s="281">
        <v>0.62861873333933282</v>
      </c>
      <c r="X155" s="281">
        <v>0.60258215942288562</v>
      </c>
      <c r="Y155" s="281">
        <v>0.57960187864676616</v>
      </c>
      <c r="Z155" s="281">
        <v>0.59869296285903817</v>
      </c>
      <c r="AA155" s="281">
        <v>0.59555400428524041</v>
      </c>
      <c r="AB155" s="281">
        <v>0.58474762264013258</v>
      </c>
      <c r="AC155" s="281">
        <v>0.56220071977446107</v>
      </c>
      <c r="AD155" s="281">
        <v>0.55568821296185744</v>
      </c>
      <c r="AE155" s="281">
        <v>0.56096851455389718</v>
      </c>
      <c r="AF155" s="281">
        <v>0.60294318463018248</v>
      </c>
      <c r="AG155" s="281">
        <v>0.63184034821890545</v>
      </c>
      <c r="AH155" s="281">
        <v>0.62822244608955224</v>
      </c>
      <c r="AI155" s="281">
        <v>0.64435224214925368</v>
      </c>
      <c r="AJ155" s="329">
        <v>0.64435224214925368</v>
      </c>
    </row>
    <row r="156" spans="2:36">
      <c r="B156" s="72" t="s">
        <v>703</v>
      </c>
      <c r="C156" s="72" t="s">
        <v>704</v>
      </c>
      <c r="D156" s="72">
        <v>0.82794261778972444</v>
      </c>
      <c r="E156" s="72">
        <v>0.7561112698133875</v>
      </c>
      <c r="F156" s="72">
        <v>0.64351679944143547</v>
      </c>
      <c r="G156" s="72">
        <v>0.66522563963369552</v>
      </c>
      <c r="H156" s="72">
        <v>0.507741703589487</v>
      </c>
      <c r="I156" s="72">
        <v>0.37221087800496994</v>
      </c>
      <c r="J156" s="72">
        <v>0.40362875666357345</v>
      </c>
      <c r="K156" s="72">
        <v>0.47591608228675591</v>
      </c>
      <c r="L156" s="72">
        <v>0.49148606522770083</v>
      </c>
      <c r="M156" s="72">
        <v>0.46973939344334015</v>
      </c>
      <c r="N156" s="72">
        <v>0.51232832888386837</v>
      </c>
      <c r="O156" s="72">
        <v>0.53623573747913977</v>
      </c>
      <c r="P156" s="72">
        <v>0.57830711935590251</v>
      </c>
      <c r="Q156" s="72">
        <v>0.54606447030311633</v>
      </c>
      <c r="R156" s="281">
        <v>0.52964332787009283</v>
      </c>
      <c r="S156" s="281">
        <v>0.56096624628399494</v>
      </c>
      <c r="T156" s="281">
        <v>0.51483074288897746</v>
      </c>
      <c r="U156" s="281">
        <v>0.5138096241366028</v>
      </c>
      <c r="V156" s="281">
        <v>0.45880118493234495</v>
      </c>
      <c r="W156" s="281">
        <v>0.44093220853998444</v>
      </c>
      <c r="X156" s="281">
        <v>0.38900015823360695</v>
      </c>
      <c r="Y156" s="281">
        <v>0.33610921831381524</v>
      </c>
      <c r="Z156" s="281">
        <v>0.30441306379097033</v>
      </c>
      <c r="AA156" s="281">
        <v>0.42376921966315012</v>
      </c>
      <c r="AB156" s="281">
        <v>0.52525095493322627</v>
      </c>
      <c r="AC156" s="281">
        <v>0.54881515334035569</v>
      </c>
      <c r="AD156" s="281">
        <v>0.53225327240356968</v>
      </c>
      <c r="AE156" s="281">
        <v>0.55212946239123173</v>
      </c>
      <c r="AF156" s="281">
        <v>0.52170228185333345</v>
      </c>
      <c r="AG156" s="281">
        <v>0.52685652808044592</v>
      </c>
      <c r="AH156" s="281">
        <v>0.63084726312173012</v>
      </c>
      <c r="AI156" s="281">
        <v>0.64938405899641105</v>
      </c>
      <c r="AJ156" s="329">
        <v>0.64938405899641105</v>
      </c>
    </row>
    <row r="157" spans="2:36">
      <c r="B157" s="72" t="s">
        <v>705</v>
      </c>
      <c r="C157" s="72" t="s">
        <v>706</v>
      </c>
      <c r="D157" s="72">
        <v>0.73719687608999995</v>
      </c>
      <c r="E157" s="72">
        <v>0.68213624984999999</v>
      </c>
      <c r="F157" s="72">
        <v>0.67255502607999995</v>
      </c>
      <c r="G157" s="72">
        <v>0.62851375025</v>
      </c>
      <c r="H157" s="72">
        <v>0.63766959227999997</v>
      </c>
      <c r="I157" s="72">
        <v>0.6261075613</v>
      </c>
      <c r="J157" s="72">
        <v>0.61531024089999997</v>
      </c>
      <c r="K157" s="72">
        <v>0.69850610327999996</v>
      </c>
      <c r="L157" s="72">
        <v>0.73546631631000003</v>
      </c>
      <c r="M157" s="72">
        <v>0.73196272850999999</v>
      </c>
      <c r="N157" s="72">
        <v>0.70403672695999997</v>
      </c>
      <c r="O157" s="72">
        <v>0.71865074473000001</v>
      </c>
      <c r="P157" s="72">
        <v>0.69634264737999996</v>
      </c>
      <c r="Q157" s="72">
        <v>0.72962046612999998</v>
      </c>
      <c r="R157" s="281">
        <v>0.75327709413999999</v>
      </c>
      <c r="S157" s="281">
        <v>0.78407940461000003</v>
      </c>
      <c r="T157" s="281">
        <v>0.81254572062999997</v>
      </c>
      <c r="U157" s="281">
        <v>0.71738983492999997</v>
      </c>
      <c r="V157" s="281">
        <v>0.66287441568391248</v>
      </c>
      <c r="W157" s="281">
        <v>0.653075833995585</v>
      </c>
      <c r="X157" s="281">
        <v>0.60899625424577253</v>
      </c>
      <c r="Y157" s="281">
        <v>0.47476235545437229</v>
      </c>
      <c r="Z157" s="281">
        <v>0.36865294088998773</v>
      </c>
      <c r="AA157" s="281">
        <v>0.41016750976588273</v>
      </c>
      <c r="AB157" s="281">
        <v>0.48005611234677592</v>
      </c>
      <c r="AC157" s="281">
        <v>0.4925531506647744</v>
      </c>
      <c r="AD157" s="281">
        <v>0.48437432611746939</v>
      </c>
      <c r="AE157" s="281">
        <v>0.49783855636049629</v>
      </c>
      <c r="AF157" s="281">
        <v>0.50726693449353322</v>
      </c>
      <c r="AG157" s="281">
        <v>0.5976151676725685</v>
      </c>
      <c r="AH157" s="281">
        <v>0.59858596698379429</v>
      </c>
      <c r="AI157" s="281">
        <v>0.6396033099241295</v>
      </c>
      <c r="AJ157" s="329">
        <v>0.6396033099241295</v>
      </c>
    </row>
    <row r="158" spans="2:36">
      <c r="B158" s="72" t="s">
        <v>707</v>
      </c>
      <c r="C158" s="72" t="s">
        <v>708</v>
      </c>
      <c r="D158" s="72"/>
      <c r="E158" s="72"/>
      <c r="F158" s="72"/>
      <c r="G158" s="72"/>
      <c r="H158" s="72"/>
      <c r="I158" s="72"/>
      <c r="J158" s="72"/>
      <c r="K158" s="72"/>
      <c r="L158" s="72"/>
      <c r="M158" s="72"/>
      <c r="N158" s="72"/>
      <c r="O158" s="72"/>
      <c r="P158" s="72"/>
      <c r="Q158" s="72"/>
      <c r="R158" s="281"/>
      <c r="S158" s="281"/>
      <c r="T158" s="281"/>
      <c r="U158" s="281"/>
      <c r="V158" s="281"/>
      <c r="W158" s="281">
        <v>0.55132567675195288</v>
      </c>
      <c r="X158" s="281">
        <v>0.57864370444561575</v>
      </c>
      <c r="Y158" s="281">
        <v>0.49571974724820678</v>
      </c>
      <c r="Z158" s="281">
        <v>0.34505720930708661</v>
      </c>
      <c r="AA158" s="281">
        <v>0.36266305861718751</v>
      </c>
      <c r="AB158" s="281">
        <v>0.46877778973076917</v>
      </c>
      <c r="AC158" s="281">
        <v>0.54411955555555558</v>
      </c>
      <c r="AD158" s="281">
        <v>0.63897667437499994</v>
      </c>
      <c r="AE158" s="281">
        <v>0.74470361577049182</v>
      </c>
      <c r="AF158" s="281">
        <v>0.91076871608368748</v>
      </c>
      <c r="AG158" s="281">
        <v>0.58931350344497613</v>
      </c>
      <c r="AH158" s="281"/>
      <c r="AI158" s="281"/>
      <c r="AJ158" s="329"/>
    </row>
    <row r="159" spans="2:36">
      <c r="B159" s="72" t="s">
        <v>709</v>
      </c>
      <c r="C159" s="72" t="s">
        <v>710</v>
      </c>
      <c r="D159" s="72"/>
      <c r="E159" s="72"/>
      <c r="F159" s="72"/>
      <c r="G159" s="72"/>
      <c r="H159" s="72"/>
      <c r="I159" s="72"/>
      <c r="J159" s="72"/>
      <c r="K159" s="72"/>
      <c r="L159" s="72"/>
      <c r="M159" s="72"/>
      <c r="N159" s="72"/>
      <c r="O159" s="72"/>
      <c r="P159" s="72"/>
      <c r="Q159" s="72"/>
      <c r="R159" s="281"/>
      <c r="S159" s="281"/>
      <c r="T159" s="281"/>
      <c r="U159" s="281"/>
      <c r="V159" s="281"/>
      <c r="W159" s="281"/>
      <c r="X159" s="281"/>
      <c r="Y159" s="281"/>
      <c r="Z159" s="281"/>
      <c r="AA159" s="281"/>
      <c r="AB159" s="281"/>
      <c r="AC159" s="281"/>
      <c r="AD159" s="281"/>
      <c r="AE159" s="281"/>
      <c r="AF159" s="281"/>
      <c r="AG159" s="281"/>
      <c r="AH159" s="281"/>
      <c r="AI159" s="281"/>
      <c r="AJ159" s="329"/>
    </row>
    <row r="160" spans="2:36">
      <c r="B160" s="72" t="s">
        <v>711</v>
      </c>
      <c r="C160" s="72" t="s">
        <v>712</v>
      </c>
      <c r="D160" s="72"/>
      <c r="E160" s="72"/>
      <c r="F160" s="72"/>
      <c r="G160" s="72"/>
      <c r="H160" s="72"/>
      <c r="I160" s="72"/>
      <c r="J160" s="72"/>
      <c r="K160" s="72"/>
      <c r="L160" s="72"/>
      <c r="M160" s="72"/>
      <c r="N160" s="72">
        <v>0.30516774288459975</v>
      </c>
      <c r="O160" s="72">
        <v>0.30635488620157042</v>
      </c>
      <c r="P160" s="72">
        <v>0.31715556563745961</v>
      </c>
      <c r="Q160" s="72">
        <v>0.3212409901119101</v>
      </c>
      <c r="R160" s="281">
        <v>0.32700824214982793</v>
      </c>
      <c r="S160" s="281">
        <v>0.351466670972789</v>
      </c>
      <c r="T160" s="281">
        <v>0.35096541310000001</v>
      </c>
      <c r="U160" s="281">
        <v>0.38749048159999999</v>
      </c>
      <c r="V160" s="281">
        <v>0.396072419575</v>
      </c>
      <c r="W160" s="281">
        <v>0.38837768417500002</v>
      </c>
      <c r="X160" s="281">
        <v>0.37929415854999998</v>
      </c>
      <c r="Y160" s="281">
        <v>0.36555858824999998</v>
      </c>
      <c r="Z160" s="281">
        <v>0.38638529269702493</v>
      </c>
      <c r="AA160" s="281">
        <v>0.44770954549315556</v>
      </c>
      <c r="AB160" s="281">
        <v>0.50618753686785123</v>
      </c>
      <c r="AC160" s="281">
        <v>0.53559491021106742</v>
      </c>
      <c r="AD160" s="281">
        <v>0.55296333742583903</v>
      </c>
      <c r="AE160" s="281">
        <v>0.63796296605568215</v>
      </c>
      <c r="AF160" s="281">
        <v>0.71942072365451259</v>
      </c>
      <c r="AG160" s="281">
        <v>0.65104211904186793</v>
      </c>
      <c r="AH160" s="281">
        <v>0.60960653508805585</v>
      </c>
      <c r="AI160" s="281">
        <v>0.65642618773930916</v>
      </c>
      <c r="AJ160" s="329">
        <v>0.65642618773930916</v>
      </c>
    </row>
    <row r="161" spans="2:36">
      <c r="B161" s="72" t="s">
        <v>713</v>
      </c>
      <c r="C161" s="72" t="s">
        <v>714</v>
      </c>
      <c r="D161" s="72">
        <v>1.2637443302524485</v>
      </c>
      <c r="E161" s="72">
        <v>0.97538267057800954</v>
      </c>
      <c r="F161" s="72">
        <v>0.82789187356524807</v>
      </c>
      <c r="G161" s="72">
        <v>0.76015452228796832</v>
      </c>
      <c r="H161" s="72">
        <v>0.67686993647025973</v>
      </c>
      <c r="I161" s="72">
        <v>0.65895167742373806</v>
      </c>
      <c r="J161" s="72">
        <v>0.8559721862019144</v>
      </c>
      <c r="K161" s="72">
        <v>0.99565862884927059</v>
      </c>
      <c r="L161" s="72">
        <v>1.0043142720789908</v>
      </c>
      <c r="M161" s="72">
        <v>0.93928681408681403</v>
      </c>
      <c r="N161" s="72">
        <v>1.0931206772090778</v>
      </c>
      <c r="O161" s="72">
        <v>1.0519627891317189</v>
      </c>
      <c r="P161" s="72">
        <v>1.1320777139272271</v>
      </c>
      <c r="Q161" s="72">
        <v>1.0909727868470149</v>
      </c>
      <c r="R161" s="281">
        <v>1.1440942645285748</v>
      </c>
      <c r="S161" s="281">
        <v>1.3017275041050902</v>
      </c>
      <c r="T161" s="281">
        <v>1.235617713355049</v>
      </c>
      <c r="U161" s="281">
        <v>1.0814567117726657</v>
      </c>
      <c r="V161" s="281">
        <v>1.0539276528117358</v>
      </c>
      <c r="W161" s="281">
        <v>1.0029396356275304</v>
      </c>
      <c r="X161" s="281">
        <v>0.86588676248387697</v>
      </c>
      <c r="Y161" s="281">
        <v>0.8485253914988814</v>
      </c>
      <c r="Z161" s="281">
        <v>0.87933633822699042</v>
      </c>
      <c r="AA161" s="281">
        <v>1.0630342133182844</v>
      </c>
      <c r="AB161" s="281">
        <v>1.1456984212127421</v>
      </c>
      <c r="AC161" s="281">
        <v>1.1850176416455256</v>
      </c>
      <c r="AD161" s="281">
        <v>1.1484121215694589</v>
      </c>
      <c r="AE161" s="281">
        <v>1.2654165003736459</v>
      </c>
      <c r="AF161" s="281">
        <v>1.3274686168381733</v>
      </c>
      <c r="AG161" s="281">
        <v>1.2670303593978132</v>
      </c>
      <c r="AH161" s="281">
        <v>1.2219161644736842</v>
      </c>
      <c r="AI161" s="281">
        <v>1.2864386125</v>
      </c>
      <c r="AJ161" s="329">
        <v>1.2864386125</v>
      </c>
    </row>
    <row r="162" spans="2:36">
      <c r="B162" s="72" t="s">
        <v>715</v>
      </c>
      <c r="C162" s="72" t="s">
        <v>716</v>
      </c>
      <c r="D162" s="72"/>
      <c r="E162" s="72"/>
      <c r="F162" s="72">
        <v>0.41685501527196567</v>
      </c>
      <c r="G162" s="72">
        <v>0.36273093713633858</v>
      </c>
      <c r="H162" s="72">
        <v>0.37486174019800012</v>
      </c>
      <c r="I162" s="72">
        <v>0.3732517563688908</v>
      </c>
      <c r="J162" s="72">
        <v>0.38528208723360241</v>
      </c>
      <c r="K162" s="72">
        <v>0.42521516276814797</v>
      </c>
      <c r="L162" s="72">
        <v>0.44525787096513408</v>
      </c>
      <c r="M162" s="72">
        <v>0.48536534701981005</v>
      </c>
      <c r="N162" s="72">
        <v>0.52231590591354526</v>
      </c>
      <c r="O162" s="72">
        <v>0.56446882256301334</v>
      </c>
      <c r="P162" s="72">
        <v>0.64511743660007848</v>
      </c>
      <c r="Q162" s="72">
        <v>0.69163737701049877</v>
      </c>
      <c r="R162" s="281">
        <v>0.722302731489876</v>
      </c>
      <c r="S162" s="281">
        <v>0.76392171848836643</v>
      </c>
      <c r="T162" s="281">
        <v>0.76143921568085959</v>
      </c>
      <c r="U162" s="281">
        <v>0.75448880674165486</v>
      </c>
      <c r="V162" s="281">
        <v>0.72288105162869754</v>
      </c>
      <c r="W162" s="281">
        <v>0.69815254922201986</v>
      </c>
      <c r="X162" s="281">
        <v>0.66671128197460716</v>
      </c>
      <c r="Y162" s="281">
        <v>0.67638622834381024</v>
      </c>
      <c r="Z162" s="281">
        <v>0.65748753298091756</v>
      </c>
      <c r="AA162" s="281">
        <v>0.64688811335868268</v>
      </c>
      <c r="AB162" s="281">
        <v>0.64178543475548988</v>
      </c>
      <c r="AC162" s="281">
        <v>0.65778042514636681</v>
      </c>
      <c r="AD162" s="281">
        <v>0.68801113956830628</v>
      </c>
      <c r="AE162" s="281">
        <v>0.72476066255020566</v>
      </c>
      <c r="AF162" s="281">
        <v>0.7875021708337141</v>
      </c>
      <c r="AG162" s="281">
        <v>0.78564801371861825</v>
      </c>
      <c r="AH162" s="281">
        <v>0.81458787493881879</v>
      </c>
      <c r="AI162" s="281">
        <v>0.85042838098326312</v>
      </c>
      <c r="AJ162" s="329">
        <v>0.85042838098326312</v>
      </c>
    </row>
    <row r="163" spans="2:36">
      <c r="B163" s="72" t="s">
        <v>717</v>
      </c>
      <c r="C163" s="72" t="s">
        <v>718</v>
      </c>
      <c r="D163" s="72"/>
      <c r="E163" s="72"/>
      <c r="F163" s="72"/>
      <c r="G163" s="72"/>
      <c r="H163" s="72"/>
      <c r="I163" s="72"/>
      <c r="J163" s="72"/>
      <c r="K163" s="72"/>
      <c r="L163" s="72"/>
      <c r="M163" s="72"/>
      <c r="N163" s="72">
        <v>0.42131081534452297</v>
      </c>
      <c r="O163" s="72">
        <v>0.45590792622372145</v>
      </c>
      <c r="P163" s="72">
        <v>0.23580738338390514</v>
      </c>
      <c r="Q163" s="72">
        <v>0.27451942164044352</v>
      </c>
      <c r="R163" s="281">
        <v>0.36310230958487516</v>
      </c>
      <c r="S163" s="281">
        <v>0.47220209759903459</v>
      </c>
      <c r="T163" s="281">
        <v>0.45574832119256276</v>
      </c>
      <c r="U163" s="281">
        <v>0.37231894289270739</v>
      </c>
      <c r="V163" s="281">
        <v>0.33847272854337723</v>
      </c>
      <c r="W163" s="281">
        <v>0.33036882592086431</v>
      </c>
      <c r="X163" s="281">
        <v>0.30043014361351061</v>
      </c>
      <c r="Y163" s="281">
        <v>0.29211402527247388</v>
      </c>
      <c r="Z163" s="281">
        <v>0.31052919895234038</v>
      </c>
      <c r="AA163" s="281">
        <v>0.36436651224152916</v>
      </c>
      <c r="AB163" s="281">
        <v>0.38637383562198319</v>
      </c>
      <c r="AC163" s="281">
        <v>0.37306671886042997</v>
      </c>
      <c r="AD163" s="281">
        <v>0.36658335497933464</v>
      </c>
      <c r="AE163" s="281">
        <v>0.42016689783143307</v>
      </c>
      <c r="AF163" s="281">
        <v>0.44680003181395961</v>
      </c>
      <c r="AG163" s="281">
        <v>0.40604429815013859</v>
      </c>
      <c r="AH163" s="281">
        <v>0.40010568634913407</v>
      </c>
      <c r="AI163" s="281">
        <v>0.43751118157981456</v>
      </c>
      <c r="AJ163" s="329">
        <v>0.43751118157981456</v>
      </c>
    </row>
    <row r="164" spans="2:36">
      <c r="B164" s="72" t="s">
        <v>719</v>
      </c>
      <c r="C164" s="72" t="s">
        <v>720</v>
      </c>
      <c r="D164" s="72">
        <v>0.76306020309649558</v>
      </c>
      <c r="E164" s="72">
        <v>0.68711478391395975</v>
      </c>
      <c r="F164" s="72">
        <v>0.6469947960048531</v>
      </c>
      <c r="G164" s="72">
        <v>0.61425412573687577</v>
      </c>
      <c r="H164" s="72">
        <v>0.48726441015013633</v>
      </c>
      <c r="I164" s="72">
        <v>0.45444679675913524</v>
      </c>
      <c r="J164" s="72">
        <v>0.49704696320518743</v>
      </c>
      <c r="K164" s="72">
        <v>0.37581530640127891</v>
      </c>
      <c r="L164" s="72">
        <v>0.33436004993461799</v>
      </c>
      <c r="M164" s="72">
        <v>0.31664314215552525</v>
      </c>
      <c r="N164" s="72">
        <v>0.3649011823694242</v>
      </c>
      <c r="O164" s="72">
        <v>0.32431526479818673</v>
      </c>
      <c r="P164" s="72">
        <v>0.35783342067097085</v>
      </c>
      <c r="Q164" s="72">
        <v>0.38224510637964343</v>
      </c>
      <c r="R164" s="281">
        <v>0.33108985412150538</v>
      </c>
      <c r="S164" s="281">
        <v>0.33765528646206772</v>
      </c>
      <c r="T164" s="281">
        <v>0.4106419358810155</v>
      </c>
      <c r="U164" s="281">
        <v>0.34483457317103999</v>
      </c>
      <c r="V164" s="281">
        <v>0.34499368722929263</v>
      </c>
      <c r="W164" s="281">
        <v>0.32303077546538506</v>
      </c>
      <c r="X164" s="281">
        <v>0.31482549988997555</v>
      </c>
      <c r="Y164" s="281">
        <v>0.33918865562730466</v>
      </c>
      <c r="Z164" s="281">
        <v>0.37104369435936208</v>
      </c>
      <c r="AA164" s="281">
        <v>0.41205460764154123</v>
      </c>
      <c r="AB164" s="281">
        <v>0.3035521906651189</v>
      </c>
      <c r="AC164" s="281">
        <v>0.3242934368994248</v>
      </c>
      <c r="AD164" s="281">
        <v>0.3274320342715501</v>
      </c>
      <c r="AE164" s="281">
        <v>0.39877223220311475</v>
      </c>
      <c r="AF164" s="281">
        <v>0.46595549490084454</v>
      </c>
      <c r="AG164" s="281">
        <v>0.43544144465029527</v>
      </c>
      <c r="AH164" s="281">
        <v>0.44322908706906866</v>
      </c>
      <c r="AI164" s="281">
        <v>0.48153329338668005</v>
      </c>
      <c r="AJ164" s="329">
        <v>0.48153329338668005</v>
      </c>
    </row>
    <row r="165" spans="2:36">
      <c r="B165" s="72" t="s">
        <v>721</v>
      </c>
      <c r="C165" s="72" t="s">
        <v>722</v>
      </c>
      <c r="D165" s="72">
        <v>0.60105720043376298</v>
      </c>
      <c r="E165" s="72">
        <v>0.580258694888934</v>
      </c>
      <c r="F165" s="72">
        <v>0.50874850475044964</v>
      </c>
      <c r="G165" s="72">
        <v>0.48908933274077643</v>
      </c>
      <c r="H165" s="72">
        <v>0.4418442183778758</v>
      </c>
      <c r="I165" s="72">
        <v>0.38398474312089897</v>
      </c>
      <c r="J165" s="72">
        <v>0.39380247436342392</v>
      </c>
      <c r="K165" s="72">
        <v>0.37628320503182239</v>
      </c>
      <c r="L165" s="72">
        <v>0.41106313077241724</v>
      </c>
      <c r="M165" s="72">
        <v>0.45045998883261523</v>
      </c>
      <c r="N165" s="72">
        <v>0.48566113591098609</v>
      </c>
      <c r="O165" s="72">
        <v>0.50611660212694798</v>
      </c>
      <c r="P165" s="72">
        <v>0.43682903175247573</v>
      </c>
      <c r="Q165" s="72">
        <v>0.44840019215896659</v>
      </c>
      <c r="R165" s="281">
        <v>0.27942733006310949</v>
      </c>
      <c r="S165" s="281">
        <v>0.27662775857569721</v>
      </c>
      <c r="T165" s="281">
        <v>0.41342888245502396</v>
      </c>
      <c r="U165" s="281">
        <v>0.45626806498349715</v>
      </c>
      <c r="V165" s="281">
        <v>0.28466807368422781</v>
      </c>
      <c r="W165" s="281">
        <v>0.27621144207144116</v>
      </c>
      <c r="X165" s="281">
        <v>0.26130854146743793</v>
      </c>
      <c r="Y165" s="281">
        <v>0.26472835264922079</v>
      </c>
      <c r="Z165" s="281">
        <v>0.39770632636967379</v>
      </c>
      <c r="AA165" s="281">
        <v>0.33587981636512876</v>
      </c>
      <c r="AB165" s="281">
        <v>0.33733961782260047</v>
      </c>
      <c r="AC165" s="281">
        <v>0.33319274477108846</v>
      </c>
      <c r="AD165" s="281">
        <v>0.35779062751901142</v>
      </c>
      <c r="AE165" s="281">
        <v>0.37167455321543541</v>
      </c>
      <c r="AF165" s="281">
        <v>0.39351568290210914</v>
      </c>
      <c r="AG165" s="281">
        <v>0.41900610906297958</v>
      </c>
      <c r="AH165" s="281">
        <v>0.41911893282241308</v>
      </c>
      <c r="AI165" s="281">
        <v>0.40908656733542548</v>
      </c>
      <c r="AJ165" s="329">
        <v>0.40908656733542548</v>
      </c>
    </row>
    <row r="166" spans="2:36">
      <c r="B166" s="72" t="s">
        <v>723</v>
      </c>
      <c r="C166" s="72" t="s">
        <v>724</v>
      </c>
      <c r="D166" s="72">
        <v>0.74565604135654928</v>
      </c>
      <c r="E166" s="72">
        <v>0.65095070394578169</v>
      </c>
      <c r="F166" s="72">
        <v>0.62064986722959403</v>
      </c>
      <c r="G166" s="72">
        <v>0.6318330697454162</v>
      </c>
      <c r="H166" s="72">
        <v>0.63662054403503743</v>
      </c>
      <c r="I166" s="72">
        <v>0.57427255026093582</v>
      </c>
      <c r="J166" s="72">
        <v>0.49363073242191002</v>
      </c>
      <c r="K166" s="72">
        <v>0.51851723837390606</v>
      </c>
      <c r="L166" s="72">
        <v>0.49953948183907221</v>
      </c>
      <c r="M166" s="72">
        <v>0.48619258326567055</v>
      </c>
      <c r="N166" s="72">
        <v>0.4869600669091369</v>
      </c>
      <c r="O166" s="72">
        <v>0.47981614255354577</v>
      </c>
      <c r="P166" s="72">
        <v>0.51956163134536515</v>
      </c>
      <c r="Q166" s="72">
        <v>0.52319873816833562</v>
      </c>
      <c r="R166" s="281">
        <v>0.5227535079848652</v>
      </c>
      <c r="S166" s="281">
        <v>0.55477760419517497</v>
      </c>
      <c r="T166" s="281">
        <v>0.56260634789192254</v>
      </c>
      <c r="U166" s="281">
        <v>0.51082181770187174</v>
      </c>
      <c r="V166" s="281">
        <v>0.39180088714278655</v>
      </c>
      <c r="W166" s="281">
        <v>0.39895868084837738</v>
      </c>
      <c r="X166" s="281">
        <v>0.42508954639473684</v>
      </c>
      <c r="Y166" s="281">
        <v>0.40909069184210528</v>
      </c>
      <c r="Z166" s="281">
        <v>0.41514912307894736</v>
      </c>
      <c r="AA166" s="281">
        <v>0.41999748602631581</v>
      </c>
      <c r="AB166" s="281">
        <v>0.43306108707894736</v>
      </c>
      <c r="AC166" s="281">
        <v>0.45784624833907395</v>
      </c>
      <c r="AD166" s="281">
        <v>0.47614452958750847</v>
      </c>
      <c r="AE166" s="281">
        <v>0.51788450679476872</v>
      </c>
      <c r="AF166" s="281">
        <v>0.57681072147484891</v>
      </c>
      <c r="AG166" s="281">
        <v>0.50615051892067842</v>
      </c>
      <c r="AH166" s="281">
        <v>0.57240650963908313</v>
      </c>
      <c r="AI166" s="281">
        <v>0.62160439341411144</v>
      </c>
      <c r="AJ166" s="329">
        <v>0.62160439341411144</v>
      </c>
    </row>
    <row r="167" spans="2:36">
      <c r="B167" s="72" t="s">
        <v>725</v>
      </c>
      <c r="C167" s="72" t="s">
        <v>726</v>
      </c>
      <c r="D167" s="72"/>
      <c r="E167" s="72"/>
      <c r="F167" s="72"/>
      <c r="G167" s="72"/>
      <c r="H167" s="72"/>
      <c r="I167" s="72"/>
      <c r="J167" s="72"/>
      <c r="K167" s="72"/>
      <c r="L167" s="72"/>
      <c r="M167" s="72"/>
      <c r="N167" s="72"/>
      <c r="O167" s="72"/>
      <c r="P167" s="72"/>
      <c r="Q167" s="72"/>
      <c r="R167" s="281"/>
      <c r="S167" s="281">
        <v>0.60031610800339852</v>
      </c>
      <c r="T167" s="281">
        <v>0.61040821915887855</v>
      </c>
      <c r="U167" s="281">
        <v>0.61209119465590478</v>
      </c>
      <c r="V167" s="281">
        <v>0.58426109895497036</v>
      </c>
      <c r="W167" s="281">
        <v>0.58587025116397629</v>
      </c>
      <c r="X167" s="281">
        <v>0.57996406201359396</v>
      </c>
      <c r="Y167" s="281">
        <v>0.70454763281862753</v>
      </c>
      <c r="Z167" s="281">
        <v>0.67445171689843741</v>
      </c>
      <c r="AA167" s="281">
        <v>0.66361214462499996</v>
      </c>
      <c r="AB167" s="281">
        <v>0.64980814803124987</v>
      </c>
      <c r="AC167" s="281">
        <v>0.6354477639609375</v>
      </c>
      <c r="AD167" s="281">
        <v>0.67602252078906244</v>
      </c>
      <c r="AE167" s="281">
        <v>0.70303053840624996</v>
      </c>
      <c r="AF167" s="281">
        <v>0.75205014891406252</v>
      </c>
      <c r="AG167" s="281">
        <v>0.79997077437499986</v>
      </c>
      <c r="AH167" s="281">
        <v>0.80299239898437491</v>
      </c>
      <c r="AI167" s="281">
        <v>0.72199653249968077</v>
      </c>
      <c r="AJ167" s="329">
        <v>0.72199653249968077</v>
      </c>
    </row>
    <row r="168" spans="2:36">
      <c r="B168" s="72" t="s">
        <v>727</v>
      </c>
      <c r="C168" s="72" t="s">
        <v>728</v>
      </c>
      <c r="D168" s="72">
        <v>0.68880032808429581</v>
      </c>
      <c r="E168" s="72">
        <v>0.55058448574356234</v>
      </c>
      <c r="F168" s="72">
        <v>0.4836222727796809</v>
      </c>
      <c r="G168" s="72">
        <v>0.43291083742429448</v>
      </c>
      <c r="H168" s="72">
        <v>0.40498714370601047</v>
      </c>
      <c r="I168" s="72">
        <v>0.44412376173761925</v>
      </c>
      <c r="J168" s="72">
        <v>0.51181670960181791</v>
      </c>
      <c r="K168" s="72">
        <v>0.5752523482568187</v>
      </c>
      <c r="L168" s="72">
        <v>0.55238634258970787</v>
      </c>
      <c r="M168" s="72">
        <v>0.49098451605718851</v>
      </c>
      <c r="N168" s="72">
        <v>0.58120733310762362</v>
      </c>
      <c r="O168" s="72">
        <v>0.55354674353720101</v>
      </c>
      <c r="P168" s="72">
        <v>0.58792297081567046</v>
      </c>
      <c r="Q168" s="72">
        <v>0.55309073239342155</v>
      </c>
      <c r="R168" s="281">
        <v>0.35356803667864539</v>
      </c>
      <c r="S168" s="281">
        <v>0.45515660774928474</v>
      </c>
      <c r="T168" s="281">
        <v>0.46016417352602568</v>
      </c>
      <c r="U168" s="281">
        <v>0.39963422764522161</v>
      </c>
      <c r="V168" s="281">
        <v>0.38994170180523768</v>
      </c>
      <c r="W168" s="281">
        <v>0.35639561531590058</v>
      </c>
      <c r="X168" s="281">
        <v>0.31857314101519707</v>
      </c>
      <c r="Y168" s="281">
        <v>0.30166231303885194</v>
      </c>
      <c r="Z168" s="281">
        <v>0.36228704754731061</v>
      </c>
      <c r="AA168" s="281">
        <v>0.43096813847212662</v>
      </c>
      <c r="AB168" s="281">
        <v>0.45833896160019988</v>
      </c>
      <c r="AC168" s="281">
        <v>0.45517900509604381</v>
      </c>
      <c r="AD168" s="281">
        <v>0.46302289957734899</v>
      </c>
      <c r="AE168" s="281">
        <v>0.52557866307092038</v>
      </c>
      <c r="AF168" s="281">
        <v>0.59880448502713213</v>
      </c>
      <c r="AG168" s="281">
        <v>0.58024051816445221</v>
      </c>
      <c r="AH168" s="281">
        <v>0.57238861984749145</v>
      </c>
      <c r="AI168" s="281">
        <v>0.61274785761329542</v>
      </c>
      <c r="AJ168" s="329">
        <v>0.61274785761329542</v>
      </c>
    </row>
    <row r="169" spans="2:36">
      <c r="B169" s="72" t="s">
        <v>729</v>
      </c>
      <c r="C169" s="72" t="s">
        <v>730</v>
      </c>
      <c r="D169" s="72">
        <v>0.71668294969453938</v>
      </c>
      <c r="E169" s="72">
        <v>0.63086989238885316</v>
      </c>
      <c r="F169" s="72">
        <v>0.57713488363125565</v>
      </c>
      <c r="G169" s="72">
        <v>0.52748889568570778</v>
      </c>
      <c r="H169" s="72">
        <v>0.47603126653520528</v>
      </c>
      <c r="I169" s="72">
        <v>0.45681793633652151</v>
      </c>
      <c r="J169" s="72">
        <v>0.55218696490996422</v>
      </c>
      <c r="K169" s="72">
        <v>0.62884749892375502</v>
      </c>
      <c r="L169" s="72">
        <v>0.64636595083248038</v>
      </c>
      <c r="M169" s="72">
        <v>0.60409093100552824</v>
      </c>
      <c r="N169" s="72">
        <v>0.65835915026559055</v>
      </c>
      <c r="O169" s="72">
        <v>0.64695660993592385</v>
      </c>
      <c r="P169" s="72">
        <v>0.66501778827364588</v>
      </c>
      <c r="Q169" s="72">
        <v>0.55838299231641242</v>
      </c>
      <c r="R169" s="281">
        <v>0.57328299242796332</v>
      </c>
      <c r="S169" s="281">
        <v>0.63246125003728171</v>
      </c>
      <c r="T169" s="281">
        <v>0.67264865704104149</v>
      </c>
      <c r="U169" s="281">
        <v>0.62243803296061295</v>
      </c>
      <c r="V169" s="281">
        <v>0.62017821805365447</v>
      </c>
      <c r="W169" s="281">
        <v>0.60493252970293376</v>
      </c>
      <c r="X169" s="281">
        <v>0.54496856811100891</v>
      </c>
      <c r="Y169" s="281">
        <v>0.5461503346664115</v>
      </c>
      <c r="Z169" s="281">
        <v>0.56132151029625676</v>
      </c>
      <c r="AA169" s="281">
        <v>0.65220235270589233</v>
      </c>
      <c r="AB169" s="281">
        <v>0.70530440292952901</v>
      </c>
      <c r="AC169" s="281">
        <v>0.70461259933450471</v>
      </c>
      <c r="AD169" s="281">
        <v>0.70849067203331584</v>
      </c>
      <c r="AE169" s="281">
        <v>0.7821766864586609</v>
      </c>
      <c r="AF169" s="281">
        <v>0.82065991552914841</v>
      </c>
      <c r="AG169" s="281">
        <v>0.76425965535591778</v>
      </c>
      <c r="AH169" s="281">
        <v>0.7357834828609271</v>
      </c>
      <c r="AI169" s="281">
        <v>0.77734589532944109</v>
      </c>
      <c r="AJ169" s="329">
        <v>0.77734589532944109</v>
      </c>
    </row>
    <row r="170" spans="2:36">
      <c r="B170" s="72" t="s">
        <v>731</v>
      </c>
      <c r="C170" s="72" t="s">
        <v>732</v>
      </c>
      <c r="D170" s="72"/>
      <c r="E170" s="72"/>
      <c r="F170" s="72"/>
      <c r="G170" s="72"/>
      <c r="H170" s="72"/>
      <c r="I170" s="72"/>
      <c r="J170" s="72"/>
      <c r="K170" s="72"/>
      <c r="L170" s="72"/>
      <c r="M170" s="72"/>
      <c r="N170" s="72"/>
      <c r="O170" s="72"/>
      <c r="P170" s="72"/>
      <c r="Q170" s="72"/>
      <c r="R170" s="281"/>
      <c r="S170" s="281"/>
      <c r="T170" s="281"/>
      <c r="U170" s="281"/>
      <c r="V170" s="281"/>
      <c r="W170" s="281"/>
      <c r="X170" s="281"/>
      <c r="Y170" s="281"/>
      <c r="Z170" s="281"/>
      <c r="AA170" s="281"/>
      <c r="AB170" s="281"/>
      <c r="AC170" s="281"/>
      <c r="AD170" s="281"/>
      <c r="AE170" s="281"/>
      <c r="AF170" s="281"/>
      <c r="AG170" s="281"/>
      <c r="AH170" s="281"/>
      <c r="AI170" s="281"/>
      <c r="AJ170" s="329"/>
    </row>
    <row r="171" spans="2:36">
      <c r="B171" s="72" t="s">
        <v>733</v>
      </c>
      <c r="C171" s="72" t="s">
        <v>734</v>
      </c>
      <c r="D171" s="72">
        <v>0.49733411974183145</v>
      </c>
      <c r="E171" s="72">
        <v>0.46369868804913567</v>
      </c>
      <c r="F171" s="72">
        <v>0.44886926348460277</v>
      </c>
      <c r="G171" s="72">
        <v>0.43741255146649843</v>
      </c>
      <c r="H171" s="72">
        <v>0.40168936176804926</v>
      </c>
      <c r="I171" s="72">
        <v>0.35567843212860256</v>
      </c>
      <c r="J171" s="72">
        <v>0.3867546189714286</v>
      </c>
      <c r="K171" s="72">
        <v>0.41784700734729879</v>
      </c>
      <c r="L171" s="72">
        <v>0.41770567422719662</v>
      </c>
      <c r="M171" s="72">
        <v>0.39388884167940486</v>
      </c>
      <c r="N171" s="72">
        <v>0.40132465242834742</v>
      </c>
      <c r="O171" s="72">
        <v>0.53991909702740359</v>
      </c>
      <c r="P171" s="72">
        <v>0.52649711286217116</v>
      </c>
      <c r="Q171" s="72">
        <v>0.41535845801869009</v>
      </c>
      <c r="R171" s="281">
        <v>0.44209189338585791</v>
      </c>
      <c r="S171" s="281">
        <v>0.42311439395238365</v>
      </c>
      <c r="T171" s="281">
        <v>0.40046997121536276</v>
      </c>
      <c r="U171" s="281">
        <v>0.3979188950559171</v>
      </c>
      <c r="V171" s="281">
        <v>0.36825195944414535</v>
      </c>
      <c r="W171" s="281">
        <v>0.34442780207168311</v>
      </c>
      <c r="X171" s="281">
        <v>0.31161016116885515</v>
      </c>
      <c r="Y171" s="281">
        <v>0.29913681903799411</v>
      </c>
      <c r="Z171" s="281">
        <v>0.29893309585233352</v>
      </c>
      <c r="AA171" s="281">
        <v>0.32602732234726084</v>
      </c>
      <c r="AB171" s="281">
        <v>0.35174862315849059</v>
      </c>
      <c r="AC171" s="281">
        <v>0.3722371161909907</v>
      </c>
      <c r="AD171" s="281">
        <v>0.42227636653015632</v>
      </c>
      <c r="AE171" s="281">
        <v>0.44583468287872485</v>
      </c>
      <c r="AF171" s="281">
        <v>0.45005598523670315</v>
      </c>
      <c r="AG171" s="281">
        <v>0.37967348095756925</v>
      </c>
      <c r="AH171" s="281">
        <v>0.42791417117070807</v>
      </c>
      <c r="AI171" s="281">
        <v>0.450666137344298</v>
      </c>
      <c r="AJ171" s="329">
        <v>0.450666137344298</v>
      </c>
    </row>
    <row r="172" spans="2:36">
      <c r="B172" s="72" t="s">
        <v>735</v>
      </c>
      <c r="C172" s="72" t="s">
        <v>736</v>
      </c>
      <c r="D172" s="72">
        <v>0.66084310935111235</v>
      </c>
      <c r="E172" s="72">
        <v>0.57599048058329749</v>
      </c>
      <c r="F172" s="72">
        <v>0.48579916907279636</v>
      </c>
      <c r="G172" s="72">
        <v>0.47065313316657259</v>
      </c>
      <c r="H172" s="72">
        <v>0.41350146296998364</v>
      </c>
      <c r="I172" s="72">
        <v>0.38798073983553921</v>
      </c>
      <c r="J172" s="72">
        <v>0.47009743724330438</v>
      </c>
      <c r="K172" s="72">
        <v>0.53925262659814299</v>
      </c>
      <c r="L172" s="72">
        <v>0.55377635731494723</v>
      </c>
      <c r="M172" s="72">
        <v>0.52222489309344511</v>
      </c>
      <c r="N172" s="72">
        <v>0.56846598305688989</v>
      </c>
      <c r="O172" s="72">
        <v>0.56678651367396937</v>
      </c>
      <c r="P172" s="72">
        <v>0.58817004665383499</v>
      </c>
      <c r="Q172" s="72">
        <v>0.55435813682834201</v>
      </c>
      <c r="R172" s="281">
        <v>0.56884426786015763</v>
      </c>
      <c r="S172" s="281">
        <v>0.6052947334254225</v>
      </c>
      <c r="T172" s="281">
        <v>0.61648994181360173</v>
      </c>
      <c r="U172" s="281">
        <v>0.54192334407257126</v>
      </c>
      <c r="V172" s="281">
        <v>0.50169993881459529</v>
      </c>
      <c r="W172" s="281">
        <v>0.49591029911355572</v>
      </c>
      <c r="X172" s="281">
        <v>0.47545169394913689</v>
      </c>
      <c r="Y172" s="281">
        <v>0.44869560434511624</v>
      </c>
      <c r="Z172" s="281">
        <v>0.45438212101995862</v>
      </c>
      <c r="AA172" s="281">
        <v>0.50518140245273768</v>
      </c>
      <c r="AB172" s="281">
        <v>0.52893300119824582</v>
      </c>
      <c r="AC172" s="281">
        <v>0.49759435369713928</v>
      </c>
      <c r="AD172" s="281">
        <v>0.48021645100826027</v>
      </c>
      <c r="AE172" s="281">
        <v>0.52783227528723986</v>
      </c>
      <c r="AF172" s="281">
        <v>0.60554737561763394</v>
      </c>
      <c r="AG172" s="281">
        <v>0.53156594215232877</v>
      </c>
      <c r="AH172" s="281">
        <v>0.55687137261080288</v>
      </c>
      <c r="AI172" s="281">
        <v>0.60718968081530122</v>
      </c>
      <c r="AJ172" s="329">
        <v>0.60718968081530122</v>
      </c>
    </row>
    <row r="173" spans="2:36">
      <c r="B173" s="72" t="s">
        <v>737</v>
      </c>
      <c r="C173" s="72" t="s">
        <v>738</v>
      </c>
      <c r="D173" s="72">
        <v>0.72955234640810673</v>
      </c>
      <c r="E173" s="72">
        <v>0.78901132675750729</v>
      </c>
      <c r="F173" s="72">
        <v>0.52023736621009409</v>
      </c>
      <c r="G173" s="72">
        <v>0.44809239336685425</v>
      </c>
      <c r="H173" s="72">
        <v>0.491830701901664</v>
      </c>
      <c r="I173" s="72">
        <v>0.48775507164815307</v>
      </c>
      <c r="J173" s="72">
        <v>0.34781241711721733</v>
      </c>
      <c r="K173" s="72">
        <v>0.35948923126319521</v>
      </c>
      <c r="L173" s="72">
        <v>0.42029973970681028</v>
      </c>
      <c r="M173" s="72">
        <v>0.47317515027132617</v>
      </c>
      <c r="N173" s="72">
        <v>0.51084604509018383</v>
      </c>
      <c r="O173" s="72">
        <v>0.56661002357324897</v>
      </c>
      <c r="P173" s="72">
        <v>0.61757407677133735</v>
      </c>
      <c r="Q173" s="72">
        <v>0.65727963098297881</v>
      </c>
      <c r="R173" s="281">
        <v>0.6434721528340277</v>
      </c>
      <c r="S173" s="281">
        <v>0.45690286501820065</v>
      </c>
      <c r="T173" s="281">
        <v>0.49515481649431936</v>
      </c>
      <c r="U173" s="281">
        <v>0.54962841287533282</v>
      </c>
      <c r="V173" s="281">
        <v>0.54345456196821684</v>
      </c>
      <c r="W173" s="281">
        <v>0.58927136883446951</v>
      </c>
      <c r="X173" s="281">
        <v>0.64504112142856151</v>
      </c>
      <c r="Y173" s="281">
        <v>0.67557672249973466</v>
      </c>
      <c r="Z173" s="281">
        <v>0.67871756812265194</v>
      </c>
      <c r="AA173" s="281">
        <v>0.63167550296779174</v>
      </c>
      <c r="AB173" s="281">
        <v>0.6394853330832686</v>
      </c>
      <c r="AC173" s="281">
        <v>0.65396701710651983</v>
      </c>
      <c r="AD173" s="281">
        <v>0.6588964172583871</v>
      </c>
      <c r="AE173" s="281">
        <v>0.67440088807007548</v>
      </c>
      <c r="AF173" s="281">
        <v>0.67113405639257062</v>
      </c>
      <c r="AG173" s="281">
        <v>0.57150055355857743</v>
      </c>
      <c r="AH173" s="281">
        <v>0.62758399164969914</v>
      </c>
      <c r="AI173" s="281">
        <v>0.65812833357904688</v>
      </c>
      <c r="AJ173" s="329">
        <v>0.65812833357904688</v>
      </c>
    </row>
    <row r="174" spans="2:36">
      <c r="B174" s="72" t="s">
        <v>739</v>
      </c>
      <c r="C174" s="72" t="s">
        <v>740</v>
      </c>
      <c r="D174" s="72"/>
      <c r="E174" s="72"/>
      <c r="F174" s="72"/>
      <c r="G174" s="72"/>
      <c r="H174" s="72"/>
      <c r="I174" s="72"/>
      <c r="J174" s="72">
        <v>0.78367876748999998</v>
      </c>
      <c r="K174" s="72">
        <v>0.78244930490999998</v>
      </c>
      <c r="L174" s="72">
        <v>0.78786977289000004</v>
      </c>
      <c r="M174" s="72">
        <v>0.79518245733000004</v>
      </c>
      <c r="N174" s="72">
        <v>0.80404708092999999</v>
      </c>
      <c r="O174" s="72">
        <v>0.81729005822</v>
      </c>
      <c r="P174" s="72">
        <v>0.82468793201000001</v>
      </c>
      <c r="Q174" s="72">
        <v>0.83130396964999997</v>
      </c>
      <c r="R174" s="281">
        <v>0.83602121316</v>
      </c>
      <c r="S174" s="281">
        <v>0.83682635837999997</v>
      </c>
      <c r="T174" s="281">
        <v>0.83622457350000001</v>
      </c>
      <c r="U174" s="281">
        <v>0.82571386348999998</v>
      </c>
      <c r="V174" s="281">
        <v>0.83961999667999998</v>
      </c>
      <c r="W174" s="281">
        <v>0.81996178276999998</v>
      </c>
      <c r="X174" s="281">
        <v>0.81128016059999997</v>
      </c>
      <c r="Y174" s="281">
        <v>0.80249088554000003</v>
      </c>
      <c r="Z174" s="281">
        <v>0.7898356379</v>
      </c>
      <c r="AA174" s="281">
        <v>0.77051362747999996</v>
      </c>
      <c r="AB174" s="281">
        <v>0.75731061278</v>
      </c>
      <c r="AC174" s="281">
        <v>0.74827440000000001</v>
      </c>
      <c r="AD174" s="281">
        <v>0.73521745551999995</v>
      </c>
      <c r="AE174" s="281">
        <v>0.73789065872000004</v>
      </c>
      <c r="AF174" s="281">
        <v>0.75666649096000005</v>
      </c>
      <c r="AG174" s="281">
        <v>0.78549192486999997</v>
      </c>
      <c r="AH174" s="281">
        <v>0.80625431262000002</v>
      </c>
      <c r="AI174" s="281">
        <v>0.81532212810000004</v>
      </c>
      <c r="AJ174" s="329">
        <v>0.81532212810000004</v>
      </c>
    </row>
    <row r="175" spans="2:36">
      <c r="B175" s="72" t="s">
        <v>741</v>
      </c>
      <c r="C175" s="72" t="s">
        <v>742</v>
      </c>
      <c r="D175" s="72"/>
      <c r="E175" s="72"/>
      <c r="F175" s="72"/>
      <c r="G175" s="72"/>
      <c r="H175" s="72"/>
      <c r="I175" s="72"/>
      <c r="J175" s="72"/>
      <c r="K175" s="72"/>
      <c r="L175" s="72"/>
      <c r="M175" s="72"/>
      <c r="N175" s="72">
        <v>0.29368319647845631</v>
      </c>
      <c r="O175" s="72">
        <v>0.29123680045765893</v>
      </c>
      <c r="P175" s="72">
        <v>0.30150448497308241</v>
      </c>
      <c r="Q175" s="72">
        <v>0.30538830078421497</v>
      </c>
      <c r="R175" s="281">
        <v>0.31087094887511663</v>
      </c>
      <c r="S175" s="281">
        <v>0.31728994631550816</v>
      </c>
      <c r="T175" s="281">
        <v>0.31801490328875304</v>
      </c>
      <c r="U175" s="281">
        <v>0.349648364288762</v>
      </c>
      <c r="V175" s="281">
        <v>0.31325532921787708</v>
      </c>
      <c r="W175" s="281">
        <v>0.2282264780125805</v>
      </c>
      <c r="X175" s="281">
        <v>0.24078194690108901</v>
      </c>
      <c r="Y175" s="281">
        <v>0.25501722544066902</v>
      </c>
      <c r="Z175" s="281">
        <v>0.2612666882192588</v>
      </c>
      <c r="AA175" s="281">
        <v>0.28612312271742713</v>
      </c>
      <c r="AB175" s="281">
        <v>0.33984548600374742</v>
      </c>
      <c r="AC175" s="281">
        <v>0.35189568698364321</v>
      </c>
      <c r="AD175" s="281">
        <v>0.37108982407999758</v>
      </c>
      <c r="AE175" s="281">
        <v>0.4519447124223398</v>
      </c>
      <c r="AF175" s="281">
        <v>0.56430040385873748</v>
      </c>
      <c r="AG175" s="281">
        <v>0.5322394726002736</v>
      </c>
      <c r="AH175" s="281">
        <v>0.52726574615761634</v>
      </c>
      <c r="AI175" s="281">
        <v>0.58382013216301898</v>
      </c>
      <c r="AJ175" s="329">
        <v>0.58382013216301898</v>
      </c>
    </row>
    <row r="176" spans="2:36">
      <c r="B176" s="72" t="s">
        <v>743</v>
      </c>
      <c r="C176" s="72" t="s">
        <v>333</v>
      </c>
      <c r="D176" s="72"/>
      <c r="E176" s="72"/>
      <c r="F176" s="72"/>
      <c r="G176" s="72"/>
      <c r="H176" s="72"/>
      <c r="I176" s="72"/>
      <c r="J176" s="72"/>
      <c r="K176" s="72"/>
      <c r="L176" s="72"/>
      <c r="M176" s="72"/>
      <c r="N176" s="72"/>
      <c r="O176" s="72"/>
      <c r="P176" s="72"/>
      <c r="Q176" s="72"/>
      <c r="R176" s="281"/>
      <c r="S176" s="281"/>
      <c r="T176" s="281"/>
      <c r="U176" s="281"/>
      <c r="V176" s="281"/>
      <c r="W176" s="281"/>
      <c r="X176" s="281"/>
      <c r="Y176" s="281"/>
      <c r="Z176" s="281"/>
      <c r="AA176" s="281"/>
      <c r="AB176" s="281"/>
      <c r="AC176" s="281"/>
      <c r="AD176" s="281"/>
      <c r="AE176" s="281"/>
      <c r="AF176" s="281"/>
      <c r="AG176" s="281"/>
      <c r="AH176" s="281"/>
      <c r="AI176" s="281"/>
      <c r="AJ176" s="329"/>
    </row>
    <row r="177" spans="2:36">
      <c r="B177" s="72" t="s">
        <v>744</v>
      </c>
      <c r="C177" s="72" t="s">
        <v>745</v>
      </c>
      <c r="D177" s="72"/>
      <c r="E177" s="72">
        <v>1.2764554926666667</v>
      </c>
      <c r="F177" s="72">
        <v>1.2269896442999999</v>
      </c>
      <c r="G177" s="72">
        <v>1.1909753240000001</v>
      </c>
      <c r="H177" s="72">
        <v>0.83431769030000003</v>
      </c>
      <c r="I177" s="72">
        <v>0.79786966832499995</v>
      </c>
      <c r="J177" s="72">
        <v>0.94511573783333336</v>
      </c>
      <c r="K177" s="72">
        <v>0.9256483186333333</v>
      </c>
      <c r="L177" s="72">
        <v>0.90282628609999993</v>
      </c>
      <c r="M177" s="72">
        <v>0.93226375756666668</v>
      </c>
      <c r="N177" s="72">
        <v>0.66417992585999996</v>
      </c>
      <c r="O177" s="72">
        <v>0.65357461271578954</v>
      </c>
      <c r="P177" s="72">
        <v>0.39067581678403751</v>
      </c>
      <c r="Q177" s="72">
        <v>0.23024141260630324</v>
      </c>
      <c r="R177" s="281">
        <v>0.2661918957531641</v>
      </c>
      <c r="S177" s="281">
        <v>0.38357678219255004</v>
      </c>
      <c r="T177" s="281">
        <v>0.34163941974711876</v>
      </c>
      <c r="U177" s="281">
        <v>0.28310323446615604</v>
      </c>
      <c r="V177" s="281">
        <v>0.25723413265684708</v>
      </c>
      <c r="W177" s="281">
        <v>0.23130202111695289</v>
      </c>
      <c r="X177" s="281">
        <v>0.24066430282985204</v>
      </c>
      <c r="Y177" s="281">
        <v>0.2549386694436318</v>
      </c>
      <c r="Z177" s="281">
        <v>0.26381301333911916</v>
      </c>
      <c r="AA177" s="281">
        <v>0.2758186977126737</v>
      </c>
      <c r="AB177" s="281">
        <v>0.30282355919889792</v>
      </c>
      <c r="AC177" s="281">
        <v>0.34615573610719325</v>
      </c>
      <c r="AD177" s="281">
        <v>0.41794470405187761</v>
      </c>
      <c r="AE177" s="281">
        <v>0.45699209564860777</v>
      </c>
      <c r="AF177" s="281">
        <v>0.54516006306399034</v>
      </c>
      <c r="AG177" s="281">
        <v>0.44425414278063713</v>
      </c>
      <c r="AH177" s="281">
        <v>0.56100035603861176</v>
      </c>
      <c r="AI177" s="281">
        <v>0.65987518090738695</v>
      </c>
      <c r="AJ177" s="329">
        <v>0.65987518090738695</v>
      </c>
    </row>
    <row r="178" spans="2:36">
      <c r="B178" s="72" t="s">
        <v>746</v>
      </c>
      <c r="C178" s="72" t="s">
        <v>747</v>
      </c>
      <c r="D178" s="72"/>
      <c r="E178" s="72"/>
      <c r="F178" s="72"/>
      <c r="G178" s="72"/>
      <c r="H178" s="72"/>
      <c r="I178" s="72"/>
      <c r="J178" s="72"/>
      <c r="K178" s="72"/>
      <c r="L178" s="72"/>
      <c r="M178" s="72"/>
      <c r="N178" s="72"/>
      <c r="O178" s="72"/>
      <c r="P178" s="72"/>
      <c r="Q178" s="72"/>
      <c r="R178" s="281"/>
      <c r="S178" s="281"/>
      <c r="T178" s="281"/>
      <c r="U178" s="281"/>
      <c r="V178" s="281"/>
      <c r="W178" s="281"/>
      <c r="X178" s="281">
        <v>0.24683930547463598</v>
      </c>
      <c r="Y178" s="281">
        <v>0.28133654331581187</v>
      </c>
      <c r="Z178" s="281">
        <v>0.30086690607577277</v>
      </c>
      <c r="AA178" s="281">
        <v>0.38217627349696309</v>
      </c>
      <c r="AB178" s="281">
        <v>0.43228738352371493</v>
      </c>
      <c r="AC178" s="281">
        <v>0.43715684029349577</v>
      </c>
      <c r="AD178" s="281">
        <v>0.41704878983816329</v>
      </c>
      <c r="AE178" s="281">
        <v>0.47720929312893512</v>
      </c>
      <c r="AF178" s="281">
        <v>0.52627107360480441</v>
      </c>
      <c r="AG178" s="281">
        <v>0.51292182475687687</v>
      </c>
      <c r="AH178" s="281">
        <v>0.50164866490637661</v>
      </c>
      <c r="AI178" s="281">
        <v>0.5293846429554373</v>
      </c>
      <c r="AJ178" s="329">
        <v>0.5293846429554373</v>
      </c>
    </row>
    <row r="179" spans="2:36">
      <c r="B179" s="72" t="s">
        <v>748</v>
      </c>
      <c r="C179" s="72" t="s">
        <v>749</v>
      </c>
      <c r="D179" s="72">
        <v>0.85633961878270592</v>
      </c>
      <c r="E179" s="72">
        <v>0.65374217806391743</v>
      </c>
      <c r="F179" s="72">
        <v>0.56740751909347509</v>
      </c>
      <c r="G179" s="72">
        <v>0.49612976893113775</v>
      </c>
      <c r="H179" s="72">
        <v>0.4191685759832019</v>
      </c>
      <c r="I179" s="72">
        <v>0.38610085710026831</v>
      </c>
      <c r="J179" s="72">
        <v>0.46048545954703224</v>
      </c>
      <c r="K179" s="72">
        <v>0.50636879626328779</v>
      </c>
      <c r="L179" s="72">
        <v>0.52479205901950876</v>
      </c>
      <c r="M179" s="72">
        <v>0.50850123461240759</v>
      </c>
      <c r="N179" s="72">
        <v>0.53221124010899823</v>
      </c>
      <c r="O179" s="72">
        <v>0.51909605642878065</v>
      </c>
      <c r="P179" s="72">
        <v>0.54142732676270788</v>
      </c>
      <c r="Q179" s="72">
        <v>0.50419712260458116</v>
      </c>
      <c r="R179" s="281">
        <v>0.50706966844507229</v>
      </c>
      <c r="S179" s="281">
        <v>0.57649103405152224</v>
      </c>
      <c r="T179" s="281">
        <v>0.56068663746715774</v>
      </c>
      <c r="U179" s="281">
        <v>0.51310864548126378</v>
      </c>
      <c r="V179" s="281">
        <v>0.56294942574575357</v>
      </c>
      <c r="W179" s="281">
        <v>0.5479254705538037</v>
      </c>
      <c r="X179" s="281">
        <v>0.49186264840015065</v>
      </c>
      <c r="Y179" s="281">
        <v>0.45569216876050606</v>
      </c>
      <c r="Z179" s="281">
        <v>0.46498302513383538</v>
      </c>
      <c r="AA179" s="281">
        <v>0.5280238356635103</v>
      </c>
      <c r="AB179" s="281">
        <v>0.56013774803788907</v>
      </c>
      <c r="AC179" s="281">
        <v>0.55027452250423003</v>
      </c>
      <c r="AD179" s="281">
        <v>0.54549624175761713</v>
      </c>
      <c r="AE179" s="281">
        <v>0.59156932761230474</v>
      </c>
      <c r="AF179" s="281">
        <v>0.64765629983225803</v>
      </c>
      <c r="AG179" s="281">
        <v>0.62411070736005958</v>
      </c>
      <c r="AH179" s="281">
        <v>0.59705488496239634</v>
      </c>
      <c r="AI179" s="281">
        <v>0.61657134671700897</v>
      </c>
      <c r="AJ179" s="329">
        <v>0.61657134671700897</v>
      </c>
    </row>
    <row r="180" spans="2:36">
      <c r="B180" s="72" t="s">
        <v>750</v>
      </c>
      <c r="C180" s="72" t="s">
        <v>751</v>
      </c>
      <c r="D180" s="72">
        <v>1.3985812708621712</v>
      </c>
      <c r="E180" s="72">
        <v>1.2198474759077662</v>
      </c>
      <c r="F180" s="72">
        <v>1.2640112416569114</v>
      </c>
      <c r="G180" s="72">
        <v>1.2918508912640425</v>
      </c>
      <c r="H180" s="72">
        <v>1.3871495800333731</v>
      </c>
      <c r="I180" s="72">
        <v>1.761620924899451</v>
      </c>
      <c r="J180" s="72">
        <v>2.0742922116187263</v>
      </c>
      <c r="K180" s="72">
        <v>0.78873513591834676</v>
      </c>
      <c r="L180" s="72">
        <v>0.62647883380969094</v>
      </c>
      <c r="M180" s="72">
        <v>0.62667248739386372</v>
      </c>
      <c r="N180" s="72">
        <v>0.63632158973556119</v>
      </c>
      <c r="O180" s="72">
        <v>0.64197254122716607</v>
      </c>
      <c r="P180" s="72">
        <v>0.48395805352924337</v>
      </c>
      <c r="Q180" s="72">
        <v>0.44885891479736018</v>
      </c>
      <c r="R180" s="281">
        <v>0.43948387172009035</v>
      </c>
      <c r="S180" s="281">
        <v>0.43444360436876145</v>
      </c>
      <c r="T180" s="281">
        <v>0.56232326353404893</v>
      </c>
      <c r="U180" s="281">
        <v>0.59069176337747509</v>
      </c>
      <c r="V180" s="281">
        <v>0.59427754576556679</v>
      </c>
      <c r="W180" s="281">
        <v>0.56824696704621058</v>
      </c>
      <c r="X180" s="281">
        <v>0.52555949046725114</v>
      </c>
      <c r="Y180" s="281">
        <v>0.44048675977439383</v>
      </c>
      <c r="Z180" s="281">
        <v>0.41067004755891545</v>
      </c>
      <c r="AA180" s="281">
        <v>0.42132076266143959</v>
      </c>
      <c r="AB180" s="281">
        <v>0.46384694041739893</v>
      </c>
      <c r="AC180" s="281">
        <v>0.47306996619253283</v>
      </c>
      <c r="AD180" s="281">
        <v>0.46495399637795282</v>
      </c>
      <c r="AE180" s="281">
        <v>0.4766135651633765</v>
      </c>
      <c r="AF180" s="281">
        <v>0.53766413473251029</v>
      </c>
      <c r="AG180" s="281">
        <v>0.48810606028781162</v>
      </c>
      <c r="AH180" s="281">
        <v>0.43201974114108171</v>
      </c>
      <c r="AI180" s="281">
        <v>0.54833626877689257</v>
      </c>
      <c r="AJ180" s="329">
        <v>0.54833626877689257</v>
      </c>
    </row>
    <row r="181" spans="2:36">
      <c r="B181" s="72" t="s">
        <v>752</v>
      </c>
      <c r="C181" s="72" t="s">
        <v>753</v>
      </c>
      <c r="D181" s="72"/>
      <c r="E181" s="72"/>
      <c r="F181" s="72"/>
      <c r="G181" s="72"/>
      <c r="H181" s="72"/>
      <c r="I181" s="72"/>
      <c r="J181" s="72"/>
      <c r="K181" s="72"/>
      <c r="L181" s="72"/>
      <c r="M181" s="72"/>
      <c r="N181" s="72"/>
      <c r="O181" s="72"/>
      <c r="P181" s="72"/>
      <c r="Q181" s="72"/>
      <c r="R181" s="281"/>
      <c r="S181" s="281"/>
      <c r="T181" s="281"/>
      <c r="U181" s="281"/>
      <c r="V181" s="281"/>
      <c r="W181" s="281"/>
      <c r="X181" s="281"/>
      <c r="Y181" s="281"/>
      <c r="Z181" s="281"/>
      <c r="AA181" s="281"/>
      <c r="AB181" s="281"/>
      <c r="AC181" s="281"/>
      <c r="AD181" s="281"/>
      <c r="AE181" s="281"/>
      <c r="AF181" s="281"/>
      <c r="AG181" s="281"/>
      <c r="AH181" s="281"/>
      <c r="AI181" s="281"/>
      <c r="AJ181" s="329"/>
    </row>
    <row r="182" spans="2:36">
      <c r="B182" s="72" t="s">
        <v>754</v>
      </c>
      <c r="C182" s="72" t="s">
        <v>755</v>
      </c>
      <c r="D182" s="72">
        <v>0.9099393920398956</v>
      </c>
      <c r="E182" s="72">
        <v>0.74178977321699813</v>
      </c>
      <c r="F182" s="72">
        <v>0.64868697879943271</v>
      </c>
      <c r="G182" s="72">
        <v>0.67955113593932315</v>
      </c>
      <c r="H182" s="72">
        <v>0.55326936004012806</v>
      </c>
      <c r="I182" s="72">
        <v>0.44513172634800124</v>
      </c>
      <c r="J182" s="72">
        <v>0.46867165555813273</v>
      </c>
      <c r="K182" s="72">
        <v>0.55718871043157514</v>
      </c>
      <c r="L182" s="72">
        <v>0.58729628246688981</v>
      </c>
      <c r="M182" s="72">
        <v>0.5665073483612183</v>
      </c>
      <c r="N182" s="72">
        <v>0.57689438913841762</v>
      </c>
      <c r="O182" s="72">
        <v>0.54693766212836992</v>
      </c>
      <c r="P182" s="72">
        <v>0.56896754100786318</v>
      </c>
      <c r="Q182" s="72">
        <v>0.56996968047049001</v>
      </c>
      <c r="R182" s="281">
        <v>0.59463092411902907</v>
      </c>
      <c r="S182" s="281">
        <v>0.60125797625365818</v>
      </c>
      <c r="T182" s="281">
        <v>0.57060252389373367</v>
      </c>
      <c r="U182" s="281">
        <v>0.55927499447695095</v>
      </c>
      <c r="V182" s="281">
        <v>0.4992026814288123</v>
      </c>
      <c r="W182" s="281">
        <v>0.474135002586348</v>
      </c>
      <c r="X182" s="281">
        <v>0.51767747742074921</v>
      </c>
      <c r="Y182" s="281">
        <v>0.45400645685910096</v>
      </c>
      <c r="Z182" s="281">
        <v>0.40401977338013467</v>
      </c>
      <c r="AA182" s="281">
        <v>0.55726529247354506</v>
      </c>
      <c r="AB182" s="281">
        <v>0.64631166756094405</v>
      </c>
      <c r="AC182" s="281">
        <v>0.67070054676835988</v>
      </c>
      <c r="AD182" s="281">
        <v>0.66688819883308725</v>
      </c>
      <c r="AE182" s="281">
        <v>0.67865062293617029</v>
      </c>
      <c r="AF182" s="281">
        <v>0.64477264203829365</v>
      </c>
      <c r="AG182" s="281">
        <v>0.64573767002596172</v>
      </c>
      <c r="AH182" s="281">
        <v>0.74985295243466565</v>
      </c>
      <c r="AI182" s="281">
        <v>0.78076250523799406</v>
      </c>
      <c r="AJ182" s="329">
        <v>0.78076250523799406</v>
      </c>
    </row>
    <row r="183" spans="2:36">
      <c r="B183" s="72" t="s">
        <v>756</v>
      </c>
      <c r="C183" s="72" t="s">
        <v>757</v>
      </c>
      <c r="D183" s="72">
        <v>0.47651626390000001</v>
      </c>
      <c r="E183" s="72">
        <v>0.47026422183333333</v>
      </c>
      <c r="F183" s="72">
        <v>0.44960893172285771</v>
      </c>
      <c r="G183" s="72">
        <v>0.45540399539965171</v>
      </c>
      <c r="H183" s="72">
        <v>0.42209702321101406</v>
      </c>
      <c r="I183" s="72">
        <v>0.39166176404052511</v>
      </c>
      <c r="J183" s="72">
        <v>0.39865316823610225</v>
      </c>
      <c r="K183" s="72">
        <v>0.39507158646719315</v>
      </c>
      <c r="L183" s="72">
        <v>0.4179953251116747</v>
      </c>
      <c r="M183" s="72">
        <v>0.39034564641159564</v>
      </c>
      <c r="N183" s="72">
        <v>0.36985645552738483</v>
      </c>
      <c r="O183" s="72">
        <v>0.36353230158378208</v>
      </c>
      <c r="P183" s="72">
        <v>0.29661763209354125</v>
      </c>
      <c r="Q183" s="72">
        <v>0.3007633635625</v>
      </c>
      <c r="R183" s="281">
        <v>0.30265236802040818</v>
      </c>
      <c r="S183" s="281">
        <v>0.30935681730923698</v>
      </c>
      <c r="T183" s="281">
        <v>0.29649705580381475</v>
      </c>
      <c r="U183" s="281">
        <v>0.30122909309135543</v>
      </c>
      <c r="V183" s="281">
        <v>0.2846975554479419</v>
      </c>
      <c r="W183" s="281">
        <v>0.27854156397350993</v>
      </c>
      <c r="X183" s="281">
        <v>0.28021733387867387</v>
      </c>
      <c r="Y183" s="281">
        <v>0.28585859982312928</v>
      </c>
      <c r="Z183" s="281">
        <v>0.28300338012643222</v>
      </c>
      <c r="AA183" s="281">
        <v>0.27896631580691017</v>
      </c>
      <c r="AB183" s="281">
        <v>0.29783023723588392</v>
      </c>
      <c r="AC183" s="281">
        <v>0.31244009317283872</v>
      </c>
      <c r="AD183" s="281">
        <v>0.32572066331152344</v>
      </c>
      <c r="AE183" s="281">
        <v>0.34666983266539192</v>
      </c>
      <c r="AF183" s="281">
        <v>0.39103475219383932</v>
      </c>
      <c r="AG183" s="281">
        <v>0.37883275427489882</v>
      </c>
      <c r="AH183" s="281">
        <v>0.44552146643412932</v>
      </c>
      <c r="AI183" s="281">
        <v>0.49471584170906568</v>
      </c>
      <c r="AJ183" s="329">
        <v>0.49471584170906568</v>
      </c>
    </row>
    <row r="184" spans="2:36">
      <c r="B184" s="72" t="s">
        <v>758</v>
      </c>
      <c r="C184" s="72" t="s">
        <v>759</v>
      </c>
      <c r="D184" s="72">
        <v>1.2969659787186876</v>
      </c>
      <c r="E184" s="72">
        <v>1.005225550649121</v>
      </c>
      <c r="F184" s="72">
        <v>0.92634758438557396</v>
      </c>
      <c r="G184" s="72">
        <v>0.84529701335804197</v>
      </c>
      <c r="H184" s="72">
        <v>0.74138726373626374</v>
      </c>
      <c r="I184" s="72">
        <v>0.70099550889065809</v>
      </c>
      <c r="J184" s="72">
        <v>0.9314813320741141</v>
      </c>
      <c r="K184" s="72">
        <v>1.0830937902523934</v>
      </c>
      <c r="L184" s="72">
        <v>1.0817404125320549</v>
      </c>
      <c r="M184" s="72">
        <v>0.98452810454120332</v>
      </c>
      <c r="N184" s="72">
        <v>1.1211058513856953</v>
      </c>
      <c r="O184" s="72">
        <v>1.0873980127298444</v>
      </c>
      <c r="P184" s="72">
        <v>1.1574408659147868</v>
      </c>
      <c r="Q184" s="72">
        <v>1.0895064356905553</v>
      </c>
      <c r="R184" s="281">
        <v>1.1114837801186586</v>
      </c>
      <c r="S184" s="281">
        <v>1.2597893398298106</v>
      </c>
      <c r="T184" s="281">
        <v>1.1894939450980393</v>
      </c>
      <c r="U184" s="281">
        <v>1.0289195448384911</v>
      </c>
      <c r="V184" s="281">
        <v>1.0067491735169962</v>
      </c>
      <c r="W184" s="281">
        <v>0.96635456957170252</v>
      </c>
      <c r="X184" s="281">
        <v>0.82234621706283406</v>
      </c>
      <c r="Y184" s="281">
        <v>0.81099793288590605</v>
      </c>
      <c r="Z184" s="281">
        <v>0.84880641821946168</v>
      </c>
      <c r="AA184" s="281">
        <v>1.0461912866817156</v>
      </c>
      <c r="AB184" s="281">
        <v>1.1287851086153484</v>
      </c>
      <c r="AC184" s="281">
        <v>1.1144527048201762</v>
      </c>
      <c r="AD184" s="281">
        <v>1.0902895096350582</v>
      </c>
      <c r="AE184" s="281">
        <v>1.1735928996301861</v>
      </c>
      <c r="AF184" s="281">
        <v>1.2338639015637016</v>
      </c>
      <c r="AG184" s="281">
        <v>1.1753864023127265</v>
      </c>
      <c r="AH184" s="281">
        <v>1.1187748197368421</v>
      </c>
      <c r="AI184" s="281">
        <v>1.170778788888889</v>
      </c>
      <c r="AJ184" s="329">
        <v>1.170778788888889</v>
      </c>
    </row>
    <row r="185" spans="2:36">
      <c r="B185" s="72" t="s">
        <v>760</v>
      </c>
      <c r="C185" s="72" t="s">
        <v>761</v>
      </c>
      <c r="D185" s="72"/>
      <c r="E185" s="72"/>
      <c r="F185" s="72"/>
      <c r="G185" s="72"/>
      <c r="H185" s="72"/>
      <c r="I185" s="72"/>
      <c r="J185" s="72"/>
      <c r="K185" s="72"/>
      <c r="L185" s="72"/>
      <c r="M185" s="72"/>
      <c r="N185" s="72"/>
      <c r="O185" s="72"/>
      <c r="P185" s="72"/>
      <c r="Q185" s="72"/>
      <c r="R185" s="281"/>
      <c r="S185" s="281"/>
      <c r="T185" s="281"/>
      <c r="U185" s="281"/>
      <c r="V185" s="281"/>
      <c r="W185" s="281"/>
      <c r="X185" s="281"/>
      <c r="Y185" s="281"/>
      <c r="Z185" s="281"/>
      <c r="AA185" s="281"/>
      <c r="AB185" s="281"/>
      <c r="AC185" s="281"/>
      <c r="AD185" s="281"/>
      <c r="AE185" s="281"/>
      <c r="AF185" s="281"/>
      <c r="AG185" s="281"/>
      <c r="AH185" s="281"/>
      <c r="AI185" s="281"/>
      <c r="AJ185" s="329"/>
    </row>
    <row r="186" spans="2:36">
      <c r="B186" s="72" t="s">
        <v>762</v>
      </c>
      <c r="C186" s="72" t="s">
        <v>763</v>
      </c>
      <c r="D186" s="72">
        <v>0.86166095058868952</v>
      </c>
      <c r="E186" s="72">
        <v>0.80003146782116397</v>
      </c>
      <c r="F186" s="72">
        <v>0.71400030298616168</v>
      </c>
      <c r="G186" s="72">
        <v>0.67268839313880124</v>
      </c>
      <c r="H186" s="72">
        <v>0.55092033651353312</v>
      </c>
      <c r="I186" s="72">
        <v>0.60400603375959083</v>
      </c>
      <c r="J186" s="72">
        <v>0.71700983893113657</v>
      </c>
      <c r="K186" s="72">
        <v>0.91387807489941197</v>
      </c>
      <c r="L186" s="72">
        <v>0.97808185185185192</v>
      </c>
      <c r="M186" s="72">
        <v>0.91026921524530979</v>
      </c>
      <c r="N186" s="72">
        <v>0.91242566425626015</v>
      </c>
      <c r="O186" s="72">
        <v>0.83062822586090479</v>
      </c>
      <c r="P186" s="72">
        <v>0.77950905572096985</v>
      </c>
      <c r="Q186" s="72">
        <v>0.81267037166085943</v>
      </c>
      <c r="R186" s="281">
        <v>0.89112467977288001</v>
      </c>
      <c r="S186" s="281">
        <v>0.97024064957492018</v>
      </c>
      <c r="T186" s="281">
        <v>1.0192804821701122</v>
      </c>
      <c r="U186" s="281">
        <v>0.91604999243522656</v>
      </c>
      <c r="V186" s="281">
        <v>0.76324349755250276</v>
      </c>
      <c r="W186" s="281">
        <v>0.7445430484197415</v>
      </c>
      <c r="X186" s="281">
        <v>0.63302123567382429</v>
      </c>
      <c r="Y186" s="281">
        <v>0.6163579465930018</v>
      </c>
      <c r="Z186" s="281">
        <v>0.7240188225146631</v>
      </c>
      <c r="AA186" s="281">
        <v>0.9144900030536216</v>
      </c>
      <c r="AB186" s="281">
        <v>1.0153461875630252</v>
      </c>
      <c r="AC186" s="281">
        <v>1.0809862626760565</v>
      </c>
      <c r="AD186" s="281">
        <v>0.96525260454545447</v>
      </c>
      <c r="AE186" s="281">
        <v>1.1075294257352941</v>
      </c>
      <c r="AF186" s="281">
        <v>1.0497948647887325</v>
      </c>
      <c r="AG186" s="281">
        <v>0.92408499687500001</v>
      </c>
      <c r="AH186" s="281">
        <v>1.0914583266187052</v>
      </c>
      <c r="AI186" s="281">
        <v>1.2061633275590551</v>
      </c>
      <c r="AJ186" s="329">
        <v>1.2061633275590551</v>
      </c>
    </row>
    <row r="187" spans="2:36">
      <c r="B187" s="72" t="s">
        <v>764</v>
      </c>
      <c r="C187" s="72" t="s">
        <v>765</v>
      </c>
      <c r="D187" s="72">
        <v>0.38848580366618657</v>
      </c>
      <c r="E187" s="72">
        <v>0.38905886401887069</v>
      </c>
      <c r="F187" s="72">
        <v>0.36671600240439495</v>
      </c>
      <c r="G187" s="72">
        <v>0.37822890430536427</v>
      </c>
      <c r="H187" s="72">
        <v>0.41936909533430528</v>
      </c>
      <c r="I187" s="72">
        <v>0.36521158436283363</v>
      </c>
      <c r="J187" s="72">
        <v>0.38807336349915522</v>
      </c>
      <c r="K187" s="72">
        <v>0.50673458696920592</v>
      </c>
      <c r="L187" s="72">
        <v>0.3820897945799111</v>
      </c>
      <c r="M187" s="72">
        <v>0.14425928930091181</v>
      </c>
      <c r="N187" s="72">
        <v>0.13860338921143139</v>
      </c>
      <c r="O187" s="72">
        <v>0.19807954613402065</v>
      </c>
      <c r="P187" s="72">
        <v>0.23270751262</v>
      </c>
      <c r="Q187" s="72">
        <v>0.22397466590389978</v>
      </c>
      <c r="R187" s="281">
        <v>0.4671922252232143</v>
      </c>
      <c r="S187" s="281">
        <v>0.46202665509960156</v>
      </c>
      <c r="T187" s="281">
        <v>0.44421333494961468</v>
      </c>
      <c r="U187" s="281">
        <v>0.42712497685248885</v>
      </c>
      <c r="V187" s="281">
        <v>0.42882711265249812</v>
      </c>
      <c r="W187" s="281">
        <v>0.4136274509398814</v>
      </c>
      <c r="X187" s="281">
        <v>0.40906813473601261</v>
      </c>
      <c r="Y187" s="281">
        <v>0.40491347366815927</v>
      </c>
      <c r="Z187" s="281">
        <v>0.38811181135438594</v>
      </c>
      <c r="AA187" s="281">
        <v>0.37773009992659923</v>
      </c>
      <c r="AB187" s="281">
        <v>0.37988053750784684</v>
      </c>
      <c r="AC187" s="281">
        <v>0.38463891213389118</v>
      </c>
      <c r="AD187" s="281">
        <v>0.38400289552077405</v>
      </c>
      <c r="AE187" s="281">
        <v>0.38988913197820962</v>
      </c>
      <c r="AF187" s="281">
        <v>0.4092833420779583</v>
      </c>
      <c r="AG187" s="281">
        <v>0.40193671503441492</v>
      </c>
      <c r="AH187" s="281">
        <v>0.40446659341580771</v>
      </c>
      <c r="AI187" s="281">
        <v>0.41641554156250365</v>
      </c>
      <c r="AJ187" s="329">
        <v>0.41641554156250365</v>
      </c>
    </row>
    <row r="188" spans="2:36">
      <c r="B188" s="72" t="s">
        <v>766</v>
      </c>
      <c r="C188" s="72" t="s">
        <v>767</v>
      </c>
      <c r="D188" s="72">
        <v>0.95105982757396623</v>
      </c>
      <c r="E188" s="72">
        <v>0.7479715898134176</v>
      </c>
      <c r="F188" s="72">
        <v>0.64477078544148747</v>
      </c>
      <c r="G188" s="72">
        <v>0.58194053332108697</v>
      </c>
      <c r="H188" s="72">
        <v>0.54648595880582673</v>
      </c>
      <c r="I188" s="72">
        <v>0.48531455416784453</v>
      </c>
      <c r="J188" s="72">
        <v>0.58991790274469036</v>
      </c>
      <c r="K188" s="72">
        <v>0.67162706150697915</v>
      </c>
      <c r="L188" s="72">
        <v>0.62001186632734262</v>
      </c>
      <c r="M188" s="72">
        <v>0.56582478397025771</v>
      </c>
      <c r="N188" s="72">
        <v>0.62853358681279925</v>
      </c>
      <c r="O188" s="72">
        <v>0.55652429728541752</v>
      </c>
      <c r="P188" s="72">
        <v>0.58729502242237175</v>
      </c>
      <c r="Q188" s="72">
        <v>0.38810487638927921</v>
      </c>
      <c r="R188" s="281">
        <v>0.35584475985230546</v>
      </c>
      <c r="S188" s="281">
        <v>0.40777698848041671</v>
      </c>
      <c r="T188" s="281">
        <v>0.40947319282572575</v>
      </c>
      <c r="U188" s="281">
        <v>0.36299700733291074</v>
      </c>
      <c r="V188" s="281">
        <v>0.36478211994236798</v>
      </c>
      <c r="W188" s="281">
        <v>0.35137284266688318</v>
      </c>
      <c r="X188" s="281">
        <v>0.31085087458917388</v>
      </c>
      <c r="Y188" s="281">
        <v>0.30698919046709594</v>
      </c>
      <c r="Z188" s="281">
        <v>0.32723369131643837</v>
      </c>
      <c r="AA188" s="281">
        <v>0.38300849721266345</v>
      </c>
      <c r="AB188" s="281">
        <v>0.41596537193574373</v>
      </c>
      <c r="AC188" s="281">
        <v>0.42971605938180135</v>
      </c>
      <c r="AD188" s="281">
        <v>0.42119679735699667</v>
      </c>
      <c r="AE188" s="281">
        <v>0.46596069633419368</v>
      </c>
      <c r="AF188" s="281">
        <v>0.52490268779169735</v>
      </c>
      <c r="AG188" s="281">
        <v>0.51154266094293355</v>
      </c>
      <c r="AH188" s="281">
        <v>0.48430141812048216</v>
      </c>
      <c r="AI188" s="281">
        <v>0.51500109565565111</v>
      </c>
      <c r="AJ188" s="329">
        <v>0.51500109565565111</v>
      </c>
    </row>
    <row r="189" spans="2:36">
      <c r="B189" s="72" t="s">
        <v>768</v>
      </c>
      <c r="C189" s="72" t="s">
        <v>769</v>
      </c>
      <c r="D189" s="72">
        <v>1.0818044981864623</v>
      </c>
      <c r="E189" s="72">
        <v>1.0626123746162928</v>
      </c>
      <c r="F189" s="72">
        <v>0.83379337540229881</v>
      </c>
      <c r="G189" s="72">
        <v>0.59481008313149852</v>
      </c>
      <c r="H189" s="72">
        <v>0.4856690124944617</v>
      </c>
      <c r="I189" s="72">
        <v>0.43302173537495087</v>
      </c>
      <c r="J189" s="72">
        <v>0.29394645629322264</v>
      </c>
      <c r="K189" s="72">
        <v>0.33356305250807322</v>
      </c>
      <c r="L189" s="72">
        <v>0.28587527684442343</v>
      </c>
      <c r="M189" s="72">
        <v>0.26820031726771315</v>
      </c>
      <c r="N189" s="72">
        <v>0.28519158541621148</v>
      </c>
      <c r="O189" s="72">
        <v>0.25257809508865398</v>
      </c>
      <c r="P189" s="72">
        <v>0.28784662880588002</v>
      </c>
      <c r="Q189" s="72">
        <v>0.17991296977924945</v>
      </c>
      <c r="R189" s="281">
        <v>0.1952080849846978</v>
      </c>
      <c r="S189" s="281">
        <v>0.22108118574474134</v>
      </c>
      <c r="T189" s="281">
        <v>0.26155687331249999</v>
      </c>
      <c r="U189" s="281">
        <v>0.25644822648508747</v>
      </c>
      <c r="V189" s="281">
        <v>0.22023743079545455</v>
      </c>
      <c r="W189" s="281">
        <v>0.23227326372674306</v>
      </c>
      <c r="X189" s="281">
        <v>0.28522218361298302</v>
      </c>
      <c r="Y189" s="281">
        <v>0.28237444861043998</v>
      </c>
      <c r="Z189" s="281">
        <v>0.33699812039582344</v>
      </c>
      <c r="AA189" s="281">
        <v>0.34244637160676922</v>
      </c>
      <c r="AB189" s="281">
        <v>0.39102972337048431</v>
      </c>
      <c r="AC189" s="281">
        <v>0.45882669999616138</v>
      </c>
      <c r="AD189" s="281">
        <v>0.54225532104410479</v>
      </c>
      <c r="AE189" s="281">
        <v>0.56480602656876466</v>
      </c>
      <c r="AF189" s="281">
        <v>0.65084008119629377</v>
      </c>
      <c r="AG189" s="281">
        <v>0.48886069979170577</v>
      </c>
      <c r="AH189" s="281">
        <v>0.60971128245364503</v>
      </c>
      <c r="AI189" s="281">
        <v>0.59285044020206756</v>
      </c>
      <c r="AJ189" s="329">
        <v>0.59285044020206756</v>
      </c>
    </row>
    <row r="190" spans="2:36">
      <c r="B190" s="72" t="s">
        <v>770</v>
      </c>
      <c r="C190" s="72" t="s">
        <v>771</v>
      </c>
      <c r="D190" s="72"/>
      <c r="E190" s="72"/>
      <c r="F190" s="72"/>
      <c r="G190" s="72"/>
      <c r="H190" s="72"/>
      <c r="I190" s="72"/>
      <c r="J190" s="72"/>
      <c r="K190" s="72"/>
      <c r="L190" s="72"/>
      <c r="M190" s="72"/>
      <c r="N190" s="72"/>
      <c r="O190" s="72"/>
      <c r="P190" s="72"/>
      <c r="Q190" s="72"/>
      <c r="R190" s="281"/>
      <c r="S190" s="281"/>
      <c r="T190" s="281"/>
      <c r="U190" s="281"/>
      <c r="V190" s="281"/>
      <c r="W190" s="281"/>
      <c r="X190" s="281"/>
      <c r="Y190" s="281"/>
      <c r="Z190" s="281"/>
      <c r="AA190" s="281"/>
      <c r="AB190" s="281"/>
      <c r="AC190" s="281"/>
      <c r="AD190" s="281"/>
      <c r="AE190" s="281"/>
      <c r="AF190" s="281"/>
      <c r="AG190" s="281"/>
      <c r="AH190" s="281"/>
      <c r="AI190" s="281"/>
      <c r="AJ190" s="329"/>
    </row>
    <row r="191" spans="2:36">
      <c r="B191" s="72" t="s">
        <v>772</v>
      </c>
      <c r="C191" s="72" t="s">
        <v>773</v>
      </c>
      <c r="D191" s="72">
        <v>1.6330362611354066</v>
      </c>
      <c r="E191" s="72">
        <v>1.4507968422336441</v>
      </c>
      <c r="F191" s="72">
        <v>1.3436849683916952</v>
      </c>
      <c r="G191" s="72">
        <v>1.2228946226906419</v>
      </c>
      <c r="H191" s="72">
        <v>1.1188600077191693</v>
      </c>
      <c r="I191" s="72">
        <v>1.0838042440562041</v>
      </c>
      <c r="J191" s="72">
        <v>1.2242448188567487</v>
      </c>
      <c r="K191" s="72">
        <v>1.3993232684230057</v>
      </c>
      <c r="L191" s="72">
        <v>1.4664475537824153</v>
      </c>
      <c r="M191" s="72">
        <v>1.4089582560648852</v>
      </c>
      <c r="N191" s="72">
        <v>1.5534408874227201</v>
      </c>
      <c r="O191" s="72">
        <v>1.480238962192846</v>
      </c>
      <c r="P191" s="72">
        <v>1.4975614499959773</v>
      </c>
      <c r="Q191" s="72">
        <v>1.3130944631454307</v>
      </c>
      <c r="R191" s="281">
        <v>1.2901446282022218</v>
      </c>
      <c r="S191" s="281">
        <v>1.4508574270741255</v>
      </c>
      <c r="T191" s="281">
        <v>1.4043466352445038</v>
      </c>
      <c r="U191" s="281">
        <v>1.2858873266038962</v>
      </c>
      <c r="V191" s="281">
        <v>1.2444106572477502</v>
      </c>
      <c r="W191" s="281">
        <v>1.1961140946507334</v>
      </c>
      <c r="X191" s="281">
        <v>1.037126107046286</v>
      </c>
      <c r="Y191" s="281">
        <v>1.0208891654525842</v>
      </c>
      <c r="Z191" s="281">
        <v>1.1412082833988828</v>
      </c>
      <c r="AA191" s="281">
        <v>1.2869776653201888</v>
      </c>
      <c r="AB191" s="281">
        <v>1.3333483142283664</v>
      </c>
      <c r="AC191" s="281">
        <v>1.3808976861466822</v>
      </c>
      <c r="AD191" s="281">
        <v>1.3566724687486844</v>
      </c>
      <c r="AE191" s="281">
        <v>1.4972307547166592</v>
      </c>
      <c r="AF191" s="281">
        <v>1.5517869345744681</v>
      </c>
      <c r="AG191" s="281">
        <v>1.4321464961285428</v>
      </c>
      <c r="AH191" s="281">
        <v>1.4996215048013246</v>
      </c>
      <c r="AI191" s="281">
        <v>1.6240680253571429</v>
      </c>
      <c r="AJ191" s="329">
        <v>1.6240680253571429</v>
      </c>
    </row>
    <row r="192" spans="2:36">
      <c r="B192" s="72" t="s">
        <v>774</v>
      </c>
      <c r="C192" s="72" t="s">
        <v>775</v>
      </c>
      <c r="D192" s="72">
        <v>1.0801863365189524</v>
      </c>
      <c r="E192" s="72">
        <v>1.0239659618335242</v>
      </c>
      <c r="F192" s="72">
        <v>0.90029996794218647</v>
      </c>
      <c r="G192" s="72">
        <v>0.77944749959891868</v>
      </c>
      <c r="H192" s="72">
        <v>0.71579423636936268</v>
      </c>
      <c r="I192" s="72">
        <v>0.6910297230329101</v>
      </c>
      <c r="J192" s="72">
        <v>0.48506147799974952</v>
      </c>
      <c r="K192" s="72">
        <v>0.52049904370157707</v>
      </c>
      <c r="L192" s="72">
        <v>0.50961751656574694</v>
      </c>
      <c r="M192" s="72">
        <v>0.49112941209941974</v>
      </c>
      <c r="N192" s="72">
        <v>0.59072671386455888</v>
      </c>
      <c r="O192" s="72">
        <v>0.5227609224454276</v>
      </c>
      <c r="P192" s="72">
        <v>0.51849485598711176</v>
      </c>
      <c r="Q192" s="72">
        <v>0.48002718896701224</v>
      </c>
      <c r="R192" s="281">
        <v>0.46832956588182079</v>
      </c>
      <c r="S192" s="281">
        <v>0.46571948284387593</v>
      </c>
      <c r="T192" s="281">
        <v>0.49155202958006966</v>
      </c>
      <c r="U192" s="281">
        <v>0.47147573116075797</v>
      </c>
      <c r="V192" s="281">
        <v>0.402862788292977</v>
      </c>
      <c r="W192" s="281">
        <v>0.44339383257288234</v>
      </c>
      <c r="X192" s="281">
        <v>0.52073636287124037</v>
      </c>
      <c r="Y192" s="281">
        <v>0.47568961530395876</v>
      </c>
      <c r="Z192" s="281">
        <v>0.45865802270893036</v>
      </c>
      <c r="AA192" s="281">
        <v>0.48119865854732669</v>
      </c>
      <c r="AB192" s="281">
        <v>0.51844618586968438</v>
      </c>
      <c r="AC192" s="281">
        <v>0.60438168895512545</v>
      </c>
      <c r="AD192" s="281">
        <v>0.66089254225851179</v>
      </c>
      <c r="AE192" s="281">
        <v>0.68467321841899775</v>
      </c>
      <c r="AF192" s="281">
        <v>0.85839034405859738</v>
      </c>
      <c r="AG192" s="281">
        <v>0.64844994650151544</v>
      </c>
      <c r="AH192" s="281">
        <v>0.76423156473001563</v>
      </c>
      <c r="AI192" s="281">
        <v>0.8792595195454187</v>
      </c>
      <c r="AJ192" s="329">
        <v>0.8792595195454187</v>
      </c>
    </row>
    <row r="193" spans="2:36">
      <c r="B193" s="72" t="s">
        <v>776</v>
      </c>
      <c r="C193" s="72" t="s">
        <v>777</v>
      </c>
      <c r="D193" s="72">
        <v>0.50360480862727175</v>
      </c>
      <c r="E193" s="72">
        <v>0.50609665788490454</v>
      </c>
      <c r="F193" s="72">
        <v>0.48959291716754433</v>
      </c>
      <c r="G193" s="72">
        <v>0.41186771314626358</v>
      </c>
      <c r="H193" s="72">
        <v>0.41021468800483685</v>
      </c>
      <c r="I193" s="72">
        <v>0.36988764722561868</v>
      </c>
      <c r="J193" s="72">
        <v>0.35123489898128074</v>
      </c>
      <c r="K193" s="72">
        <v>0.33514937195232158</v>
      </c>
      <c r="L193" s="72">
        <v>0.34713243019445272</v>
      </c>
      <c r="M193" s="72">
        <v>0.33280026302517918</v>
      </c>
      <c r="N193" s="72">
        <v>0.30572679877976411</v>
      </c>
      <c r="O193" s="72">
        <v>0.31970942741938652</v>
      </c>
      <c r="P193" s="72">
        <v>0.31107259274778248</v>
      </c>
      <c r="Q193" s="72">
        <v>0.31662798647624507</v>
      </c>
      <c r="R193" s="281">
        <v>0.30155010602044235</v>
      </c>
      <c r="S193" s="281">
        <v>0.32805315003099361</v>
      </c>
      <c r="T193" s="281">
        <v>0.32105399145098124</v>
      </c>
      <c r="U193" s="281">
        <v>0.30745162010799737</v>
      </c>
      <c r="V193" s="281">
        <v>0.29450932746018432</v>
      </c>
      <c r="W193" s="281">
        <v>0.28352513352893144</v>
      </c>
      <c r="X193" s="281">
        <v>0.31258532665861322</v>
      </c>
      <c r="Y193" s="281">
        <v>0.29305676439367917</v>
      </c>
      <c r="Z193" s="281">
        <v>0.27935467273465409</v>
      </c>
      <c r="AA193" s="281">
        <v>0.30041895484036196</v>
      </c>
      <c r="AB193" s="281">
        <v>0.32031637842626365</v>
      </c>
      <c r="AC193" s="281">
        <v>0.32210467432624662</v>
      </c>
      <c r="AD193" s="281">
        <v>0.34188100306727942</v>
      </c>
      <c r="AE193" s="281">
        <v>0.35302313031697602</v>
      </c>
      <c r="AF193" s="281">
        <v>0.38916058608893134</v>
      </c>
      <c r="AG193" s="281">
        <v>0.36608456605382328</v>
      </c>
      <c r="AH193" s="281">
        <v>0.38286688724194495</v>
      </c>
      <c r="AI193" s="281">
        <v>0.43331360390522544</v>
      </c>
      <c r="AJ193" s="329">
        <v>0.43331360390522544</v>
      </c>
    </row>
    <row r="194" spans="2:36">
      <c r="B194" s="72" t="s">
        <v>778</v>
      </c>
      <c r="C194" s="72" t="s">
        <v>779</v>
      </c>
      <c r="D194" s="72"/>
      <c r="E194" s="72"/>
      <c r="F194" s="72"/>
      <c r="G194" s="72"/>
      <c r="H194" s="72"/>
      <c r="I194" s="72"/>
      <c r="J194" s="72"/>
      <c r="K194" s="72"/>
      <c r="L194" s="72"/>
      <c r="M194" s="72"/>
      <c r="N194" s="72"/>
      <c r="O194" s="72">
        <v>0.49812166448</v>
      </c>
      <c r="P194" s="72">
        <v>0.51247641293000001</v>
      </c>
      <c r="Q194" s="72">
        <v>0.52643123688000004</v>
      </c>
      <c r="R194" s="281">
        <v>0.52909474232999998</v>
      </c>
      <c r="S194" s="281">
        <v>0.53160960131000001</v>
      </c>
      <c r="T194" s="281">
        <v>0.53756929979000001</v>
      </c>
      <c r="U194" s="281">
        <v>0.53941536560000003</v>
      </c>
      <c r="V194" s="281">
        <v>0.54043089951000001</v>
      </c>
      <c r="W194" s="281">
        <v>0.54462007258</v>
      </c>
      <c r="X194" s="281">
        <v>0.56136154916000003</v>
      </c>
      <c r="Y194" s="281">
        <v>0.56354077065999997</v>
      </c>
      <c r="Z194" s="281">
        <v>0.55067249652000005</v>
      </c>
      <c r="AA194" s="281">
        <v>0.56138691863000001</v>
      </c>
      <c r="AB194" s="281">
        <v>0.56647158399999997</v>
      </c>
      <c r="AC194" s="281">
        <v>0.56586911571999998</v>
      </c>
      <c r="AD194" s="281">
        <v>0.57315527793999999</v>
      </c>
      <c r="AE194" s="281">
        <v>0.56703314970999996</v>
      </c>
      <c r="AF194" s="281">
        <v>0.59692752984999997</v>
      </c>
      <c r="AG194" s="281">
        <v>0.59034994443</v>
      </c>
      <c r="AH194" s="281">
        <v>0.59558878476999999</v>
      </c>
      <c r="AI194" s="281">
        <v>0.58377175706999995</v>
      </c>
      <c r="AJ194" s="329">
        <v>0.58377175706999995</v>
      </c>
    </row>
    <row r="195" spans="2:36">
      <c r="B195" s="72" t="s">
        <v>780</v>
      </c>
      <c r="C195" s="72" t="s">
        <v>781</v>
      </c>
      <c r="D195" s="72">
        <v>0.62305392948000005</v>
      </c>
      <c r="E195" s="72">
        <v>0.59041642872</v>
      </c>
      <c r="F195" s="72">
        <v>0.58362076316</v>
      </c>
      <c r="G195" s="72">
        <v>0.60350726857000003</v>
      </c>
      <c r="H195" s="72">
        <v>0.59113790325000004</v>
      </c>
      <c r="I195" s="72">
        <v>0.57825857932000002</v>
      </c>
      <c r="J195" s="72">
        <v>0.56752928691000004</v>
      </c>
      <c r="K195" s="72">
        <v>0.56399354878999997</v>
      </c>
      <c r="L195" s="72">
        <v>0.54396470639000005</v>
      </c>
      <c r="M195" s="72">
        <v>0.51754332821000004</v>
      </c>
      <c r="N195" s="72">
        <v>0.50145059985999996</v>
      </c>
      <c r="O195" s="72">
        <v>0.48735949515999999</v>
      </c>
      <c r="P195" s="72">
        <v>0.50146259884</v>
      </c>
      <c r="Q195" s="72">
        <v>0.50814756468</v>
      </c>
      <c r="R195" s="281">
        <v>0.51633341085999995</v>
      </c>
      <c r="S195" s="281">
        <v>0.50694925553000003</v>
      </c>
      <c r="T195" s="281">
        <v>0.57128817893999995</v>
      </c>
      <c r="U195" s="281">
        <v>0.56949681415999998</v>
      </c>
      <c r="V195" s="281">
        <v>0.56722003654999997</v>
      </c>
      <c r="W195" s="281">
        <v>0.56372486637999997</v>
      </c>
      <c r="X195" s="281">
        <v>0.54489829587000005</v>
      </c>
      <c r="Y195" s="281">
        <v>0.53830172115999997</v>
      </c>
      <c r="Z195" s="281">
        <v>0.53855231240000001</v>
      </c>
      <c r="AA195" s="281">
        <v>0.53340781961999995</v>
      </c>
      <c r="AB195" s="281">
        <v>0.52901634746000004</v>
      </c>
      <c r="AC195" s="281">
        <v>0.52097280000000001</v>
      </c>
      <c r="AD195" s="281">
        <v>0.51532176022999998</v>
      </c>
      <c r="AE195" s="281">
        <v>0.51594510892000001</v>
      </c>
      <c r="AF195" s="281">
        <v>0.53269708138000005</v>
      </c>
      <c r="AG195" s="281">
        <v>0.52999084335000002</v>
      </c>
      <c r="AH195" s="281">
        <v>0.54384230196000005</v>
      </c>
      <c r="AI195" s="281">
        <v>0.48101558983999998</v>
      </c>
      <c r="AJ195" s="329">
        <v>0.48101558983999998</v>
      </c>
    </row>
    <row r="196" spans="2:36">
      <c r="B196" s="72" t="s">
        <v>782</v>
      </c>
      <c r="C196" s="72" t="s">
        <v>783</v>
      </c>
      <c r="D196" s="72">
        <v>0.86061946059025174</v>
      </c>
      <c r="E196" s="72">
        <v>0.77419013653788993</v>
      </c>
      <c r="F196" s="72">
        <v>0.68947151522004058</v>
      </c>
      <c r="G196" s="72">
        <v>0.69512867538571954</v>
      </c>
      <c r="H196" s="72">
        <v>0.66973680123525492</v>
      </c>
      <c r="I196" s="72">
        <v>0.59327414051784466</v>
      </c>
      <c r="J196" s="72">
        <v>0.6056713865863701</v>
      </c>
      <c r="K196" s="72">
        <v>0.67977469580350258</v>
      </c>
      <c r="L196" s="72">
        <v>0.74231195219697843</v>
      </c>
      <c r="M196" s="72">
        <v>0.7039449571145785</v>
      </c>
      <c r="N196" s="72">
        <v>0.63486234516511642</v>
      </c>
      <c r="O196" s="72">
        <v>0.65929842001405414</v>
      </c>
      <c r="P196" s="72">
        <v>0.65559903475021175</v>
      </c>
      <c r="Q196" s="72">
        <v>0.61671338264928888</v>
      </c>
      <c r="R196" s="281">
        <v>0.63105808054660051</v>
      </c>
      <c r="S196" s="281">
        <v>0.53739441752550576</v>
      </c>
      <c r="T196" s="281">
        <v>0.54504732610429485</v>
      </c>
      <c r="U196" s="281">
        <v>0.53284018794663424</v>
      </c>
      <c r="V196" s="281">
        <v>0.41914960457922484</v>
      </c>
      <c r="W196" s="281">
        <v>0.37213547329797358</v>
      </c>
      <c r="X196" s="281">
        <v>0.37833238008714548</v>
      </c>
      <c r="Y196" s="281">
        <v>0.32407951332566898</v>
      </c>
      <c r="Z196" s="281">
        <v>0.31096073594066492</v>
      </c>
      <c r="AA196" s="281">
        <v>0.35145328347203453</v>
      </c>
      <c r="AB196" s="281">
        <v>0.36954822184222552</v>
      </c>
      <c r="AC196" s="281">
        <v>0.43093258064516127</v>
      </c>
      <c r="AD196" s="281">
        <v>0.46482480624183009</v>
      </c>
      <c r="AE196" s="281">
        <v>0.47637707262626261</v>
      </c>
      <c r="AF196" s="281">
        <v>0.55282124011111111</v>
      </c>
      <c r="AG196" s="281">
        <v>0.51100895818840586</v>
      </c>
      <c r="AH196" s="281">
        <v>0.56276867602059588</v>
      </c>
      <c r="AI196" s="281">
        <v>0.68922569491453933</v>
      </c>
      <c r="AJ196" s="329">
        <v>0.68922569491453933</v>
      </c>
    </row>
    <row r="197" spans="2:36">
      <c r="B197" s="72" t="s">
        <v>784</v>
      </c>
      <c r="C197" s="72" t="s">
        <v>785</v>
      </c>
      <c r="D197" s="72">
        <v>0.72563092565873011</v>
      </c>
      <c r="E197" s="72">
        <v>0.77180701123809525</v>
      </c>
      <c r="F197" s="72">
        <v>0.70842200100735297</v>
      </c>
      <c r="G197" s="72">
        <v>0.72642636020547946</v>
      </c>
      <c r="H197" s="72">
        <v>0.53243872476353726</v>
      </c>
      <c r="I197" s="72">
        <v>0.35780799523990608</v>
      </c>
      <c r="J197" s="72">
        <v>0.3921808621478004</v>
      </c>
      <c r="K197" s="72">
        <v>0.38463384815868262</v>
      </c>
      <c r="L197" s="72">
        <v>0.36992830176190478</v>
      </c>
      <c r="M197" s="72">
        <v>0.37209118323234236</v>
      </c>
      <c r="N197" s="72">
        <v>0.41958992158074487</v>
      </c>
      <c r="O197" s="72">
        <v>0.47005396273015393</v>
      </c>
      <c r="P197" s="72">
        <v>0.45913421009131511</v>
      </c>
      <c r="Q197" s="72">
        <v>0.46116726088402227</v>
      </c>
      <c r="R197" s="281">
        <v>0.43990191834313314</v>
      </c>
      <c r="S197" s="281">
        <v>0.47375907870096789</v>
      </c>
      <c r="T197" s="281">
        <v>0.5026576192143134</v>
      </c>
      <c r="U197" s="281">
        <v>0.48581641397676656</v>
      </c>
      <c r="V197" s="281">
        <v>0.424948725985696</v>
      </c>
      <c r="W197" s="281">
        <v>0.391641553140329</v>
      </c>
      <c r="X197" s="281">
        <v>0.38465237372346534</v>
      </c>
      <c r="Y197" s="281">
        <v>0.33587335265465174</v>
      </c>
      <c r="Z197" s="281">
        <v>0.27237881273617914</v>
      </c>
      <c r="AA197" s="281">
        <v>0.28491637814445825</v>
      </c>
      <c r="AB197" s="281">
        <v>0.33498119297071127</v>
      </c>
      <c r="AC197" s="281">
        <v>0.32483437599546783</v>
      </c>
      <c r="AD197" s="281">
        <v>0.37719682958296363</v>
      </c>
      <c r="AE197" s="281">
        <v>0.44245169352274982</v>
      </c>
      <c r="AF197" s="281">
        <v>0.57420038982351596</v>
      </c>
      <c r="AG197" s="281">
        <v>0.4972611483182276</v>
      </c>
      <c r="AH197" s="281">
        <v>0.55426076183738127</v>
      </c>
      <c r="AI197" s="281">
        <v>0.65974030405461936</v>
      </c>
      <c r="AJ197" s="329">
        <v>0.65974030405461936</v>
      </c>
    </row>
    <row r="198" spans="2:36">
      <c r="B198" s="72" t="s">
        <v>786</v>
      </c>
      <c r="C198" s="72" t="s">
        <v>339</v>
      </c>
      <c r="D198" s="72">
        <v>0.41150556198049471</v>
      </c>
      <c r="E198" s="72">
        <v>0.42418938844435811</v>
      </c>
      <c r="F198" s="72">
        <v>0.39983498363963982</v>
      </c>
      <c r="G198" s="72">
        <v>0.33613953376972899</v>
      </c>
      <c r="H198" s="72">
        <v>0.3194790098213634</v>
      </c>
      <c r="I198" s="72">
        <v>0.28626364757162798</v>
      </c>
      <c r="J198" s="72">
        <v>0.2429154133765595</v>
      </c>
      <c r="K198" s="72">
        <v>0.290572111890469</v>
      </c>
      <c r="L198" s="72">
        <v>0.15921714734559128</v>
      </c>
      <c r="M198" s="72">
        <v>0.28892738317122563</v>
      </c>
      <c r="N198" s="72">
        <v>0.37500953222034888</v>
      </c>
      <c r="O198" s="72">
        <v>0.46637858070860672</v>
      </c>
      <c r="P198" s="72">
        <v>0.47916835435556704</v>
      </c>
      <c r="Q198" s="72">
        <v>0.43206620534698276</v>
      </c>
      <c r="R198" s="281">
        <v>0.48387782483021852</v>
      </c>
      <c r="S198" s="281">
        <v>0.52036007495890424</v>
      </c>
      <c r="T198" s="281">
        <v>0.51920810699715658</v>
      </c>
      <c r="U198" s="281">
        <v>0.50522019005135466</v>
      </c>
      <c r="V198" s="281">
        <v>0.48059369437437183</v>
      </c>
      <c r="W198" s="281">
        <v>0.42600336259892496</v>
      </c>
      <c r="X198" s="281">
        <v>0.41903363436552576</v>
      </c>
      <c r="Y198" s="281">
        <v>0.41381725888016613</v>
      </c>
      <c r="Z198" s="281">
        <v>0.40813140636349082</v>
      </c>
      <c r="AA198" s="281">
        <v>0.41517694782103848</v>
      </c>
      <c r="AB198" s="281">
        <v>0.43721591524032827</v>
      </c>
      <c r="AC198" s="281">
        <v>0.45100895218446607</v>
      </c>
      <c r="AD198" s="281">
        <v>0.47151764095007653</v>
      </c>
      <c r="AE198" s="281">
        <v>0.49009465315894624</v>
      </c>
      <c r="AF198" s="281">
        <v>0.51537160422163486</v>
      </c>
      <c r="AG198" s="281">
        <v>0.50460360132247384</v>
      </c>
      <c r="AH198" s="281">
        <v>0.5574753839575971</v>
      </c>
      <c r="AI198" s="281">
        <v>0.58803377050909089</v>
      </c>
      <c r="AJ198" s="329">
        <v>0.58803377050909089</v>
      </c>
    </row>
    <row r="199" spans="2:36">
      <c r="B199" s="72" t="s">
        <v>787</v>
      </c>
      <c r="C199" s="72" t="s">
        <v>334</v>
      </c>
      <c r="D199" s="72">
        <v>0.51083623430832859</v>
      </c>
      <c r="E199" s="72">
        <v>0.49608312672496424</v>
      </c>
      <c r="F199" s="72">
        <v>0.47016797460602855</v>
      </c>
      <c r="G199" s="72">
        <v>0.39700171707810905</v>
      </c>
      <c r="H199" s="72">
        <v>0.39044676163368397</v>
      </c>
      <c r="I199" s="72">
        <v>0.39996716006774996</v>
      </c>
      <c r="J199" s="72">
        <v>0.3676361135731836</v>
      </c>
      <c r="K199" s="72">
        <v>0.38055525098982462</v>
      </c>
      <c r="L199" s="72">
        <v>0.39315207252086615</v>
      </c>
      <c r="M199" s="72">
        <v>0.40091282642620524</v>
      </c>
      <c r="N199" s="72">
        <v>0.39016750165297392</v>
      </c>
      <c r="O199" s="72">
        <v>0.38901137816537917</v>
      </c>
      <c r="P199" s="72">
        <v>0.44289908456284671</v>
      </c>
      <c r="Q199" s="72">
        <v>0.43556585777131673</v>
      </c>
      <c r="R199" s="281">
        <v>0.48201410603630607</v>
      </c>
      <c r="S199" s="281">
        <v>0.52046903711231873</v>
      </c>
      <c r="T199" s="281">
        <v>0.54006557689021317</v>
      </c>
      <c r="U199" s="281">
        <v>0.50066768424955765</v>
      </c>
      <c r="V199" s="281">
        <v>0.43546000029960086</v>
      </c>
      <c r="W199" s="281">
        <v>0.47853884338590214</v>
      </c>
      <c r="X199" s="281">
        <v>0.43797227020507074</v>
      </c>
      <c r="Y199" s="281">
        <v>0.39174447541055063</v>
      </c>
      <c r="Z199" s="281">
        <v>0.39677584744912142</v>
      </c>
      <c r="AA199" s="281">
        <v>0.38179589427648919</v>
      </c>
      <c r="AB199" s="281">
        <v>0.37900077678655136</v>
      </c>
      <c r="AC199" s="281">
        <v>0.3949079641304446</v>
      </c>
      <c r="AD199" s="281">
        <v>0.43103033963242215</v>
      </c>
      <c r="AE199" s="281">
        <v>0.48017094813688016</v>
      </c>
      <c r="AF199" s="281">
        <v>0.5242615213402706</v>
      </c>
      <c r="AG199" s="281">
        <v>0.49604840838926173</v>
      </c>
      <c r="AH199" s="281">
        <v>0.54261498102416317</v>
      </c>
      <c r="AI199" s="281">
        <v>0.57522365180221535</v>
      </c>
      <c r="AJ199" s="329">
        <v>0.57522365180221535</v>
      </c>
    </row>
    <row r="200" spans="2:36">
      <c r="B200" s="72" t="s">
        <v>788</v>
      </c>
      <c r="C200" s="72" t="s">
        <v>789</v>
      </c>
      <c r="D200" s="72"/>
      <c r="E200" s="72"/>
      <c r="F200" s="72"/>
      <c r="G200" s="72"/>
      <c r="H200" s="72"/>
      <c r="I200" s="72"/>
      <c r="J200" s="72"/>
      <c r="K200" s="72"/>
      <c r="L200" s="72"/>
      <c r="M200" s="72"/>
      <c r="N200" s="72">
        <v>0.28385658250929907</v>
      </c>
      <c r="O200" s="72">
        <v>0.38206396674307724</v>
      </c>
      <c r="P200" s="72">
        <v>0.40166767967245914</v>
      </c>
      <c r="Q200" s="72">
        <v>0.38572848209498023</v>
      </c>
      <c r="R200" s="281">
        <v>0.41398027099984819</v>
      </c>
      <c r="S200" s="281">
        <v>0.48644084074920202</v>
      </c>
      <c r="T200" s="281">
        <v>0.50413107525685252</v>
      </c>
      <c r="U200" s="281">
        <v>0.4631231449490591</v>
      </c>
      <c r="V200" s="281">
        <v>0.47720947747021925</v>
      </c>
      <c r="W200" s="281">
        <v>0.43862963290657431</v>
      </c>
      <c r="X200" s="281">
        <v>0.42362558863524974</v>
      </c>
      <c r="Y200" s="281">
        <v>0.45452685654266112</v>
      </c>
      <c r="Z200" s="281">
        <v>0.44830659186329519</v>
      </c>
      <c r="AA200" s="281">
        <v>0.47338952374340465</v>
      </c>
      <c r="AB200" s="281">
        <v>0.50888368018722463</v>
      </c>
      <c r="AC200" s="281">
        <v>0.57769361145795983</v>
      </c>
      <c r="AD200" s="281">
        <v>0.59508190169218367</v>
      </c>
      <c r="AE200" s="281">
        <v>0.6661983764051036</v>
      </c>
      <c r="AF200" s="281">
        <v>0.77059190727212357</v>
      </c>
      <c r="AG200" s="281">
        <v>0.60090342713374578</v>
      </c>
      <c r="AH200" s="281">
        <v>0.6141531489220563</v>
      </c>
      <c r="AI200" s="281">
        <v>0.63323064318013089</v>
      </c>
      <c r="AJ200" s="329">
        <v>0.63323064318013089</v>
      </c>
    </row>
    <row r="201" spans="2:36">
      <c r="B201" s="72" t="s">
        <v>790</v>
      </c>
      <c r="C201" s="72" t="s">
        <v>791</v>
      </c>
      <c r="D201" s="72">
        <v>0.6155844813776532</v>
      </c>
      <c r="E201" s="72">
        <v>0.53839435504886002</v>
      </c>
      <c r="F201" s="72">
        <v>0.474342320887992</v>
      </c>
      <c r="G201" s="72">
        <v>0.40785277777777779</v>
      </c>
      <c r="H201" s="72">
        <v>0.3708876937825254</v>
      </c>
      <c r="I201" s="72">
        <v>0.3764138804565243</v>
      </c>
      <c r="J201" s="72">
        <v>0.50517701514542279</v>
      </c>
      <c r="K201" s="72">
        <v>0.57371257577913759</v>
      </c>
      <c r="L201" s="72">
        <v>0.60333058913649029</v>
      </c>
      <c r="M201" s="72">
        <v>0.58730275146422206</v>
      </c>
      <c r="N201" s="72">
        <v>0.70661038953733657</v>
      </c>
      <c r="O201" s="72">
        <v>0.74124698348827522</v>
      </c>
      <c r="P201" s="72">
        <v>0.86360604544104547</v>
      </c>
      <c r="Q201" s="72">
        <v>0.76179667123800032</v>
      </c>
      <c r="R201" s="281">
        <v>0.77545293961352657</v>
      </c>
      <c r="S201" s="281">
        <v>0.86319518376011661</v>
      </c>
      <c r="T201" s="281">
        <v>0.85911023524824548</v>
      </c>
      <c r="U201" s="281">
        <v>0.76916465866209249</v>
      </c>
      <c r="V201" s="281">
        <v>0.77160425311665182</v>
      </c>
      <c r="W201" s="281">
        <v>0.74227971659919023</v>
      </c>
      <c r="X201" s="281">
        <v>0.64463307444260187</v>
      </c>
      <c r="Y201" s="281">
        <v>0.63144584429530204</v>
      </c>
      <c r="Z201" s="281">
        <v>0.66638102860907211</v>
      </c>
      <c r="AA201" s="281">
        <v>0.79684524153498881</v>
      </c>
      <c r="AB201" s="281">
        <v>0.88919520217541115</v>
      </c>
      <c r="AC201" s="281">
        <v>0.85102995448440544</v>
      </c>
      <c r="AD201" s="281">
        <v>0.83118687910921663</v>
      </c>
      <c r="AE201" s="281">
        <v>0.90314106575349218</v>
      </c>
      <c r="AF201" s="281">
        <v>0.95097755007873441</v>
      </c>
      <c r="AG201" s="281">
        <v>0.88460115330704048</v>
      </c>
      <c r="AH201" s="281">
        <v>0.83695531973684212</v>
      </c>
      <c r="AI201" s="281">
        <v>0.87954685972222213</v>
      </c>
      <c r="AJ201" s="329">
        <v>0.87954685972222213</v>
      </c>
    </row>
    <row r="202" spans="2:36">
      <c r="B202" s="72" t="s">
        <v>792</v>
      </c>
      <c r="C202" s="72" t="s">
        <v>793</v>
      </c>
      <c r="D202" s="72"/>
      <c r="E202" s="72"/>
      <c r="F202" s="72"/>
      <c r="G202" s="72"/>
      <c r="H202" s="72"/>
      <c r="I202" s="72"/>
      <c r="J202" s="72"/>
      <c r="K202" s="72"/>
      <c r="L202" s="72"/>
      <c r="M202" s="72"/>
      <c r="N202" s="72"/>
      <c r="O202" s="72"/>
      <c r="P202" s="72"/>
      <c r="Q202" s="72"/>
      <c r="R202" s="281"/>
      <c r="S202" s="281"/>
      <c r="T202" s="281"/>
      <c r="U202" s="281"/>
      <c r="V202" s="281"/>
      <c r="W202" s="281"/>
      <c r="X202" s="281"/>
      <c r="Y202" s="281"/>
      <c r="Z202" s="281"/>
      <c r="AA202" s="281"/>
      <c r="AB202" s="281"/>
      <c r="AC202" s="281"/>
      <c r="AD202" s="281"/>
      <c r="AE202" s="281"/>
      <c r="AF202" s="281"/>
      <c r="AG202" s="281"/>
      <c r="AH202" s="281"/>
      <c r="AI202" s="281"/>
      <c r="AJ202" s="329"/>
    </row>
    <row r="203" spans="2:36">
      <c r="B203" s="72" t="s">
        <v>794</v>
      </c>
      <c r="C203" s="72" t="s">
        <v>795</v>
      </c>
      <c r="D203" s="72"/>
      <c r="E203" s="72"/>
      <c r="F203" s="72"/>
      <c r="G203" s="72"/>
      <c r="H203" s="72"/>
      <c r="I203" s="72"/>
      <c r="J203" s="72"/>
      <c r="K203" s="72"/>
      <c r="L203" s="72"/>
      <c r="M203" s="72"/>
      <c r="N203" s="72"/>
      <c r="O203" s="72"/>
      <c r="P203" s="72"/>
      <c r="Q203" s="72"/>
      <c r="R203" s="281"/>
      <c r="S203" s="281"/>
      <c r="T203" s="281"/>
      <c r="U203" s="281"/>
      <c r="V203" s="281"/>
      <c r="W203" s="281"/>
      <c r="X203" s="281">
        <v>0.5225470340886359</v>
      </c>
      <c r="Y203" s="281">
        <v>0.48834172414036114</v>
      </c>
      <c r="Z203" s="281">
        <v>0.49522274476622713</v>
      </c>
      <c r="AA203" s="281">
        <v>0.56957557976624829</v>
      </c>
      <c r="AB203" s="281">
        <v>0.61704429633776858</v>
      </c>
      <c r="AC203" s="281">
        <v>0.75418128798989958</v>
      </c>
      <c r="AD203" s="281">
        <v>0.86588532688599296</v>
      </c>
      <c r="AE203" s="281">
        <v>0.9376887915473987</v>
      </c>
      <c r="AF203" s="281">
        <v>1.127020972931537</v>
      </c>
      <c r="AG203" s="281">
        <v>0.84263229983636101</v>
      </c>
      <c r="AH203" s="281">
        <v>0.9363653822998248</v>
      </c>
      <c r="AI203" s="281">
        <v>1.04741469907193</v>
      </c>
      <c r="AJ203" s="329">
        <v>1.04741469907193</v>
      </c>
    </row>
    <row r="204" spans="2:36">
      <c r="B204" s="72" t="s">
        <v>796</v>
      </c>
      <c r="C204" s="72" t="s">
        <v>797</v>
      </c>
      <c r="D204" s="72"/>
      <c r="E204" s="72"/>
      <c r="F204" s="72"/>
      <c r="G204" s="72"/>
      <c r="H204" s="72"/>
      <c r="I204" s="72"/>
      <c r="J204" s="72"/>
      <c r="K204" s="72">
        <v>0.31198156030517071</v>
      </c>
      <c r="L204" s="72">
        <v>0.32175522705303566</v>
      </c>
      <c r="M204" s="72">
        <v>0.33753023018849598</v>
      </c>
      <c r="N204" s="72">
        <v>0.31829537607007735</v>
      </c>
      <c r="O204" s="72">
        <v>0.26620023775738111</v>
      </c>
      <c r="P204" s="72">
        <v>0.24874869240602368</v>
      </c>
      <c r="Q204" s="72">
        <v>0.25193375417479447</v>
      </c>
      <c r="R204" s="281">
        <v>0.2709134793942225</v>
      </c>
      <c r="S204" s="281">
        <v>0.29146514959492753</v>
      </c>
      <c r="T204" s="281">
        <v>0.27290760496673083</v>
      </c>
      <c r="U204" s="281">
        <v>0.2844504176300538</v>
      </c>
      <c r="V204" s="281">
        <v>0.3505638535302546</v>
      </c>
      <c r="W204" s="281">
        <v>0.29657231479824886</v>
      </c>
      <c r="X204" s="281">
        <v>0.29159947182654622</v>
      </c>
      <c r="Y204" s="281">
        <v>0.28284115913154145</v>
      </c>
      <c r="Z204" s="281">
        <v>0.29968454909515374</v>
      </c>
      <c r="AA204" s="281">
        <v>0.35632986855956533</v>
      </c>
      <c r="AB204" s="281">
        <v>0.39872747421042287</v>
      </c>
      <c r="AC204" s="281">
        <v>0.4883963372371613</v>
      </c>
      <c r="AD204" s="281">
        <v>0.5109606108235526</v>
      </c>
      <c r="AE204" s="281">
        <v>0.62031002284378467</v>
      </c>
      <c r="AF204" s="281">
        <v>0.63393713728214696</v>
      </c>
      <c r="AG204" s="281">
        <v>0.52250508014954256</v>
      </c>
      <c r="AH204" s="281">
        <v>0.51902610831051954</v>
      </c>
      <c r="AI204" s="281">
        <v>0.55522322608403352</v>
      </c>
      <c r="AJ204" s="329">
        <v>0.55522322608403352</v>
      </c>
    </row>
    <row r="205" spans="2:36">
      <c r="B205" s="72" t="s">
        <v>798</v>
      </c>
      <c r="C205" s="72" t="s">
        <v>799</v>
      </c>
      <c r="D205" s="72"/>
      <c r="E205" s="72"/>
      <c r="F205" s="72"/>
      <c r="G205" s="72"/>
      <c r="H205" s="72"/>
      <c r="I205" s="72"/>
      <c r="J205" s="72"/>
      <c r="K205" s="72"/>
      <c r="L205" s="72"/>
      <c r="M205" s="72">
        <v>0.42910233938646475</v>
      </c>
      <c r="N205" s="72">
        <v>0.43488831124022354</v>
      </c>
      <c r="O205" s="72">
        <v>0.43658008492977057</v>
      </c>
      <c r="P205" s="72">
        <v>0.45197191235672618</v>
      </c>
      <c r="Q205" s="72">
        <v>0.45779396724720683</v>
      </c>
      <c r="R205" s="281">
        <v>0.46601276021811705</v>
      </c>
      <c r="S205" s="281">
        <v>0.47563519271010923</v>
      </c>
      <c r="T205" s="281">
        <v>0.47952196606289588</v>
      </c>
      <c r="U205" s="281">
        <v>0.48041014157303369</v>
      </c>
      <c r="V205" s="281">
        <v>0.33581882524471923</v>
      </c>
      <c r="W205" s="281">
        <v>0.22500570942323314</v>
      </c>
      <c r="X205" s="281">
        <v>0.25979794386775684</v>
      </c>
      <c r="Y205" s="281">
        <v>0.2853776443263627</v>
      </c>
      <c r="Z205" s="281">
        <v>0.2958055581818182</v>
      </c>
      <c r="AA205" s="281">
        <v>0.3215892675289978</v>
      </c>
      <c r="AB205" s="281">
        <v>0.40081408226310306</v>
      </c>
      <c r="AC205" s="281">
        <v>0.45027863885451652</v>
      </c>
      <c r="AD205" s="281">
        <v>0.46469765363539406</v>
      </c>
      <c r="AE205" s="281">
        <v>0.54629728741868899</v>
      </c>
      <c r="AF205" s="281">
        <v>0.5770431647815748</v>
      </c>
      <c r="AG205" s="281">
        <v>0.45682250199273478</v>
      </c>
      <c r="AH205" s="281">
        <v>0.52563691554635639</v>
      </c>
      <c r="AI205" s="281">
        <v>0.61608697215360542</v>
      </c>
      <c r="AJ205" s="329">
        <v>0.61608697215360542</v>
      </c>
    </row>
    <row r="206" spans="2:36">
      <c r="B206" s="72" t="s">
        <v>800</v>
      </c>
      <c r="C206" s="72" t="s">
        <v>801</v>
      </c>
      <c r="D206" s="72">
        <v>0.62990083108673345</v>
      </c>
      <c r="E206" s="72">
        <v>0.61252758256339224</v>
      </c>
      <c r="F206" s="72">
        <v>0.56715466578710105</v>
      </c>
      <c r="G206" s="72">
        <v>0.54128931917653866</v>
      </c>
      <c r="H206" s="72">
        <v>0.58446270461209215</v>
      </c>
      <c r="I206" s="72">
        <v>0.58710117208787005</v>
      </c>
      <c r="J206" s="72">
        <v>0.61716852593457383</v>
      </c>
      <c r="K206" s="72">
        <v>0.66534781844277069</v>
      </c>
      <c r="L206" s="72">
        <v>0.68316967951594076</v>
      </c>
      <c r="M206" s="72">
        <v>0.66124619122756523</v>
      </c>
      <c r="N206" s="72">
        <v>0.69214414780142564</v>
      </c>
      <c r="O206" s="72">
        <v>0.51471593733048449</v>
      </c>
      <c r="P206" s="72">
        <v>0.50538413126074477</v>
      </c>
      <c r="Q206" s="72">
        <v>0.52292964132279718</v>
      </c>
      <c r="R206" s="281">
        <v>0.39376686270454547</v>
      </c>
      <c r="S206" s="281">
        <v>0.48844270515617877</v>
      </c>
      <c r="T206" s="281">
        <v>0.45491032589140212</v>
      </c>
      <c r="U206" s="281">
        <v>0.52507977383552229</v>
      </c>
      <c r="V206" s="281">
        <v>0.51106480321853287</v>
      </c>
      <c r="W206" s="281">
        <v>0.42777945009450363</v>
      </c>
      <c r="X206" s="281">
        <v>0.36897100120679438</v>
      </c>
      <c r="Y206" s="281">
        <v>0.32047930066139069</v>
      </c>
      <c r="Z206" s="281">
        <v>0.27828108661499545</v>
      </c>
      <c r="AA206" s="281">
        <v>0.29563148449913074</v>
      </c>
      <c r="AB206" s="281">
        <v>0.30429443066686446</v>
      </c>
      <c r="AC206" s="281">
        <v>0.33376610158980152</v>
      </c>
      <c r="AD206" s="281">
        <v>0.35900954066475727</v>
      </c>
      <c r="AE206" s="281">
        <v>0.38947297114022178</v>
      </c>
      <c r="AF206" s="281">
        <v>0.4320652661721695</v>
      </c>
      <c r="AG206" s="281">
        <v>0.44747101444805815</v>
      </c>
      <c r="AH206" s="281">
        <v>0.44375307517645424</v>
      </c>
      <c r="AI206" s="281">
        <v>0.45437819353503361</v>
      </c>
      <c r="AJ206" s="329">
        <v>0.45437819353503361</v>
      </c>
    </row>
    <row r="207" spans="2:36">
      <c r="B207" s="72" t="s">
        <v>802</v>
      </c>
      <c r="C207" s="72" t="s">
        <v>803</v>
      </c>
      <c r="D207" s="72"/>
      <c r="E207" s="72"/>
      <c r="F207" s="72">
        <v>0.50487500701246124</v>
      </c>
      <c r="G207" s="72">
        <v>0.44624789539054965</v>
      </c>
      <c r="H207" s="72">
        <v>0.41452899218093198</v>
      </c>
      <c r="I207" s="72">
        <v>0.33877107576453658</v>
      </c>
      <c r="J207" s="72">
        <v>0.33174077037003291</v>
      </c>
      <c r="K207" s="72">
        <v>0.35495798927830952</v>
      </c>
      <c r="L207" s="72">
        <v>0.41438746681614369</v>
      </c>
      <c r="M207" s="72">
        <v>0.35575930863271965</v>
      </c>
      <c r="N207" s="72">
        <v>0.36701360307436753</v>
      </c>
      <c r="O207" s="72">
        <v>0.36281871439814989</v>
      </c>
      <c r="P207" s="72">
        <v>0.37505622568724856</v>
      </c>
      <c r="Q207" s="72">
        <v>0.35473989659224342</v>
      </c>
      <c r="R207" s="281">
        <v>0.592477266311637</v>
      </c>
      <c r="S207" s="281">
        <v>0.55263872673243308</v>
      </c>
      <c r="T207" s="281">
        <v>0.56257358523086376</v>
      </c>
      <c r="U207" s="281">
        <v>0.62546117389361877</v>
      </c>
      <c r="V207" s="281">
        <v>0.56863109040770921</v>
      </c>
      <c r="W207" s="281">
        <v>0.52625226446162832</v>
      </c>
      <c r="X207" s="281">
        <v>0.51259000815085665</v>
      </c>
      <c r="Y207" s="281">
        <v>0.46368856523569874</v>
      </c>
      <c r="Z207" s="281">
        <v>0.46097490937709146</v>
      </c>
      <c r="AA207" s="281">
        <v>0.50686938817481697</v>
      </c>
      <c r="AB207" s="281">
        <v>0.58359927094818786</v>
      </c>
      <c r="AC207" s="281">
        <v>0.59698232210877056</v>
      </c>
      <c r="AD207" s="281">
        <v>0.62326580529312925</v>
      </c>
      <c r="AE207" s="281">
        <v>0.64467993192175588</v>
      </c>
      <c r="AF207" s="281">
        <v>0.71350760165930005</v>
      </c>
      <c r="AG207" s="281">
        <v>0.6759709607990001</v>
      </c>
      <c r="AH207" s="281">
        <v>0.78597977782083506</v>
      </c>
      <c r="AI207" s="281">
        <v>0.77878877483486153</v>
      </c>
      <c r="AJ207" s="329">
        <v>0.77878877483486153</v>
      </c>
    </row>
    <row r="208" spans="2:36">
      <c r="B208" s="72" t="s">
        <v>804</v>
      </c>
      <c r="C208" s="72" t="s">
        <v>805</v>
      </c>
      <c r="D208" s="72"/>
      <c r="E208" s="72"/>
      <c r="F208" s="72"/>
      <c r="G208" s="72"/>
      <c r="H208" s="72"/>
      <c r="I208" s="72"/>
      <c r="J208" s="72"/>
      <c r="K208" s="72"/>
      <c r="L208" s="72"/>
      <c r="M208" s="72"/>
      <c r="N208" s="72"/>
      <c r="O208" s="72"/>
      <c r="P208" s="72"/>
      <c r="Q208" s="72"/>
      <c r="R208" s="281"/>
      <c r="S208" s="281"/>
      <c r="T208" s="281"/>
      <c r="U208" s="281"/>
      <c r="V208" s="281"/>
      <c r="W208" s="281"/>
      <c r="X208" s="281"/>
      <c r="Y208" s="281"/>
      <c r="Z208" s="281"/>
      <c r="AA208" s="281"/>
      <c r="AB208" s="281"/>
      <c r="AC208" s="281"/>
      <c r="AD208" s="281"/>
      <c r="AE208" s="281"/>
      <c r="AF208" s="281"/>
      <c r="AG208" s="281"/>
      <c r="AH208" s="281"/>
      <c r="AI208" s="281"/>
      <c r="AJ208" s="329"/>
    </row>
    <row r="209" spans="2:36">
      <c r="B209" s="72" t="s">
        <v>806</v>
      </c>
      <c r="C209" s="72" t="s">
        <v>807</v>
      </c>
      <c r="D209" s="72"/>
      <c r="E209" s="72"/>
      <c r="F209" s="72"/>
      <c r="G209" s="72"/>
      <c r="H209" s="72"/>
      <c r="I209" s="72"/>
      <c r="J209" s="72"/>
      <c r="K209" s="72"/>
      <c r="L209" s="72"/>
      <c r="M209" s="72"/>
      <c r="N209" s="72"/>
      <c r="O209" s="72"/>
      <c r="P209" s="72"/>
      <c r="Q209" s="72"/>
      <c r="R209" s="281"/>
      <c r="S209" s="281"/>
      <c r="T209" s="281"/>
      <c r="U209" s="281"/>
      <c r="V209" s="281"/>
      <c r="W209" s="281"/>
      <c r="X209" s="281"/>
      <c r="Y209" s="281">
        <v>0.45091130109718008</v>
      </c>
      <c r="Z209" s="281">
        <v>0.51614701466991986</v>
      </c>
      <c r="AA209" s="281">
        <v>0.51161138877075762</v>
      </c>
      <c r="AB209" s="281">
        <v>0.51857136429328643</v>
      </c>
      <c r="AC209" s="281">
        <v>0.52643533780613438</v>
      </c>
      <c r="AD209" s="281">
        <v>0.49402126538696889</v>
      </c>
      <c r="AE209" s="281">
        <v>0.54679795233791262</v>
      </c>
      <c r="AF209" s="281">
        <v>0.6237546203863199</v>
      </c>
      <c r="AG209" s="281">
        <v>0.63380641259384818</v>
      </c>
      <c r="AH209" s="281">
        <v>0.61618261193680723</v>
      </c>
      <c r="AI209" s="281">
        <v>0.70934672753113592</v>
      </c>
      <c r="AJ209" s="329">
        <v>0.70934672753113592</v>
      </c>
    </row>
    <row r="210" spans="2:36">
      <c r="B210" s="72" t="s">
        <v>808</v>
      </c>
      <c r="C210" s="72" t="s">
        <v>809</v>
      </c>
      <c r="D210" s="72">
        <v>1.0356214818706981</v>
      </c>
      <c r="E210" s="72">
        <v>1.0125116560805456</v>
      </c>
      <c r="F210" s="72">
        <v>0.89239493212555632</v>
      </c>
      <c r="G210" s="72">
        <v>0.78819497662359028</v>
      </c>
      <c r="H210" s="72">
        <v>0.72567838961762265</v>
      </c>
      <c r="I210" s="72">
        <v>0.64101526804225173</v>
      </c>
      <c r="J210" s="72">
        <v>0.49937249106422149</v>
      </c>
      <c r="K210" s="72">
        <v>0.49793090453502536</v>
      </c>
      <c r="L210" s="72">
        <v>0.45789284595505408</v>
      </c>
      <c r="M210" s="72">
        <v>0.47642562515956899</v>
      </c>
      <c r="N210" s="72">
        <v>0.51898168632649944</v>
      </c>
      <c r="O210" s="72">
        <v>0.51739308577061138</v>
      </c>
      <c r="P210" s="72">
        <v>0.50262406825654471</v>
      </c>
      <c r="Q210" s="72">
        <v>0.47673199112353715</v>
      </c>
      <c r="R210" s="281">
        <v>0.47177152261414312</v>
      </c>
      <c r="S210" s="281">
        <v>0.48797138153374975</v>
      </c>
      <c r="T210" s="281">
        <v>0.51355087449165115</v>
      </c>
      <c r="U210" s="281">
        <v>0.51367921380131398</v>
      </c>
      <c r="V210" s="281">
        <v>0.43521401658666664</v>
      </c>
      <c r="W210" s="281">
        <v>0.4771748927733333</v>
      </c>
      <c r="X210" s="281">
        <v>0.52145809813333333</v>
      </c>
      <c r="Y210" s="281">
        <v>0.4925102753333333</v>
      </c>
      <c r="Z210" s="281">
        <v>0.49866952879999998</v>
      </c>
      <c r="AA210" s="281">
        <v>0.51624311890666663</v>
      </c>
      <c r="AB210" s="281">
        <v>0.55651218290666671</v>
      </c>
      <c r="AC210" s="281">
        <v>0.64328162370900166</v>
      </c>
      <c r="AD210" s="281">
        <v>0.6826829009612817</v>
      </c>
      <c r="AE210" s="281">
        <v>0.70186505781750252</v>
      </c>
      <c r="AF210" s="281">
        <v>0.81529402397333328</v>
      </c>
      <c r="AG210" s="281">
        <v>0.63579699519999999</v>
      </c>
      <c r="AH210" s="281">
        <v>0.72201190125333337</v>
      </c>
      <c r="AI210" s="281">
        <v>0.84639475133333331</v>
      </c>
      <c r="AJ210" s="329">
        <v>0.84639475133333331</v>
      </c>
    </row>
    <row r="211" spans="2:36">
      <c r="B211" s="72" t="s">
        <v>810</v>
      </c>
      <c r="C211" s="72" t="s">
        <v>811</v>
      </c>
      <c r="D211" s="72">
        <v>0.88399757176411042</v>
      </c>
      <c r="E211" s="72">
        <v>0.69755357641160154</v>
      </c>
      <c r="F211" s="72">
        <v>0.59680014917318946</v>
      </c>
      <c r="G211" s="72">
        <v>0.54097176269122282</v>
      </c>
      <c r="H211" s="72">
        <v>0.49012627124883557</v>
      </c>
      <c r="I211" s="72">
        <v>0.50416601164471675</v>
      </c>
      <c r="J211" s="72">
        <v>0.67645692211867781</v>
      </c>
      <c r="K211" s="72">
        <v>0.74524343683948147</v>
      </c>
      <c r="L211" s="72">
        <v>0.71647202392508047</v>
      </c>
      <c r="M211" s="72">
        <v>0.65446136412484468</v>
      </c>
      <c r="N211" s="72">
        <v>0.73867022173902463</v>
      </c>
      <c r="O211" s="72">
        <v>0.68447577684408323</v>
      </c>
      <c r="P211" s="72">
        <v>0.70782188065034046</v>
      </c>
      <c r="Q211" s="72">
        <v>0.64661635493396241</v>
      </c>
      <c r="R211" s="281">
        <v>0.43274048305058616</v>
      </c>
      <c r="S211" s="281">
        <v>0.50505360317382575</v>
      </c>
      <c r="T211" s="281">
        <v>0.50513519255952422</v>
      </c>
      <c r="U211" s="281">
        <v>0.44325566420736429</v>
      </c>
      <c r="V211" s="281">
        <v>0.44437853808011407</v>
      </c>
      <c r="W211" s="281">
        <v>0.42112654443539316</v>
      </c>
      <c r="X211" s="281">
        <v>0.3633664868633667</v>
      </c>
      <c r="Y211" s="281">
        <v>0.35412262935214589</v>
      </c>
      <c r="Z211" s="281">
        <v>0.37858101239402825</v>
      </c>
      <c r="AA211" s="281">
        <v>0.44694194210416316</v>
      </c>
      <c r="AB211" s="281">
        <v>0.48065319970879722</v>
      </c>
      <c r="AC211" s="281">
        <v>0.47712371047655816</v>
      </c>
      <c r="AD211" s="281">
        <v>0.48556706268352773</v>
      </c>
      <c r="AE211" s="281">
        <v>0.54370039952106675</v>
      </c>
      <c r="AF211" s="281">
        <v>0.60658201371452236</v>
      </c>
      <c r="AG211" s="281">
        <v>0.55939448760301158</v>
      </c>
      <c r="AH211" s="281">
        <v>0.53702440185006972</v>
      </c>
      <c r="AI211" s="281">
        <v>0.56902981153213295</v>
      </c>
      <c r="AJ211" s="329">
        <v>0.56902981153213295</v>
      </c>
    </row>
    <row r="212" spans="2:36">
      <c r="B212" s="72" t="s">
        <v>812</v>
      </c>
      <c r="C212" s="72" t="s">
        <v>813</v>
      </c>
      <c r="D212" s="72"/>
      <c r="E212" s="72"/>
      <c r="F212" s="72"/>
      <c r="G212" s="72"/>
      <c r="H212" s="72"/>
      <c r="I212" s="72"/>
      <c r="J212" s="72"/>
      <c r="K212" s="72"/>
      <c r="L212" s="72"/>
      <c r="M212" s="72"/>
      <c r="N212" s="72"/>
      <c r="O212" s="72"/>
      <c r="P212" s="72"/>
      <c r="Q212" s="72"/>
      <c r="R212" s="281"/>
      <c r="S212" s="281"/>
      <c r="T212" s="281"/>
      <c r="U212" s="281">
        <v>0.48835513906601485</v>
      </c>
      <c r="V212" s="281">
        <v>0.36244916102404595</v>
      </c>
      <c r="W212" s="281">
        <v>0.43772841842816107</v>
      </c>
      <c r="X212" s="281">
        <v>0.14031408707704632</v>
      </c>
      <c r="Y212" s="281">
        <v>0.24399203317108453</v>
      </c>
      <c r="Z212" s="281">
        <v>0.30573391549155798</v>
      </c>
      <c r="AA212" s="281">
        <v>0.37752086188513062</v>
      </c>
      <c r="AB212" s="281">
        <v>0.40639064784331996</v>
      </c>
      <c r="AC212" s="281">
        <v>0.39818643477061716</v>
      </c>
      <c r="AD212" s="281">
        <v>0.4180421987376724</v>
      </c>
      <c r="AE212" s="281">
        <v>0.52217536546143517</v>
      </c>
      <c r="AF212" s="281">
        <v>0.56351201132376827</v>
      </c>
      <c r="AG212" s="281">
        <v>0.49583919928204251</v>
      </c>
      <c r="AH212" s="281">
        <v>0.46139323691992873</v>
      </c>
      <c r="AI212" s="281">
        <v>0.53103801730180245</v>
      </c>
      <c r="AJ212" s="329">
        <v>0.53103801730180245</v>
      </c>
    </row>
    <row r="213" spans="2:36">
      <c r="B213" s="72" t="s">
        <v>814</v>
      </c>
      <c r="C213" s="72" t="s">
        <v>815</v>
      </c>
      <c r="D213" s="72">
        <v>0.42345735260757672</v>
      </c>
      <c r="E213" s="72">
        <v>0.44052327774540295</v>
      </c>
      <c r="F213" s="72">
        <v>0.40319088849514845</v>
      </c>
      <c r="G213" s="72">
        <v>0.39179898567299676</v>
      </c>
      <c r="H213" s="72">
        <v>0.37264668624014891</v>
      </c>
      <c r="I213" s="72">
        <v>0.36319429799294395</v>
      </c>
      <c r="J213" s="72">
        <v>0.43800026337304654</v>
      </c>
      <c r="K213" s="72">
        <v>0.48877866405595705</v>
      </c>
      <c r="L213" s="72">
        <v>0.5102772200417196</v>
      </c>
      <c r="M213" s="72">
        <v>0.48048963696393021</v>
      </c>
      <c r="N213" s="72">
        <v>0.51714218402068612</v>
      </c>
      <c r="O213" s="72">
        <v>0.49520640346590905</v>
      </c>
      <c r="P213" s="72">
        <v>0.5233471110308473</v>
      </c>
      <c r="Q213" s="72">
        <v>0.52700167074203952</v>
      </c>
      <c r="R213" s="281">
        <v>0.53503138950495055</v>
      </c>
      <c r="S213" s="281">
        <v>0.55019711424356499</v>
      </c>
      <c r="T213" s="281">
        <v>0.51003862682973489</v>
      </c>
      <c r="U213" s="281">
        <v>0.50014374630985725</v>
      </c>
      <c r="V213" s="281">
        <v>0.49167700802105557</v>
      </c>
      <c r="W213" s="281">
        <v>0.48709645017950132</v>
      </c>
      <c r="X213" s="281">
        <v>0.4513855287724457</v>
      </c>
      <c r="Y213" s="281">
        <v>0.45705882854460095</v>
      </c>
      <c r="Z213" s="281">
        <v>0.49810739419708022</v>
      </c>
      <c r="AA213" s="281">
        <v>0.52443081183920615</v>
      </c>
      <c r="AB213" s="281">
        <v>0.52066316741818186</v>
      </c>
      <c r="AC213" s="281">
        <v>0.61440290909090911</v>
      </c>
      <c r="AD213" s="281">
        <v>0.60553532195590332</v>
      </c>
      <c r="AE213" s="281">
        <v>0.53654756907641721</v>
      </c>
      <c r="AF213" s="281">
        <v>0.5007375721566637</v>
      </c>
      <c r="AG213" s="281">
        <v>0.42984957218642311</v>
      </c>
      <c r="AH213" s="281">
        <v>0.4578389976353594</v>
      </c>
      <c r="AI213" s="281">
        <v>0.44631080559192421</v>
      </c>
      <c r="AJ213" s="329">
        <v>0.44631080559192421</v>
      </c>
    </row>
    <row r="214" spans="2:36">
      <c r="B214" s="72" t="s">
        <v>816</v>
      </c>
      <c r="C214" s="72" t="s">
        <v>817</v>
      </c>
      <c r="D214" s="72">
        <v>0.89794577114688501</v>
      </c>
      <c r="E214" s="72">
        <v>0.80825984930549566</v>
      </c>
      <c r="F214" s="72">
        <v>0.84481532337625642</v>
      </c>
      <c r="G214" s="72">
        <v>0.63770731723358776</v>
      </c>
      <c r="H214" s="72">
        <v>0.64526365764258253</v>
      </c>
      <c r="I214" s="72">
        <v>0.52105296152336078</v>
      </c>
      <c r="J214" s="72">
        <v>0.28798808188540892</v>
      </c>
      <c r="K214" s="72">
        <v>0.37330435545985086</v>
      </c>
      <c r="L214" s="72">
        <v>0.58407144891431384</v>
      </c>
      <c r="M214" s="72">
        <v>0.4941302680520957</v>
      </c>
      <c r="N214" s="72">
        <v>0.32075314439492986</v>
      </c>
      <c r="O214" s="72">
        <v>0.36390272657151146</v>
      </c>
      <c r="P214" s="72">
        <v>0.38365426892270726</v>
      </c>
      <c r="Q214" s="72">
        <v>0.41866040243171809</v>
      </c>
      <c r="R214" s="281">
        <v>0.49635287059826144</v>
      </c>
      <c r="S214" s="281">
        <v>0.50344810493908898</v>
      </c>
      <c r="T214" s="281">
        <v>0.50953859539480828</v>
      </c>
      <c r="U214" s="281">
        <v>0.54206096778400403</v>
      </c>
      <c r="V214" s="281">
        <v>0.42630503701713995</v>
      </c>
      <c r="W214" s="281">
        <v>0.45525114840926728</v>
      </c>
      <c r="X214" s="281">
        <v>0.40777318350939251</v>
      </c>
      <c r="Y214" s="281">
        <v>0.42752007966165695</v>
      </c>
      <c r="Z214" s="281">
        <v>0.38337272700333491</v>
      </c>
      <c r="AA214" s="281">
        <v>0.36385184268921161</v>
      </c>
      <c r="AB214" s="281">
        <v>0.36401350336874838</v>
      </c>
      <c r="AC214" s="281">
        <v>0.37172122224952331</v>
      </c>
      <c r="AD214" s="281">
        <v>0.38512173140627237</v>
      </c>
      <c r="AE214" s="281">
        <v>0.4113853977298661</v>
      </c>
      <c r="AF214" s="281">
        <v>0.44811298292981927</v>
      </c>
      <c r="AG214" s="281">
        <v>0.40699524319648095</v>
      </c>
      <c r="AH214" s="281">
        <v>0.39615549677787493</v>
      </c>
      <c r="AI214" s="281">
        <v>0.42936946018194161</v>
      </c>
      <c r="AJ214" s="329">
        <v>0.42936946018194161</v>
      </c>
    </row>
    <row r="215" spans="2:36">
      <c r="B215" s="72" t="s">
        <v>396</v>
      </c>
      <c r="C215" s="72" t="s">
        <v>818</v>
      </c>
      <c r="D215" s="72">
        <v>0.68080213795806455</v>
      </c>
      <c r="E215" s="72">
        <v>0.66980936491782983</v>
      </c>
      <c r="F215" s="72">
        <v>0.66757085400263783</v>
      </c>
      <c r="G215" s="72">
        <v>0.65396726635820124</v>
      </c>
      <c r="H215" s="72">
        <v>0.64205757056712942</v>
      </c>
      <c r="I215" s="72">
        <v>0.60834675013478245</v>
      </c>
      <c r="J215" s="72">
        <v>0.57191410842894397</v>
      </c>
      <c r="K215" s="72">
        <v>0.56398040003061645</v>
      </c>
      <c r="L215" s="72">
        <v>0.59558756636250776</v>
      </c>
      <c r="M215" s="72">
        <v>0.6263544598680697</v>
      </c>
      <c r="N215" s="72">
        <v>0.64996658372608862</v>
      </c>
      <c r="O215" s="72">
        <v>0.70436941016257304</v>
      </c>
      <c r="P215" s="72">
        <v>0.73397366837428724</v>
      </c>
      <c r="Q215" s="72">
        <v>0.78799331844318321</v>
      </c>
      <c r="R215" s="281">
        <v>0.80607329117305582</v>
      </c>
      <c r="S215" s="281">
        <v>0.85689710479453729</v>
      </c>
      <c r="T215" s="281">
        <v>0.91692031170663957</v>
      </c>
      <c r="U215" s="281">
        <v>0.91549220907307383</v>
      </c>
      <c r="V215" s="281">
        <v>0.84571715580749074</v>
      </c>
      <c r="W215" s="281">
        <v>0.7040992540593819</v>
      </c>
      <c r="X215" s="281">
        <v>0.70525546493996871</v>
      </c>
      <c r="Y215" s="281">
        <v>0.66295067328580193</v>
      </c>
      <c r="Z215" s="281">
        <v>0.6221658549721637</v>
      </c>
      <c r="AA215" s="281">
        <v>0.6005256793037661</v>
      </c>
      <c r="AB215" s="281">
        <v>0.62664435826692677</v>
      </c>
      <c r="AC215" s="281">
        <v>0.63808915541619837</v>
      </c>
      <c r="AD215" s="281">
        <v>0.64021042678201312</v>
      </c>
      <c r="AE215" s="281">
        <v>0.6919574627423023</v>
      </c>
      <c r="AF215" s="281">
        <v>0.65917530113628342</v>
      </c>
      <c r="AG215" s="281">
        <v>0.69306361716153575</v>
      </c>
      <c r="AH215" s="281">
        <v>0.72653453502308729</v>
      </c>
      <c r="AI215" s="281">
        <v>0.76195164679350635</v>
      </c>
      <c r="AJ215" s="329">
        <v>0.76195164679350635</v>
      </c>
    </row>
    <row r="216" spans="2:36">
      <c r="B216" s="72" t="s">
        <v>819</v>
      </c>
      <c r="C216" s="72" t="s">
        <v>820</v>
      </c>
      <c r="D216" s="72"/>
      <c r="E216" s="72"/>
      <c r="F216" s="72"/>
      <c r="G216" s="72"/>
      <c r="H216" s="72"/>
      <c r="I216" s="72"/>
      <c r="J216" s="72"/>
      <c r="K216" s="72"/>
      <c r="L216" s="72"/>
      <c r="M216" s="72"/>
      <c r="N216" s="72"/>
      <c r="O216" s="72"/>
      <c r="P216" s="72"/>
      <c r="Q216" s="72"/>
      <c r="R216" s="281"/>
      <c r="S216" s="281"/>
      <c r="T216" s="281"/>
      <c r="U216" s="281"/>
      <c r="V216" s="281"/>
      <c r="W216" s="281"/>
      <c r="X216" s="281"/>
      <c r="Y216" s="281"/>
      <c r="Z216" s="281"/>
      <c r="AA216" s="281"/>
      <c r="AB216" s="281"/>
      <c r="AC216" s="281"/>
      <c r="AD216" s="281"/>
      <c r="AE216" s="281"/>
      <c r="AF216" s="281"/>
      <c r="AG216" s="281"/>
      <c r="AH216" s="281"/>
      <c r="AI216" s="281"/>
      <c r="AJ216" s="329"/>
    </row>
    <row r="217" spans="2:36">
      <c r="B217" s="72" t="s">
        <v>821</v>
      </c>
      <c r="C217" s="72" t="s">
        <v>822</v>
      </c>
      <c r="D217" s="72"/>
      <c r="E217" s="72"/>
      <c r="F217" s="72"/>
      <c r="G217" s="72"/>
      <c r="H217" s="72">
        <v>0.18901661977201256</v>
      </c>
      <c r="I217" s="72">
        <v>0.17957425673426147</v>
      </c>
      <c r="J217" s="72">
        <v>0.2278603227990971</v>
      </c>
      <c r="K217" s="72">
        <v>0.26012656520235217</v>
      </c>
      <c r="L217" s="72">
        <v>0.26202797450679266</v>
      </c>
      <c r="M217" s="72">
        <v>0.24197111909271085</v>
      </c>
      <c r="N217" s="72">
        <v>0.28726091546470289</v>
      </c>
      <c r="O217" s="72">
        <v>0.36415018284089506</v>
      </c>
      <c r="P217" s="72">
        <v>0.41591585586751195</v>
      </c>
      <c r="Q217" s="72">
        <v>0.42503261888029981</v>
      </c>
      <c r="R217" s="281">
        <v>0.47842085775299559</v>
      </c>
      <c r="S217" s="281">
        <v>0.56750299084967326</v>
      </c>
      <c r="T217" s="281">
        <v>0.56248496324461339</v>
      </c>
      <c r="U217" s="281">
        <v>0.51591828140931228</v>
      </c>
      <c r="V217" s="281">
        <v>0.52629370399373532</v>
      </c>
      <c r="W217" s="281">
        <v>0.533332940549755</v>
      </c>
      <c r="X217" s="281">
        <v>0.48431050672563114</v>
      </c>
      <c r="Y217" s="281">
        <v>0.46682355615212534</v>
      </c>
      <c r="Z217" s="281">
        <v>0.49668521080368905</v>
      </c>
      <c r="AA217" s="281">
        <v>0.62634037358916472</v>
      </c>
      <c r="AB217" s="281">
        <v>0.71094443009684638</v>
      </c>
      <c r="AC217" s="281">
        <v>0.70384243377689348</v>
      </c>
      <c r="AD217" s="281">
        <v>0.69719856981558148</v>
      </c>
      <c r="AE217" s="281">
        <v>0.74696592526690386</v>
      </c>
      <c r="AF217" s="281">
        <v>0.78021927640251942</v>
      </c>
      <c r="AG217" s="281">
        <v>0.714090400111142</v>
      </c>
      <c r="AH217" s="281">
        <v>0.69274668211920531</v>
      </c>
      <c r="AI217" s="281">
        <v>0.73800481512371419</v>
      </c>
      <c r="AJ217" s="329">
        <v>0.73800481512371419</v>
      </c>
    </row>
    <row r="218" spans="2:36">
      <c r="B218" s="72" t="s">
        <v>823</v>
      </c>
      <c r="C218" s="72" t="s">
        <v>824</v>
      </c>
      <c r="D218" s="72"/>
      <c r="E218" s="72"/>
      <c r="F218" s="72"/>
      <c r="G218" s="72"/>
      <c r="H218" s="72"/>
      <c r="I218" s="72"/>
      <c r="J218" s="72"/>
      <c r="K218" s="72"/>
      <c r="L218" s="72"/>
      <c r="M218" s="72"/>
      <c r="N218" s="72">
        <v>0.75582513078617763</v>
      </c>
      <c r="O218" s="72">
        <v>0.58422300625026979</v>
      </c>
      <c r="P218" s="72">
        <v>0.59646698755910976</v>
      </c>
      <c r="Q218" s="72">
        <v>0.5743343847308372</v>
      </c>
      <c r="R218" s="281">
        <v>0.60628451733654243</v>
      </c>
      <c r="S218" s="281">
        <v>0.80952081328552083</v>
      </c>
      <c r="T218" s="281">
        <v>0.76957747233599227</v>
      </c>
      <c r="U218" s="281">
        <v>0.69335406009844081</v>
      </c>
      <c r="V218" s="281">
        <v>0.6995661006450371</v>
      </c>
      <c r="W218" s="281">
        <v>0.67314093806798592</v>
      </c>
      <c r="X218" s="281">
        <v>0.57220401487967054</v>
      </c>
      <c r="Y218" s="281">
        <v>0.55793889684330877</v>
      </c>
      <c r="Z218" s="281">
        <v>0.58693596076239252</v>
      </c>
      <c r="AA218" s="281">
        <v>0.71152820074923406</v>
      </c>
      <c r="AB218" s="281">
        <v>0.76084452178087136</v>
      </c>
      <c r="AC218" s="281">
        <v>0.76056229068363601</v>
      </c>
      <c r="AD218" s="281">
        <v>0.76332770914492609</v>
      </c>
      <c r="AE218" s="281">
        <v>0.86137818094716678</v>
      </c>
      <c r="AF218" s="281">
        <v>0.92917424051559994</v>
      </c>
      <c r="AG218" s="281">
        <v>0.90029785773826054</v>
      </c>
      <c r="AH218" s="281">
        <v>0.86377887152317878</v>
      </c>
      <c r="AI218" s="281">
        <v>0.89566972755073671</v>
      </c>
      <c r="AJ218" s="329">
        <v>0.89566972755073671</v>
      </c>
    </row>
    <row r="219" spans="2:36">
      <c r="B219" s="72" t="s">
        <v>825</v>
      </c>
      <c r="C219" s="72" t="s">
        <v>826</v>
      </c>
      <c r="D219" s="72"/>
      <c r="E219" s="72"/>
      <c r="F219" s="72"/>
      <c r="G219" s="72"/>
      <c r="H219" s="72"/>
      <c r="I219" s="72"/>
      <c r="J219" s="72"/>
      <c r="K219" s="72"/>
      <c r="L219" s="72"/>
      <c r="M219" s="72"/>
      <c r="N219" s="72">
        <v>0.57837820697564057</v>
      </c>
      <c r="O219" s="72">
        <v>0.55880458483129514</v>
      </c>
      <c r="P219" s="72">
        <v>0.57421346002527229</v>
      </c>
      <c r="Q219" s="72">
        <v>0.58626734623709886</v>
      </c>
      <c r="R219" s="281">
        <v>0.59512611773105673</v>
      </c>
      <c r="S219" s="281">
        <v>0.60051020740479766</v>
      </c>
      <c r="T219" s="281">
        <v>0.63198844041610591</v>
      </c>
      <c r="U219" s="281">
        <v>0.63215994043423285</v>
      </c>
      <c r="V219" s="281">
        <v>0.50814377743168038</v>
      </c>
      <c r="W219" s="281">
        <v>0.51501704555507333</v>
      </c>
      <c r="X219" s="281">
        <v>0.53055413196321399</v>
      </c>
      <c r="Y219" s="281">
        <v>0.51889394977431946</v>
      </c>
      <c r="Z219" s="281">
        <v>0.44817791141603236</v>
      </c>
      <c r="AA219" s="281">
        <v>0.40137446964781193</v>
      </c>
      <c r="AB219" s="281">
        <v>0.41956347452167081</v>
      </c>
      <c r="AC219" s="281">
        <v>0.42504601654736451</v>
      </c>
      <c r="AD219" s="281">
        <v>0.42485297922197396</v>
      </c>
      <c r="AE219" s="281">
        <v>0.47871180563398691</v>
      </c>
      <c r="AF219" s="281">
        <v>0.48085226398064007</v>
      </c>
      <c r="AG219" s="281">
        <v>0.44726989817504659</v>
      </c>
      <c r="AH219" s="281">
        <v>0.46845597861128335</v>
      </c>
      <c r="AI219" s="281">
        <v>0.51915428947953535</v>
      </c>
      <c r="AJ219" s="329">
        <v>0.51915428947953535</v>
      </c>
    </row>
    <row r="220" spans="2:36">
      <c r="B220" s="72" t="s">
        <v>827</v>
      </c>
      <c r="C220" s="72" t="s">
        <v>828</v>
      </c>
      <c r="D220" s="72"/>
      <c r="E220" s="72"/>
      <c r="F220" s="72"/>
      <c r="G220" s="72"/>
      <c r="H220" s="72"/>
      <c r="I220" s="72"/>
      <c r="J220" s="72"/>
      <c r="K220" s="72"/>
      <c r="L220" s="72"/>
      <c r="M220" s="72"/>
      <c r="N220" s="72"/>
      <c r="O220" s="72"/>
      <c r="P220" s="72"/>
      <c r="Q220" s="72"/>
      <c r="R220" s="281"/>
      <c r="S220" s="281"/>
      <c r="T220" s="281"/>
      <c r="U220" s="281"/>
      <c r="V220" s="281"/>
      <c r="W220" s="281"/>
      <c r="X220" s="281"/>
      <c r="Y220" s="281"/>
      <c r="Z220" s="281"/>
      <c r="AA220" s="281"/>
      <c r="AB220" s="281"/>
      <c r="AC220" s="281"/>
      <c r="AD220" s="281"/>
      <c r="AE220" s="281"/>
      <c r="AF220" s="281"/>
      <c r="AG220" s="281"/>
      <c r="AH220" s="281"/>
      <c r="AI220" s="281"/>
      <c r="AJ220" s="329"/>
    </row>
    <row r="221" spans="2:36">
      <c r="B221" s="72" t="s">
        <v>829</v>
      </c>
      <c r="C221" s="72" t="s">
        <v>830</v>
      </c>
      <c r="D221" s="72">
        <v>0.69812902245209729</v>
      </c>
      <c r="E221" s="72">
        <v>0.65311349196769941</v>
      </c>
      <c r="F221" s="72">
        <v>0.56998130721966778</v>
      </c>
      <c r="G221" s="72">
        <v>0.59994641133367377</v>
      </c>
      <c r="H221" s="72">
        <v>0.54479089150893723</v>
      </c>
      <c r="I221" s="72">
        <v>0.42137581988970757</v>
      </c>
      <c r="J221" s="72">
        <v>0.48849569285948752</v>
      </c>
      <c r="K221" s="72">
        <v>0.60819059119208307</v>
      </c>
      <c r="L221" s="72">
        <v>0.62155862532627815</v>
      </c>
      <c r="M221" s="72">
        <v>0.6374476786849943</v>
      </c>
      <c r="N221" s="72">
        <v>0.55251141837586193</v>
      </c>
      <c r="O221" s="72">
        <v>0.57942425775400486</v>
      </c>
      <c r="P221" s="72">
        <v>0.62948235533391184</v>
      </c>
      <c r="Q221" s="72">
        <v>0.60797240181204626</v>
      </c>
      <c r="R221" s="281">
        <v>0.60095069570365112</v>
      </c>
      <c r="S221" s="281">
        <v>0.63386838535628465</v>
      </c>
      <c r="T221" s="281">
        <v>0.56795690606219307</v>
      </c>
      <c r="U221" s="281">
        <v>0.56204156849133191</v>
      </c>
      <c r="V221" s="281">
        <v>0.49760634440072593</v>
      </c>
      <c r="W221" s="281">
        <v>0.47515010100566241</v>
      </c>
      <c r="X221" s="281">
        <v>0.44550943437095353</v>
      </c>
      <c r="Y221" s="281">
        <v>0.37808565276149708</v>
      </c>
      <c r="Z221" s="281">
        <v>0.33653206596887086</v>
      </c>
      <c r="AA221" s="281">
        <v>0.48474039137237424</v>
      </c>
      <c r="AB221" s="281">
        <v>0.58732348208525409</v>
      </c>
      <c r="AC221" s="281">
        <v>0.60886542146672662</v>
      </c>
      <c r="AD221" s="281">
        <v>0.59008924298297527</v>
      </c>
      <c r="AE221" s="281">
        <v>0.59570565950805954</v>
      </c>
      <c r="AF221" s="281">
        <v>0.53828562023920712</v>
      </c>
      <c r="AG221" s="281">
        <v>0.5575992274411079</v>
      </c>
      <c r="AH221" s="281">
        <v>0.69122672148441844</v>
      </c>
      <c r="AI221" s="281">
        <v>0.73633414970048638</v>
      </c>
      <c r="AJ221" s="329">
        <v>0.73633414970048638</v>
      </c>
    </row>
    <row r="222" spans="2:36">
      <c r="B222" s="72" t="s">
        <v>831</v>
      </c>
      <c r="C222" s="72" t="s">
        <v>832</v>
      </c>
      <c r="D222" s="72"/>
      <c r="E222" s="72"/>
      <c r="F222" s="72"/>
      <c r="G222" s="72"/>
      <c r="H222" s="72"/>
      <c r="I222" s="72"/>
      <c r="J222" s="72"/>
      <c r="K222" s="72"/>
      <c r="L222" s="72"/>
      <c r="M222" s="72"/>
      <c r="N222" s="72"/>
      <c r="O222" s="72"/>
      <c r="P222" s="72"/>
      <c r="Q222" s="72"/>
      <c r="R222" s="281"/>
      <c r="S222" s="281"/>
      <c r="T222" s="281"/>
      <c r="U222" s="281"/>
      <c r="V222" s="281"/>
      <c r="W222" s="281"/>
      <c r="X222" s="281"/>
      <c r="Y222" s="281"/>
      <c r="Z222" s="281"/>
      <c r="AA222" s="281"/>
      <c r="AB222" s="281"/>
      <c r="AC222" s="281"/>
      <c r="AD222" s="281"/>
      <c r="AE222" s="281"/>
      <c r="AF222" s="281"/>
      <c r="AG222" s="281"/>
      <c r="AH222" s="281"/>
      <c r="AI222" s="281"/>
      <c r="AJ222" s="329"/>
    </row>
    <row r="223" spans="2:36">
      <c r="B223" s="72" t="s">
        <v>833</v>
      </c>
      <c r="C223" s="72" t="s">
        <v>834</v>
      </c>
      <c r="D223" s="72">
        <v>0.88413896727779062</v>
      </c>
      <c r="E223" s="72">
        <v>0.70526514326905754</v>
      </c>
      <c r="F223" s="72">
        <v>0.63452795698924724</v>
      </c>
      <c r="G223" s="72">
        <v>0.52312579814385152</v>
      </c>
      <c r="H223" s="72">
        <v>0.49868675843510663</v>
      </c>
      <c r="I223" s="72">
        <v>0.49681082485322892</v>
      </c>
      <c r="J223" s="72">
        <v>0.65422852085065941</v>
      </c>
      <c r="K223" s="72">
        <v>0.76374894488613387</v>
      </c>
      <c r="L223" s="72">
        <v>0.82897785459220119</v>
      </c>
      <c r="M223" s="72">
        <v>0.84013089669711871</v>
      </c>
      <c r="N223" s="72">
        <v>1.0082647143323538</v>
      </c>
      <c r="O223" s="72">
        <v>1.0214414907926339</v>
      </c>
      <c r="P223" s="72">
        <v>1.0806224768405657</v>
      </c>
      <c r="Q223" s="72">
        <v>0.88919523336383843</v>
      </c>
      <c r="R223" s="281">
        <v>0.85959183082846846</v>
      </c>
      <c r="S223" s="281">
        <v>0.94934061916199641</v>
      </c>
      <c r="T223" s="281">
        <v>0.94419657690792058</v>
      </c>
      <c r="U223" s="281">
        <v>0.81837013977272732</v>
      </c>
      <c r="V223" s="281">
        <v>0.80100484575119724</v>
      </c>
      <c r="W223" s="281">
        <v>0.78061139676113356</v>
      </c>
      <c r="X223" s="281">
        <v>0.67633369080523309</v>
      </c>
      <c r="Y223" s="281">
        <v>0.66198679910514546</v>
      </c>
      <c r="Z223" s="281">
        <v>0.69019250047054392</v>
      </c>
      <c r="AA223" s="281">
        <v>0.84966756997742654</v>
      </c>
      <c r="AB223" s="281">
        <v>0.94269018892055156</v>
      </c>
      <c r="AC223" s="281">
        <v>0.9512393212455853</v>
      </c>
      <c r="AD223" s="281">
        <v>0.92391036842917373</v>
      </c>
      <c r="AE223" s="281">
        <v>0.99707245859098492</v>
      </c>
      <c r="AF223" s="281">
        <v>1.0548639704105174</v>
      </c>
      <c r="AG223" s="281">
        <v>0.99102281886466914</v>
      </c>
      <c r="AH223" s="281">
        <v>0.94873857499999992</v>
      </c>
      <c r="AI223" s="281">
        <v>0.99682705972222219</v>
      </c>
      <c r="AJ223" s="329">
        <v>0.99682705972222219</v>
      </c>
    </row>
    <row r="224" spans="2:36">
      <c r="B224" s="72" t="s">
        <v>835</v>
      </c>
      <c r="C224" s="72" t="s">
        <v>836</v>
      </c>
      <c r="D224" s="72">
        <v>0.36804942615245007</v>
      </c>
      <c r="E224" s="72">
        <v>0.34931256609350647</v>
      </c>
      <c r="F224" s="72">
        <v>0.341426087760692</v>
      </c>
      <c r="G224" s="72">
        <v>0.33957772877178066</v>
      </c>
      <c r="H224" s="72">
        <v>0.36416610297955976</v>
      </c>
      <c r="I224" s="72">
        <v>0.3329283062334315</v>
      </c>
      <c r="J224" s="72">
        <v>0.33433008497858674</v>
      </c>
      <c r="K224" s="72">
        <v>0.33310978689198367</v>
      </c>
      <c r="L224" s="72">
        <v>0.32805726023263126</v>
      </c>
      <c r="M224" s="72">
        <v>0.30944387861303746</v>
      </c>
      <c r="N224" s="72">
        <v>0.32212177391412877</v>
      </c>
      <c r="O224" s="72">
        <v>0.33371924800580133</v>
      </c>
      <c r="P224" s="72">
        <v>0.3375006704768424</v>
      </c>
      <c r="Q224" s="72">
        <v>0.32918263959023181</v>
      </c>
      <c r="R224" s="281">
        <v>0.34625273508700932</v>
      </c>
      <c r="S224" s="281">
        <v>0.35665503278048777</v>
      </c>
      <c r="T224" s="281">
        <v>0.36011227079790115</v>
      </c>
      <c r="U224" s="281">
        <v>0.36056398501440923</v>
      </c>
      <c r="V224" s="281">
        <v>0.35543293837083006</v>
      </c>
      <c r="W224" s="281">
        <v>0.33290521288221969</v>
      </c>
      <c r="X224" s="281">
        <v>0.32065309388391117</v>
      </c>
      <c r="Y224" s="281">
        <v>0.30706625085030209</v>
      </c>
      <c r="Z224" s="281">
        <v>0.31567259754338284</v>
      </c>
      <c r="AA224" s="281">
        <v>0.32218283340240367</v>
      </c>
      <c r="AB224" s="281">
        <v>0.32521872435023219</v>
      </c>
      <c r="AC224" s="281">
        <v>0.34995202577114426</v>
      </c>
      <c r="AD224" s="281">
        <v>0.3646935893131974</v>
      </c>
      <c r="AE224" s="281">
        <v>0.37980352478756102</v>
      </c>
      <c r="AF224" s="281">
        <v>0.4413932220899105</v>
      </c>
      <c r="AG224" s="281">
        <v>0.4347468922307291</v>
      </c>
      <c r="AH224" s="281">
        <v>0.47090958169998232</v>
      </c>
      <c r="AI224" s="281">
        <v>0.50798419225829794</v>
      </c>
      <c r="AJ224" s="329">
        <v>0.50798419225829794</v>
      </c>
    </row>
    <row r="225" spans="2:36">
      <c r="B225" s="72" t="s">
        <v>837</v>
      </c>
      <c r="C225" s="72" t="s">
        <v>838</v>
      </c>
      <c r="D225" s="72">
        <v>0.41738987973973996</v>
      </c>
      <c r="E225" s="72">
        <v>0.44470511329437257</v>
      </c>
      <c r="F225" s="72">
        <v>0.45125627351200825</v>
      </c>
      <c r="G225" s="72">
        <v>0.43645871155112043</v>
      </c>
      <c r="H225" s="72">
        <v>0.4473847767285295</v>
      </c>
      <c r="I225" s="72">
        <v>0.45440283645643792</v>
      </c>
      <c r="J225" s="72">
        <v>0.4803394765168989</v>
      </c>
      <c r="K225" s="72">
        <v>0.49329314976961031</v>
      </c>
      <c r="L225" s="72">
        <v>0.5117239225181851</v>
      </c>
      <c r="M225" s="72">
        <v>0.518279650624629</v>
      </c>
      <c r="N225" s="72">
        <v>0.5425896643434468</v>
      </c>
      <c r="O225" s="72">
        <v>0.54034610064232891</v>
      </c>
      <c r="P225" s="72">
        <v>0.56591195456118992</v>
      </c>
      <c r="Q225" s="72">
        <v>0.56639554010820503</v>
      </c>
      <c r="R225" s="281">
        <v>0.5904437164612768</v>
      </c>
      <c r="S225" s="281">
        <v>0.57919573232659005</v>
      </c>
      <c r="T225" s="281">
        <v>0.56846196899763657</v>
      </c>
      <c r="U225" s="281">
        <v>0.58517244837476901</v>
      </c>
      <c r="V225" s="281">
        <v>0.59591514768851894</v>
      </c>
      <c r="W225" s="281">
        <v>0.59257433100415491</v>
      </c>
      <c r="X225" s="281">
        <v>0.73688822814787447</v>
      </c>
      <c r="Y225" s="281">
        <v>0.74935785786379794</v>
      </c>
      <c r="Z225" s="281">
        <v>0.75871789586472627</v>
      </c>
      <c r="AA225" s="281">
        <v>0.72797983120255605</v>
      </c>
      <c r="AB225" s="281">
        <v>0.73138056182409417</v>
      </c>
      <c r="AC225" s="281">
        <v>0.69465776550967917</v>
      </c>
      <c r="AD225" s="281">
        <v>0.75449263593443872</v>
      </c>
      <c r="AE225" s="281">
        <v>0.78149910882785756</v>
      </c>
      <c r="AF225" s="281">
        <v>0.78397466948148131</v>
      </c>
      <c r="AG225" s="281">
        <v>0.77334299040740739</v>
      </c>
      <c r="AH225" s="281">
        <v>0.7692101424444443</v>
      </c>
      <c r="AI225" s="281">
        <v>0.76301074859259244</v>
      </c>
      <c r="AJ225" s="329">
        <v>0.76301074859259244</v>
      </c>
    </row>
    <row r="226" spans="2:36">
      <c r="B226" s="72" t="s">
        <v>839</v>
      </c>
      <c r="C226" s="72" t="s">
        <v>840</v>
      </c>
      <c r="D226" s="72">
        <v>0.54712138104119157</v>
      </c>
      <c r="E226" s="72">
        <v>0.55148062829753786</v>
      </c>
      <c r="F226" s="72">
        <v>0.54974868510590291</v>
      </c>
      <c r="G226" s="72">
        <v>0.54582686765664612</v>
      </c>
      <c r="H226" s="72">
        <v>0.54336531140382249</v>
      </c>
      <c r="I226" s="72">
        <v>0.53727225795587419</v>
      </c>
      <c r="J226" s="72">
        <v>0.54600086850542506</v>
      </c>
      <c r="K226" s="72">
        <v>0.55866700924469592</v>
      </c>
      <c r="L226" s="72">
        <v>0.54403636768826746</v>
      </c>
      <c r="M226" s="72">
        <v>0.54658457342104227</v>
      </c>
      <c r="N226" s="72">
        <v>0.54349287117934753</v>
      </c>
      <c r="O226" s="72">
        <v>0.55609999966040125</v>
      </c>
      <c r="P226" s="72">
        <v>0.56376986378420579</v>
      </c>
      <c r="Q226" s="72">
        <v>0.55362688459296694</v>
      </c>
      <c r="R226" s="281">
        <v>0.56274287732086159</v>
      </c>
      <c r="S226" s="281">
        <v>0.5769300755517881</v>
      </c>
      <c r="T226" s="281">
        <v>0.54309100444570402</v>
      </c>
      <c r="U226" s="281">
        <v>0.56632076851693303</v>
      </c>
      <c r="V226" s="281">
        <v>0.57126326076297884</v>
      </c>
      <c r="W226" s="281">
        <v>0.57929439399151417</v>
      </c>
      <c r="X226" s="281">
        <v>0.60208992103337511</v>
      </c>
      <c r="Y226" s="281">
        <v>0.57296740688103065</v>
      </c>
      <c r="Z226" s="281">
        <v>0.57490397895794065</v>
      </c>
      <c r="AA226" s="281">
        <v>0.58253482515650845</v>
      </c>
      <c r="AB226" s="281">
        <v>0.57417220123012358</v>
      </c>
      <c r="AC226" s="281">
        <v>0.59965110052089077</v>
      </c>
      <c r="AD226" s="281">
        <v>0.59559064370371206</v>
      </c>
      <c r="AE226" s="281">
        <v>0.63432955109363243</v>
      </c>
      <c r="AF226" s="281">
        <v>0.61133355714814819</v>
      </c>
      <c r="AG226" s="281">
        <v>0.60210734862962956</v>
      </c>
      <c r="AH226" s="281">
        <v>0.61320255548148139</v>
      </c>
      <c r="AI226" s="281">
        <v>0.61688082085185181</v>
      </c>
      <c r="AJ226" s="329">
        <v>0.61688082085185181</v>
      </c>
    </row>
    <row r="227" spans="2:36">
      <c r="B227" s="72" t="s">
        <v>841</v>
      </c>
      <c r="C227" s="72" t="s">
        <v>842</v>
      </c>
      <c r="D227" s="72"/>
      <c r="E227" s="72"/>
      <c r="F227" s="72"/>
      <c r="G227" s="72"/>
      <c r="H227" s="72"/>
      <c r="I227" s="72"/>
      <c r="J227" s="72"/>
      <c r="K227" s="72"/>
      <c r="L227" s="72"/>
      <c r="M227" s="72"/>
      <c r="N227" s="72"/>
      <c r="O227" s="72"/>
      <c r="P227" s="72"/>
      <c r="Q227" s="72"/>
      <c r="R227" s="281"/>
      <c r="S227" s="281"/>
      <c r="T227" s="281"/>
      <c r="U227" s="281"/>
      <c r="V227" s="281"/>
      <c r="W227" s="281"/>
      <c r="X227" s="281"/>
      <c r="Y227" s="281"/>
      <c r="Z227" s="281"/>
      <c r="AA227" s="281"/>
      <c r="AB227" s="281"/>
      <c r="AC227" s="281"/>
      <c r="AD227" s="281"/>
      <c r="AE227" s="281"/>
      <c r="AF227" s="281"/>
      <c r="AG227" s="281"/>
      <c r="AH227" s="281"/>
      <c r="AI227" s="281"/>
      <c r="AJ227" s="329"/>
    </row>
    <row r="228" spans="2:36">
      <c r="B228" s="72" t="s">
        <v>843</v>
      </c>
      <c r="C228" s="72" t="s">
        <v>844</v>
      </c>
      <c r="D228" s="72">
        <v>0.38868124720971564</v>
      </c>
      <c r="E228" s="72">
        <v>0.41531830307262163</v>
      </c>
      <c r="F228" s="72">
        <v>0.4267242406489633</v>
      </c>
      <c r="G228" s="72">
        <v>0.43274601739446672</v>
      </c>
      <c r="H228" s="72">
        <v>0.4334744720112314</v>
      </c>
      <c r="I228" s="72">
        <v>0.4323126042169359</v>
      </c>
      <c r="J228" s="72">
        <v>0.44944869213652389</v>
      </c>
      <c r="K228" s="72">
        <v>0.46454867998095956</v>
      </c>
      <c r="L228" s="72">
        <v>0.45290874818652821</v>
      </c>
      <c r="M228" s="72">
        <v>0.45878198486058086</v>
      </c>
      <c r="N228" s="72">
        <v>0.47041625865511216</v>
      </c>
      <c r="O228" s="72">
        <v>0.48475931354995283</v>
      </c>
      <c r="P228" s="72">
        <v>0.48454468870189138</v>
      </c>
      <c r="Q228" s="72">
        <v>0.48474276169839331</v>
      </c>
      <c r="R228" s="281">
        <v>0.49897208585450181</v>
      </c>
      <c r="S228" s="281">
        <v>0.52888795202987227</v>
      </c>
      <c r="T228" s="281">
        <v>0.54175027624715988</v>
      </c>
      <c r="U228" s="281">
        <v>0.48847067100292646</v>
      </c>
      <c r="V228" s="281">
        <v>0.49672867415338118</v>
      </c>
      <c r="W228" s="281">
        <v>0.48957041668720791</v>
      </c>
      <c r="X228" s="281">
        <v>0.57714822865904658</v>
      </c>
      <c r="Y228" s="281">
        <v>0.60209260936666098</v>
      </c>
      <c r="Z228" s="281">
        <v>0.59847471491203685</v>
      </c>
      <c r="AA228" s="281">
        <v>0.56806887881939361</v>
      </c>
      <c r="AB228" s="281">
        <v>0.57460996777794793</v>
      </c>
      <c r="AC228" s="281">
        <v>0.57279073062489161</v>
      </c>
      <c r="AD228" s="281">
        <v>0.57106233072949031</v>
      </c>
      <c r="AE228" s="281">
        <v>0.60146222429629626</v>
      </c>
      <c r="AF228" s="281">
        <v>0.59251093359259255</v>
      </c>
      <c r="AG228" s="281">
        <v>0.5750349679259259</v>
      </c>
      <c r="AH228" s="281">
        <v>0.58947741070370363</v>
      </c>
      <c r="AI228" s="281">
        <v>0.58709111655555557</v>
      </c>
      <c r="AJ228" s="329">
        <v>0.58709111655555557</v>
      </c>
    </row>
    <row r="229" spans="2:36">
      <c r="B229" s="72" t="s">
        <v>845</v>
      </c>
      <c r="C229" s="72" t="s">
        <v>846</v>
      </c>
      <c r="D229" s="72">
        <v>0.79707583067640342</v>
      </c>
      <c r="E229" s="72">
        <v>0.84937589072292563</v>
      </c>
      <c r="F229" s="72">
        <v>0.73310753319471267</v>
      </c>
      <c r="G229" s="72">
        <v>0.63204280054881545</v>
      </c>
      <c r="H229" s="72">
        <v>0.76090563510212106</v>
      </c>
      <c r="I229" s="72">
        <v>0.97726998629629636</v>
      </c>
      <c r="J229" s="72">
        <v>1.1620682966447025</v>
      </c>
      <c r="K229" s="72">
        <v>1.2771884817528956</v>
      </c>
      <c r="L229" s="72">
        <v>0.93094813718534242</v>
      </c>
      <c r="M229" s="72">
        <v>0.8122143561660099</v>
      </c>
      <c r="N229" s="72">
        <v>0.67157095528845689</v>
      </c>
      <c r="O229" s="72">
        <v>0.55400518297023604</v>
      </c>
      <c r="P229" s="72">
        <v>0.3145982696956342</v>
      </c>
      <c r="Q229" s="72">
        <v>0.37181207564997593</v>
      </c>
      <c r="R229" s="281">
        <v>0.5197074463750142</v>
      </c>
      <c r="S229" s="281">
        <v>0.51797807094915205</v>
      </c>
      <c r="T229" s="281">
        <v>0.3133322848832184</v>
      </c>
      <c r="U229" s="281">
        <v>0.36012229330617151</v>
      </c>
      <c r="V229" s="281">
        <v>0.32790339715834549</v>
      </c>
      <c r="W229" s="281">
        <v>0.29760542666698425</v>
      </c>
      <c r="X229" s="281">
        <v>0.3084177253410339</v>
      </c>
      <c r="Y229" s="281">
        <v>0.30551709187901344</v>
      </c>
      <c r="Z229" s="281">
        <v>0.32041572994041045</v>
      </c>
      <c r="AA229" s="281">
        <v>0.34912436060180485</v>
      </c>
      <c r="AB229" s="281">
        <v>0.3928378133033481</v>
      </c>
      <c r="AC229" s="281">
        <v>0.44202837772004683</v>
      </c>
      <c r="AD229" s="281">
        <v>0.5100259538806684</v>
      </c>
      <c r="AE229" s="281">
        <v>0.58170455761122963</v>
      </c>
      <c r="AF229" s="281">
        <v>0.62835398367218342</v>
      </c>
      <c r="AG229" s="281">
        <v>0.57454134414121805</v>
      </c>
      <c r="AH229" s="281">
        <v>0.6682785022333575</v>
      </c>
      <c r="AI229" s="281">
        <v>0.61716474792497911</v>
      </c>
      <c r="AJ229" s="329">
        <v>0.61716474792497911</v>
      </c>
    </row>
    <row r="230" spans="2:36">
      <c r="B230" s="72" t="s">
        <v>847</v>
      </c>
      <c r="C230" s="72" t="s">
        <v>848</v>
      </c>
      <c r="D230" s="72">
        <v>0.77418691586507804</v>
      </c>
      <c r="E230" s="72">
        <v>0.7906869513124456</v>
      </c>
      <c r="F230" s="72">
        <v>0.78152310830796257</v>
      </c>
      <c r="G230" s="72">
        <v>0.74846951931712891</v>
      </c>
      <c r="H230" s="72">
        <v>0.73364510244012004</v>
      </c>
      <c r="I230" s="72">
        <v>0.73152795282624772</v>
      </c>
      <c r="J230" s="72">
        <v>0.75516428351440612</v>
      </c>
      <c r="K230" s="72">
        <v>0.93211804221388672</v>
      </c>
      <c r="L230" s="72">
        <v>0.98411305089302215</v>
      </c>
      <c r="M230" s="72">
        <v>0.36396962900829066</v>
      </c>
      <c r="N230" s="72">
        <v>0.25508137664787323</v>
      </c>
      <c r="O230" s="72">
        <v>0.26356595941864791</v>
      </c>
      <c r="P230" s="72">
        <v>0.23880357531327984</v>
      </c>
      <c r="Q230" s="72">
        <v>0.27101462810369548</v>
      </c>
      <c r="R230" s="281">
        <v>0.35759589004880571</v>
      </c>
      <c r="S230" s="281">
        <v>0.39631763033522488</v>
      </c>
      <c r="T230" s="281">
        <v>0.47677500226401875</v>
      </c>
      <c r="U230" s="281">
        <v>0.47819452917490152</v>
      </c>
      <c r="V230" s="281">
        <v>0.47206096134129166</v>
      </c>
      <c r="W230" s="281">
        <v>0.43973626990392328</v>
      </c>
      <c r="X230" s="281">
        <v>0.43396127812654012</v>
      </c>
      <c r="Y230" s="281">
        <v>0.34732521442599801</v>
      </c>
      <c r="Z230" s="281">
        <v>0.46052438456767075</v>
      </c>
      <c r="AA230" s="281">
        <v>0.50149057965185118</v>
      </c>
      <c r="AB230" s="281">
        <v>0.52401667179860401</v>
      </c>
      <c r="AC230" s="281">
        <v>0.5862146430678925</v>
      </c>
      <c r="AD230" s="281">
        <v>0.8006939407015945</v>
      </c>
      <c r="AE230" s="281">
        <v>0.8277545677595628</v>
      </c>
      <c r="AF230" s="281">
        <v>0.93554343045537347</v>
      </c>
      <c r="AG230" s="281">
        <v>0.98988759198542797</v>
      </c>
      <c r="AH230" s="281">
        <v>1.0508218273722771</v>
      </c>
      <c r="AI230" s="281"/>
      <c r="AJ230" s="329"/>
    </row>
    <row r="231" spans="2:36">
      <c r="B231" s="72" t="s">
        <v>849</v>
      </c>
      <c r="C231" s="72" t="s">
        <v>850</v>
      </c>
      <c r="D231" s="72">
        <v>0.81947498856545908</v>
      </c>
      <c r="E231" s="72">
        <v>0.69331627101259818</v>
      </c>
      <c r="F231" s="72">
        <v>0.60557859281849902</v>
      </c>
      <c r="G231" s="72">
        <v>0.59336761908039282</v>
      </c>
      <c r="H231" s="72">
        <v>0.49126482418432549</v>
      </c>
      <c r="I231" s="72">
        <v>0.33261833605958668</v>
      </c>
      <c r="J231" s="72">
        <v>0.35685781679078082</v>
      </c>
      <c r="K231" s="72">
        <v>0.39080003471521008</v>
      </c>
      <c r="L231" s="72">
        <v>0.42194507568889383</v>
      </c>
      <c r="M231" s="72">
        <v>0.36154448580869764</v>
      </c>
      <c r="N231" s="72">
        <v>0.45940314163324258</v>
      </c>
      <c r="O231" s="72">
        <v>0.45355066878160766</v>
      </c>
      <c r="P231" s="72">
        <v>0.47769218242929096</v>
      </c>
      <c r="Q231" s="72">
        <v>0.47914303670913544</v>
      </c>
      <c r="R231" s="281">
        <v>0.47925996384703595</v>
      </c>
      <c r="S231" s="281">
        <v>0.53451689985246564</v>
      </c>
      <c r="T231" s="281">
        <v>0.48043346617711269</v>
      </c>
      <c r="U231" s="281">
        <v>0.48672515253388721</v>
      </c>
      <c r="V231" s="281">
        <v>0.42936125211871584</v>
      </c>
      <c r="W231" s="281">
        <v>0.40347456213566907</v>
      </c>
      <c r="X231" s="281">
        <v>0.38219183337619705</v>
      </c>
      <c r="Y231" s="281">
        <v>0.32700787577401019</v>
      </c>
      <c r="Z231" s="281">
        <v>0.286836784864552</v>
      </c>
      <c r="AA231" s="281">
        <v>0.41611292607928974</v>
      </c>
      <c r="AB231" s="281">
        <v>0.5135124721184483</v>
      </c>
      <c r="AC231" s="281">
        <v>0.51782368849225979</v>
      </c>
      <c r="AD231" s="281">
        <v>0.55397760695084641</v>
      </c>
      <c r="AE231" s="281">
        <v>0.53883128676796732</v>
      </c>
      <c r="AF231" s="281">
        <v>0.50928830240234824</v>
      </c>
      <c r="AG231" s="281">
        <v>0.48515207264584737</v>
      </c>
      <c r="AH231" s="281">
        <v>0.59205266417266689</v>
      </c>
      <c r="AI231" s="281">
        <v>0.61503095824653553</v>
      </c>
      <c r="AJ231" s="329">
        <v>0.61503095824653553</v>
      </c>
    </row>
    <row r="232" spans="2:36">
      <c r="B232" s="72" t="s">
        <v>851</v>
      </c>
      <c r="C232" s="72" t="s">
        <v>386</v>
      </c>
      <c r="D232" s="72">
        <v>1.5057780087951582</v>
      </c>
      <c r="E232" s="72">
        <v>1.2590742443812459</v>
      </c>
      <c r="F232" s="72">
        <v>1.034028022156432</v>
      </c>
      <c r="G232" s="72">
        <v>0.89812645759152743</v>
      </c>
      <c r="H232" s="72">
        <v>0.86297687202301787</v>
      </c>
      <c r="I232" s="72">
        <v>0.85790570752798156</v>
      </c>
      <c r="J232" s="72">
        <v>1.0797209586445056</v>
      </c>
      <c r="K232" s="72">
        <v>1.2358374022143714</v>
      </c>
      <c r="L232" s="72">
        <v>1.3145556978717847</v>
      </c>
      <c r="M232" s="72">
        <v>1.2995070950379253</v>
      </c>
      <c r="N232" s="72">
        <v>1.4815353227005474</v>
      </c>
      <c r="O232" s="72">
        <v>1.5260907431169906</v>
      </c>
      <c r="P232" s="72">
        <v>1.5630829432672824</v>
      </c>
      <c r="Q232" s="72">
        <v>1.1815560648302796</v>
      </c>
      <c r="R232" s="281">
        <v>1.198109726412649</v>
      </c>
      <c r="S232" s="281">
        <v>1.3168467093771465</v>
      </c>
      <c r="T232" s="281">
        <v>1.3808498280644199</v>
      </c>
      <c r="U232" s="281">
        <v>1.2196165750697454</v>
      </c>
      <c r="V232" s="281">
        <v>1.1790142911231587</v>
      </c>
      <c r="W232" s="281">
        <v>1.1247948968822619</v>
      </c>
      <c r="X232" s="281">
        <v>0.99703682183318409</v>
      </c>
      <c r="Y232" s="281">
        <v>0.90512110687281555</v>
      </c>
      <c r="Z232" s="281">
        <v>0.96041634973452061</v>
      </c>
      <c r="AA232" s="281">
        <v>1.1544501653413799</v>
      </c>
      <c r="AB232" s="281">
        <v>1.2389844817380584</v>
      </c>
      <c r="AC232" s="281">
        <v>1.254951736162685</v>
      </c>
      <c r="AD232" s="281">
        <v>1.2325188626029207</v>
      </c>
      <c r="AE232" s="281">
        <v>1.3146663283408075</v>
      </c>
      <c r="AF232" s="281">
        <v>1.3310821489584441</v>
      </c>
      <c r="AG232" s="281">
        <v>1.1713104422366871</v>
      </c>
      <c r="AH232" s="281">
        <v>1.2575549396671288</v>
      </c>
      <c r="AI232" s="281">
        <v>1.3767687309707242</v>
      </c>
      <c r="AJ232" s="329">
        <v>1.3767687309707242</v>
      </c>
    </row>
    <row r="233" spans="2:36">
      <c r="B233" s="72" t="s">
        <v>852</v>
      </c>
      <c r="C233" s="72" t="s">
        <v>853</v>
      </c>
      <c r="D233" s="72">
        <v>1.2496542579220624</v>
      </c>
      <c r="E233" s="72">
        <v>1.02993075756033</v>
      </c>
      <c r="F233" s="72">
        <v>1.0081886627591983</v>
      </c>
      <c r="G233" s="72">
        <v>0.96024219570292035</v>
      </c>
      <c r="H233" s="72">
        <v>0.85786311146103766</v>
      </c>
      <c r="I233" s="72">
        <v>0.814130949900289</v>
      </c>
      <c r="J233" s="72">
        <v>1.1207001050642058</v>
      </c>
      <c r="K233" s="72">
        <v>1.34224814847103</v>
      </c>
      <c r="L233" s="72">
        <v>1.3590426091710517</v>
      </c>
      <c r="M233" s="72">
        <v>1.2118038174705057</v>
      </c>
      <c r="N233" s="72">
        <v>1.4371256917650446</v>
      </c>
      <c r="O233" s="72">
        <v>1.4173021241283126</v>
      </c>
      <c r="P233" s="72">
        <v>1.441789071255867</v>
      </c>
      <c r="Q233" s="72">
        <v>1.3738233798050892</v>
      </c>
      <c r="R233" s="281">
        <v>1.4710230649996345</v>
      </c>
      <c r="S233" s="281">
        <v>1.6791228811839323</v>
      </c>
      <c r="T233" s="281">
        <v>1.5705768745954694</v>
      </c>
      <c r="U233" s="281">
        <v>1.3070681795631502</v>
      </c>
      <c r="V233" s="281">
        <v>1.2962741633328736</v>
      </c>
      <c r="W233" s="281">
        <v>1.2463087604846226</v>
      </c>
      <c r="X233" s="281">
        <v>1.0962819161534818</v>
      </c>
      <c r="Y233" s="281">
        <v>1.0900564482104764</v>
      </c>
      <c r="Z233" s="281">
        <v>1.136351730399076</v>
      </c>
      <c r="AA233" s="281">
        <v>1.3188827741887577</v>
      </c>
      <c r="AB233" s="281">
        <v>1.4105167374346603</v>
      </c>
      <c r="AC233" s="281">
        <v>1.3996017194301225</v>
      </c>
      <c r="AD233" s="281">
        <v>1.3243173044407579</v>
      </c>
      <c r="AE233" s="281">
        <v>1.3337162058365339</v>
      </c>
      <c r="AF233" s="281">
        <v>1.4298568844694346</v>
      </c>
      <c r="AG233" s="281">
        <v>1.4034617264322604</v>
      </c>
      <c r="AH233" s="281">
        <v>1.4485462894230767</v>
      </c>
      <c r="AI233" s="281">
        <v>1.6265980561797753</v>
      </c>
      <c r="AJ233" s="329">
        <v>1.6265980561797753</v>
      </c>
    </row>
    <row r="234" spans="2:36">
      <c r="B234" s="72" t="s">
        <v>854</v>
      </c>
      <c r="C234" s="72" t="s">
        <v>855</v>
      </c>
      <c r="D234" s="72">
        <v>0.92867065734585164</v>
      </c>
      <c r="E234" s="72">
        <v>0.92114309180090836</v>
      </c>
      <c r="F234" s="72">
        <v>0.89297320116137879</v>
      </c>
      <c r="G234" s="72">
        <v>0.91393479026566427</v>
      </c>
      <c r="H234" s="72">
        <v>0.91374611859380872</v>
      </c>
      <c r="I234" s="72">
        <v>0.78308148970777958</v>
      </c>
      <c r="J234" s="72">
        <v>0.65301569234057522</v>
      </c>
      <c r="K234" s="72">
        <v>0.53183802047938122</v>
      </c>
      <c r="L234" s="72">
        <v>0.42261311654296263</v>
      </c>
      <c r="M234" s="72">
        <v>0.4167498987945783</v>
      </c>
      <c r="N234" s="72">
        <v>0.46596785814244324</v>
      </c>
      <c r="O234" s="72">
        <v>0.44049630491666664</v>
      </c>
      <c r="P234" s="72">
        <v>0.38815392823232753</v>
      </c>
      <c r="Q234" s="72">
        <v>0.37317819978996508</v>
      </c>
      <c r="R234" s="281">
        <v>0.25107963649999998</v>
      </c>
      <c r="S234" s="281">
        <v>0.26124941207584829</v>
      </c>
      <c r="T234" s="281">
        <v>0.29751098964071859</v>
      </c>
      <c r="U234" s="281">
        <v>0.30160394698443582</v>
      </c>
      <c r="V234" s="281">
        <v>0.29311351663461538</v>
      </c>
      <c r="W234" s="281">
        <v>0.31278325897286818</v>
      </c>
      <c r="X234" s="281">
        <v>0.36278703793175632</v>
      </c>
      <c r="Y234" s="281">
        <v>0.36815917768543527</v>
      </c>
      <c r="Z234" s="281">
        <v>0.34991418277755182</v>
      </c>
      <c r="AA234" s="281">
        <v>0.34453268067465964</v>
      </c>
      <c r="AB234" s="281">
        <v>0.36028153100990096</v>
      </c>
      <c r="AC234" s="281">
        <v>0.37771950586206898</v>
      </c>
      <c r="AD234" s="281">
        <v>0.40251559458455527</v>
      </c>
      <c r="AE234" s="281">
        <v>0.44859961561874251</v>
      </c>
      <c r="AF234" s="281">
        <v>0.5465686394408602</v>
      </c>
      <c r="AG234" s="281">
        <v>0.52202293479497552</v>
      </c>
      <c r="AH234" s="281">
        <v>0.55083204395254493</v>
      </c>
      <c r="AI234" s="281"/>
      <c r="AJ234" s="329"/>
    </row>
    <row r="235" spans="2:36">
      <c r="B235" s="72" t="s">
        <v>856</v>
      </c>
      <c r="C235" s="72" t="s">
        <v>857</v>
      </c>
      <c r="D235" s="72"/>
      <c r="E235" s="72"/>
      <c r="F235" s="72"/>
      <c r="G235" s="72"/>
      <c r="H235" s="72"/>
      <c r="I235" s="72"/>
      <c r="J235" s="72"/>
      <c r="K235" s="72"/>
      <c r="L235" s="72"/>
      <c r="M235" s="72"/>
      <c r="N235" s="72">
        <v>0.23186805169695007</v>
      </c>
      <c r="O235" s="72">
        <v>0.23277004942914775</v>
      </c>
      <c r="P235" s="72">
        <v>0.24177240547181336</v>
      </c>
      <c r="Q235" s="72">
        <v>0.24408031308592967</v>
      </c>
      <c r="R235" s="281">
        <v>0.24846241070724101</v>
      </c>
      <c r="S235" s="281">
        <v>0.25359586126743966</v>
      </c>
      <c r="T235" s="281">
        <v>0.2535640778138748</v>
      </c>
      <c r="U235" s="281">
        <v>0.2160106999288636</v>
      </c>
      <c r="V235" s="281">
        <v>0.28969884390934847</v>
      </c>
      <c r="W235" s="281">
        <v>0.22661427342058491</v>
      </c>
      <c r="X235" s="281">
        <v>0.16221151457400182</v>
      </c>
      <c r="Y235" s="281">
        <v>0.18076851623809123</v>
      </c>
      <c r="Z235" s="281">
        <v>0.1842143685539597</v>
      </c>
      <c r="AA235" s="281">
        <v>0.20836203909975828</v>
      </c>
      <c r="AB235" s="281">
        <v>0.24479041408853727</v>
      </c>
      <c r="AC235" s="281">
        <v>0.23883461796188155</v>
      </c>
      <c r="AD235" s="281">
        <v>0.33578679508246423</v>
      </c>
      <c r="AE235" s="281">
        <v>0.35235073931735661</v>
      </c>
      <c r="AF235" s="281">
        <v>0.39453707931325971</v>
      </c>
      <c r="AG235" s="281">
        <v>0.36149199534120263</v>
      </c>
      <c r="AH235" s="281">
        <v>0.38197700149959252</v>
      </c>
      <c r="AI235" s="281">
        <v>0.40220058100340544</v>
      </c>
      <c r="AJ235" s="329">
        <v>0.40220058100340544</v>
      </c>
    </row>
    <row r="236" spans="2:36">
      <c r="B236" s="72" t="s">
        <v>858</v>
      </c>
      <c r="C236" s="72" t="s">
        <v>859</v>
      </c>
      <c r="D236" s="72"/>
      <c r="E236" s="72"/>
      <c r="F236" s="72"/>
      <c r="G236" s="72"/>
      <c r="H236" s="72"/>
      <c r="I236" s="72"/>
      <c r="J236" s="72"/>
      <c r="K236" s="72"/>
      <c r="L236" s="72">
        <v>0.39718107154705912</v>
      </c>
      <c r="M236" s="72">
        <v>0.31968747548506976</v>
      </c>
      <c r="N236" s="72">
        <v>0.27722687289413972</v>
      </c>
      <c r="O236" s="72">
        <v>0.30571482277464901</v>
      </c>
      <c r="P236" s="72">
        <v>0.27633887820199743</v>
      </c>
      <c r="Q236" s="72">
        <v>0.24723049975940123</v>
      </c>
      <c r="R236" s="281">
        <v>0.25274111936408872</v>
      </c>
      <c r="S236" s="281">
        <v>0.27783519781073329</v>
      </c>
      <c r="T236" s="281">
        <v>0.32279876738144619</v>
      </c>
      <c r="U236" s="281">
        <v>0.36183690256443768</v>
      </c>
      <c r="V236" s="281">
        <v>0.41845437768761501</v>
      </c>
      <c r="W236" s="281">
        <v>0.40821191568561949</v>
      </c>
      <c r="X236" s="281">
        <v>0.39993789333117813</v>
      </c>
      <c r="Y236" s="281">
        <v>0.3761070114615086</v>
      </c>
      <c r="Z236" s="281">
        <v>0.35939423528654924</v>
      </c>
      <c r="AA236" s="281">
        <v>0.35531483514489737</v>
      </c>
      <c r="AB236" s="281">
        <v>0.35257990360917185</v>
      </c>
      <c r="AC236" s="281">
        <v>0.35044314261412424</v>
      </c>
      <c r="AD236" s="281">
        <v>0.32231996389229545</v>
      </c>
      <c r="AE236" s="281">
        <v>0.34322334344653144</v>
      </c>
      <c r="AF236" s="281">
        <v>0.38480624213739584</v>
      </c>
      <c r="AG236" s="281">
        <v>0.36952770262993584</v>
      </c>
      <c r="AH236" s="281">
        <v>0.36760754724857869</v>
      </c>
      <c r="AI236" s="281">
        <v>0.35194982755125287</v>
      </c>
      <c r="AJ236" s="329">
        <v>0.35194982755125287</v>
      </c>
    </row>
    <row r="237" spans="2:36">
      <c r="B237" s="72" t="s">
        <v>860</v>
      </c>
      <c r="C237" s="72" t="s">
        <v>861</v>
      </c>
      <c r="D237" s="72">
        <v>0.6426683521732327</v>
      </c>
      <c r="E237" s="72">
        <v>0.59756776336588058</v>
      </c>
      <c r="F237" s="72">
        <v>0.56138835431913892</v>
      </c>
      <c r="G237" s="72">
        <v>0.55973385775353834</v>
      </c>
      <c r="H237" s="72">
        <v>0.53248416676315125</v>
      </c>
      <c r="I237" s="72">
        <v>0.45953644797673276</v>
      </c>
      <c r="J237" s="72">
        <v>0.47185848336262015</v>
      </c>
      <c r="K237" s="72">
        <v>0.49083118333548814</v>
      </c>
      <c r="L237" s="72">
        <v>0.51090478474024958</v>
      </c>
      <c r="M237" s="72">
        <v>0.51418948619124771</v>
      </c>
      <c r="N237" s="72">
        <v>0.52638911016507817</v>
      </c>
      <c r="O237" s="72">
        <v>0.53979205154100651</v>
      </c>
      <c r="P237" s="72">
        <v>0.55493313716054338</v>
      </c>
      <c r="Q237" s="72">
        <v>0.56266047184417201</v>
      </c>
      <c r="R237" s="281">
        <v>0.58406460386381054</v>
      </c>
      <c r="S237" s="281">
        <v>0.6083702200632024</v>
      </c>
      <c r="T237" s="281">
        <v>0.61126953057760069</v>
      </c>
      <c r="U237" s="281">
        <v>0.5042611041546905</v>
      </c>
      <c r="V237" s="281">
        <v>0.41193714749765092</v>
      </c>
      <c r="W237" s="281">
        <v>0.42612094355595165</v>
      </c>
      <c r="X237" s="281">
        <v>0.39849229699720179</v>
      </c>
      <c r="Y237" s="281">
        <v>0.35905185987995114</v>
      </c>
      <c r="Z237" s="281">
        <v>0.36840398537401992</v>
      </c>
      <c r="AA237" s="281">
        <v>0.37859812296686651</v>
      </c>
      <c r="AB237" s="281">
        <v>0.39167302128209364</v>
      </c>
      <c r="AC237" s="281">
        <v>0.39612288945079693</v>
      </c>
      <c r="AD237" s="281">
        <v>0.4287893155060451</v>
      </c>
      <c r="AE237" s="281">
        <v>0.4731070107653354</v>
      </c>
      <c r="AF237" s="281">
        <v>0.49846782312169619</v>
      </c>
      <c r="AG237" s="281">
        <v>0.48734176603725154</v>
      </c>
      <c r="AH237" s="281">
        <v>0.54281578570143629</v>
      </c>
      <c r="AI237" s="281">
        <v>0.57510326921752475</v>
      </c>
      <c r="AJ237" s="329">
        <v>0.57510326921752475</v>
      </c>
    </row>
    <row r="238" spans="2:36">
      <c r="B238" s="72" t="s">
        <v>862</v>
      </c>
      <c r="C238" s="72" t="s">
        <v>863</v>
      </c>
      <c r="D238" s="72"/>
      <c r="E238" s="72"/>
      <c r="F238" s="72"/>
      <c r="G238" s="72"/>
      <c r="H238" s="72"/>
      <c r="I238" s="72"/>
      <c r="J238" s="72"/>
      <c r="K238" s="72"/>
      <c r="L238" s="72"/>
      <c r="M238" s="72"/>
      <c r="N238" s="72"/>
      <c r="O238" s="72"/>
      <c r="P238" s="72"/>
      <c r="Q238" s="72"/>
      <c r="R238" s="281"/>
      <c r="S238" s="281"/>
      <c r="T238" s="281"/>
      <c r="U238" s="281"/>
      <c r="V238" s="281"/>
      <c r="W238" s="281"/>
      <c r="X238" s="281">
        <v>0.36570841216</v>
      </c>
      <c r="Y238" s="281">
        <v>0.35811783082999998</v>
      </c>
      <c r="Z238" s="281">
        <v>0.35250741016999998</v>
      </c>
      <c r="AA238" s="281">
        <v>0.36150081052999999</v>
      </c>
      <c r="AB238" s="281">
        <v>0.35062037131000001</v>
      </c>
      <c r="AC238" s="281">
        <v>0.46914430000000001</v>
      </c>
      <c r="AD238" s="281">
        <v>0.46005446749000001</v>
      </c>
      <c r="AE238" s="281">
        <v>0.47231010202000001</v>
      </c>
      <c r="AF238" s="281">
        <v>0.51049589514000004</v>
      </c>
      <c r="AG238" s="281">
        <v>0.52953292112000006</v>
      </c>
      <c r="AH238" s="281">
        <v>0.53335830061</v>
      </c>
      <c r="AI238" s="281">
        <v>0.56816660758000004</v>
      </c>
      <c r="AJ238" s="329">
        <v>0.56816660758000004</v>
      </c>
    </row>
    <row r="239" spans="2:36">
      <c r="B239" s="72" t="s">
        <v>864</v>
      </c>
      <c r="C239" s="72" t="s">
        <v>865</v>
      </c>
      <c r="D239" s="72">
        <v>0.74720527771904033</v>
      </c>
      <c r="E239" s="72">
        <v>0.59837189487619491</v>
      </c>
      <c r="F239" s="72">
        <v>0.49944217187594753</v>
      </c>
      <c r="G239" s="72">
        <v>0.47337780031999926</v>
      </c>
      <c r="H239" s="72">
        <v>0.40536325662996925</v>
      </c>
      <c r="I239" s="72">
        <v>0.39558884495467539</v>
      </c>
      <c r="J239" s="72">
        <v>0.53005820742849552</v>
      </c>
      <c r="K239" s="72">
        <v>0.603239288129653</v>
      </c>
      <c r="L239" s="72">
        <v>0.60341031338847517</v>
      </c>
      <c r="M239" s="72">
        <v>0.5483348485628764</v>
      </c>
      <c r="N239" s="72">
        <v>0.6374202121174436</v>
      </c>
      <c r="O239" s="72">
        <v>0.61085498844263775</v>
      </c>
      <c r="P239" s="72">
        <v>0.65830863361043812</v>
      </c>
      <c r="Q239" s="72">
        <v>0.55280706810339686</v>
      </c>
      <c r="R239" s="281">
        <v>0.3753514206213317</v>
      </c>
      <c r="S239" s="281">
        <v>0.45323758195068414</v>
      </c>
      <c r="T239" s="281">
        <v>0.45796622830077627</v>
      </c>
      <c r="U239" s="281">
        <v>0.40180723930123047</v>
      </c>
      <c r="V239" s="281">
        <v>0.42948510529665662</v>
      </c>
      <c r="W239" s="281">
        <v>0.41010060530788961</v>
      </c>
      <c r="X239" s="281">
        <v>0.33223524823084499</v>
      </c>
      <c r="Y239" s="281">
        <v>0.3399587515614686</v>
      </c>
      <c r="Z239" s="281">
        <v>0.37370208058086568</v>
      </c>
      <c r="AA239" s="281">
        <v>0.39578889515837595</v>
      </c>
      <c r="AB239" s="281">
        <v>0.43630135239593482</v>
      </c>
      <c r="AC239" s="281">
        <v>0.45572674553525833</v>
      </c>
      <c r="AD239" s="281">
        <v>0.4418737617392739</v>
      </c>
      <c r="AE239" s="281">
        <v>0.48091849663693231</v>
      </c>
      <c r="AF239" s="281">
        <v>0.5761291501300545</v>
      </c>
      <c r="AG239" s="281">
        <v>0.55009597958622725</v>
      </c>
      <c r="AH239" s="281">
        <v>0.5299497680645654</v>
      </c>
      <c r="AI239" s="281">
        <v>0.56054563763101228</v>
      </c>
      <c r="AJ239" s="329">
        <v>0.56054563763101228</v>
      </c>
    </row>
    <row r="240" spans="2:36">
      <c r="B240" s="72" t="s">
        <v>866</v>
      </c>
      <c r="C240" s="72" t="s">
        <v>867</v>
      </c>
      <c r="D240" s="72"/>
      <c r="E240" s="72">
        <v>0.49377441891519197</v>
      </c>
      <c r="F240" s="72">
        <v>0.44310863513540927</v>
      </c>
      <c r="G240" s="72">
        <v>0.4098535416036036</v>
      </c>
      <c r="H240" s="72">
        <v>0.40985820118473015</v>
      </c>
      <c r="I240" s="72">
        <v>0.34889496434806899</v>
      </c>
      <c r="J240" s="72">
        <v>0.37946193207887702</v>
      </c>
      <c r="K240" s="72">
        <v>0.42868583747374317</v>
      </c>
      <c r="L240" s="72">
        <v>0.55139987408356839</v>
      </c>
      <c r="M240" s="72">
        <v>0.52778161125148992</v>
      </c>
      <c r="N240" s="72">
        <v>0.55434588859391876</v>
      </c>
      <c r="O240" s="72">
        <v>0.58648886990590776</v>
      </c>
      <c r="P240" s="72">
        <v>0.59403165477692821</v>
      </c>
      <c r="Q240" s="72">
        <v>0.56616161296965328</v>
      </c>
      <c r="R240" s="281">
        <v>0.73973436730798359</v>
      </c>
      <c r="S240" s="281">
        <v>0.72859364049885911</v>
      </c>
      <c r="T240" s="281">
        <v>0.77605432813540054</v>
      </c>
      <c r="U240" s="281">
        <v>0.73658884384645817</v>
      </c>
      <c r="V240" s="281">
        <v>0.62893373836461119</v>
      </c>
      <c r="W240" s="281">
        <v>0.61560189769245199</v>
      </c>
      <c r="X240" s="281">
        <v>0.56481557451236852</v>
      </c>
      <c r="Y240" s="281">
        <v>0.47210246468261441</v>
      </c>
      <c r="Z240" s="281">
        <v>0.48890316845845483</v>
      </c>
      <c r="AA240" s="281">
        <v>0.53650517217553684</v>
      </c>
      <c r="AB240" s="281">
        <v>0.59791065850071012</v>
      </c>
      <c r="AC240" s="281">
        <v>0.62161172616827609</v>
      </c>
      <c r="AD240" s="281">
        <v>0.68410213826130462</v>
      </c>
      <c r="AE240" s="281">
        <v>0.70539157623405491</v>
      </c>
      <c r="AF240" s="281">
        <v>0.78549536682808074</v>
      </c>
      <c r="AG240" s="281">
        <v>0.69192025291926262</v>
      </c>
      <c r="AH240" s="281">
        <v>0.77472907477858222</v>
      </c>
      <c r="AI240" s="281">
        <v>0.84961184731452855</v>
      </c>
      <c r="AJ240" s="329">
        <v>0.84961184731452855</v>
      </c>
    </row>
    <row r="241" spans="2:36">
      <c r="B241" s="72" t="s">
        <v>868</v>
      </c>
      <c r="C241" s="72" t="s">
        <v>869</v>
      </c>
      <c r="D241" s="72">
        <v>0.79121533251826137</v>
      </c>
      <c r="E241" s="72">
        <v>0.75978442993387985</v>
      </c>
      <c r="F241" s="72">
        <v>0.80300648121638984</v>
      </c>
      <c r="G241" s="72">
        <v>0.83051426083166224</v>
      </c>
      <c r="H241" s="72">
        <v>0.84456307335674596</v>
      </c>
      <c r="I241" s="72">
        <v>0.81284971952665375</v>
      </c>
      <c r="J241" s="72">
        <v>0.5343142097933814</v>
      </c>
      <c r="K241" s="72">
        <v>0.54431351353049473</v>
      </c>
      <c r="L241" s="72">
        <v>0.51310759128455286</v>
      </c>
      <c r="M241" s="72">
        <v>0.47934389494117652</v>
      </c>
      <c r="N241" s="72">
        <v>0.53337707534117651</v>
      </c>
      <c r="O241" s="72">
        <v>0.53159146002352942</v>
      </c>
      <c r="P241" s="72">
        <v>0.54605522898823533</v>
      </c>
      <c r="Q241" s="72">
        <v>0.44933609050443518</v>
      </c>
      <c r="R241" s="281">
        <v>0.45885070023031255</v>
      </c>
      <c r="S241" s="281">
        <v>0.46466721172648573</v>
      </c>
      <c r="T241" s="281">
        <v>0.47471509523024219</v>
      </c>
      <c r="U241" s="281">
        <v>0.45175741521853163</v>
      </c>
      <c r="V241" s="281">
        <v>0.43542559598433372</v>
      </c>
      <c r="W241" s="281">
        <v>0.46314534028008703</v>
      </c>
      <c r="X241" s="281">
        <v>0.51153094335825189</v>
      </c>
      <c r="Y241" s="281">
        <v>0.52003017020340303</v>
      </c>
      <c r="Z241" s="281">
        <v>0.48360118422611698</v>
      </c>
      <c r="AA241" s="281">
        <v>0.51623730387246092</v>
      </c>
      <c r="AB241" s="281">
        <v>0.53364326855032584</v>
      </c>
      <c r="AC241" s="281">
        <v>0.60977596676254398</v>
      </c>
      <c r="AD241" s="281">
        <v>0.59878642919008429</v>
      </c>
      <c r="AE241" s="281">
        <v>0.65375202983700731</v>
      </c>
      <c r="AF241" s="281">
        <v>0.80280257259082843</v>
      </c>
      <c r="AG241" s="281">
        <v>0.57733314892772669</v>
      </c>
      <c r="AH241" s="281">
        <v>0.60827387551984879</v>
      </c>
      <c r="AI241" s="281">
        <v>0.66600862756465362</v>
      </c>
      <c r="AJ241" s="329">
        <v>0.66600862756465362</v>
      </c>
    </row>
    <row r="242" spans="2:36">
      <c r="B242" s="72" t="s">
        <v>870</v>
      </c>
      <c r="C242" s="72" t="s">
        <v>871</v>
      </c>
      <c r="D242" s="72">
        <v>0.70880971221138411</v>
      </c>
      <c r="E242" s="72">
        <v>0.59210605240988246</v>
      </c>
      <c r="F242" s="72">
        <v>0.54124238917198519</v>
      </c>
      <c r="G242" s="72">
        <v>0.51063180967043331</v>
      </c>
      <c r="H242" s="72">
        <v>0.4600447068985492</v>
      </c>
      <c r="I242" s="72">
        <v>0.43050946294787301</v>
      </c>
      <c r="J242" s="72">
        <v>0.4581459572434291</v>
      </c>
      <c r="K242" s="72">
        <v>0.44855688312456254</v>
      </c>
      <c r="L242" s="72">
        <v>0.45099749373979953</v>
      </c>
      <c r="M242" s="72">
        <v>0.42741022190620648</v>
      </c>
      <c r="N242" s="72">
        <v>0.46411669440909092</v>
      </c>
      <c r="O242" s="72">
        <v>0.45955925307608697</v>
      </c>
      <c r="P242" s="72">
        <v>0.49484386465400276</v>
      </c>
      <c r="Q242" s="72">
        <v>0.44668897507223276</v>
      </c>
      <c r="R242" s="281">
        <v>0.45401622150059312</v>
      </c>
      <c r="S242" s="281">
        <v>0.50000914674844033</v>
      </c>
      <c r="T242" s="281">
        <v>0.49812348716868704</v>
      </c>
      <c r="U242" s="281">
        <v>0.49091020396961743</v>
      </c>
      <c r="V242" s="281">
        <v>0.48470722972688152</v>
      </c>
      <c r="W242" s="281">
        <v>0.47415416362333507</v>
      </c>
      <c r="X242" s="281">
        <v>0.4164612320566134</v>
      </c>
      <c r="Y242" s="281">
        <v>0.39911378360325289</v>
      </c>
      <c r="Z242" s="281">
        <v>0.40499339831037195</v>
      </c>
      <c r="AA242" s="281">
        <v>0.44612918134264651</v>
      </c>
      <c r="AB242" s="281">
        <v>0.46516695941388997</v>
      </c>
      <c r="AC242" s="281">
        <v>0.44817560798766387</v>
      </c>
      <c r="AD242" s="281">
        <v>0.43759235247182571</v>
      </c>
      <c r="AE242" s="281">
        <v>0.45325968931303673</v>
      </c>
      <c r="AF242" s="281">
        <v>0.48906729464329196</v>
      </c>
      <c r="AG242" s="281">
        <v>0.45404631541139001</v>
      </c>
      <c r="AH242" s="281">
        <v>0.44493315361184854</v>
      </c>
      <c r="AI242" s="281">
        <v>0.4594989063255483</v>
      </c>
      <c r="AJ242" s="329">
        <v>0.4594989063255483</v>
      </c>
    </row>
    <row r="243" spans="2:36">
      <c r="B243" s="72" t="s">
        <v>872</v>
      </c>
      <c r="C243" s="72" t="s">
        <v>873</v>
      </c>
      <c r="D243" s="72">
        <v>0.7235737394460664</v>
      </c>
      <c r="E243" s="72">
        <v>0.6515307636285167</v>
      </c>
      <c r="F243" s="72">
        <v>0.53877196975755604</v>
      </c>
      <c r="G243" s="72">
        <v>0.47181502459449026</v>
      </c>
      <c r="H243" s="72">
        <v>0.41446220137449546</v>
      </c>
      <c r="I243" s="72">
        <v>0.4324068025203886</v>
      </c>
      <c r="J243" s="72">
        <v>0.4451512950141584</v>
      </c>
      <c r="K243" s="72">
        <v>0.45470676761902545</v>
      </c>
      <c r="L243" s="72">
        <v>0.44856188701796323</v>
      </c>
      <c r="M243" s="72">
        <v>0.50841078767768944</v>
      </c>
      <c r="N243" s="72">
        <v>0.63005052441118736</v>
      </c>
      <c r="O243" s="72">
        <v>0.60435876907440877</v>
      </c>
      <c r="P243" s="72">
        <v>0.58670669525241603</v>
      </c>
      <c r="Q243" s="72">
        <v>0.60260371745831121</v>
      </c>
      <c r="R243" s="281">
        <v>0.45222864864864865</v>
      </c>
      <c r="S243" s="281">
        <v>0.53600720524017464</v>
      </c>
      <c r="T243" s="281">
        <v>0.52404804668304672</v>
      </c>
      <c r="U243" s="281">
        <v>0.50001996050032915</v>
      </c>
      <c r="V243" s="281">
        <v>0.50315092059838895</v>
      </c>
      <c r="W243" s="281">
        <v>0.48238651146131806</v>
      </c>
      <c r="X243" s="281">
        <v>0.4523285764555342</v>
      </c>
      <c r="Y243" s="281">
        <v>0.34930835427545692</v>
      </c>
      <c r="Z243" s="281">
        <v>0.40646241706475583</v>
      </c>
      <c r="AA243" s="281">
        <v>0.51524326404157517</v>
      </c>
      <c r="AB243" s="281">
        <v>0.56973217958611011</v>
      </c>
      <c r="AC243" s="281">
        <v>0.61821941351592746</v>
      </c>
      <c r="AD243" s="281">
        <v>0.59385710745537268</v>
      </c>
      <c r="AE243" s="281">
        <v>0.66331019111213452</v>
      </c>
      <c r="AF243" s="281">
        <v>0.68387259623511321</v>
      </c>
      <c r="AG243" s="281">
        <v>0.59172977483870959</v>
      </c>
      <c r="AH243" s="281">
        <v>0.63486534715611742</v>
      </c>
      <c r="AI243" s="281">
        <v>0.615074831605123</v>
      </c>
      <c r="AJ243" s="329">
        <v>0.615074831605123</v>
      </c>
    </row>
    <row r="244" spans="2:36">
      <c r="B244" s="72" t="s">
        <v>874</v>
      </c>
      <c r="C244" s="72" t="s">
        <v>875</v>
      </c>
      <c r="D244" s="72"/>
      <c r="E244" s="72"/>
      <c r="F244" s="72"/>
      <c r="G244" s="72"/>
      <c r="H244" s="72"/>
      <c r="I244" s="72"/>
      <c r="J244" s="72"/>
      <c r="K244" s="72">
        <v>0.23452517033785095</v>
      </c>
      <c r="L244" s="72">
        <v>0.25756339510056914</v>
      </c>
      <c r="M244" s="72">
        <v>0.26456590031716881</v>
      </c>
      <c r="N244" s="72">
        <v>0.19952013542385608</v>
      </c>
      <c r="O244" s="72">
        <v>0.20009738048311285</v>
      </c>
      <c r="P244" s="72">
        <v>0.23069927491782641</v>
      </c>
      <c r="Q244" s="72">
        <v>0.2209326033849052</v>
      </c>
      <c r="R244" s="281">
        <v>0.21091541646859896</v>
      </c>
      <c r="S244" s="281">
        <v>0.21527058479852695</v>
      </c>
      <c r="T244" s="281">
        <v>0.19002097888275019</v>
      </c>
      <c r="U244" s="281">
        <v>0.21667588825805909</v>
      </c>
      <c r="V244" s="281">
        <v>0.21217962309059929</v>
      </c>
      <c r="W244" s="281">
        <v>0.16881899573108314</v>
      </c>
      <c r="X244" s="281">
        <v>0.1856980729739757</v>
      </c>
      <c r="Y244" s="281">
        <v>0.21177288278229037</v>
      </c>
      <c r="Z244" s="281">
        <v>0.2623795963915409</v>
      </c>
      <c r="AA244" s="281">
        <v>0.3333422943088285</v>
      </c>
      <c r="AB244" s="281">
        <v>0.35325973455303383</v>
      </c>
      <c r="AC244" s="281">
        <v>0.35846470054446455</v>
      </c>
      <c r="AD244" s="281">
        <v>0.39685905542263278</v>
      </c>
      <c r="AE244" s="281">
        <v>0.42792038438555347</v>
      </c>
      <c r="AF244" s="281">
        <v>0.55544354382547723</v>
      </c>
      <c r="AG244" s="281">
        <v>0.54198747164912275</v>
      </c>
      <c r="AH244" s="281">
        <v>0.53998938554385967</v>
      </c>
      <c r="AI244" s="281">
        <v>0.58348484515789467</v>
      </c>
      <c r="AJ244" s="329">
        <v>0.58348484515789467</v>
      </c>
    </row>
    <row r="245" spans="2:36">
      <c r="B245" s="72" t="s">
        <v>876</v>
      </c>
      <c r="C245" s="72" t="s">
        <v>877</v>
      </c>
      <c r="D245" s="72"/>
      <c r="E245" s="72"/>
      <c r="F245" s="72"/>
      <c r="G245" s="72"/>
      <c r="H245" s="72"/>
      <c r="I245" s="72"/>
      <c r="J245" s="72"/>
      <c r="K245" s="72"/>
      <c r="L245" s="72"/>
      <c r="M245" s="72"/>
      <c r="N245" s="72"/>
      <c r="O245" s="72"/>
      <c r="P245" s="72"/>
      <c r="Q245" s="72"/>
      <c r="R245" s="281"/>
      <c r="S245" s="281"/>
      <c r="T245" s="281"/>
      <c r="U245" s="281"/>
      <c r="V245" s="281"/>
      <c r="W245" s="281"/>
      <c r="X245" s="281"/>
      <c r="Y245" s="281"/>
      <c r="Z245" s="281"/>
      <c r="AA245" s="281"/>
      <c r="AB245" s="281"/>
      <c r="AC245" s="281"/>
      <c r="AD245" s="281"/>
      <c r="AE245" s="281"/>
      <c r="AF245" s="281"/>
      <c r="AG245" s="281"/>
      <c r="AH245" s="281"/>
      <c r="AI245" s="281"/>
      <c r="AJ245" s="329"/>
    </row>
    <row r="246" spans="2:36">
      <c r="B246" s="72" t="s">
        <v>878</v>
      </c>
      <c r="C246" s="72" t="s">
        <v>879</v>
      </c>
      <c r="D246" s="72"/>
      <c r="E246" s="72"/>
      <c r="F246" s="72"/>
      <c r="G246" s="72"/>
      <c r="H246" s="72"/>
      <c r="I246" s="72"/>
      <c r="J246" s="72"/>
      <c r="K246" s="72"/>
      <c r="L246" s="72"/>
      <c r="M246" s="72"/>
      <c r="N246" s="72"/>
      <c r="O246" s="72"/>
      <c r="P246" s="72"/>
      <c r="Q246" s="72"/>
      <c r="R246" s="281"/>
      <c r="S246" s="281"/>
      <c r="T246" s="281"/>
      <c r="U246" s="281"/>
      <c r="V246" s="281"/>
      <c r="W246" s="281"/>
      <c r="X246" s="281"/>
      <c r="Y246" s="281"/>
      <c r="Z246" s="281"/>
      <c r="AA246" s="281"/>
      <c r="AB246" s="281"/>
      <c r="AC246" s="281"/>
      <c r="AD246" s="281"/>
      <c r="AE246" s="281"/>
      <c r="AF246" s="281"/>
      <c r="AG246" s="281"/>
      <c r="AH246" s="281"/>
      <c r="AI246" s="281"/>
      <c r="AJ246" s="329"/>
    </row>
    <row r="247" spans="2:36">
      <c r="B247" s="72" t="s">
        <v>880</v>
      </c>
      <c r="C247" s="72" t="s">
        <v>881</v>
      </c>
      <c r="D247" s="72"/>
      <c r="E247" s="72"/>
      <c r="F247" s="72">
        <v>0.51459447940000003</v>
      </c>
      <c r="G247" s="72">
        <v>0.48163049950000003</v>
      </c>
      <c r="H247" s="72">
        <v>0.75175264492056104</v>
      </c>
      <c r="I247" s="72">
        <v>0.73439794135010561</v>
      </c>
      <c r="J247" s="72">
        <v>0.79758535823848986</v>
      </c>
      <c r="K247" s="72">
        <v>1.1911058473385046</v>
      </c>
      <c r="L247" s="72">
        <v>1.1037301390333334</v>
      </c>
      <c r="M247" s="72">
        <v>0.81070509938628343</v>
      </c>
      <c r="N247" s="72">
        <v>0.5984400610547751</v>
      </c>
      <c r="O247" s="72">
        <v>0.42313950693985386</v>
      </c>
      <c r="P247" s="72">
        <v>0.34470602603468464</v>
      </c>
      <c r="Q247" s="72">
        <v>0.35093908309461547</v>
      </c>
      <c r="R247" s="281">
        <v>0.40052200741798188</v>
      </c>
      <c r="S247" s="281">
        <v>0.50624464444284001</v>
      </c>
      <c r="T247" s="281">
        <v>0.4789423369753027</v>
      </c>
      <c r="U247" s="281">
        <v>0.46370612976486719</v>
      </c>
      <c r="V247" s="281">
        <v>0.45783512237828378</v>
      </c>
      <c r="W247" s="281">
        <v>0.38040855451048533</v>
      </c>
      <c r="X247" s="281">
        <v>0.37272585404003222</v>
      </c>
      <c r="Y247" s="281">
        <v>0.32676628819984749</v>
      </c>
      <c r="Z247" s="281">
        <v>0.31283731528958703</v>
      </c>
      <c r="AA247" s="281">
        <v>0.29512100090644283</v>
      </c>
      <c r="AB247" s="281">
        <v>0.33677160844952264</v>
      </c>
      <c r="AC247" s="281">
        <v>0.35661065531827224</v>
      </c>
      <c r="AD247" s="281">
        <v>0.33681206503205308</v>
      </c>
      <c r="AE247" s="281">
        <v>0.36059448304546143</v>
      </c>
      <c r="AF247" s="281">
        <v>0.39329280134398303</v>
      </c>
      <c r="AG247" s="281">
        <v>0.39610499659263926</v>
      </c>
      <c r="AH247" s="281">
        <v>0.40417284417951621</v>
      </c>
      <c r="AI247" s="281">
        <v>0.36218193081218608</v>
      </c>
      <c r="AJ247" s="329">
        <v>0.36218193081218608</v>
      </c>
    </row>
    <row r="248" spans="2:36">
      <c r="B248" s="72" t="s">
        <v>882</v>
      </c>
      <c r="C248" s="72" t="s">
        <v>883</v>
      </c>
      <c r="D248" s="72"/>
      <c r="E248" s="72"/>
      <c r="F248" s="72"/>
      <c r="G248" s="72"/>
      <c r="H248" s="72"/>
      <c r="I248" s="72"/>
      <c r="J248" s="72"/>
      <c r="K248" s="72">
        <v>0.23585490559956249</v>
      </c>
      <c r="L248" s="72">
        <v>0.25902375489189272</v>
      </c>
      <c r="M248" s="72">
        <v>0.26606596364014862</v>
      </c>
      <c r="N248" s="72">
        <v>0.26957289746830682</v>
      </c>
      <c r="O248" s="72">
        <v>0.27070255818666766</v>
      </c>
      <c r="P248" s="72">
        <v>0.28024629876000134</v>
      </c>
      <c r="Q248" s="72">
        <v>0.28385627824828047</v>
      </c>
      <c r="R248" s="281">
        <v>0.28895236109461259</v>
      </c>
      <c r="S248" s="281">
        <v>0.29508474487707848</v>
      </c>
      <c r="T248" s="281">
        <v>0.29773907894273643</v>
      </c>
      <c r="U248" s="281">
        <v>0.33893743810885479</v>
      </c>
      <c r="V248" s="281">
        <v>0.28454941934258521</v>
      </c>
      <c r="W248" s="281">
        <v>0.21187806152470409</v>
      </c>
      <c r="X248" s="281">
        <v>0.19385748746390882</v>
      </c>
      <c r="Y248" s="281">
        <v>0.21105916250628248</v>
      </c>
      <c r="Z248" s="281">
        <v>0.22018888288964819</v>
      </c>
      <c r="AA248" s="281">
        <v>0.23310683092992293</v>
      </c>
      <c r="AB248" s="281">
        <v>0.26176766698627563</v>
      </c>
      <c r="AC248" s="281">
        <v>0.3275276527016216</v>
      </c>
      <c r="AD248" s="281">
        <v>0.36989106235643565</v>
      </c>
      <c r="AE248" s="281">
        <v>0.44125835287128712</v>
      </c>
      <c r="AF248" s="281">
        <v>0.53221921698435604</v>
      </c>
      <c r="AG248" s="281">
        <v>0.40155725268251363</v>
      </c>
      <c r="AH248" s="281">
        <v>0.44531383683816345</v>
      </c>
      <c r="AI248" s="281">
        <v>0.50157281528812148</v>
      </c>
      <c r="AJ248" s="329">
        <v>0.50157281528812148</v>
      </c>
    </row>
    <row r="249" spans="2:36">
      <c r="B249" s="72" t="s">
        <v>884</v>
      </c>
      <c r="C249" s="72" t="s">
        <v>885</v>
      </c>
      <c r="D249" s="72">
        <v>0.72898883298238915</v>
      </c>
      <c r="E249" s="72">
        <v>0.72061490777746451</v>
      </c>
      <c r="F249" s="72">
        <v>0.68814826801278195</v>
      </c>
      <c r="G249" s="72">
        <v>0.63801411069631409</v>
      </c>
      <c r="H249" s="72">
        <v>0.57742507365766771</v>
      </c>
      <c r="I249" s="72">
        <v>0.5644626503532405</v>
      </c>
      <c r="J249" s="72">
        <v>0.54273982934612142</v>
      </c>
      <c r="K249" s="72">
        <v>0.54672431994399673</v>
      </c>
      <c r="L249" s="72">
        <v>0.54090576119221145</v>
      </c>
      <c r="M249" s="72">
        <v>0.53041166907563064</v>
      </c>
      <c r="N249" s="72">
        <v>0.52807790045915082</v>
      </c>
      <c r="O249" s="72">
        <v>0.51486292362733688</v>
      </c>
      <c r="P249" s="72">
        <v>0.51335270199992233</v>
      </c>
      <c r="Q249" s="72">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 s="281">
        <v>0.53592519823574969</v>
      </c>
      <c r="Z249" s="281">
        <v>0.54724741633996965</v>
      </c>
      <c r="AA249" s="281">
        <v>0.55778399553815383</v>
      </c>
      <c r="AB249" s="281">
        <v>0.58865393907481434</v>
      </c>
      <c r="AC249" s="281">
        <v>0.66389845327317065</v>
      </c>
      <c r="AD249" s="281">
        <v>0.71960130986771453</v>
      </c>
      <c r="AE249" s="281">
        <v>0.7875115338633758</v>
      </c>
      <c r="AF249" s="281">
        <v>0.90971253533904506</v>
      </c>
      <c r="AG249" s="281">
        <v>0.7835680553844957</v>
      </c>
      <c r="AH249" s="281">
        <v>0.84459003918339581</v>
      </c>
      <c r="AI249" s="281">
        <v>0.95322122028506062</v>
      </c>
      <c r="AJ249" s="329">
        <v>0.95322122028506062</v>
      </c>
    </row>
    <row r="250" spans="2:36">
      <c r="B250" s="72" t="s">
        <v>886</v>
      </c>
      <c r="C250" s="72" t="s">
        <v>887</v>
      </c>
      <c r="D250" s="72">
        <v>1.1501337183360445</v>
      </c>
      <c r="E250" s="72">
        <v>1.0128211997588425</v>
      </c>
      <c r="F250" s="72">
        <v>0.89137783018867933</v>
      </c>
      <c r="G250" s="72">
        <v>0.78486193572836138</v>
      </c>
      <c r="H250" s="72">
        <v>0.69429865655759515</v>
      </c>
      <c r="I250" s="72">
        <v>0.6880129029774128</v>
      </c>
      <c r="J250" s="72">
        <v>0.79495589856347104</v>
      </c>
      <c r="K250" s="72">
        <v>0.90709065533583921</v>
      </c>
      <c r="L250" s="72">
        <v>1.0142328530771967</v>
      </c>
      <c r="M250" s="72">
        <v>0.9647167212041885</v>
      </c>
      <c r="N250" s="72">
        <v>1.0858693501420453</v>
      </c>
      <c r="O250" s="72">
        <v>1.1089541710758379</v>
      </c>
      <c r="P250" s="72">
        <v>1.1184271024921026</v>
      </c>
      <c r="Q250" s="72">
        <v>0.96210077684463113</v>
      </c>
      <c r="R250" s="281">
        <v>0.97692566574839312</v>
      </c>
      <c r="S250" s="281">
        <v>1.0133443159223607</v>
      </c>
      <c r="T250" s="281">
        <v>1.0017473463338533</v>
      </c>
      <c r="U250" s="281">
        <v>1.040467817616241</v>
      </c>
      <c r="V250" s="281">
        <v>1.0687865236833389</v>
      </c>
      <c r="W250" s="281">
        <v>1.0558879760556543</v>
      </c>
      <c r="X250" s="281">
        <v>0.9623056286881525</v>
      </c>
      <c r="Y250" s="281">
        <v>0.90209224125521803</v>
      </c>
      <c r="Z250" s="281">
        <v>0.94068859112709835</v>
      </c>
      <c r="AA250" s="281">
        <v>1.046274347755102</v>
      </c>
      <c r="AB250" s="281">
        <v>1.1580736350653631</v>
      </c>
      <c r="AC250" s="281">
        <v>1.1566825915730603</v>
      </c>
      <c r="AD250" s="281">
        <v>1.1544273699278915</v>
      </c>
      <c r="AE250" s="281">
        <v>1.2913656487358234</v>
      </c>
      <c r="AF250" s="281">
        <v>1.1964772522547364</v>
      </c>
      <c r="AG250" s="281">
        <v>1.0274883310822704</v>
      </c>
      <c r="AH250" s="281">
        <v>1.0266094384615383</v>
      </c>
      <c r="AI250" s="281">
        <v>1.0948342790322581</v>
      </c>
      <c r="AJ250" s="329">
        <v>1.0948342790322581</v>
      </c>
    </row>
    <row r="251" spans="2:36">
      <c r="B251" s="72" t="s">
        <v>888</v>
      </c>
      <c r="C251" s="72" t="s">
        <v>889</v>
      </c>
      <c r="D251" s="72">
        <v>1</v>
      </c>
      <c r="E251" s="72">
        <v>1</v>
      </c>
      <c r="F251" s="72">
        <v>1</v>
      </c>
      <c r="G251" s="72">
        <v>1</v>
      </c>
      <c r="H251" s="72">
        <v>1</v>
      </c>
      <c r="I251" s="72">
        <v>1</v>
      </c>
      <c r="J251" s="72">
        <v>1</v>
      </c>
      <c r="K251" s="72">
        <v>1</v>
      </c>
      <c r="L251" s="72">
        <v>1</v>
      </c>
      <c r="M251" s="72">
        <v>1</v>
      </c>
      <c r="N251" s="72">
        <v>1</v>
      </c>
      <c r="O251" s="72">
        <v>1</v>
      </c>
      <c r="P251" s="72">
        <v>1</v>
      </c>
      <c r="Q251" s="72">
        <v>1</v>
      </c>
      <c r="R251" s="281">
        <v>1</v>
      </c>
      <c r="S251" s="281">
        <v>1</v>
      </c>
      <c r="T251" s="281">
        <v>1</v>
      </c>
      <c r="U251" s="281">
        <v>1</v>
      </c>
      <c r="V251" s="281">
        <v>1</v>
      </c>
      <c r="W251" s="281">
        <v>1</v>
      </c>
      <c r="X251" s="281">
        <v>1</v>
      </c>
      <c r="Y251" s="281">
        <v>1</v>
      </c>
      <c r="Z251" s="281">
        <v>1</v>
      </c>
      <c r="AA251" s="281">
        <v>1</v>
      </c>
      <c r="AB251" s="281">
        <v>1</v>
      </c>
      <c r="AC251" s="281">
        <v>1</v>
      </c>
      <c r="AD251" s="281">
        <v>1</v>
      </c>
      <c r="AE251" s="281">
        <v>1</v>
      </c>
      <c r="AF251" s="281">
        <v>1</v>
      </c>
      <c r="AG251" s="281">
        <v>1</v>
      </c>
      <c r="AH251" s="281">
        <v>1</v>
      </c>
      <c r="AI251" s="281">
        <v>1</v>
      </c>
      <c r="AJ251" s="329">
        <v>1</v>
      </c>
    </row>
    <row r="252" spans="2:36">
      <c r="B252" s="72" t="s">
        <v>890</v>
      </c>
      <c r="C252" s="72" t="s">
        <v>891</v>
      </c>
      <c r="D252" s="72">
        <v>0.93525386477817563</v>
      </c>
      <c r="E252" s="72">
        <v>0.91532475031732641</v>
      </c>
      <c r="F252" s="72">
        <v>0.7942719193260811</v>
      </c>
      <c r="G252" s="72">
        <v>0.47335136276101214</v>
      </c>
      <c r="H252" s="72">
        <v>0.43869381915184824</v>
      </c>
      <c r="I252" s="72">
        <v>0.4093144040788485</v>
      </c>
      <c r="J252" s="72">
        <v>0.45721929345457418</v>
      </c>
      <c r="K252" s="72">
        <v>0.51537202884862676</v>
      </c>
      <c r="L252" s="72">
        <v>0.54711585615941627</v>
      </c>
      <c r="M252" s="72">
        <v>0.53582428790137449</v>
      </c>
      <c r="N252" s="72">
        <v>0.56716171607894106</v>
      </c>
      <c r="O252" s="72">
        <v>0.63843906123925742</v>
      </c>
      <c r="P252" s="72">
        <v>0.66575407443773338</v>
      </c>
      <c r="Q252" s="72">
        <v>0.73927162622523213</v>
      </c>
      <c r="R252" s="281">
        <v>0.78664658412504562</v>
      </c>
      <c r="S252" s="281">
        <v>0.86143508478500541</v>
      </c>
      <c r="T252" s="281">
        <v>0.85232078951758883</v>
      </c>
      <c r="U252" s="281">
        <v>0.90006126553856625</v>
      </c>
      <c r="V252" s="281">
        <v>0.89939022954764669</v>
      </c>
      <c r="W252" s="281">
        <v>0.85400136169781216</v>
      </c>
      <c r="X252" s="281">
        <v>0.81111479960494559</v>
      </c>
      <c r="Y252" s="281">
        <v>0.75529066348326834</v>
      </c>
      <c r="Z252" s="281">
        <v>0.52443588366185256</v>
      </c>
      <c r="AA252" s="281">
        <v>0.45106487115626942</v>
      </c>
      <c r="AB252" s="281">
        <v>0.47473229562941149</v>
      </c>
      <c r="AC252" s="281">
        <v>0.54244356428921447</v>
      </c>
      <c r="AD252" s="281">
        <v>0.56924640763711498</v>
      </c>
      <c r="AE252" s="281">
        <v>0.62084053304876119</v>
      </c>
      <c r="AF252" s="281">
        <v>0.73512493436885107</v>
      </c>
      <c r="AG252" s="281">
        <v>0.71149884882423664</v>
      </c>
      <c r="AH252" s="281">
        <v>0.83845715884547178</v>
      </c>
      <c r="AI252" s="281">
        <v>0.91962966016254477</v>
      </c>
      <c r="AJ252" s="329">
        <v>0.91962966016254477</v>
      </c>
    </row>
    <row r="253" spans="2:36">
      <c r="B253" s="72" t="s">
        <v>892</v>
      </c>
      <c r="C253" s="72" t="s">
        <v>893</v>
      </c>
      <c r="D253" s="72"/>
      <c r="E253" s="72"/>
      <c r="F253" s="72"/>
      <c r="G253" s="72"/>
      <c r="H253" s="72"/>
      <c r="I253" s="72"/>
      <c r="J253" s="72"/>
      <c r="K253" s="72"/>
      <c r="L253" s="72"/>
      <c r="M253" s="72"/>
      <c r="N253" s="72">
        <v>0.45048233039495672</v>
      </c>
      <c r="O253" s="72">
        <v>0.4522347668980734</v>
      </c>
      <c r="P253" s="72">
        <v>0.46817850721753096</v>
      </c>
      <c r="Q253" s="72">
        <v>0.47420932658537263</v>
      </c>
      <c r="R253" s="281">
        <v>0.48272282514137121</v>
      </c>
      <c r="S253" s="281">
        <v>0.49269029427195926</v>
      </c>
      <c r="T253" s="281">
        <v>0.4973631593313374</v>
      </c>
      <c r="U253" s="281">
        <v>0.49029644626415092</v>
      </c>
      <c r="V253" s="281">
        <v>0.47125333709779843</v>
      </c>
      <c r="W253" s="281">
        <v>0.50737067703786909</v>
      </c>
      <c r="X253" s="281">
        <v>0.38548960802231708</v>
      </c>
      <c r="Y253" s="281">
        <v>0.29973338318016624</v>
      </c>
      <c r="Z253" s="281">
        <v>0.2409803288558314</v>
      </c>
      <c r="AA253" s="281">
        <v>0.23693488039203575</v>
      </c>
      <c r="AB253" s="281">
        <v>0.25400251573783356</v>
      </c>
      <c r="AC253" s="281">
        <v>0.27325650978489407</v>
      </c>
      <c r="AD253" s="281">
        <v>0.29366705149640659</v>
      </c>
      <c r="AE253" s="281">
        <v>0.34144336741380948</v>
      </c>
      <c r="AF253" s="281">
        <v>0.38348041670076843</v>
      </c>
      <c r="AG253" s="281">
        <v>0.41158304441123894</v>
      </c>
      <c r="AH253" s="281">
        <v>0.45147005683883507</v>
      </c>
      <c r="AI253" s="281">
        <v>0.47026473184178291</v>
      </c>
      <c r="AJ253" s="329">
        <v>0.47026473184178291</v>
      </c>
    </row>
    <row r="254" spans="2:36">
      <c r="B254" s="72" t="s">
        <v>894</v>
      </c>
      <c r="C254" s="72" t="s">
        <v>895</v>
      </c>
      <c r="D254" s="72">
        <v>0.74272752850989088</v>
      </c>
      <c r="E254" s="72">
        <v>0.56738149159910345</v>
      </c>
      <c r="F254" s="72">
        <v>0.48016062411732874</v>
      </c>
      <c r="G254" s="72">
        <v>0.45528663370753664</v>
      </c>
      <c r="H254" s="72">
        <v>0.49288794583702406</v>
      </c>
      <c r="I254" s="72">
        <v>0.43219914131031201</v>
      </c>
      <c r="J254" s="72">
        <v>0.40617121591815802</v>
      </c>
      <c r="K254" s="72">
        <v>0.44794349266215272</v>
      </c>
      <c r="L254" s="72">
        <v>0.50002563476256057</v>
      </c>
      <c r="M254" s="72">
        <v>0.46162579052865516</v>
      </c>
      <c r="N254" s="72">
        <v>0.43649490907792071</v>
      </c>
      <c r="O254" s="72">
        <v>0.48804081789095416</v>
      </c>
      <c r="P254" s="72">
        <v>0.48383677009726861</v>
      </c>
      <c r="Q254" s="72">
        <v>0.45061294484690978</v>
      </c>
      <c r="R254" s="281">
        <v>0.47208003187379899</v>
      </c>
      <c r="S254" s="281">
        <v>0.48722531386984441</v>
      </c>
      <c r="T254" s="281">
        <v>0.49040765330846925</v>
      </c>
      <c r="U254" s="281">
        <v>0.4786380983376301</v>
      </c>
      <c r="V254" s="281">
        <v>0.46387910633922397</v>
      </c>
      <c r="W254" s="281">
        <v>0.46554820208405973</v>
      </c>
      <c r="X254" s="281">
        <v>0.43665696672486054</v>
      </c>
      <c r="Y254" s="281">
        <v>0.41949780076731186</v>
      </c>
      <c r="Z254" s="281">
        <v>0.43812235599141663</v>
      </c>
      <c r="AA254" s="281">
        <v>0.49524481004049459</v>
      </c>
      <c r="AB254" s="281">
        <v>0.53517814424367116</v>
      </c>
      <c r="AC254" s="281">
        <v>0.53213038853667594</v>
      </c>
      <c r="AD254" s="281">
        <v>0.53156245587283313</v>
      </c>
      <c r="AE254" s="281">
        <v>0.5878948699994142</v>
      </c>
      <c r="AF254" s="281">
        <v>0.60916872711931314</v>
      </c>
      <c r="AG254" s="281">
        <v>0.57826816980381013</v>
      </c>
      <c r="AH254" s="281">
        <v>0.65083202460120237</v>
      </c>
      <c r="AI254" s="281">
        <v>0.69523920264002059</v>
      </c>
      <c r="AJ254" s="329">
        <v>0.69523920264002059</v>
      </c>
    </row>
    <row r="255" spans="2:36">
      <c r="B255" s="72" t="s">
        <v>896</v>
      </c>
      <c r="C255" s="72" t="s">
        <v>897</v>
      </c>
      <c r="D255" s="72">
        <v>0.80656965188118801</v>
      </c>
      <c r="E255" s="72">
        <v>0.83234480510192188</v>
      </c>
      <c r="F255" s="72">
        <v>0.81381431443214902</v>
      </c>
      <c r="G255" s="72">
        <v>0.83355147665952289</v>
      </c>
      <c r="H255" s="72">
        <v>0.56386124582113761</v>
      </c>
      <c r="I255" s="72">
        <v>0.56545392312000009</v>
      </c>
      <c r="J255" s="72">
        <v>0.52805822015184345</v>
      </c>
      <c r="K255" s="72">
        <v>0.38119612200689657</v>
      </c>
      <c r="L255" s="72">
        <v>0.44855420079310337</v>
      </c>
      <c r="M255" s="72">
        <v>0.34101343517437255</v>
      </c>
      <c r="N255" s="72">
        <v>0.34436581000202554</v>
      </c>
      <c r="O255" s="72">
        <v>0.33389397448962532</v>
      </c>
      <c r="P255" s="72">
        <v>0.34846487401336429</v>
      </c>
      <c r="Q255" s="72">
        <v>0.33794261937110515</v>
      </c>
      <c r="R255" s="281">
        <v>0.32995949955219761</v>
      </c>
      <c r="S255" s="281">
        <v>0.4109410964929146</v>
      </c>
      <c r="T255" s="281">
        <v>0.36877163847967565</v>
      </c>
      <c r="U255" s="281">
        <v>0.4277216282910557</v>
      </c>
      <c r="V255" s="281">
        <v>0.44751221864065044</v>
      </c>
      <c r="W255" s="281">
        <v>0.50312528595036965</v>
      </c>
      <c r="X255" s="281">
        <v>0.56790716078886994</v>
      </c>
      <c r="Y255" s="281">
        <v>0.56350520028576723</v>
      </c>
      <c r="Z255" s="281">
        <v>0.45978322982901942</v>
      </c>
      <c r="AA255" s="281">
        <v>0.43945352025642143</v>
      </c>
      <c r="AB255" s="281">
        <v>0.48593622282869314</v>
      </c>
      <c r="AC255" s="281">
        <v>0.55168391472664191</v>
      </c>
      <c r="AD255" s="281">
        <v>0.61332870568234754</v>
      </c>
      <c r="AE255" s="281">
        <v>0.68812902664182585</v>
      </c>
      <c r="AF255" s="281">
        <v>0.87610544927806244</v>
      </c>
      <c r="AG255" s="281">
        <v>0.9324442918025152</v>
      </c>
      <c r="AH255" s="281">
        <v>1.1236107906470643</v>
      </c>
      <c r="AI255" s="281">
        <v>0.8478920787774229</v>
      </c>
      <c r="AJ255" s="329">
        <v>0.8478920787774229</v>
      </c>
    </row>
    <row r="256" spans="2:36">
      <c r="B256" s="72" t="s">
        <v>898</v>
      </c>
      <c r="C256" s="72" t="s">
        <v>899</v>
      </c>
      <c r="D256" s="72"/>
      <c r="E256" s="72"/>
      <c r="F256" s="72"/>
      <c r="G256" s="72"/>
      <c r="H256" s="72"/>
      <c r="I256" s="72">
        <v>0.48397716502171745</v>
      </c>
      <c r="J256" s="72">
        <v>0.86055333936220713</v>
      </c>
      <c r="K256" s="72">
        <v>1.1234550582771776</v>
      </c>
      <c r="L256" s="72">
        <v>0.71616421744023218</v>
      </c>
      <c r="M256" s="72">
        <v>0.15912614760485091</v>
      </c>
      <c r="N256" s="72">
        <v>0.15000683842602125</v>
      </c>
      <c r="O256" s="72">
        <v>0.2033792058950144</v>
      </c>
      <c r="P256" s="72">
        <v>0.1881694026216425</v>
      </c>
      <c r="Q256" s="72">
        <v>0.22760222149042114</v>
      </c>
      <c r="R256" s="281">
        <v>0.25323145601042513</v>
      </c>
      <c r="S256" s="281">
        <v>0.28764545474219338</v>
      </c>
      <c r="T256" s="281">
        <v>0.3073799949667631</v>
      </c>
      <c r="U256" s="281">
        <v>0.30355826797126878</v>
      </c>
      <c r="V256" s="281">
        <v>0.28689528130087427</v>
      </c>
      <c r="W256" s="281">
        <v>0.2844868129580132</v>
      </c>
      <c r="X256" s="281">
        <v>0.28338905683658894</v>
      </c>
      <c r="Y256" s="281">
        <v>0.27181251582438165</v>
      </c>
      <c r="Z256" s="281">
        <v>0.26791882636866388</v>
      </c>
      <c r="AA256" s="281">
        <v>0.27578326037987322</v>
      </c>
      <c r="AB256" s="281">
        <v>0.28582337504763117</v>
      </c>
      <c r="AC256" s="281">
        <v>0.2971633124477811</v>
      </c>
      <c r="AD256" s="281">
        <v>0.30618158853337918</v>
      </c>
      <c r="AE256" s="281">
        <v>0.31985455574545374</v>
      </c>
      <c r="AF256" s="281">
        <v>0.3775833051879342</v>
      </c>
      <c r="AG256" s="281">
        <v>0.37748138759552963</v>
      </c>
      <c r="AH256" s="281">
        <v>0.38442171039287165</v>
      </c>
      <c r="AI256" s="281">
        <v>0.41244756693767604</v>
      </c>
      <c r="AJ256" s="329">
        <v>0.41244756693767604</v>
      </c>
    </row>
    <row r="257" spans="2:55">
      <c r="B257" s="72" t="s">
        <v>900</v>
      </c>
      <c r="C257" s="72" t="s">
        <v>901</v>
      </c>
      <c r="D257" s="72"/>
      <c r="E257" s="72"/>
      <c r="F257" s="72"/>
      <c r="G257" s="72"/>
      <c r="H257" s="72"/>
      <c r="I257" s="72"/>
      <c r="J257" s="72"/>
      <c r="K257" s="72"/>
      <c r="L257" s="72"/>
      <c r="M257" s="72"/>
      <c r="N257" s="72"/>
      <c r="O257" s="72"/>
      <c r="P257" s="72"/>
      <c r="Q257" s="72"/>
      <c r="R257" s="281"/>
      <c r="S257" s="281"/>
      <c r="T257" s="281"/>
      <c r="U257" s="281"/>
      <c r="V257" s="281"/>
      <c r="W257" s="281"/>
      <c r="X257" s="281"/>
      <c r="Y257" s="281"/>
      <c r="Z257" s="281"/>
      <c r="AA257" s="281"/>
      <c r="AB257" s="281"/>
      <c r="AC257" s="281"/>
      <c r="AD257" s="281"/>
      <c r="AE257" s="281"/>
      <c r="AF257" s="281"/>
      <c r="AG257" s="281"/>
      <c r="AH257" s="281"/>
      <c r="AI257" s="281"/>
      <c r="AJ257" s="329"/>
    </row>
    <row r="258" spans="2:55">
      <c r="B258" s="72" t="s">
        <v>902</v>
      </c>
      <c r="C258" s="72" t="s">
        <v>903</v>
      </c>
      <c r="D258" s="72"/>
      <c r="E258" s="72"/>
      <c r="F258" s="72"/>
      <c r="G258" s="72"/>
      <c r="H258" s="72"/>
      <c r="I258" s="72"/>
      <c r="J258" s="72"/>
      <c r="K258" s="72"/>
      <c r="L258" s="72"/>
      <c r="M258" s="72"/>
      <c r="N258" s="72"/>
      <c r="O258" s="72"/>
      <c r="P258" s="72"/>
      <c r="Q258" s="72"/>
      <c r="R258" s="281">
        <v>0.52424279562366949</v>
      </c>
      <c r="S258" s="281">
        <v>0.55019561941576145</v>
      </c>
      <c r="T258" s="281">
        <v>0.54843971988038698</v>
      </c>
      <c r="U258" s="281">
        <v>0.52593774137078497</v>
      </c>
      <c r="V258" s="281">
        <v>0.49324930192234806</v>
      </c>
      <c r="W258" s="281">
        <v>0.47235965955795661</v>
      </c>
      <c r="X258" s="281">
        <v>0.48301370295539697</v>
      </c>
      <c r="Y258" s="281">
        <v>0.44905453882363172</v>
      </c>
      <c r="Z258" s="281">
        <v>0.41772140757890019</v>
      </c>
      <c r="AA258" s="281">
        <v>0.42798039304817981</v>
      </c>
      <c r="AB258" s="281">
        <v>0.44945958134320035</v>
      </c>
      <c r="AC258" s="281">
        <v>0.4557280319999476</v>
      </c>
      <c r="AD258" s="281"/>
      <c r="AE258" s="281"/>
      <c r="AF258" s="281"/>
      <c r="AG258" s="281"/>
      <c r="AH258" s="281"/>
      <c r="AI258" s="281"/>
      <c r="AJ258" s="329"/>
    </row>
    <row r="259" spans="2:55">
      <c r="B259" s="72" t="s">
        <v>904</v>
      </c>
      <c r="C259" s="72" t="s">
        <v>905</v>
      </c>
      <c r="D259" s="72"/>
      <c r="E259" s="72"/>
      <c r="F259" s="72"/>
      <c r="G259" s="72"/>
      <c r="H259" s="72"/>
      <c r="I259" s="72"/>
      <c r="J259" s="72"/>
      <c r="K259" s="72"/>
      <c r="L259" s="72"/>
      <c r="M259" s="72"/>
      <c r="N259" s="72">
        <v>0.36107301611450382</v>
      </c>
      <c r="O259" s="72">
        <v>0.34500021191919189</v>
      </c>
      <c r="P259" s="72">
        <v>0.34033369883128561</v>
      </c>
      <c r="Q259" s="72">
        <v>0.26595088245938719</v>
      </c>
      <c r="R259" s="281">
        <v>0.18959215088544892</v>
      </c>
      <c r="S259" s="281">
        <v>0.17918795495932288</v>
      </c>
      <c r="T259" s="281">
        <v>0.22860082991653016</v>
      </c>
      <c r="U259" s="281">
        <v>0.25193087850966073</v>
      </c>
      <c r="V259" s="281">
        <v>0.21675540129728615</v>
      </c>
      <c r="W259" s="281">
        <v>0.24867578610693691</v>
      </c>
      <c r="X259" s="281">
        <v>0.28909626313706577</v>
      </c>
      <c r="Y259" s="281">
        <v>0.27848137243881615</v>
      </c>
      <c r="Z259" s="281">
        <v>0.28611065286832743</v>
      </c>
      <c r="AA259" s="281">
        <v>0.29747856239915399</v>
      </c>
      <c r="AB259" s="281">
        <v>0.32780683921613191</v>
      </c>
      <c r="AC259" s="281">
        <v>0.36285545423974858</v>
      </c>
      <c r="AD259" s="281">
        <v>0.38805413128140065</v>
      </c>
      <c r="AE259" s="281">
        <v>0.41418301985393535</v>
      </c>
      <c r="AF259" s="281">
        <v>0.48593443541958747</v>
      </c>
      <c r="AG259" s="281">
        <v>0.43110615115826217</v>
      </c>
      <c r="AH259" s="281">
        <v>0.49098563208707136</v>
      </c>
      <c r="AI259" s="281">
        <v>0.58342678283442462</v>
      </c>
      <c r="AJ259" s="329">
        <v>0.58342678283442462</v>
      </c>
    </row>
    <row r="260" spans="2:55">
      <c r="B260" s="72" t="s">
        <v>906</v>
      </c>
      <c r="C260" s="72" t="s">
        <v>907</v>
      </c>
      <c r="D260" s="72">
        <v>0.9194570726207969</v>
      </c>
      <c r="E260" s="72">
        <v>0.81702108096911163</v>
      </c>
      <c r="F260" s="72">
        <v>0.76530257306056526</v>
      </c>
      <c r="G260" s="72">
        <v>0.64424460325655286</v>
      </c>
      <c r="H260" s="72">
        <v>0.51017718430357639</v>
      </c>
      <c r="I260" s="72">
        <v>0.40351638968819353</v>
      </c>
      <c r="J260" s="72">
        <v>0.28955438201627048</v>
      </c>
      <c r="K260" s="72">
        <v>0.37288597428954851</v>
      </c>
      <c r="L260" s="72">
        <v>0.55810634054457842</v>
      </c>
      <c r="M260" s="72">
        <v>0.58215621502167758</v>
      </c>
      <c r="N260" s="72">
        <v>0.46394714867282333</v>
      </c>
      <c r="O260" s="72">
        <v>0.46092880405579473</v>
      </c>
      <c r="P260" s="72">
        <v>0.43298303793572651</v>
      </c>
      <c r="Q260" s="72">
        <v>0.40803245066283417</v>
      </c>
      <c r="R260" s="281">
        <v>0.44740749053615392</v>
      </c>
      <c r="S260" s="281">
        <v>0.46755080661726806</v>
      </c>
      <c r="T260" s="281">
        <v>0.40396669926318401</v>
      </c>
      <c r="U260" s="281">
        <v>0.45876452560008668</v>
      </c>
      <c r="V260" s="281">
        <v>0.38161842314340061</v>
      </c>
      <c r="W260" s="281">
        <v>0.35588771130946556</v>
      </c>
      <c r="X260" s="281">
        <v>0.34964896645846505</v>
      </c>
      <c r="Y260" s="281">
        <v>0.36604417983153953</v>
      </c>
      <c r="Z260" s="281">
        <v>0.35411209984097192</v>
      </c>
      <c r="AA260" s="281">
        <v>0.3859409909666579</v>
      </c>
      <c r="AB260" s="281">
        <v>0.44615230210180229</v>
      </c>
      <c r="AC260" s="281">
        <v>0.54101189050747989</v>
      </c>
      <c r="AD260" s="281">
        <v>0.73557381391894361</v>
      </c>
      <c r="AE260" s="281">
        <v>0.72594360119632206</v>
      </c>
      <c r="AF260" s="281">
        <v>0.85252990604302359</v>
      </c>
      <c r="AG260" s="281">
        <v>0.69165870327123058</v>
      </c>
      <c r="AH260" s="281">
        <v>0.80688756034295972</v>
      </c>
      <c r="AI260" s="281">
        <v>0.87947251397343285</v>
      </c>
      <c r="AJ260" s="329">
        <v>0.87947251397343285</v>
      </c>
    </row>
    <row r="261" spans="2:55">
      <c r="B261" s="72" t="s">
        <v>908</v>
      </c>
      <c r="C261" s="72" t="s">
        <v>909</v>
      </c>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297"/>
    </row>
    <row r="262" spans="2:55">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297"/>
      <c r="AK262" s="72"/>
      <c r="AL262" s="72"/>
      <c r="AM262" s="72"/>
      <c r="AN262" s="72"/>
      <c r="AO262" s="72"/>
      <c r="AP262" s="72"/>
      <c r="AQ262" s="72"/>
      <c r="AR262" s="72"/>
      <c r="AS262" s="72"/>
      <c r="AT262" s="72"/>
      <c r="AU262" s="72"/>
      <c r="AV262" s="72"/>
      <c r="AW262" s="72"/>
      <c r="AX262" s="72"/>
      <c r="AY262" s="72"/>
      <c r="AZ262" s="72"/>
      <c r="BA262" s="72"/>
      <c r="BB262" s="72"/>
      <c r="BC262" s="72"/>
    </row>
    <row r="263" spans="2:55">
      <c r="P263" s="90"/>
    </row>
    <row r="264" spans="2:55">
      <c r="B264" s="153" t="s">
        <v>1091</v>
      </c>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row>
    <row r="267" spans="2:55">
      <c r="B267" s="286" t="s">
        <v>400</v>
      </c>
      <c r="C267" s="286" t="s">
        <v>401</v>
      </c>
      <c r="D267" s="286" t="s">
        <v>402</v>
      </c>
      <c r="E267" s="286" t="s">
        <v>403</v>
      </c>
      <c r="F267" s="286" t="s">
        <v>404</v>
      </c>
      <c r="G267" s="286" t="s">
        <v>405</v>
      </c>
      <c r="H267" s="286" t="s">
        <v>406</v>
      </c>
      <c r="I267" s="286" t="s">
        <v>407</v>
      </c>
      <c r="J267" s="286" t="s">
        <v>408</v>
      </c>
      <c r="K267" s="286" t="s">
        <v>409</v>
      </c>
      <c r="L267" s="286" t="s">
        <v>410</v>
      </c>
      <c r="M267" s="286" t="s">
        <v>411</v>
      </c>
      <c r="N267" s="286" t="s">
        <v>412</v>
      </c>
      <c r="O267" s="286" t="s">
        <v>413</v>
      </c>
      <c r="P267" s="286" t="s">
        <v>414</v>
      </c>
      <c r="Q267" s="286" t="s">
        <v>415</v>
      </c>
      <c r="R267" s="286" t="s">
        <v>416</v>
      </c>
      <c r="S267" s="286" t="s">
        <v>417</v>
      </c>
      <c r="T267" s="286" t="s">
        <v>418</v>
      </c>
      <c r="U267" s="286" t="s">
        <v>419</v>
      </c>
      <c r="V267" s="286" t="s">
        <v>420</v>
      </c>
      <c r="W267" s="286" t="s">
        <v>421</v>
      </c>
      <c r="X267" s="286" t="s">
        <v>422</v>
      </c>
      <c r="Y267" s="286" t="s">
        <v>423</v>
      </c>
      <c r="Z267" s="286" t="s">
        <v>424</v>
      </c>
      <c r="AA267" s="286" t="s">
        <v>425</v>
      </c>
      <c r="AB267" s="286" t="s">
        <v>426</v>
      </c>
      <c r="AC267" s="286" t="s">
        <v>427</v>
      </c>
      <c r="AD267" s="286" t="s">
        <v>428</v>
      </c>
      <c r="AE267" s="286" t="s">
        <v>429</v>
      </c>
      <c r="AF267" s="286" t="s">
        <v>430</v>
      </c>
      <c r="AG267" s="286" t="s">
        <v>431</v>
      </c>
      <c r="AH267" s="286" t="s">
        <v>432</v>
      </c>
      <c r="AI267" s="286" t="s">
        <v>433</v>
      </c>
      <c r="AJ267" s="326" t="s">
        <v>1122</v>
      </c>
    </row>
    <row r="268" spans="2:55">
      <c r="B268" s="72" t="s">
        <v>434</v>
      </c>
      <c r="C268" s="72" t="s">
        <v>435</v>
      </c>
      <c r="D268" s="291">
        <f t="shared" ref="D268:D331" si="0">D16/D$250</f>
        <v>0</v>
      </c>
      <c r="E268" s="291">
        <f t="shared" ref="E268:AI276" si="1">E16/E$250</f>
        <v>0</v>
      </c>
      <c r="F268" s="291">
        <f t="shared" si="1"/>
        <v>0</v>
      </c>
      <c r="G268" s="291">
        <f t="shared" si="1"/>
        <v>0</v>
      </c>
      <c r="H268" s="291">
        <f t="shared" si="1"/>
        <v>0</v>
      </c>
      <c r="I268" s="291">
        <f t="shared" si="1"/>
        <v>0</v>
      </c>
      <c r="J268" s="291">
        <f t="shared" si="1"/>
        <v>0</v>
      </c>
      <c r="K268" s="291">
        <f t="shared" si="1"/>
        <v>0</v>
      </c>
      <c r="L268" s="291">
        <f t="shared" si="1"/>
        <v>0</v>
      </c>
      <c r="M268" s="291">
        <f t="shared" si="1"/>
        <v>0</v>
      </c>
      <c r="N268" s="291">
        <f t="shared" si="1"/>
        <v>0</v>
      </c>
      <c r="O268" s="291">
        <f t="shared" si="1"/>
        <v>0</v>
      </c>
      <c r="P268" s="291">
        <f t="shared" si="1"/>
        <v>0</v>
      </c>
      <c r="Q268" s="291">
        <f t="shared" si="1"/>
        <v>0</v>
      </c>
      <c r="R268" s="291">
        <f t="shared" si="1"/>
        <v>0</v>
      </c>
      <c r="S268" s="291">
        <f t="shared" si="1"/>
        <v>0</v>
      </c>
      <c r="T268" s="291">
        <f t="shared" si="1"/>
        <v>0</v>
      </c>
      <c r="U268" s="291">
        <f t="shared" si="1"/>
        <v>0</v>
      </c>
      <c r="V268" s="291">
        <f t="shared" si="1"/>
        <v>0</v>
      </c>
      <c r="W268" s="291">
        <f t="shared" si="1"/>
        <v>0</v>
      </c>
      <c r="X268" s="291">
        <f t="shared" si="1"/>
        <v>0</v>
      </c>
      <c r="Y268" s="291">
        <f t="shared" si="1"/>
        <v>0</v>
      </c>
      <c r="Z268" s="291">
        <f t="shared" si="1"/>
        <v>0</v>
      </c>
      <c r="AA268" s="291">
        <f t="shared" si="1"/>
        <v>0</v>
      </c>
      <c r="AB268" s="291">
        <f t="shared" si="1"/>
        <v>0</v>
      </c>
      <c r="AC268" s="291">
        <f t="shared" si="1"/>
        <v>0</v>
      </c>
      <c r="AD268" s="291">
        <f t="shared" si="1"/>
        <v>0</v>
      </c>
      <c r="AE268" s="291">
        <f t="shared" si="1"/>
        <v>0</v>
      </c>
      <c r="AF268" s="291">
        <f t="shared" si="1"/>
        <v>0</v>
      </c>
      <c r="AG268" s="291">
        <f t="shared" si="1"/>
        <v>0</v>
      </c>
      <c r="AH268" s="291">
        <f t="shared" si="1"/>
        <v>0</v>
      </c>
      <c r="AI268" s="291">
        <f t="shared" si="1"/>
        <v>0</v>
      </c>
      <c r="AJ268" s="327">
        <f t="shared" ref="AJ268:AJ331" si="2">AJ16/AJ$250</f>
        <v>0</v>
      </c>
    </row>
    <row r="269" spans="2:55">
      <c r="B269" s="72" t="s">
        <v>436</v>
      </c>
      <c r="C269" s="72" t="s">
        <v>437</v>
      </c>
      <c r="D269" s="291">
        <f t="shared" si="0"/>
        <v>0</v>
      </c>
      <c r="E269" s="291">
        <f t="shared" ref="E269:S269" si="3">E17/E$250</f>
        <v>0</v>
      </c>
      <c r="F269" s="291">
        <f t="shared" si="3"/>
        <v>0</v>
      </c>
      <c r="G269" s="291">
        <f t="shared" si="3"/>
        <v>0</v>
      </c>
      <c r="H269" s="291">
        <f t="shared" si="3"/>
        <v>0</v>
      </c>
      <c r="I269" s="291">
        <f t="shared" si="3"/>
        <v>0</v>
      </c>
      <c r="J269" s="291">
        <f t="shared" si="3"/>
        <v>0</v>
      </c>
      <c r="K269" s="291">
        <f t="shared" si="3"/>
        <v>0</v>
      </c>
      <c r="L269" s="291">
        <f t="shared" si="3"/>
        <v>0</v>
      </c>
      <c r="M269" s="291">
        <f t="shared" si="3"/>
        <v>0</v>
      </c>
      <c r="N269" s="291">
        <f t="shared" si="3"/>
        <v>0</v>
      </c>
      <c r="O269" s="291">
        <f t="shared" si="3"/>
        <v>0</v>
      </c>
      <c r="P269" s="291">
        <f t="shared" si="3"/>
        <v>0</v>
      </c>
      <c r="Q269" s="291">
        <f t="shared" si="3"/>
        <v>0</v>
      </c>
      <c r="R269" s="291">
        <f t="shared" si="3"/>
        <v>0</v>
      </c>
      <c r="S269" s="291">
        <f t="shared" si="3"/>
        <v>0</v>
      </c>
      <c r="T269" s="291">
        <f t="shared" si="1"/>
        <v>0</v>
      </c>
      <c r="U269" s="291">
        <f t="shared" si="1"/>
        <v>0</v>
      </c>
      <c r="V269" s="291">
        <f t="shared" si="1"/>
        <v>0</v>
      </c>
      <c r="W269" s="291">
        <f t="shared" si="1"/>
        <v>0</v>
      </c>
      <c r="X269" s="291">
        <f t="shared" si="1"/>
        <v>0</v>
      </c>
      <c r="Y269" s="291">
        <f t="shared" si="1"/>
        <v>0</v>
      </c>
      <c r="Z269" s="291">
        <f t="shared" si="1"/>
        <v>0</v>
      </c>
      <c r="AA269" s="291">
        <f t="shared" si="1"/>
        <v>0</v>
      </c>
      <c r="AB269" s="291">
        <f t="shared" si="1"/>
        <v>0</v>
      </c>
      <c r="AC269" s="291">
        <f t="shared" si="1"/>
        <v>0</v>
      </c>
      <c r="AD269" s="291">
        <f t="shared" si="1"/>
        <v>0</v>
      </c>
      <c r="AE269" s="291">
        <f t="shared" si="1"/>
        <v>0</v>
      </c>
      <c r="AF269" s="291">
        <f t="shared" si="1"/>
        <v>0</v>
      </c>
      <c r="AG269" s="291">
        <f t="shared" si="1"/>
        <v>0</v>
      </c>
      <c r="AH269" s="291">
        <f t="shared" si="1"/>
        <v>0</v>
      </c>
      <c r="AI269" s="291">
        <f t="shared" si="1"/>
        <v>0</v>
      </c>
      <c r="AJ269" s="327">
        <f t="shared" si="2"/>
        <v>0</v>
      </c>
    </row>
    <row r="270" spans="2:55">
      <c r="B270" s="72" t="s">
        <v>438</v>
      </c>
      <c r="C270" s="72" t="s">
        <v>439</v>
      </c>
      <c r="D270" s="291">
        <f t="shared" si="0"/>
        <v>0</v>
      </c>
      <c r="E270" s="291">
        <f t="shared" si="1"/>
        <v>0</v>
      </c>
      <c r="F270" s="291">
        <f t="shared" si="1"/>
        <v>0</v>
      </c>
      <c r="G270" s="291">
        <f t="shared" si="1"/>
        <v>0</v>
      </c>
      <c r="H270" s="291">
        <f t="shared" si="1"/>
        <v>0</v>
      </c>
      <c r="I270" s="291">
        <f t="shared" si="1"/>
        <v>0</v>
      </c>
      <c r="J270" s="291">
        <f t="shared" si="1"/>
        <v>0</v>
      </c>
      <c r="K270" s="291">
        <f t="shared" si="1"/>
        <v>0</v>
      </c>
      <c r="L270" s="291">
        <f t="shared" si="1"/>
        <v>0</v>
      </c>
      <c r="M270" s="291">
        <f t="shared" si="1"/>
        <v>0</v>
      </c>
      <c r="N270" s="291">
        <f t="shared" si="1"/>
        <v>0</v>
      </c>
      <c r="O270" s="291">
        <f t="shared" si="1"/>
        <v>0</v>
      </c>
      <c r="P270" s="291">
        <f t="shared" si="1"/>
        <v>0</v>
      </c>
      <c r="Q270" s="291">
        <f t="shared" si="1"/>
        <v>0</v>
      </c>
      <c r="R270" s="291">
        <f t="shared" si="1"/>
        <v>0</v>
      </c>
      <c r="S270" s="291">
        <f t="shared" si="1"/>
        <v>0</v>
      </c>
      <c r="T270" s="291">
        <f t="shared" si="1"/>
        <v>0</v>
      </c>
      <c r="U270" s="291">
        <f t="shared" si="1"/>
        <v>0</v>
      </c>
      <c r="V270" s="291">
        <f t="shared" si="1"/>
        <v>0</v>
      </c>
      <c r="W270" s="291">
        <f t="shared" si="1"/>
        <v>0</v>
      </c>
      <c r="X270" s="291">
        <f t="shared" si="1"/>
        <v>0</v>
      </c>
      <c r="Y270" s="291">
        <f t="shared" si="1"/>
        <v>0</v>
      </c>
      <c r="Z270" s="291">
        <f t="shared" si="1"/>
        <v>0</v>
      </c>
      <c r="AA270" s="291">
        <f t="shared" si="1"/>
        <v>0</v>
      </c>
      <c r="AB270" s="291">
        <f t="shared" si="1"/>
        <v>0</v>
      </c>
      <c r="AC270" s="291">
        <f t="shared" si="1"/>
        <v>0</v>
      </c>
      <c r="AD270" s="291">
        <f t="shared" si="1"/>
        <v>0</v>
      </c>
      <c r="AE270" s="291">
        <f t="shared" si="1"/>
        <v>0</v>
      </c>
      <c r="AF270" s="291">
        <f t="shared" si="1"/>
        <v>0</v>
      </c>
      <c r="AG270" s="291">
        <f t="shared" si="1"/>
        <v>0</v>
      </c>
      <c r="AH270" s="291">
        <f t="shared" si="1"/>
        <v>0</v>
      </c>
      <c r="AI270" s="291">
        <f t="shared" si="1"/>
        <v>0</v>
      </c>
      <c r="AJ270" s="327">
        <f t="shared" si="2"/>
        <v>0</v>
      </c>
    </row>
    <row r="271" spans="2:55">
      <c r="B271" s="72" t="s">
        <v>440</v>
      </c>
      <c r="C271" s="72" t="s">
        <v>441</v>
      </c>
      <c r="D271" s="291">
        <f t="shared" si="0"/>
        <v>0</v>
      </c>
      <c r="E271" s="291">
        <f t="shared" si="1"/>
        <v>0</v>
      </c>
      <c r="F271" s="291">
        <f t="shared" si="1"/>
        <v>0</v>
      </c>
      <c r="G271" s="291">
        <f t="shared" si="1"/>
        <v>0</v>
      </c>
      <c r="H271" s="291">
        <f t="shared" si="1"/>
        <v>0</v>
      </c>
      <c r="I271" s="291">
        <f t="shared" si="1"/>
        <v>0</v>
      </c>
      <c r="J271" s="291">
        <f t="shared" si="1"/>
        <v>0</v>
      </c>
      <c r="K271" s="291">
        <f t="shared" si="1"/>
        <v>0</v>
      </c>
      <c r="L271" s="291">
        <f t="shared" si="1"/>
        <v>0</v>
      </c>
      <c r="M271" s="291">
        <f t="shared" si="1"/>
        <v>0</v>
      </c>
      <c r="N271" s="291">
        <f t="shared" si="1"/>
        <v>0</v>
      </c>
      <c r="O271" s="291">
        <f t="shared" si="1"/>
        <v>0</v>
      </c>
      <c r="P271" s="291">
        <f t="shared" si="1"/>
        <v>0</v>
      </c>
      <c r="Q271" s="291">
        <f t="shared" si="1"/>
        <v>0</v>
      </c>
      <c r="R271" s="291">
        <f t="shared" si="1"/>
        <v>0</v>
      </c>
      <c r="S271" s="291">
        <f t="shared" si="1"/>
        <v>0</v>
      </c>
      <c r="T271" s="291">
        <f t="shared" si="1"/>
        <v>0</v>
      </c>
      <c r="U271" s="291">
        <f t="shared" si="1"/>
        <v>0</v>
      </c>
      <c r="V271" s="291">
        <f t="shared" si="1"/>
        <v>0</v>
      </c>
      <c r="W271" s="291">
        <f t="shared" si="1"/>
        <v>0</v>
      </c>
      <c r="X271" s="291">
        <f t="shared" si="1"/>
        <v>0</v>
      </c>
      <c r="Y271" s="291">
        <f t="shared" si="1"/>
        <v>0</v>
      </c>
      <c r="Z271" s="291">
        <f t="shared" si="1"/>
        <v>0</v>
      </c>
      <c r="AA271" s="291">
        <f t="shared" si="1"/>
        <v>0</v>
      </c>
      <c r="AB271" s="291">
        <f t="shared" si="1"/>
        <v>0</v>
      </c>
      <c r="AC271" s="291">
        <f t="shared" si="1"/>
        <v>0</v>
      </c>
      <c r="AD271" s="291">
        <f t="shared" si="1"/>
        <v>0</v>
      </c>
      <c r="AE271" s="291">
        <f t="shared" si="1"/>
        <v>0</v>
      </c>
      <c r="AF271" s="291">
        <f t="shared" si="1"/>
        <v>0</v>
      </c>
      <c r="AG271" s="291">
        <f t="shared" si="1"/>
        <v>0</v>
      </c>
      <c r="AH271" s="291">
        <f t="shared" si="1"/>
        <v>0</v>
      </c>
      <c r="AI271" s="291">
        <f t="shared" si="1"/>
        <v>0</v>
      </c>
      <c r="AJ271" s="327">
        <f t="shared" si="2"/>
        <v>0</v>
      </c>
    </row>
    <row r="272" spans="2:55">
      <c r="B272" s="72" t="s">
        <v>442</v>
      </c>
      <c r="C272" s="72" t="s">
        <v>443</v>
      </c>
      <c r="D272" s="291">
        <f t="shared" si="0"/>
        <v>0</v>
      </c>
      <c r="E272" s="291">
        <f t="shared" si="1"/>
        <v>0</v>
      </c>
      <c r="F272" s="291">
        <f t="shared" si="1"/>
        <v>0</v>
      </c>
      <c r="G272" s="291">
        <f t="shared" si="1"/>
        <v>0</v>
      </c>
      <c r="H272" s="291">
        <f t="shared" si="1"/>
        <v>0</v>
      </c>
      <c r="I272" s="291">
        <f t="shared" si="1"/>
        <v>0</v>
      </c>
      <c r="J272" s="291">
        <f t="shared" si="1"/>
        <v>0</v>
      </c>
      <c r="K272" s="291">
        <f t="shared" si="1"/>
        <v>0</v>
      </c>
      <c r="L272" s="291">
        <f t="shared" si="1"/>
        <v>0</v>
      </c>
      <c r="M272" s="291">
        <f t="shared" si="1"/>
        <v>0</v>
      </c>
      <c r="N272" s="291">
        <f t="shared" si="1"/>
        <v>0</v>
      </c>
      <c r="O272" s="291">
        <f t="shared" si="1"/>
        <v>0</v>
      </c>
      <c r="P272" s="291">
        <f t="shared" si="1"/>
        <v>0</v>
      </c>
      <c r="Q272" s="291">
        <f t="shared" si="1"/>
        <v>0</v>
      </c>
      <c r="R272" s="291">
        <f t="shared" si="1"/>
        <v>0</v>
      </c>
      <c r="S272" s="291">
        <f t="shared" si="1"/>
        <v>0</v>
      </c>
      <c r="T272" s="291">
        <f t="shared" si="1"/>
        <v>0</v>
      </c>
      <c r="U272" s="291">
        <f t="shared" si="1"/>
        <v>0</v>
      </c>
      <c r="V272" s="291">
        <f t="shared" si="1"/>
        <v>0</v>
      </c>
      <c r="W272" s="291">
        <f t="shared" si="1"/>
        <v>0</v>
      </c>
      <c r="X272" s="291">
        <f t="shared" si="1"/>
        <v>0</v>
      </c>
      <c r="Y272" s="291">
        <f t="shared" si="1"/>
        <v>0</v>
      </c>
      <c r="Z272" s="291">
        <f t="shared" si="1"/>
        <v>0</v>
      </c>
      <c r="AA272" s="291">
        <f t="shared" si="1"/>
        <v>0</v>
      </c>
      <c r="AB272" s="291">
        <f t="shared" si="1"/>
        <v>0</v>
      </c>
      <c r="AC272" s="291">
        <f t="shared" si="1"/>
        <v>0</v>
      </c>
      <c r="AD272" s="291">
        <f t="shared" si="1"/>
        <v>0</v>
      </c>
      <c r="AE272" s="291">
        <f t="shared" si="1"/>
        <v>0</v>
      </c>
      <c r="AF272" s="291">
        <f t="shared" si="1"/>
        <v>0</v>
      </c>
      <c r="AG272" s="291">
        <f t="shared" si="1"/>
        <v>0</v>
      </c>
      <c r="AH272" s="291">
        <f t="shared" si="1"/>
        <v>0</v>
      </c>
      <c r="AI272" s="291">
        <f t="shared" si="1"/>
        <v>0</v>
      </c>
      <c r="AJ272" s="327">
        <f t="shared" si="2"/>
        <v>0</v>
      </c>
    </row>
    <row r="273" spans="2:36">
      <c r="B273" s="72" t="s">
        <v>444</v>
      </c>
      <c r="C273" s="72" t="s">
        <v>445</v>
      </c>
      <c r="D273" s="291">
        <f t="shared" si="0"/>
        <v>0</v>
      </c>
      <c r="E273" s="291">
        <f t="shared" si="1"/>
        <v>0</v>
      </c>
      <c r="F273" s="291">
        <f t="shared" si="1"/>
        <v>0</v>
      </c>
      <c r="G273" s="291">
        <f t="shared" si="1"/>
        <v>0</v>
      </c>
      <c r="H273" s="291">
        <f t="shared" si="1"/>
        <v>0</v>
      </c>
      <c r="I273" s="291">
        <f t="shared" si="1"/>
        <v>0</v>
      </c>
      <c r="J273" s="291">
        <f t="shared" si="1"/>
        <v>0</v>
      </c>
      <c r="K273" s="291">
        <f t="shared" si="1"/>
        <v>0</v>
      </c>
      <c r="L273" s="291">
        <f t="shared" si="1"/>
        <v>0</v>
      </c>
      <c r="M273" s="291">
        <f t="shared" si="1"/>
        <v>0</v>
      </c>
      <c r="N273" s="291">
        <f t="shared" si="1"/>
        <v>0</v>
      </c>
      <c r="O273" s="291">
        <f t="shared" si="1"/>
        <v>0</v>
      </c>
      <c r="P273" s="291">
        <f t="shared" si="1"/>
        <v>0</v>
      </c>
      <c r="Q273" s="291">
        <f t="shared" si="1"/>
        <v>0</v>
      </c>
      <c r="R273" s="291">
        <f t="shared" si="1"/>
        <v>0</v>
      </c>
      <c r="S273" s="291">
        <f t="shared" si="1"/>
        <v>0</v>
      </c>
      <c r="T273" s="291">
        <f t="shared" si="1"/>
        <v>0</v>
      </c>
      <c r="U273" s="291">
        <f t="shared" si="1"/>
        <v>0</v>
      </c>
      <c r="V273" s="291">
        <f t="shared" si="1"/>
        <v>0</v>
      </c>
      <c r="W273" s="291">
        <f t="shared" si="1"/>
        <v>0</v>
      </c>
      <c r="X273" s="291">
        <f t="shared" si="1"/>
        <v>0</v>
      </c>
      <c r="Y273" s="291">
        <f t="shared" si="1"/>
        <v>0</v>
      </c>
      <c r="Z273" s="291">
        <f t="shared" si="1"/>
        <v>0</v>
      </c>
      <c r="AA273" s="291">
        <f t="shared" si="1"/>
        <v>0</v>
      </c>
      <c r="AB273" s="291">
        <f t="shared" si="1"/>
        <v>0</v>
      </c>
      <c r="AC273" s="291">
        <f t="shared" si="1"/>
        <v>0</v>
      </c>
      <c r="AD273" s="291">
        <f t="shared" si="1"/>
        <v>0</v>
      </c>
      <c r="AE273" s="291">
        <f t="shared" si="1"/>
        <v>0</v>
      </c>
      <c r="AF273" s="291">
        <f t="shared" si="1"/>
        <v>0</v>
      </c>
      <c r="AG273" s="291">
        <f t="shared" si="1"/>
        <v>0</v>
      </c>
      <c r="AH273" s="291">
        <f t="shared" si="1"/>
        <v>0</v>
      </c>
      <c r="AI273" s="291">
        <f t="shared" si="1"/>
        <v>0</v>
      </c>
      <c r="AJ273" s="327">
        <f t="shared" si="2"/>
        <v>0</v>
      </c>
    </row>
    <row r="274" spans="2:36">
      <c r="B274" s="72" t="s">
        <v>446</v>
      </c>
      <c r="C274" s="72" t="s">
        <v>447</v>
      </c>
      <c r="D274" s="291">
        <f t="shared" si="0"/>
        <v>0</v>
      </c>
      <c r="E274" s="291">
        <f t="shared" si="1"/>
        <v>0</v>
      </c>
      <c r="F274" s="291">
        <f t="shared" si="1"/>
        <v>0</v>
      </c>
      <c r="G274" s="291">
        <f t="shared" si="1"/>
        <v>0</v>
      </c>
      <c r="H274" s="291">
        <f t="shared" si="1"/>
        <v>0</v>
      </c>
      <c r="I274" s="291">
        <f t="shared" si="1"/>
        <v>0</v>
      </c>
      <c r="J274" s="291">
        <f t="shared" si="1"/>
        <v>0</v>
      </c>
      <c r="K274" s="291">
        <f t="shared" si="1"/>
        <v>0</v>
      </c>
      <c r="L274" s="291">
        <f t="shared" si="1"/>
        <v>0</v>
      </c>
      <c r="M274" s="291">
        <f t="shared" si="1"/>
        <v>0</v>
      </c>
      <c r="N274" s="291">
        <f t="shared" si="1"/>
        <v>0</v>
      </c>
      <c r="O274" s="291">
        <f t="shared" si="1"/>
        <v>0</v>
      </c>
      <c r="P274" s="291">
        <f t="shared" si="1"/>
        <v>0</v>
      </c>
      <c r="Q274" s="291">
        <f t="shared" si="1"/>
        <v>0</v>
      </c>
      <c r="R274" s="291">
        <f t="shared" si="1"/>
        <v>0</v>
      </c>
      <c r="S274" s="291">
        <f t="shared" si="1"/>
        <v>0</v>
      </c>
      <c r="T274" s="291">
        <f t="shared" si="1"/>
        <v>0</v>
      </c>
      <c r="U274" s="291">
        <f t="shared" si="1"/>
        <v>0</v>
      </c>
      <c r="V274" s="291">
        <f t="shared" si="1"/>
        <v>0</v>
      </c>
      <c r="W274" s="291">
        <f t="shared" si="1"/>
        <v>0</v>
      </c>
      <c r="X274" s="291">
        <f t="shared" si="1"/>
        <v>0</v>
      </c>
      <c r="Y274" s="291">
        <f t="shared" si="1"/>
        <v>0</v>
      </c>
      <c r="Z274" s="291">
        <f t="shared" si="1"/>
        <v>0</v>
      </c>
      <c r="AA274" s="291">
        <f t="shared" si="1"/>
        <v>0</v>
      </c>
      <c r="AB274" s="291">
        <f t="shared" si="1"/>
        <v>0</v>
      </c>
      <c r="AC274" s="291">
        <f t="shared" si="1"/>
        <v>0</v>
      </c>
      <c r="AD274" s="291">
        <f t="shared" si="1"/>
        <v>0</v>
      </c>
      <c r="AE274" s="291">
        <f t="shared" si="1"/>
        <v>0</v>
      </c>
      <c r="AF274" s="291">
        <f t="shared" si="1"/>
        <v>0</v>
      </c>
      <c r="AG274" s="291">
        <f t="shared" si="1"/>
        <v>0</v>
      </c>
      <c r="AH274" s="291">
        <f t="shared" si="1"/>
        <v>0</v>
      </c>
      <c r="AI274" s="291">
        <f t="shared" si="1"/>
        <v>0</v>
      </c>
      <c r="AJ274" s="327">
        <f t="shared" si="2"/>
        <v>0</v>
      </c>
    </row>
    <row r="275" spans="2:36">
      <c r="B275" s="72" t="s">
        <v>448</v>
      </c>
      <c r="C275" s="72" t="s">
        <v>449</v>
      </c>
      <c r="D275" s="291">
        <f t="shared" si="0"/>
        <v>0</v>
      </c>
      <c r="E275" s="291">
        <f t="shared" si="1"/>
        <v>0</v>
      </c>
      <c r="F275" s="291">
        <f t="shared" si="1"/>
        <v>0</v>
      </c>
      <c r="G275" s="291">
        <f t="shared" si="1"/>
        <v>0</v>
      </c>
      <c r="H275" s="291">
        <f t="shared" si="1"/>
        <v>0</v>
      </c>
      <c r="I275" s="291">
        <f t="shared" si="1"/>
        <v>0</v>
      </c>
      <c r="J275" s="291">
        <f t="shared" si="1"/>
        <v>0</v>
      </c>
      <c r="K275" s="291">
        <f t="shared" si="1"/>
        <v>0</v>
      </c>
      <c r="L275" s="291">
        <f t="shared" si="1"/>
        <v>0</v>
      </c>
      <c r="M275" s="291">
        <f t="shared" si="1"/>
        <v>0</v>
      </c>
      <c r="N275" s="291">
        <f t="shared" si="1"/>
        <v>0</v>
      </c>
      <c r="O275" s="291">
        <f t="shared" si="1"/>
        <v>0</v>
      </c>
      <c r="P275" s="291">
        <f t="shared" si="1"/>
        <v>0</v>
      </c>
      <c r="Q275" s="291">
        <f t="shared" si="1"/>
        <v>0</v>
      </c>
      <c r="R275" s="291">
        <f t="shared" si="1"/>
        <v>0</v>
      </c>
      <c r="S275" s="291">
        <f t="shared" si="1"/>
        <v>0</v>
      </c>
      <c r="T275" s="291">
        <f t="shared" si="1"/>
        <v>0</v>
      </c>
      <c r="U275" s="291">
        <f t="shared" si="1"/>
        <v>0</v>
      </c>
      <c r="V275" s="291">
        <f t="shared" si="1"/>
        <v>0</v>
      </c>
      <c r="W275" s="291">
        <f t="shared" si="1"/>
        <v>0</v>
      </c>
      <c r="X275" s="291">
        <f t="shared" si="1"/>
        <v>0</v>
      </c>
      <c r="Y275" s="291">
        <f t="shared" si="1"/>
        <v>0</v>
      </c>
      <c r="Z275" s="291">
        <f t="shared" si="1"/>
        <v>0</v>
      </c>
      <c r="AA275" s="291">
        <f t="shared" si="1"/>
        <v>0</v>
      </c>
      <c r="AB275" s="291">
        <f t="shared" si="1"/>
        <v>0</v>
      </c>
      <c r="AC275" s="291">
        <f t="shared" si="1"/>
        <v>0</v>
      </c>
      <c r="AD275" s="291">
        <f t="shared" si="1"/>
        <v>0</v>
      </c>
      <c r="AE275" s="291">
        <f t="shared" si="1"/>
        <v>0</v>
      </c>
      <c r="AF275" s="291">
        <f t="shared" si="1"/>
        <v>0</v>
      </c>
      <c r="AG275" s="291">
        <f t="shared" si="1"/>
        <v>0</v>
      </c>
      <c r="AH275" s="291">
        <f t="shared" si="1"/>
        <v>0</v>
      </c>
      <c r="AI275" s="291">
        <f t="shared" si="1"/>
        <v>0</v>
      </c>
      <c r="AJ275" s="327">
        <f t="shared" si="2"/>
        <v>0</v>
      </c>
    </row>
    <row r="276" spans="2:36">
      <c r="B276" s="72" t="s">
        <v>450</v>
      </c>
      <c r="C276" s="72" t="s">
        <v>451</v>
      </c>
      <c r="D276" s="291">
        <f t="shared" si="0"/>
        <v>0</v>
      </c>
      <c r="E276" s="291">
        <f t="shared" si="1"/>
        <v>0</v>
      </c>
      <c r="F276" s="291">
        <f t="shared" si="1"/>
        <v>0</v>
      </c>
      <c r="G276" s="291">
        <f t="shared" si="1"/>
        <v>0</v>
      </c>
      <c r="H276" s="291">
        <f t="shared" si="1"/>
        <v>0</v>
      </c>
      <c r="I276" s="291">
        <f t="shared" si="1"/>
        <v>0</v>
      </c>
      <c r="J276" s="291">
        <f t="shared" si="1"/>
        <v>0</v>
      </c>
      <c r="K276" s="291">
        <f t="shared" si="1"/>
        <v>0</v>
      </c>
      <c r="L276" s="291">
        <f t="shared" si="1"/>
        <v>0</v>
      </c>
      <c r="M276" s="291">
        <f t="shared" si="1"/>
        <v>0</v>
      </c>
      <c r="N276" s="291">
        <f t="shared" si="1"/>
        <v>0</v>
      </c>
      <c r="O276" s="291">
        <f t="shared" si="1"/>
        <v>0</v>
      </c>
      <c r="P276" s="291">
        <f t="shared" si="1"/>
        <v>0</v>
      </c>
      <c r="Q276" s="291">
        <f t="shared" si="1"/>
        <v>0</v>
      </c>
      <c r="R276" s="291">
        <f t="shared" si="1"/>
        <v>0</v>
      </c>
      <c r="S276" s="291">
        <f t="shared" si="1"/>
        <v>0</v>
      </c>
      <c r="T276" s="291">
        <f t="shared" si="1"/>
        <v>0</v>
      </c>
      <c r="U276" s="291">
        <f t="shared" si="1"/>
        <v>0</v>
      </c>
      <c r="V276" s="291">
        <f t="shared" si="1"/>
        <v>0</v>
      </c>
      <c r="W276" s="291">
        <f t="shared" si="1"/>
        <v>0</v>
      </c>
      <c r="X276" s="291">
        <f t="shared" si="1"/>
        <v>0</v>
      </c>
      <c r="Y276" s="291">
        <f t="shared" si="1"/>
        <v>0</v>
      </c>
      <c r="Z276" s="291">
        <f t="shared" si="1"/>
        <v>0</v>
      </c>
      <c r="AA276" s="291">
        <f t="shared" ref="E276:AI284" si="4">AA24/AA$250</f>
        <v>0</v>
      </c>
      <c r="AB276" s="291">
        <f t="shared" si="4"/>
        <v>0</v>
      </c>
      <c r="AC276" s="291">
        <f t="shared" si="4"/>
        <v>0</v>
      </c>
      <c r="AD276" s="291">
        <f t="shared" si="4"/>
        <v>0</v>
      </c>
      <c r="AE276" s="291">
        <f t="shared" si="4"/>
        <v>0</v>
      </c>
      <c r="AF276" s="291">
        <f t="shared" si="4"/>
        <v>0</v>
      </c>
      <c r="AG276" s="291">
        <f t="shared" si="4"/>
        <v>0</v>
      </c>
      <c r="AH276" s="291">
        <f t="shared" si="4"/>
        <v>0</v>
      </c>
      <c r="AI276" s="291">
        <f t="shared" si="4"/>
        <v>0</v>
      </c>
      <c r="AJ276" s="327">
        <f t="shared" si="2"/>
        <v>0</v>
      </c>
    </row>
    <row r="277" spans="2:36">
      <c r="B277" s="72" t="s">
        <v>452</v>
      </c>
      <c r="C277" s="72" t="s">
        <v>453</v>
      </c>
      <c r="D277" s="291">
        <f t="shared" si="0"/>
        <v>0</v>
      </c>
      <c r="E277" s="291">
        <f t="shared" si="4"/>
        <v>0</v>
      </c>
      <c r="F277" s="291">
        <f t="shared" si="4"/>
        <v>0</v>
      </c>
      <c r="G277" s="291">
        <f t="shared" si="4"/>
        <v>0</v>
      </c>
      <c r="H277" s="291">
        <f t="shared" si="4"/>
        <v>0</v>
      </c>
      <c r="I277" s="291">
        <f t="shared" si="4"/>
        <v>0</v>
      </c>
      <c r="J277" s="291">
        <f t="shared" si="4"/>
        <v>0</v>
      </c>
      <c r="K277" s="291">
        <f t="shared" si="4"/>
        <v>0</v>
      </c>
      <c r="L277" s="291">
        <f t="shared" si="4"/>
        <v>0</v>
      </c>
      <c r="M277" s="291">
        <f t="shared" si="4"/>
        <v>0</v>
      </c>
      <c r="N277" s="291">
        <f t="shared" si="4"/>
        <v>0</v>
      </c>
      <c r="O277" s="291">
        <f t="shared" si="4"/>
        <v>0</v>
      </c>
      <c r="P277" s="291">
        <f t="shared" si="4"/>
        <v>0</v>
      </c>
      <c r="Q277" s="291">
        <f t="shared" si="4"/>
        <v>0</v>
      </c>
      <c r="R277" s="291">
        <f t="shared" si="4"/>
        <v>0</v>
      </c>
      <c r="S277" s="291">
        <f t="shared" si="4"/>
        <v>0</v>
      </c>
      <c r="T277" s="291">
        <f t="shared" si="4"/>
        <v>0</v>
      </c>
      <c r="U277" s="291">
        <f t="shared" si="4"/>
        <v>0</v>
      </c>
      <c r="V277" s="291">
        <f t="shared" si="4"/>
        <v>0</v>
      </c>
      <c r="W277" s="291">
        <f t="shared" si="4"/>
        <v>0</v>
      </c>
      <c r="X277" s="291">
        <f t="shared" si="4"/>
        <v>0</v>
      </c>
      <c r="Y277" s="291">
        <f t="shared" si="4"/>
        <v>0</v>
      </c>
      <c r="Z277" s="291">
        <f t="shared" si="4"/>
        <v>0</v>
      </c>
      <c r="AA277" s="291">
        <f t="shared" si="4"/>
        <v>0</v>
      </c>
      <c r="AB277" s="291">
        <f t="shared" si="4"/>
        <v>0</v>
      </c>
      <c r="AC277" s="291">
        <f t="shared" si="4"/>
        <v>0</v>
      </c>
      <c r="AD277" s="291">
        <f t="shared" si="4"/>
        <v>0</v>
      </c>
      <c r="AE277" s="291">
        <f t="shared" si="4"/>
        <v>0</v>
      </c>
      <c r="AF277" s="291">
        <f t="shared" si="4"/>
        <v>0</v>
      </c>
      <c r="AG277" s="291">
        <f t="shared" si="4"/>
        <v>0</v>
      </c>
      <c r="AH277" s="291">
        <f t="shared" si="4"/>
        <v>0</v>
      </c>
      <c r="AI277" s="291">
        <f t="shared" si="4"/>
        <v>0</v>
      </c>
      <c r="AJ277" s="327">
        <f t="shared" si="2"/>
        <v>0</v>
      </c>
    </row>
    <row r="278" spans="2:36">
      <c r="B278" s="72" t="s">
        <v>454</v>
      </c>
      <c r="C278" s="72" t="s">
        <v>455</v>
      </c>
      <c r="D278" s="291">
        <f t="shared" si="0"/>
        <v>0</v>
      </c>
      <c r="E278" s="291">
        <f t="shared" si="4"/>
        <v>0</v>
      </c>
      <c r="F278" s="291">
        <f t="shared" si="4"/>
        <v>0</v>
      </c>
      <c r="G278" s="291">
        <f t="shared" si="4"/>
        <v>0</v>
      </c>
      <c r="H278" s="291">
        <f t="shared" si="4"/>
        <v>0</v>
      </c>
      <c r="I278" s="291">
        <f t="shared" si="4"/>
        <v>0</v>
      </c>
      <c r="J278" s="291">
        <f t="shared" si="4"/>
        <v>0</v>
      </c>
      <c r="K278" s="291">
        <f t="shared" si="4"/>
        <v>0</v>
      </c>
      <c r="L278" s="291">
        <f t="shared" si="4"/>
        <v>0</v>
      </c>
      <c r="M278" s="291">
        <f t="shared" si="4"/>
        <v>0</v>
      </c>
      <c r="N278" s="291">
        <f t="shared" si="4"/>
        <v>0</v>
      </c>
      <c r="O278" s="291">
        <f t="shared" si="4"/>
        <v>0</v>
      </c>
      <c r="P278" s="291">
        <f t="shared" si="4"/>
        <v>0</v>
      </c>
      <c r="Q278" s="291">
        <f t="shared" si="4"/>
        <v>0</v>
      </c>
      <c r="R278" s="291">
        <f t="shared" si="4"/>
        <v>0</v>
      </c>
      <c r="S278" s="291">
        <f t="shared" si="4"/>
        <v>0</v>
      </c>
      <c r="T278" s="291">
        <f t="shared" si="4"/>
        <v>0</v>
      </c>
      <c r="U278" s="291">
        <f t="shared" si="4"/>
        <v>0</v>
      </c>
      <c r="V278" s="291">
        <f t="shared" si="4"/>
        <v>0</v>
      </c>
      <c r="W278" s="291">
        <f t="shared" si="4"/>
        <v>0</v>
      </c>
      <c r="X278" s="291">
        <f t="shared" si="4"/>
        <v>0</v>
      </c>
      <c r="Y278" s="291">
        <f t="shared" si="4"/>
        <v>0</v>
      </c>
      <c r="Z278" s="291">
        <f t="shared" si="4"/>
        <v>0</v>
      </c>
      <c r="AA278" s="291">
        <f t="shared" si="4"/>
        <v>0</v>
      </c>
      <c r="AB278" s="291">
        <f t="shared" si="4"/>
        <v>0</v>
      </c>
      <c r="AC278" s="291">
        <f t="shared" si="4"/>
        <v>0</v>
      </c>
      <c r="AD278" s="291">
        <f t="shared" si="4"/>
        <v>0</v>
      </c>
      <c r="AE278" s="291">
        <f t="shared" si="4"/>
        <v>0</v>
      </c>
      <c r="AF278" s="291">
        <f t="shared" si="4"/>
        <v>0</v>
      </c>
      <c r="AG278" s="291">
        <f t="shared" si="4"/>
        <v>0</v>
      </c>
      <c r="AH278" s="291">
        <f t="shared" si="4"/>
        <v>0</v>
      </c>
      <c r="AI278" s="291">
        <f t="shared" si="4"/>
        <v>0</v>
      </c>
      <c r="AJ278" s="327">
        <f t="shared" si="2"/>
        <v>0</v>
      </c>
    </row>
    <row r="279" spans="2:36">
      <c r="B279" s="72" t="s">
        <v>456</v>
      </c>
      <c r="C279" s="72" t="s">
        <v>457</v>
      </c>
      <c r="D279" s="291">
        <f t="shared" si="0"/>
        <v>0</v>
      </c>
      <c r="E279" s="291">
        <f t="shared" si="4"/>
        <v>0</v>
      </c>
      <c r="F279" s="291">
        <f t="shared" si="4"/>
        <v>0</v>
      </c>
      <c r="G279" s="291">
        <f t="shared" si="4"/>
        <v>0</v>
      </c>
      <c r="H279" s="291">
        <f t="shared" si="4"/>
        <v>0</v>
      </c>
      <c r="I279" s="291">
        <f t="shared" si="4"/>
        <v>0</v>
      </c>
      <c r="J279" s="291">
        <f t="shared" si="4"/>
        <v>0</v>
      </c>
      <c r="K279" s="291">
        <f t="shared" si="4"/>
        <v>0</v>
      </c>
      <c r="L279" s="291">
        <f t="shared" si="4"/>
        <v>0</v>
      </c>
      <c r="M279" s="291">
        <f t="shared" si="4"/>
        <v>0</v>
      </c>
      <c r="N279" s="291">
        <f t="shared" si="4"/>
        <v>0</v>
      </c>
      <c r="O279" s="291">
        <f t="shared" si="4"/>
        <v>0</v>
      </c>
      <c r="P279" s="291">
        <f t="shared" si="4"/>
        <v>0</v>
      </c>
      <c r="Q279" s="291">
        <f t="shared" si="4"/>
        <v>0</v>
      </c>
      <c r="R279" s="291">
        <f t="shared" si="4"/>
        <v>0</v>
      </c>
      <c r="S279" s="291">
        <f t="shared" si="4"/>
        <v>0</v>
      </c>
      <c r="T279" s="291">
        <f t="shared" si="4"/>
        <v>0</v>
      </c>
      <c r="U279" s="291">
        <f t="shared" si="4"/>
        <v>0</v>
      </c>
      <c r="V279" s="291">
        <f t="shared" si="4"/>
        <v>0</v>
      </c>
      <c r="W279" s="291">
        <f t="shared" si="4"/>
        <v>0</v>
      </c>
      <c r="X279" s="291">
        <f t="shared" si="4"/>
        <v>0</v>
      </c>
      <c r="Y279" s="291">
        <f t="shared" si="4"/>
        <v>0</v>
      </c>
      <c r="Z279" s="291">
        <f t="shared" si="4"/>
        <v>0</v>
      </c>
      <c r="AA279" s="291">
        <f t="shared" si="4"/>
        <v>0</v>
      </c>
      <c r="AB279" s="291">
        <f t="shared" si="4"/>
        <v>0</v>
      </c>
      <c r="AC279" s="291">
        <f t="shared" si="4"/>
        <v>0</v>
      </c>
      <c r="AD279" s="291">
        <f t="shared" si="4"/>
        <v>0</v>
      </c>
      <c r="AE279" s="291">
        <f t="shared" si="4"/>
        <v>0</v>
      </c>
      <c r="AF279" s="291">
        <f t="shared" si="4"/>
        <v>0</v>
      </c>
      <c r="AG279" s="291">
        <f t="shared" si="4"/>
        <v>0</v>
      </c>
      <c r="AH279" s="291">
        <f t="shared" si="4"/>
        <v>0</v>
      </c>
      <c r="AI279" s="291">
        <f t="shared" si="4"/>
        <v>0</v>
      </c>
      <c r="AJ279" s="327">
        <f t="shared" si="2"/>
        <v>0</v>
      </c>
    </row>
    <row r="280" spans="2:36">
      <c r="B280" s="72" t="s">
        <v>458</v>
      </c>
      <c r="C280" s="72" t="s">
        <v>459</v>
      </c>
      <c r="D280" s="291">
        <f t="shared" si="0"/>
        <v>0</v>
      </c>
      <c r="E280" s="291">
        <f t="shared" si="4"/>
        <v>0</v>
      </c>
      <c r="F280" s="291">
        <f t="shared" si="4"/>
        <v>0</v>
      </c>
      <c r="G280" s="291">
        <f t="shared" si="4"/>
        <v>0</v>
      </c>
      <c r="H280" s="291">
        <f t="shared" si="4"/>
        <v>0</v>
      </c>
      <c r="I280" s="291">
        <f t="shared" si="4"/>
        <v>0</v>
      </c>
      <c r="J280" s="291">
        <f t="shared" si="4"/>
        <v>0</v>
      </c>
      <c r="K280" s="291">
        <f t="shared" si="4"/>
        <v>0</v>
      </c>
      <c r="L280" s="291">
        <f t="shared" si="4"/>
        <v>0</v>
      </c>
      <c r="M280" s="291">
        <f t="shared" si="4"/>
        <v>0</v>
      </c>
      <c r="N280" s="291">
        <f t="shared" si="4"/>
        <v>0</v>
      </c>
      <c r="O280" s="291">
        <f t="shared" si="4"/>
        <v>0</v>
      </c>
      <c r="P280" s="291">
        <f t="shared" si="4"/>
        <v>0</v>
      </c>
      <c r="Q280" s="291">
        <f t="shared" si="4"/>
        <v>0</v>
      </c>
      <c r="R280" s="291">
        <f t="shared" si="4"/>
        <v>0</v>
      </c>
      <c r="S280" s="291">
        <f t="shared" si="4"/>
        <v>0</v>
      </c>
      <c r="T280" s="291">
        <f t="shared" si="4"/>
        <v>0</v>
      </c>
      <c r="U280" s="291">
        <f t="shared" si="4"/>
        <v>0</v>
      </c>
      <c r="V280" s="291">
        <f t="shared" si="4"/>
        <v>0</v>
      </c>
      <c r="W280" s="291">
        <f t="shared" si="4"/>
        <v>0</v>
      </c>
      <c r="X280" s="291">
        <f t="shared" si="4"/>
        <v>0</v>
      </c>
      <c r="Y280" s="291">
        <f t="shared" si="4"/>
        <v>0</v>
      </c>
      <c r="Z280" s="291">
        <f t="shared" si="4"/>
        <v>0</v>
      </c>
      <c r="AA280" s="291">
        <f t="shared" si="4"/>
        <v>0</v>
      </c>
      <c r="AB280" s="291">
        <f t="shared" si="4"/>
        <v>0</v>
      </c>
      <c r="AC280" s="291">
        <f t="shared" si="4"/>
        <v>0</v>
      </c>
      <c r="AD280" s="291">
        <f t="shared" si="4"/>
        <v>0</v>
      </c>
      <c r="AE280" s="291">
        <f t="shared" si="4"/>
        <v>0</v>
      </c>
      <c r="AF280" s="291">
        <f t="shared" si="4"/>
        <v>0</v>
      </c>
      <c r="AG280" s="291">
        <f t="shared" si="4"/>
        <v>0</v>
      </c>
      <c r="AH280" s="291">
        <f t="shared" si="4"/>
        <v>0</v>
      </c>
      <c r="AI280" s="291">
        <f t="shared" si="4"/>
        <v>0</v>
      </c>
      <c r="AJ280" s="327">
        <f t="shared" si="2"/>
        <v>0</v>
      </c>
    </row>
    <row r="281" spans="2:36">
      <c r="B281" s="72" t="s">
        <v>460</v>
      </c>
      <c r="C281" s="72" t="s">
        <v>461</v>
      </c>
      <c r="D281" s="291">
        <f t="shared" si="0"/>
        <v>0</v>
      </c>
      <c r="E281" s="291">
        <f t="shared" si="4"/>
        <v>0</v>
      </c>
      <c r="F281" s="291">
        <f t="shared" si="4"/>
        <v>0</v>
      </c>
      <c r="G281" s="291">
        <f t="shared" si="4"/>
        <v>0</v>
      </c>
      <c r="H281" s="291">
        <f t="shared" si="4"/>
        <v>0</v>
      </c>
      <c r="I281" s="291">
        <f t="shared" si="4"/>
        <v>0</v>
      </c>
      <c r="J281" s="291">
        <f t="shared" si="4"/>
        <v>0</v>
      </c>
      <c r="K281" s="291">
        <f t="shared" si="4"/>
        <v>0</v>
      </c>
      <c r="L281" s="291">
        <f t="shared" si="4"/>
        <v>0</v>
      </c>
      <c r="M281" s="291">
        <f t="shared" si="4"/>
        <v>0</v>
      </c>
      <c r="N281" s="291">
        <f t="shared" si="4"/>
        <v>0</v>
      </c>
      <c r="O281" s="291">
        <f t="shared" si="4"/>
        <v>0</v>
      </c>
      <c r="P281" s="291">
        <f t="shared" si="4"/>
        <v>0</v>
      </c>
      <c r="Q281" s="291">
        <f t="shared" si="4"/>
        <v>0</v>
      </c>
      <c r="R281" s="291">
        <f t="shared" si="4"/>
        <v>0</v>
      </c>
      <c r="S281" s="291">
        <f t="shared" si="4"/>
        <v>0</v>
      </c>
      <c r="T281" s="291">
        <f t="shared" si="4"/>
        <v>0</v>
      </c>
      <c r="U281" s="291">
        <f t="shared" si="4"/>
        <v>0</v>
      </c>
      <c r="V281" s="291">
        <f t="shared" si="4"/>
        <v>0</v>
      </c>
      <c r="W281" s="291">
        <f t="shared" si="4"/>
        <v>0</v>
      </c>
      <c r="X281" s="291">
        <f t="shared" si="4"/>
        <v>0</v>
      </c>
      <c r="Y281" s="291">
        <f t="shared" si="4"/>
        <v>0</v>
      </c>
      <c r="Z281" s="291">
        <f t="shared" si="4"/>
        <v>0</v>
      </c>
      <c r="AA281" s="291">
        <f t="shared" si="4"/>
        <v>0</v>
      </c>
      <c r="AB281" s="291">
        <f t="shared" si="4"/>
        <v>0</v>
      </c>
      <c r="AC281" s="291">
        <f t="shared" si="4"/>
        <v>0</v>
      </c>
      <c r="AD281" s="291">
        <f t="shared" si="4"/>
        <v>0</v>
      </c>
      <c r="AE281" s="291">
        <f t="shared" si="4"/>
        <v>0</v>
      </c>
      <c r="AF281" s="291">
        <f t="shared" si="4"/>
        <v>0</v>
      </c>
      <c r="AG281" s="291">
        <f t="shared" si="4"/>
        <v>0</v>
      </c>
      <c r="AH281" s="291">
        <f t="shared" si="4"/>
        <v>0</v>
      </c>
      <c r="AI281" s="291">
        <f t="shared" si="4"/>
        <v>0</v>
      </c>
      <c r="AJ281" s="327">
        <f t="shared" si="2"/>
        <v>0</v>
      </c>
    </row>
    <row r="282" spans="2:36">
      <c r="B282" s="72" t="s">
        <v>462</v>
      </c>
      <c r="C282" s="72" t="s">
        <v>463</v>
      </c>
      <c r="D282" s="291">
        <f t="shared" si="0"/>
        <v>0</v>
      </c>
      <c r="E282" s="291">
        <f t="shared" si="4"/>
        <v>0</v>
      </c>
      <c r="F282" s="291">
        <f t="shared" si="4"/>
        <v>0</v>
      </c>
      <c r="G282" s="291">
        <f t="shared" si="4"/>
        <v>0</v>
      </c>
      <c r="H282" s="291">
        <f t="shared" si="4"/>
        <v>0</v>
      </c>
      <c r="I282" s="291">
        <f t="shared" si="4"/>
        <v>0</v>
      </c>
      <c r="J282" s="291">
        <f t="shared" si="4"/>
        <v>0</v>
      </c>
      <c r="K282" s="291">
        <f t="shared" si="4"/>
        <v>0</v>
      </c>
      <c r="L282" s="291">
        <f t="shared" si="4"/>
        <v>0</v>
      </c>
      <c r="M282" s="291">
        <f t="shared" si="4"/>
        <v>0</v>
      </c>
      <c r="N282" s="291">
        <f t="shared" si="4"/>
        <v>0</v>
      </c>
      <c r="O282" s="291">
        <f t="shared" si="4"/>
        <v>0</v>
      </c>
      <c r="P282" s="291">
        <f t="shared" si="4"/>
        <v>0</v>
      </c>
      <c r="Q282" s="291">
        <f t="shared" si="4"/>
        <v>0</v>
      </c>
      <c r="R282" s="291">
        <f t="shared" si="4"/>
        <v>0</v>
      </c>
      <c r="S282" s="291">
        <f t="shared" si="4"/>
        <v>0</v>
      </c>
      <c r="T282" s="291">
        <f t="shared" si="4"/>
        <v>0</v>
      </c>
      <c r="U282" s="291">
        <f t="shared" si="4"/>
        <v>0</v>
      </c>
      <c r="V282" s="291">
        <f t="shared" si="4"/>
        <v>0</v>
      </c>
      <c r="W282" s="291">
        <f t="shared" si="4"/>
        <v>0</v>
      </c>
      <c r="X282" s="291">
        <f t="shared" si="4"/>
        <v>0</v>
      </c>
      <c r="Y282" s="291">
        <f t="shared" si="4"/>
        <v>0</v>
      </c>
      <c r="Z282" s="291">
        <f t="shared" si="4"/>
        <v>0</v>
      </c>
      <c r="AA282" s="291">
        <f t="shared" si="4"/>
        <v>0</v>
      </c>
      <c r="AB282" s="291">
        <f t="shared" si="4"/>
        <v>0</v>
      </c>
      <c r="AC282" s="291">
        <f t="shared" si="4"/>
        <v>0</v>
      </c>
      <c r="AD282" s="291">
        <f t="shared" si="4"/>
        <v>0</v>
      </c>
      <c r="AE282" s="291">
        <f t="shared" si="4"/>
        <v>0</v>
      </c>
      <c r="AF282" s="291">
        <f t="shared" si="4"/>
        <v>0</v>
      </c>
      <c r="AG282" s="291">
        <f t="shared" si="4"/>
        <v>0</v>
      </c>
      <c r="AH282" s="291">
        <f t="shared" si="4"/>
        <v>0</v>
      </c>
      <c r="AI282" s="291">
        <f t="shared" si="4"/>
        <v>0</v>
      </c>
      <c r="AJ282" s="327">
        <f t="shared" si="2"/>
        <v>0</v>
      </c>
    </row>
    <row r="283" spans="2:36">
      <c r="B283" s="72" t="s">
        <v>464</v>
      </c>
      <c r="C283" s="72" t="s">
        <v>465</v>
      </c>
      <c r="D283" s="291">
        <f t="shared" si="0"/>
        <v>0</v>
      </c>
      <c r="E283" s="291">
        <f t="shared" si="4"/>
        <v>0</v>
      </c>
      <c r="F283" s="291">
        <f t="shared" si="4"/>
        <v>0</v>
      </c>
      <c r="G283" s="291">
        <f t="shared" si="4"/>
        <v>0</v>
      </c>
      <c r="H283" s="291">
        <f t="shared" si="4"/>
        <v>0</v>
      </c>
      <c r="I283" s="291">
        <f t="shared" si="4"/>
        <v>0</v>
      </c>
      <c r="J283" s="291">
        <f t="shared" si="4"/>
        <v>0</v>
      </c>
      <c r="K283" s="291">
        <f t="shared" si="4"/>
        <v>0</v>
      </c>
      <c r="L283" s="291">
        <f t="shared" si="4"/>
        <v>0</v>
      </c>
      <c r="M283" s="291">
        <f t="shared" si="4"/>
        <v>0</v>
      </c>
      <c r="N283" s="291">
        <f t="shared" si="4"/>
        <v>0</v>
      </c>
      <c r="O283" s="291">
        <f t="shared" si="4"/>
        <v>0</v>
      </c>
      <c r="P283" s="291">
        <f t="shared" si="4"/>
        <v>0</v>
      </c>
      <c r="Q283" s="291">
        <f t="shared" si="4"/>
        <v>0</v>
      </c>
      <c r="R283" s="291">
        <f t="shared" si="4"/>
        <v>0</v>
      </c>
      <c r="S283" s="291">
        <f t="shared" si="4"/>
        <v>0</v>
      </c>
      <c r="T283" s="291">
        <f t="shared" si="4"/>
        <v>0</v>
      </c>
      <c r="U283" s="291">
        <f t="shared" si="4"/>
        <v>0</v>
      </c>
      <c r="V283" s="291">
        <f t="shared" si="4"/>
        <v>0</v>
      </c>
      <c r="W283" s="291">
        <f t="shared" si="4"/>
        <v>0</v>
      </c>
      <c r="X283" s="291">
        <f t="shared" si="4"/>
        <v>0</v>
      </c>
      <c r="Y283" s="291">
        <f t="shared" si="4"/>
        <v>0</v>
      </c>
      <c r="Z283" s="291">
        <f t="shared" si="4"/>
        <v>0</v>
      </c>
      <c r="AA283" s="291">
        <f t="shared" si="4"/>
        <v>0</v>
      </c>
      <c r="AB283" s="291">
        <f t="shared" si="4"/>
        <v>0</v>
      </c>
      <c r="AC283" s="291">
        <f t="shared" si="4"/>
        <v>0</v>
      </c>
      <c r="AD283" s="291">
        <f t="shared" si="4"/>
        <v>0</v>
      </c>
      <c r="AE283" s="291">
        <f t="shared" si="4"/>
        <v>0</v>
      </c>
      <c r="AF283" s="291">
        <f t="shared" si="4"/>
        <v>0</v>
      </c>
      <c r="AG283" s="291">
        <f t="shared" si="4"/>
        <v>0</v>
      </c>
      <c r="AH283" s="291">
        <f t="shared" si="4"/>
        <v>0</v>
      </c>
      <c r="AI283" s="291">
        <f t="shared" si="4"/>
        <v>0</v>
      </c>
      <c r="AJ283" s="327">
        <f t="shared" si="2"/>
        <v>0</v>
      </c>
    </row>
    <row r="284" spans="2:36">
      <c r="B284" s="72" t="s">
        <v>466</v>
      </c>
      <c r="C284" s="72" t="s">
        <v>467</v>
      </c>
      <c r="D284" s="291">
        <f t="shared" si="0"/>
        <v>0</v>
      </c>
      <c r="E284" s="291">
        <f t="shared" si="4"/>
        <v>0</v>
      </c>
      <c r="F284" s="291">
        <f t="shared" si="4"/>
        <v>0</v>
      </c>
      <c r="G284" s="291">
        <f t="shared" si="4"/>
        <v>0</v>
      </c>
      <c r="H284" s="291">
        <f t="shared" si="4"/>
        <v>0</v>
      </c>
      <c r="I284" s="291">
        <f t="shared" si="4"/>
        <v>0</v>
      </c>
      <c r="J284" s="291">
        <f t="shared" si="4"/>
        <v>0</v>
      </c>
      <c r="K284" s="291">
        <f t="shared" si="4"/>
        <v>0</v>
      </c>
      <c r="L284" s="291">
        <f t="shared" si="4"/>
        <v>0</v>
      </c>
      <c r="M284" s="291">
        <f t="shared" si="4"/>
        <v>0</v>
      </c>
      <c r="N284" s="291">
        <f t="shared" si="4"/>
        <v>0</v>
      </c>
      <c r="O284" s="291">
        <f t="shared" si="4"/>
        <v>0</v>
      </c>
      <c r="P284" s="291">
        <f t="shared" si="4"/>
        <v>0</v>
      </c>
      <c r="Q284" s="291">
        <f t="shared" si="4"/>
        <v>0</v>
      </c>
      <c r="R284" s="291">
        <f t="shared" si="4"/>
        <v>0</v>
      </c>
      <c r="S284" s="291">
        <f t="shared" si="4"/>
        <v>0</v>
      </c>
      <c r="T284" s="291">
        <f t="shared" si="4"/>
        <v>0</v>
      </c>
      <c r="U284" s="291">
        <f t="shared" si="4"/>
        <v>0</v>
      </c>
      <c r="V284" s="291">
        <f t="shared" si="4"/>
        <v>0</v>
      </c>
      <c r="W284" s="291">
        <f t="shared" si="4"/>
        <v>0</v>
      </c>
      <c r="X284" s="291">
        <f t="shared" si="4"/>
        <v>0</v>
      </c>
      <c r="Y284" s="291">
        <f t="shared" si="4"/>
        <v>0</v>
      </c>
      <c r="Z284" s="291">
        <f t="shared" si="4"/>
        <v>0</v>
      </c>
      <c r="AA284" s="291">
        <f t="shared" si="4"/>
        <v>0</v>
      </c>
      <c r="AB284" s="291">
        <f t="shared" si="4"/>
        <v>0</v>
      </c>
      <c r="AC284" s="291">
        <f t="shared" si="4"/>
        <v>0</v>
      </c>
      <c r="AD284" s="291">
        <f t="shared" si="4"/>
        <v>0</v>
      </c>
      <c r="AE284" s="291">
        <f t="shared" si="4"/>
        <v>0</v>
      </c>
      <c r="AF284" s="291">
        <f t="shared" si="4"/>
        <v>0</v>
      </c>
      <c r="AG284" s="291">
        <f t="shared" si="4"/>
        <v>0</v>
      </c>
      <c r="AH284" s="291">
        <f t="shared" ref="E284:AI293" si="5">AH32/AH$250</f>
        <v>0</v>
      </c>
      <c r="AI284" s="291">
        <f t="shared" si="5"/>
        <v>0</v>
      </c>
      <c r="AJ284" s="327">
        <f t="shared" si="2"/>
        <v>0</v>
      </c>
    </row>
    <row r="285" spans="2:36">
      <c r="B285" s="72" t="s">
        <v>468</v>
      </c>
      <c r="C285" s="72" t="s">
        <v>469</v>
      </c>
      <c r="D285" s="291">
        <f t="shared" si="0"/>
        <v>0</v>
      </c>
      <c r="E285" s="291">
        <f t="shared" si="5"/>
        <v>0</v>
      </c>
      <c r="F285" s="291">
        <f t="shared" si="5"/>
        <v>0</v>
      </c>
      <c r="G285" s="291">
        <f t="shared" si="5"/>
        <v>0</v>
      </c>
      <c r="H285" s="291">
        <f t="shared" si="5"/>
        <v>0</v>
      </c>
      <c r="I285" s="291">
        <f t="shared" si="5"/>
        <v>0</v>
      </c>
      <c r="J285" s="291">
        <f t="shared" si="5"/>
        <v>0</v>
      </c>
      <c r="K285" s="291">
        <f t="shared" si="5"/>
        <v>0</v>
      </c>
      <c r="L285" s="291">
        <f t="shared" si="5"/>
        <v>0</v>
      </c>
      <c r="M285" s="291">
        <f t="shared" si="5"/>
        <v>0</v>
      </c>
      <c r="N285" s="291">
        <f t="shared" si="5"/>
        <v>0</v>
      </c>
      <c r="O285" s="291">
        <f t="shared" si="5"/>
        <v>0</v>
      </c>
      <c r="P285" s="291">
        <f t="shared" si="5"/>
        <v>0</v>
      </c>
      <c r="Q285" s="291">
        <f t="shared" si="5"/>
        <v>0</v>
      </c>
      <c r="R285" s="291">
        <f t="shared" si="5"/>
        <v>0</v>
      </c>
      <c r="S285" s="291">
        <f t="shared" si="5"/>
        <v>0</v>
      </c>
      <c r="T285" s="291">
        <f t="shared" si="5"/>
        <v>0</v>
      </c>
      <c r="U285" s="291">
        <f t="shared" si="5"/>
        <v>0</v>
      </c>
      <c r="V285" s="291">
        <f t="shared" si="5"/>
        <v>0</v>
      </c>
      <c r="W285" s="291">
        <f t="shared" si="5"/>
        <v>0</v>
      </c>
      <c r="X285" s="291">
        <f t="shared" si="5"/>
        <v>0</v>
      </c>
      <c r="Y285" s="291">
        <f t="shared" si="5"/>
        <v>0</v>
      </c>
      <c r="Z285" s="291">
        <f t="shared" si="5"/>
        <v>0</v>
      </c>
      <c r="AA285" s="291">
        <f t="shared" si="5"/>
        <v>0</v>
      </c>
      <c r="AB285" s="291">
        <f t="shared" si="5"/>
        <v>0</v>
      </c>
      <c r="AC285" s="291">
        <f t="shared" si="5"/>
        <v>0</v>
      </c>
      <c r="AD285" s="291">
        <f t="shared" si="5"/>
        <v>0</v>
      </c>
      <c r="AE285" s="291">
        <f t="shared" si="5"/>
        <v>0</v>
      </c>
      <c r="AF285" s="291">
        <f t="shared" si="5"/>
        <v>0</v>
      </c>
      <c r="AG285" s="291">
        <f t="shared" si="5"/>
        <v>0</v>
      </c>
      <c r="AH285" s="291">
        <f t="shared" si="5"/>
        <v>0</v>
      </c>
      <c r="AI285" s="291">
        <f t="shared" si="5"/>
        <v>0</v>
      </c>
      <c r="AJ285" s="327">
        <f t="shared" si="2"/>
        <v>0</v>
      </c>
    </row>
    <row r="286" spans="2:36">
      <c r="B286" s="72" t="s">
        <v>470</v>
      </c>
      <c r="C286" s="72" t="s">
        <v>471</v>
      </c>
      <c r="D286" s="291">
        <f t="shared" si="0"/>
        <v>0</v>
      </c>
      <c r="E286" s="291">
        <f t="shared" si="5"/>
        <v>0</v>
      </c>
      <c r="F286" s="291">
        <f t="shared" si="5"/>
        <v>0</v>
      </c>
      <c r="G286" s="291">
        <f t="shared" si="5"/>
        <v>0</v>
      </c>
      <c r="H286" s="291">
        <f t="shared" si="5"/>
        <v>0</v>
      </c>
      <c r="I286" s="291">
        <f t="shared" si="5"/>
        <v>0</v>
      </c>
      <c r="J286" s="291">
        <f t="shared" si="5"/>
        <v>0</v>
      </c>
      <c r="K286" s="291">
        <f t="shared" si="5"/>
        <v>0</v>
      </c>
      <c r="L286" s="291">
        <f t="shared" si="5"/>
        <v>0</v>
      </c>
      <c r="M286" s="291">
        <f t="shared" si="5"/>
        <v>0</v>
      </c>
      <c r="N286" s="291">
        <f t="shared" si="5"/>
        <v>0</v>
      </c>
      <c r="O286" s="291">
        <f t="shared" si="5"/>
        <v>0</v>
      </c>
      <c r="P286" s="291">
        <f t="shared" si="5"/>
        <v>0</v>
      </c>
      <c r="Q286" s="291">
        <f t="shared" si="5"/>
        <v>0</v>
      </c>
      <c r="R286" s="291">
        <f t="shared" si="5"/>
        <v>0</v>
      </c>
      <c r="S286" s="291">
        <f t="shared" si="5"/>
        <v>0</v>
      </c>
      <c r="T286" s="291">
        <f t="shared" si="5"/>
        <v>0</v>
      </c>
      <c r="U286" s="291">
        <f t="shared" si="5"/>
        <v>0</v>
      </c>
      <c r="V286" s="291">
        <f t="shared" si="5"/>
        <v>0</v>
      </c>
      <c r="W286" s="291">
        <f t="shared" si="5"/>
        <v>0</v>
      </c>
      <c r="X286" s="291">
        <f t="shared" si="5"/>
        <v>0</v>
      </c>
      <c r="Y286" s="291">
        <f t="shared" si="5"/>
        <v>0</v>
      </c>
      <c r="Z286" s="291">
        <f t="shared" si="5"/>
        <v>0</v>
      </c>
      <c r="AA286" s="291">
        <f t="shared" si="5"/>
        <v>0</v>
      </c>
      <c r="AB286" s="291">
        <f t="shared" si="5"/>
        <v>0</v>
      </c>
      <c r="AC286" s="291">
        <f t="shared" si="5"/>
        <v>0</v>
      </c>
      <c r="AD286" s="291">
        <f t="shared" si="5"/>
        <v>0</v>
      </c>
      <c r="AE286" s="291">
        <f t="shared" si="5"/>
        <v>0</v>
      </c>
      <c r="AF286" s="291">
        <f t="shared" si="5"/>
        <v>0</v>
      </c>
      <c r="AG286" s="291">
        <f t="shared" si="5"/>
        <v>0</v>
      </c>
      <c r="AH286" s="291">
        <f t="shared" si="5"/>
        <v>0</v>
      </c>
      <c r="AI286" s="291">
        <f t="shared" si="5"/>
        <v>0</v>
      </c>
      <c r="AJ286" s="327">
        <f t="shared" si="2"/>
        <v>0</v>
      </c>
    </row>
    <row r="287" spans="2:36">
      <c r="B287" s="72" t="s">
        <v>472</v>
      </c>
      <c r="C287" s="72" t="s">
        <v>473</v>
      </c>
      <c r="D287" s="291">
        <f t="shared" si="0"/>
        <v>0</v>
      </c>
      <c r="E287" s="291">
        <f t="shared" si="5"/>
        <v>0</v>
      </c>
      <c r="F287" s="291">
        <f t="shared" si="5"/>
        <v>0</v>
      </c>
      <c r="G287" s="291">
        <f t="shared" si="5"/>
        <v>0</v>
      </c>
      <c r="H287" s="291">
        <f t="shared" si="5"/>
        <v>0</v>
      </c>
      <c r="I287" s="291">
        <f t="shared" si="5"/>
        <v>0</v>
      </c>
      <c r="J287" s="291">
        <f t="shared" si="5"/>
        <v>0</v>
      </c>
      <c r="K287" s="291">
        <f t="shared" si="5"/>
        <v>0</v>
      </c>
      <c r="L287" s="291">
        <f t="shared" si="5"/>
        <v>0</v>
      </c>
      <c r="M287" s="291">
        <f t="shared" si="5"/>
        <v>0</v>
      </c>
      <c r="N287" s="291">
        <f t="shared" si="5"/>
        <v>0</v>
      </c>
      <c r="O287" s="291">
        <f t="shared" si="5"/>
        <v>0</v>
      </c>
      <c r="P287" s="291">
        <f t="shared" si="5"/>
        <v>0</v>
      </c>
      <c r="Q287" s="291">
        <f t="shared" si="5"/>
        <v>0</v>
      </c>
      <c r="R287" s="291">
        <f t="shared" si="5"/>
        <v>0</v>
      </c>
      <c r="S287" s="291">
        <f t="shared" si="5"/>
        <v>0</v>
      </c>
      <c r="T287" s="291">
        <f t="shared" si="5"/>
        <v>0</v>
      </c>
      <c r="U287" s="291">
        <f t="shared" si="5"/>
        <v>0</v>
      </c>
      <c r="V287" s="291">
        <f t="shared" si="5"/>
        <v>0</v>
      </c>
      <c r="W287" s="291">
        <f t="shared" si="5"/>
        <v>0</v>
      </c>
      <c r="X287" s="291">
        <f t="shared" si="5"/>
        <v>0</v>
      </c>
      <c r="Y287" s="291">
        <f t="shared" si="5"/>
        <v>0</v>
      </c>
      <c r="Z287" s="291">
        <f t="shared" si="5"/>
        <v>0</v>
      </c>
      <c r="AA287" s="291">
        <f t="shared" si="5"/>
        <v>0</v>
      </c>
      <c r="AB287" s="291">
        <f t="shared" si="5"/>
        <v>0</v>
      </c>
      <c r="AC287" s="291">
        <f t="shared" si="5"/>
        <v>0</v>
      </c>
      <c r="AD287" s="291">
        <f t="shared" si="5"/>
        <v>0</v>
      </c>
      <c r="AE287" s="291">
        <f t="shared" si="5"/>
        <v>0</v>
      </c>
      <c r="AF287" s="291">
        <f t="shared" si="5"/>
        <v>0</v>
      </c>
      <c r="AG287" s="291">
        <f t="shared" si="5"/>
        <v>0</v>
      </c>
      <c r="AH287" s="291">
        <f t="shared" si="5"/>
        <v>0</v>
      </c>
      <c r="AI287" s="291">
        <f t="shared" si="5"/>
        <v>0</v>
      </c>
      <c r="AJ287" s="327">
        <f t="shared" si="2"/>
        <v>0</v>
      </c>
    </row>
    <row r="288" spans="2:36">
      <c r="B288" s="72" t="s">
        <v>474</v>
      </c>
      <c r="C288" s="72" t="s">
        <v>475</v>
      </c>
      <c r="D288" s="291">
        <f t="shared" si="0"/>
        <v>0</v>
      </c>
      <c r="E288" s="291">
        <f t="shared" si="5"/>
        <v>0</v>
      </c>
      <c r="F288" s="291">
        <f t="shared" si="5"/>
        <v>0</v>
      </c>
      <c r="G288" s="291">
        <f t="shared" si="5"/>
        <v>0</v>
      </c>
      <c r="H288" s="291">
        <f t="shared" si="5"/>
        <v>0</v>
      </c>
      <c r="I288" s="291">
        <f t="shared" si="5"/>
        <v>0</v>
      </c>
      <c r="J288" s="291">
        <f t="shared" si="5"/>
        <v>0</v>
      </c>
      <c r="K288" s="291">
        <f t="shared" si="5"/>
        <v>0</v>
      </c>
      <c r="L288" s="291">
        <f t="shared" si="5"/>
        <v>0</v>
      </c>
      <c r="M288" s="291">
        <f t="shared" si="5"/>
        <v>0</v>
      </c>
      <c r="N288" s="291">
        <f t="shared" si="5"/>
        <v>0</v>
      </c>
      <c r="O288" s="291">
        <f t="shared" si="5"/>
        <v>0</v>
      </c>
      <c r="P288" s="291">
        <f t="shared" si="5"/>
        <v>0</v>
      </c>
      <c r="Q288" s="291">
        <f t="shared" si="5"/>
        <v>0</v>
      </c>
      <c r="R288" s="291">
        <f t="shared" si="5"/>
        <v>0</v>
      </c>
      <c r="S288" s="291">
        <f t="shared" si="5"/>
        <v>0</v>
      </c>
      <c r="T288" s="291">
        <f t="shared" si="5"/>
        <v>0</v>
      </c>
      <c r="U288" s="291">
        <f t="shared" si="5"/>
        <v>0</v>
      </c>
      <c r="V288" s="291">
        <f t="shared" si="5"/>
        <v>0</v>
      </c>
      <c r="W288" s="291">
        <f t="shared" si="5"/>
        <v>0</v>
      </c>
      <c r="X288" s="291">
        <f t="shared" si="5"/>
        <v>0</v>
      </c>
      <c r="Y288" s="291">
        <f t="shared" si="5"/>
        <v>0</v>
      </c>
      <c r="Z288" s="291">
        <f t="shared" si="5"/>
        <v>0</v>
      </c>
      <c r="AA288" s="291">
        <f t="shared" si="5"/>
        <v>0</v>
      </c>
      <c r="AB288" s="291">
        <f t="shared" si="5"/>
        <v>0</v>
      </c>
      <c r="AC288" s="291">
        <f t="shared" si="5"/>
        <v>0</v>
      </c>
      <c r="AD288" s="291">
        <f t="shared" si="5"/>
        <v>0</v>
      </c>
      <c r="AE288" s="291">
        <f t="shared" si="5"/>
        <v>0</v>
      </c>
      <c r="AF288" s="291">
        <f t="shared" si="5"/>
        <v>0</v>
      </c>
      <c r="AG288" s="291">
        <f t="shared" si="5"/>
        <v>0</v>
      </c>
      <c r="AH288" s="291">
        <f t="shared" si="5"/>
        <v>0</v>
      </c>
      <c r="AI288" s="291">
        <f t="shared" si="5"/>
        <v>0</v>
      </c>
      <c r="AJ288" s="327">
        <f t="shared" si="2"/>
        <v>0</v>
      </c>
    </row>
    <row r="289" spans="2:36">
      <c r="B289" s="72" t="s">
        <v>335</v>
      </c>
      <c r="C289" s="72" t="s">
        <v>476</v>
      </c>
      <c r="D289" s="291">
        <f t="shared" si="0"/>
        <v>0</v>
      </c>
      <c r="E289" s="291">
        <f t="shared" si="5"/>
        <v>0</v>
      </c>
      <c r="F289" s="291">
        <f t="shared" si="5"/>
        <v>0</v>
      </c>
      <c r="G289" s="291">
        <f t="shared" si="5"/>
        <v>0</v>
      </c>
      <c r="H289" s="291">
        <f t="shared" si="5"/>
        <v>0</v>
      </c>
      <c r="I289" s="291">
        <f t="shared" si="5"/>
        <v>0</v>
      </c>
      <c r="J289" s="291">
        <f t="shared" si="5"/>
        <v>0</v>
      </c>
      <c r="K289" s="291">
        <f t="shared" si="5"/>
        <v>0</v>
      </c>
      <c r="L289" s="291">
        <f t="shared" si="5"/>
        <v>0</v>
      </c>
      <c r="M289" s="291">
        <f t="shared" si="5"/>
        <v>0</v>
      </c>
      <c r="N289" s="291">
        <f t="shared" si="5"/>
        <v>0</v>
      </c>
      <c r="O289" s="291">
        <f t="shared" si="5"/>
        <v>0</v>
      </c>
      <c r="P289" s="291">
        <f t="shared" si="5"/>
        <v>0</v>
      </c>
      <c r="Q289" s="291">
        <f t="shared" si="5"/>
        <v>0</v>
      </c>
      <c r="R289" s="291">
        <f t="shared" si="5"/>
        <v>0</v>
      </c>
      <c r="S289" s="291">
        <f t="shared" si="5"/>
        <v>0</v>
      </c>
      <c r="T289" s="291">
        <f t="shared" si="5"/>
        <v>0</v>
      </c>
      <c r="U289" s="291">
        <f t="shared" si="5"/>
        <v>0</v>
      </c>
      <c r="V289" s="291">
        <f t="shared" si="5"/>
        <v>0</v>
      </c>
      <c r="W289" s="291">
        <f t="shared" si="5"/>
        <v>0</v>
      </c>
      <c r="X289" s="291">
        <f t="shared" si="5"/>
        <v>0</v>
      </c>
      <c r="Y289" s="291">
        <f t="shared" si="5"/>
        <v>0</v>
      </c>
      <c r="Z289" s="291">
        <f t="shared" si="5"/>
        <v>0</v>
      </c>
      <c r="AA289" s="291">
        <f t="shared" si="5"/>
        <v>0</v>
      </c>
      <c r="AB289" s="291">
        <f t="shared" si="5"/>
        <v>0</v>
      </c>
      <c r="AC289" s="291">
        <f t="shared" si="5"/>
        <v>0</v>
      </c>
      <c r="AD289" s="291">
        <f t="shared" si="5"/>
        <v>0</v>
      </c>
      <c r="AE289" s="291">
        <f t="shared" si="5"/>
        <v>0</v>
      </c>
      <c r="AF289" s="291">
        <f t="shared" si="5"/>
        <v>0</v>
      </c>
      <c r="AG289" s="291">
        <f t="shared" si="5"/>
        <v>0</v>
      </c>
      <c r="AH289" s="291">
        <f t="shared" si="5"/>
        <v>0</v>
      </c>
      <c r="AI289" s="291">
        <f t="shared" si="5"/>
        <v>0</v>
      </c>
      <c r="AJ289" s="327">
        <f t="shared" si="2"/>
        <v>0</v>
      </c>
    </row>
    <row r="290" spans="2:36">
      <c r="B290" s="72" t="s">
        <v>477</v>
      </c>
      <c r="C290" s="72" t="s">
        <v>478</v>
      </c>
      <c r="D290" s="291">
        <f t="shared" si="0"/>
        <v>0</v>
      </c>
      <c r="E290" s="291">
        <f t="shared" si="5"/>
        <v>0</v>
      </c>
      <c r="F290" s="291">
        <f t="shared" si="5"/>
        <v>0</v>
      </c>
      <c r="G290" s="291">
        <f t="shared" si="5"/>
        <v>0</v>
      </c>
      <c r="H290" s="291">
        <f t="shared" si="5"/>
        <v>0</v>
      </c>
      <c r="I290" s="291">
        <f t="shared" si="5"/>
        <v>0</v>
      </c>
      <c r="J290" s="291">
        <f t="shared" si="5"/>
        <v>0</v>
      </c>
      <c r="K290" s="291">
        <f t="shared" si="5"/>
        <v>0</v>
      </c>
      <c r="L290" s="291">
        <f t="shared" si="5"/>
        <v>0</v>
      </c>
      <c r="M290" s="291">
        <f t="shared" si="5"/>
        <v>0</v>
      </c>
      <c r="N290" s="291">
        <f t="shared" si="5"/>
        <v>0</v>
      </c>
      <c r="O290" s="291">
        <f t="shared" si="5"/>
        <v>0</v>
      </c>
      <c r="P290" s="291">
        <f t="shared" si="5"/>
        <v>0</v>
      </c>
      <c r="Q290" s="291">
        <f t="shared" si="5"/>
        <v>0</v>
      </c>
      <c r="R290" s="291">
        <f t="shared" si="5"/>
        <v>0</v>
      </c>
      <c r="S290" s="291">
        <f t="shared" si="5"/>
        <v>0</v>
      </c>
      <c r="T290" s="291">
        <f t="shared" si="5"/>
        <v>0</v>
      </c>
      <c r="U290" s="291">
        <f t="shared" si="5"/>
        <v>0</v>
      </c>
      <c r="V290" s="291">
        <f t="shared" si="5"/>
        <v>0</v>
      </c>
      <c r="W290" s="291">
        <f t="shared" si="5"/>
        <v>0</v>
      </c>
      <c r="X290" s="291">
        <f t="shared" si="5"/>
        <v>0</v>
      </c>
      <c r="Y290" s="291">
        <f t="shared" si="5"/>
        <v>0</v>
      </c>
      <c r="Z290" s="291">
        <f t="shared" si="5"/>
        <v>0</v>
      </c>
      <c r="AA290" s="291">
        <f t="shared" si="5"/>
        <v>0</v>
      </c>
      <c r="AB290" s="291">
        <f t="shared" si="5"/>
        <v>0</v>
      </c>
      <c r="AC290" s="291">
        <f t="shared" si="5"/>
        <v>0</v>
      </c>
      <c r="AD290" s="291">
        <f t="shared" si="5"/>
        <v>0</v>
      </c>
      <c r="AE290" s="291">
        <f t="shared" si="5"/>
        <v>0</v>
      </c>
      <c r="AF290" s="291">
        <f t="shared" si="5"/>
        <v>0</v>
      </c>
      <c r="AG290" s="291">
        <f t="shared" si="5"/>
        <v>0</v>
      </c>
      <c r="AH290" s="291">
        <f t="shared" si="5"/>
        <v>0</v>
      </c>
      <c r="AI290" s="291">
        <f t="shared" si="5"/>
        <v>0</v>
      </c>
      <c r="AJ290" s="327">
        <f t="shared" si="2"/>
        <v>0</v>
      </c>
    </row>
    <row r="291" spans="2:36">
      <c r="B291" s="72" t="s">
        <v>479</v>
      </c>
      <c r="C291" s="72" t="s">
        <v>480</v>
      </c>
      <c r="D291" s="291">
        <f t="shared" si="0"/>
        <v>0</v>
      </c>
      <c r="E291" s="291">
        <f t="shared" si="5"/>
        <v>0</v>
      </c>
      <c r="F291" s="291">
        <f t="shared" si="5"/>
        <v>0</v>
      </c>
      <c r="G291" s="291">
        <f t="shared" si="5"/>
        <v>0</v>
      </c>
      <c r="H291" s="291">
        <f t="shared" si="5"/>
        <v>0</v>
      </c>
      <c r="I291" s="291">
        <f t="shared" si="5"/>
        <v>0</v>
      </c>
      <c r="J291" s="291">
        <f t="shared" si="5"/>
        <v>0</v>
      </c>
      <c r="K291" s="291">
        <f t="shared" si="5"/>
        <v>0</v>
      </c>
      <c r="L291" s="291">
        <f t="shared" si="5"/>
        <v>0</v>
      </c>
      <c r="M291" s="291">
        <f t="shared" si="5"/>
        <v>0</v>
      </c>
      <c r="N291" s="291">
        <f t="shared" si="5"/>
        <v>0</v>
      </c>
      <c r="O291" s="291">
        <f t="shared" si="5"/>
        <v>0</v>
      </c>
      <c r="P291" s="291">
        <f t="shared" si="5"/>
        <v>0</v>
      </c>
      <c r="Q291" s="291">
        <f t="shared" si="5"/>
        <v>0</v>
      </c>
      <c r="R291" s="291">
        <f t="shared" si="5"/>
        <v>0</v>
      </c>
      <c r="S291" s="291">
        <f t="shared" si="5"/>
        <v>0</v>
      </c>
      <c r="T291" s="291">
        <f t="shared" si="5"/>
        <v>0</v>
      </c>
      <c r="U291" s="291">
        <f t="shared" si="5"/>
        <v>0</v>
      </c>
      <c r="V291" s="291">
        <f t="shared" si="5"/>
        <v>0</v>
      </c>
      <c r="W291" s="291">
        <f t="shared" si="5"/>
        <v>0</v>
      </c>
      <c r="X291" s="291">
        <f t="shared" si="5"/>
        <v>0</v>
      </c>
      <c r="Y291" s="291">
        <f t="shared" si="5"/>
        <v>0</v>
      </c>
      <c r="Z291" s="291">
        <f t="shared" si="5"/>
        <v>0</v>
      </c>
      <c r="AA291" s="291">
        <f t="shared" si="5"/>
        <v>0</v>
      </c>
      <c r="AB291" s="291">
        <f t="shared" si="5"/>
        <v>0</v>
      </c>
      <c r="AC291" s="291">
        <f t="shared" si="5"/>
        <v>0</v>
      </c>
      <c r="AD291" s="291">
        <f t="shared" si="5"/>
        <v>0</v>
      </c>
      <c r="AE291" s="291">
        <f t="shared" si="5"/>
        <v>0</v>
      </c>
      <c r="AF291" s="291">
        <f t="shared" si="5"/>
        <v>0</v>
      </c>
      <c r="AG291" s="291">
        <f t="shared" si="5"/>
        <v>0</v>
      </c>
      <c r="AH291" s="291">
        <f t="shared" si="5"/>
        <v>0</v>
      </c>
      <c r="AI291" s="291">
        <f t="shared" si="5"/>
        <v>0</v>
      </c>
      <c r="AJ291" s="327">
        <f t="shared" si="2"/>
        <v>0</v>
      </c>
    </row>
    <row r="292" spans="2:36">
      <c r="B292" s="72" t="s">
        <v>481</v>
      </c>
      <c r="C292" s="72" t="s">
        <v>482</v>
      </c>
      <c r="D292" s="291">
        <f t="shared" si="0"/>
        <v>0</v>
      </c>
      <c r="E292" s="291">
        <f t="shared" si="5"/>
        <v>0</v>
      </c>
      <c r="F292" s="291">
        <f t="shared" si="5"/>
        <v>0</v>
      </c>
      <c r="G292" s="291">
        <f t="shared" si="5"/>
        <v>0</v>
      </c>
      <c r="H292" s="291">
        <f t="shared" si="5"/>
        <v>0</v>
      </c>
      <c r="I292" s="291">
        <f t="shared" si="5"/>
        <v>0</v>
      </c>
      <c r="J292" s="291">
        <f t="shared" si="5"/>
        <v>0</v>
      </c>
      <c r="K292" s="291">
        <f t="shared" si="5"/>
        <v>0</v>
      </c>
      <c r="L292" s="291">
        <f t="shared" si="5"/>
        <v>0</v>
      </c>
      <c r="M292" s="291">
        <f t="shared" si="5"/>
        <v>0</v>
      </c>
      <c r="N292" s="291">
        <f t="shared" si="5"/>
        <v>0</v>
      </c>
      <c r="O292" s="291">
        <f t="shared" si="5"/>
        <v>0</v>
      </c>
      <c r="P292" s="291">
        <f t="shared" si="5"/>
        <v>0</v>
      </c>
      <c r="Q292" s="291">
        <f t="shared" si="5"/>
        <v>0</v>
      </c>
      <c r="R292" s="291">
        <f t="shared" si="5"/>
        <v>0</v>
      </c>
      <c r="S292" s="291">
        <f t="shared" si="5"/>
        <v>0</v>
      </c>
      <c r="T292" s="291">
        <f t="shared" si="5"/>
        <v>0</v>
      </c>
      <c r="U292" s="291">
        <f t="shared" si="5"/>
        <v>0</v>
      </c>
      <c r="V292" s="291">
        <f t="shared" si="5"/>
        <v>0</v>
      </c>
      <c r="W292" s="291">
        <f t="shared" si="5"/>
        <v>0</v>
      </c>
      <c r="X292" s="291">
        <f t="shared" si="5"/>
        <v>0</v>
      </c>
      <c r="Y292" s="291">
        <f t="shared" si="5"/>
        <v>0</v>
      </c>
      <c r="Z292" s="291">
        <f t="shared" si="5"/>
        <v>0</v>
      </c>
      <c r="AA292" s="291">
        <f t="shared" si="5"/>
        <v>0</v>
      </c>
      <c r="AB292" s="291">
        <f t="shared" si="5"/>
        <v>0</v>
      </c>
      <c r="AC292" s="291">
        <f t="shared" si="5"/>
        <v>0</v>
      </c>
      <c r="AD292" s="291">
        <f t="shared" si="5"/>
        <v>0</v>
      </c>
      <c r="AE292" s="291">
        <f t="shared" si="5"/>
        <v>0</v>
      </c>
      <c r="AF292" s="291">
        <f t="shared" si="5"/>
        <v>0</v>
      </c>
      <c r="AG292" s="291">
        <f t="shared" si="5"/>
        <v>0</v>
      </c>
      <c r="AH292" s="291">
        <f t="shared" si="5"/>
        <v>0</v>
      </c>
      <c r="AI292" s="291">
        <f t="shared" si="5"/>
        <v>0</v>
      </c>
      <c r="AJ292" s="327">
        <f t="shared" si="2"/>
        <v>0</v>
      </c>
    </row>
    <row r="293" spans="2:36">
      <c r="B293" s="72" t="s">
        <v>483</v>
      </c>
      <c r="C293" s="72" t="s">
        <v>484</v>
      </c>
      <c r="D293" s="291">
        <f t="shared" si="0"/>
        <v>0</v>
      </c>
      <c r="E293" s="291">
        <f t="shared" si="5"/>
        <v>0</v>
      </c>
      <c r="F293" s="291">
        <f t="shared" si="5"/>
        <v>0</v>
      </c>
      <c r="G293" s="291">
        <f t="shared" si="5"/>
        <v>0</v>
      </c>
      <c r="H293" s="291">
        <f t="shared" si="5"/>
        <v>0</v>
      </c>
      <c r="I293" s="291">
        <f t="shared" si="5"/>
        <v>0</v>
      </c>
      <c r="J293" s="291">
        <f t="shared" ref="E293:AI301" si="6">J41/J$250</f>
        <v>0</v>
      </c>
      <c r="K293" s="291">
        <f t="shared" si="6"/>
        <v>0</v>
      </c>
      <c r="L293" s="291">
        <f t="shared" si="6"/>
        <v>0</v>
      </c>
      <c r="M293" s="291">
        <f t="shared" si="6"/>
        <v>0</v>
      </c>
      <c r="N293" s="291">
        <f t="shared" si="6"/>
        <v>0</v>
      </c>
      <c r="O293" s="291">
        <f t="shared" si="6"/>
        <v>0</v>
      </c>
      <c r="P293" s="291">
        <f t="shared" si="6"/>
        <v>0</v>
      </c>
      <c r="Q293" s="291">
        <f t="shared" si="6"/>
        <v>0</v>
      </c>
      <c r="R293" s="291">
        <f t="shared" si="6"/>
        <v>0</v>
      </c>
      <c r="S293" s="291">
        <f t="shared" si="6"/>
        <v>0</v>
      </c>
      <c r="T293" s="291">
        <f t="shared" si="6"/>
        <v>0</v>
      </c>
      <c r="U293" s="291">
        <f t="shared" si="6"/>
        <v>0</v>
      </c>
      <c r="V293" s="291">
        <f t="shared" si="6"/>
        <v>0</v>
      </c>
      <c r="W293" s="291">
        <f t="shared" si="6"/>
        <v>0</v>
      </c>
      <c r="X293" s="291">
        <f t="shared" si="6"/>
        <v>0</v>
      </c>
      <c r="Y293" s="291">
        <f t="shared" si="6"/>
        <v>0</v>
      </c>
      <c r="Z293" s="291">
        <f t="shared" si="6"/>
        <v>0</v>
      </c>
      <c r="AA293" s="291">
        <f t="shared" si="6"/>
        <v>0</v>
      </c>
      <c r="AB293" s="291">
        <f t="shared" si="6"/>
        <v>0</v>
      </c>
      <c r="AC293" s="291">
        <f t="shared" si="6"/>
        <v>0</v>
      </c>
      <c r="AD293" s="291">
        <f t="shared" si="6"/>
        <v>0</v>
      </c>
      <c r="AE293" s="291">
        <f t="shared" si="6"/>
        <v>0</v>
      </c>
      <c r="AF293" s="291">
        <f t="shared" si="6"/>
        <v>0</v>
      </c>
      <c r="AG293" s="291">
        <f t="shared" si="6"/>
        <v>0</v>
      </c>
      <c r="AH293" s="291">
        <f t="shared" si="6"/>
        <v>0</v>
      </c>
      <c r="AI293" s="291">
        <f t="shared" si="6"/>
        <v>0</v>
      </c>
      <c r="AJ293" s="327">
        <f t="shared" si="2"/>
        <v>0</v>
      </c>
    </row>
    <row r="294" spans="2:36">
      <c r="B294" s="72" t="s">
        <v>485</v>
      </c>
      <c r="C294" s="72" t="s">
        <v>486</v>
      </c>
      <c r="D294" s="291">
        <f t="shared" si="0"/>
        <v>0</v>
      </c>
      <c r="E294" s="291">
        <f t="shared" si="6"/>
        <v>0</v>
      </c>
      <c r="F294" s="291">
        <f t="shared" si="6"/>
        <v>0</v>
      </c>
      <c r="G294" s="291">
        <f t="shared" si="6"/>
        <v>0</v>
      </c>
      <c r="H294" s="291">
        <f t="shared" si="6"/>
        <v>0</v>
      </c>
      <c r="I294" s="291">
        <f t="shared" si="6"/>
        <v>0</v>
      </c>
      <c r="J294" s="291">
        <f t="shared" si="6"/>
        <v>0</v>
      </c>
      <c r="K294" s="291">
        <f t="shared" si="6"/>
        <v>0</v>
      </c>
      <c r="L294" s="291">
        <f t="shared" si="6"/>
        <v>0</v>
      </c>
      <c r="M294" s="291">
        <f t="shared" si="6"/>
        <v>0</v>
      </c>
      <c r="N294" s="291">
        <f t="shared" si="6"/>
        <v>0</v>
      </c>
      <c r="O294" s="291">
        <f t="shared" si="6"/>
        <v>0</v>
      </c>
      <c r="P294" s="291">
        <f t="shared" si="6"/>
        <v>0</v>
      </c>
      <c r="Q294" s="291">
        <f t="shared" si="6"/>
        <v>0</v>
      </c>
      <c r="R294" s="291">
        <f t="shared" si="6"/>
        <v>0</v>
      </c>
      <c r="S294" s="291">
        <f t="shared" si="6"/>
        <v>0</v>
      </c>
      <c r="T294" s="291">
        <f t="shared" si="6"/>
        <v>0</v>
      </c>
      <c r="U294" s="291">
        <f t="shared" si="6"/>
        <v>0</v>
      </c>
      <c r="V294" s="291">
        <f t="shared" si="6"/>
        <v>0</v>
      </c>
      <c r="W294" s="291">
        <f t="shared" si="6"/>
        <v>0</v>
      </c>
      <c r="X294" s="291">
        <f t="shared" si="6"/>
        <v>0</v>
      </c>
      <c r="Y294" s="291">
        <f t="shared" si="6"/>
        <v>0</v>
      </c>
      <c r="Z294" s="291">
        <f t="shared" si="6"/>
        <v>0</v>
      </c>
      <c r="AA294" s="291">
        <f t="shared" si="6"/>
        <v>0</v>
      </c>
      <c r="AB294" s="291">
        <f t="shared" si="6"/>
        <v>0</v>
      </c>
      <c r="AC294" s="291">
        <f t="shared" si="6"/>
        <v>0</v>
      </c>
      <c r="AD294" s="291">
        <f t="shared" si="6"/>
        <v>0</v>
      </c>
      <c r="AE294" s="291">
        <f t="shared" si="6"/>
        <v>0</v>
      </c>
      <c r="AF294" s="291">
        <f t="shared" si="6"/>
        <v>0</v>
      </c>
      <c r="AG294" s="291">
        <f t="shared" si="6"/>
        <v>0</v>
      </c>
      <c r="AH294" s="291">
        <f t="shared" si="6"/>
        <v>0</v>
      </c>
      <c r="AI294" s="291">
        <f t="shared" si="6"/>
        <v>0</v>
      </c>
      <c r="AJ294" s="327">
        <f t="shared" si="2"/>
        <v>0</v>
      </c>
    </row>
    <row r="295" spans="2:36">
      <c r="B295" s="72" t="s">
        <v>487</v>
      </c>
      <c r="C295" s="72" t="s">
        <v>488</v>
      </c>
      <c r="D295" s="291">
        <f t="shared" si="0"/>
        <v>0</v>
      </c>
      <c r="E295" s="291">
        <f t="shared" si="6"/>
        <v>0</v>
      </c>
      <c r="F295" s="291">
        <f t="shared" si="6"/>
        <v>0</v>
      </c>
      <c r="G295" s="291">
        <f t="shared" si="6"/>
        <v>0</v>
      </c>
      <c r="H295" s="291">
        <f t="shared" si="6"/>
        <v>0</v>
      </c>
      <c r="I295" s="291">
        <f t="shared" si="6"/>
        <v>0</v>
      </c>
      <c r="J295" s="291">
        <f t="shared" si="6"/>
        <v>0</v>
      </c>
      <c r="K295" s="291">
        <f t="shared" si="6"/>
        <v>0</v>
      </c>
      <c r="L295" s="291">
        <f t="shared" si="6"/>
        <v>0</v>
      </c>
      <c r="M295" s="291">
        <f t="shared" si="6"/>
        <v>0</v>
      </c>
      <c r="N295" s="291">
        <f t="shared" si="6"/>
        <v>0</v>
      </c>
      <c r="O295" s="291">
        <f t="shared" si="6"/>
        <v>0</v>
      </c>
      <c r="P295" s="291">
        <f t="shared" si="6"/>
        <v>0</v>
      </c>
      <c r="Q295" s="291">
        <f t="shared" si="6"/>
        <v>0</v>
      </c>
      <c r="R295" s="291">
        <f t="shared" si="6"/>
        <v>0</v>
      </c>
      <c r="S295" s="291">
        <f t="shared" si="6"/>
        <v>0</v>
      </c>
      <c r="T295" s="291">
        <f t="shared" si="6"/>
        <v>0</v>
      </c>
      <c r="U295" s="291">
        <f t="shared" si="6"/>
        <v>0</v>
      </c>
      <c r="V295" s="291">
        <f t="shared" si="6"/>
        <v>0</v>
      </c>
      <c r="W295" s="291">
        <f t="shared" si="6"/>
        <v>0</v>
      </c>
      <c r="X295" s="291">
        <f t="shared" si="6"/>
        <v>0</v>
      </c>
      <c r="Y295" s="291">
        <f t="shared" si="6"/>
        <v>0</v>
      </c>
      <c r="Z295" s="291">
        <f t="shared" si="6"/>
        <v>0</v>
      </c>
      <c r="AA295" s="291">
        <f t="shared" si="6"/>
        <v>0</v>
      </c>
      <c r="AB295" s="291">
        <f t="shared" si="6"/>
        <v>0</v>
      </c>
      <c r="AC295" s="291">
        <f t="shared" si="6"/>
        <v>0</v>
      </c>
      <c r="AD295" s="291">
        <f t="shared" si="6"/>
        <v>0</v>
      </c>
      <c r="AE295" s="291">
        <f t="shared" si="6"/>
        <v>0</v>
      </c>
      <c r="AF295" s="291">
        <f t="shared" si="6"/>
        <v>0</v>
      </c>
      <c r="AG295" s="291">
        <f t="shared" si="6"/>
        <v>0</v>
      </c>
      <c r="AH295" s="291">
        <f t="shared" si="6"/>
        <v>0</v>
      </c>
      <c r="AI295" s="291">
        <f t="shared" si="6"/>
        <v>0</v>
      </c>
      <c r="AJ295" s="327">
        <f t="shared" si="2"/>
        <v>0</v>
      </c>
    </row>
    <row r="296" spans="2:36">
      <c r="B296" s="72" t="s">
        <v>489</v>
      </c>
      <c r="C296" s="72" t="s">
        <v>490</v>
      </c>
      <c r="D296" s="291">
        <f t="shared" si="0"/>
        <v>0</v>
      </c>
      <c r="E296" s="291">
        <f t="shared" si="6"/>
        <v>0</v>
      </c>
      <c r="F296" s="291">
        <f t="shared" si="6"/>
        <v>0</v>
      </c>
      <c r="G296" s="291">
        <f t="shared" si="6"/>
        <v>0</v>
      </c>
      <c r="H296" s="291">
        <f t="shared" si="6"/>
        <v>0</v>
      </c>
      <c r="I296" s="291">
        <f t="shared" si="6"/>
        <v>0</v>
      </c>
      <c r="J296" s="291">
        <f t="shared" si="6"/>
        <v>0</v>
      </c>
      <c r="K296" s="291">
        <f t="shared" si="6"/>
        <v>0</v>
      </c>
      <c r="L296" s="291">
        <f t="shared" si="6"/>
        <v>0</v>
      </c>
      <c r="M296" s="291">
        <f t="shared" si="6"/>
        <v>0</v>
      </c>
      <c r="N296" s="291">
        <f t="shared" si="6"/>
        <v>0</v>
      </c>
      <c r="O296" s="291">
        <f t="shared" si="6"/>
        <v>0</v>
      </c>
      <c r="P296" s="291">
        <f t="shared" si="6"/>
        <v>0</v>
      </c>
      <c r="Q296" s="291">
        <f t="shared" si="6"/>
        <v>0</v>
      </c>
      <c r="R296" s="291">
        <f t="shared" si="6"/>
        <v>0</v>
      </c>
      <c r="S296" s="291">
        <f t="shared" si="6"/>
        <v>0</v>
      </c>
      <c r="T296" s="291">
        <f t="shared" si="6"/>
        <v>0</v>
      </c>
      <c r="U296" s="291">
        <f t="shared" si="6"/>
        <v>0</v>
      </c>
      <c r="V296" s="291">
        <f t="shared" si="6"/>
        <v>0</v>
      </c>
      <c r="W296" s="291">
        <f t="shared" si="6"/>
        <v>0</v>
      </c>
      <c r="X296" s="291">
        <f t="shared" si="6"/>
        <v>0</v>
      </c>
      <c r="Y296" s="291">
        <f t="shared" si="6"/>
        <v>0</v>
      </c>
      <c r="Z296" s="291">
        <f t="shared" si="6"/>
        <v>0</v>
      </c>
      <c r="AA296" s="291">
        <f t="shared" si="6"/>
        <v>0</v>
      </c>
      <c r="AB296" s="291">
        <f t="shared" si="6"/>
        <v>0</v>
      </c>
      <c r="AC296" s="291">
        <f t="shared" si="6"/>
        <v>0</v>
      </c>
      <c r="AD296" s="291">
        <f t="shared" si="6"/>
        <v>0</v>
      </c>
      <c r="AE296" s="291">
        <f t="shared" si="6"/>
        <v>0</v>
      </c>
      <c r="AF296" s="291">
        <f t="shared" si="6"/>
        <v>0</v>
      </c>
      <c r="AG296" s="291">
        <f t="shared" si="6"/>
        <v>0</v>
      </c>
      <c r="AH296" s="291">
        <f t="shared" si="6"/>
        <v>0</v>
      </c>
      <c r="AI296" s="291">
        <f t="shared" si="6"/>
        <v>0</v>
      </c>
      <c r="AJ296" s="327">
        <f t="shared" si="2"/>
        <v>0</v>
      </c>
    </row>
    <row r="297" spans="2:36">
      <c r="B297" s="72" t="s">
        <v>491</v>
      </c>
      <c r="C297" s="72" t="s">
        <v>492</v>
      </c>
      <c r="D297" s="291">
        <f t="shared" si="0"/>
        <v>0</v>
      </c>
      <c r="E297" s="291">
        <f t="shared" si="6"/>
        <v>0</v>
      </c>
      <c r="F297" s="291">
        <f t="shared" si="6"/>
        <v>0</v>
      </c>
      <c r="G297" s="291">
        <f t="shared" si="6"/>
        <v>0</v>
      </c>
      <c r="H297" s="291">
        <f t="shared" si="6"/>
        <v>0</v>
      </c>
      <c r="I297" s="291">
        <f t="shared" si="6"/>
        <v>0</v>
      </c>
      <c r="J297" s="291">
        <f t="shared" si="6"/>
        <v>0</v>
      </c>
      <c r="K297" s="291">
        <f t="shared" si="6"/>
        <v>0</v>
      </c>
      <c r="L297" s="291">
        <f t="shared" si="6"/>
        <v>0</v>
      </c>
      <c r="M297" s="291">
        <f t="shared" si="6"/>
        <v>0</v>
      </c>
      <c r="N297" s="291">
        <f t="shared" si="6"/>
        <v>0</v>
      </c>
      <c r="O297" s="291">
        <f t="shared" si="6"/>
        <v>0</v>
      </c>
      <c r="P297" s="291">
        <f t="shared" si="6"/>
        <v>0</v>
      </c>
      <c r="Q297" s="291">
        <f t="shared" si="6"/>
        <v>0</v>
      </c>
      <c r="R297" s="291">
        <f t="shared" si="6"/>
        <v>0</v>
      </c>
      <c r="S297" s="291">
        <f t="shared" si="6"/>
        <v>0</v>
      </c>
      <c r="T297" s="291">
        <f t="shared" si="6"/>
        <v>0</v>
      </c>
      <c r="U297" s="291">
        <f t="shared" si="6"/>
        <v>0</v>
      </c>
      <c r="V297" s="291">
        <f t="shared" si="6"/>
        <v>0</v>
      </c>
      <c r="W297" s="291">
        <f t="shared" si="6"/>
        <v>0</v>
      </c>
      <c r="X297" s="291">
        <f t="shared" si="6"/>
        <v>0</v>
      </c>
      <c r="Y297" s="291">
        <f t="shared" si="6"/>
        <v>0</v>
      </c>
      <c r="Z297" s="291">
        <f t="shared" si="6"/>
        <v>0</v>
      </c>
      <c r="AA297" s="291">
        <f t="shared" si="6"/>
        <v>0</v>
      </c>
      <c r="AB297" s="291">
        <f t="shared" si="6"/>
        <v>0</v>
      </c>
      <c r="AC297" s="291">
        <f t="shared" si="6"/>
        <v>0</v>
      </c>
      <c r="AD297" s="291">
        <f t="shared" si="6"/>
        <v>0</v>
      </c>
      <c r="AE297" s="291">
        <f t="shared" si="6"/>
        <v>0</v>
      </c>
      <c r="AF297" s="291">
        <f t="shared" si="6"/>
        <v>0</v>
      </c>
      <c r="AG297" s="291">
        <f t="shared" si="6"/>
        <v>0</v>
      </c>
      <c r="AH297" s="291">
        <f t="shared" si="6"/>
        <v>0</v>
      </c>
      <c r="AI297" s="291">
        <f t="shared" si="6"/>
        <v>0</v>
      </c>
      <c r="AJ297" s="327">
        <f t="shared" si="2"/>
        <v>0</v>
      </c>
    </row>
    <row r="298" spans="2:36">
      <c r="B298" s="72" t="s">
        <v>493</v>
      </c>
      <c r="C298" s="72" t="s">
        <v>494</v>
      </c>
      <c r="D298" s="291">
        <f t="shared" si="0"/>
        <v>0</v>
      </c>
      <c r="E298" s="291">
        <f t="shared" si="6"/>
        <v>0</v>
      </c>
      <c r="F298" s="291">
        <f t="shared" si="6"/>
        <v>0</v>
      </c>
      <c r="G298" s="291">
        <f t="shared" si="6"/>
        <v>0</v>
      </c>
      <c r="H298" s="291">
        <f t="shared" si="6"/>
        <v>0</v>
      </c>
      <c r="I298" s="291">
        <f t="shared" si="6"/>
        <v>0</v>
      </c>
      <c r="J298" s="291">
        <f t="shared" si="6"/>
        <v>0</v>
      </c>
      <c r="K298" s="291">
        <f t="shared" si="6"/>
        <v>0</v>
      </c>
      <c r="L298" s="291">
        <f t="shared" si="6"/>
        <v>0</v>
      </c>
      <c r="M298" s="291">
        <f t="shared" si="6"/>
        <v>0</v>
      </c>
      <c r="N298" s="291">
        <f t="shared" si="6"/>
        <v>0</v>
      </c>
      <c r="O298" s="291">
        <f t="shared" si="6"/>
        <v>0</v>
      </c>
      <c r="P298" s="291">
        <f t="shared" si="6"/>
        <v>0</v>
      </c>
      <c r="Q298" s="291">
        <f t="shared" si="6"/>
        <v>0</v>
      </c>
      <c r="R298" s="291">
        <f t="shared" si="6"/>
        <v>0</v>
      </c>
      <c r="S298" s="291">
        <f t="shared" si="6"/>
        <v>0</v>
      </c>
      <c r="T298" s="291">
        <f t="shared" si="6"/>
        <v>0</v>
      </c>
      <c r="U298" s="291">
        <f t="shared" si="6"/>
        <v>0</v>
      </c>
      <c r="V298" s="291">
        <f t="shared" si="6"/>
        <v>0</v>
      </c>
      <c r="W298" s="291">
        <f t="shared" si="6"/>
        <v>0</v>
      </c>
      <c r="X298" s="291">
        <f t="shared" si="6"/>
        <v>0</v>
      </c>
      <c r="Y298" s="291">
        <f t="shared" si="6"/>
        <v>0</v>
      </c>
      <c r="Z298" s="291">
        <f t="shared" si="6"/>
        <v>0</v>
      </c>
      <c r="AA298" s="291">
        <f t="shared" si="6"/>
        <v>0</v>
      </c>
      <c r="AB298" s="291">
        <f t="shared" si="6"/>
        <v>0</v>
      </c>
      <c r="AC298" s="291">
        <f t="shared" si="6"/>
        <v>0</v>
      </c>
      <c r="AD298" s="291">
        <f t="shared" si="6"/>
        <v>0</v>
      </c>
      <c r="AE298" s="291">
        <f t="shared" si="6"/>
        <v>0</v>
      </c>
      <c r="AF298" s="291">
        <f t="shared" si="6"/>
        <v>0</v>
      </c>
      <c r="AG298" s="291">
        <f t="shared" si="6"/>
        <v>0</v>
      </c>
      <c r="AH298" s="291">
        <f t="shared" si="6"/>
        <v>0</v>
      </c>
      <c r="AI298" s="291">
        <f t="shared" si="6"/>
        <v>0</v>
      </c>
      <c r="AJ298" s="327">
        <f t="shared" si="2"/>
        <v>0</v>
      </c>
    </row>
    <row r="299" spans="2:36">
      <c r="B299" s="72" t="s">
        <v>495</v>
      </c>
      <c r="C299" s="72" t="s">
        <v>496</v>
      </c>
      <c r="D299" s="291">
        <f t="shared" si="0"/>
        <v>0</v>
      </c>
      <c r="E299" s="291">
        <f t="shared" si="6"/>
        <v>0</v>
      </c>
      <c r="F299" s="291">
        <f t="shared" si="6"/>
        <v>0</v>
      </c>
      <c r="G299" s="291">
        <f t="shared" si="6"/>
        <v>0</v>
      </c>
      <c r="H299" s="291">
        <f t="shared" si="6"/>
        <v>0</v>
      </c>
      <c r="I299" s="291">
        <f t="shared" si="6"/>
        <v>0</v>
      </c>
      <c r="J299" s="291">
        <f t="shared" si="6"/>
        <v>0</v>
      </c>
      <c r="K299" s="291">
        <f t="shared" si="6"/>
        <v>0</v>
      </c>
      <c r="L299" s="291">
        <f t="shared" si="6"/>
        <v>0</v>
      </c>
      <c r="M299" s="291">
        <f t="shared" si="6"/>
        <v>0</v>
      </c>
      <c r="N299" s="291">
        <f t="shared" si="6"/>
        <v>0</v>
      </c>
      <c r="O299" s="291">
        <f t="shared" si="6"/>
        <v>0</v>
      </c>
      <c r="P299" s="291">
        <f t="shared" si="6"/>
        <v>0</v>
      </c>
      <c r="Q299" s="291">
        <f t="shared" si="6"/>
        <v>0</v>
      </c>
      <c r="R299" s="291">
        <f t="shared" si="6"/>
        <v>0</v>
      </c>
      <c r="S299" s="291">
        <f t="shared" si="6"/>
        <v>0</v>
      </c>
      <c r="T299" s="291">
        <f t="shared" si="6"/>
        <v>0</v>
      </c>
      <c r="U299" s="291">
        <f t="shared" si="6"/>
        <v>0</v>
      </c>
      <c r="V299" s="291">
        <f t="shared" si="6"/>
        <v>0</v>
      </c>
      <c r="W299" s="291">
        <f t="shared" si="6"/>
        <v>0</v>
      </c>
      <c r="X299" s="291">
        <f t="shared" si="6"/>
        <v>0</v>
      </c>
      <c r="Y299" s="291">
        <f t="shared" si="6"/>
        <v>0</v>
      </c>
      <c r="Z299" s="291">
        <f t="shared" si="6"/>
        <v>0</v>
      </c>
      <c r="AA299" s="291">
        <f t="shared" si="6"/>
        <v>0</v>
      </c>
      <c r="AB299" s="291">
        <f t="shared" si="6"/>
        <v>0</v>
      </c>
      <c r="AC299" s="291">
        <f t="shared" si="6"/>
        <v>0</v>
      </c>
      <c r="AD299" s="291">
        <f t="shared" si="6"/>
        <v>0</v>
      </c>
      <c r="AE299" s="291">
        <f t="shared" si="6"/>
        <v>0</v>
      </c>
      <c r="AF299" s="291">
        <f t="shared" si="6"/>
        <v>0</v>
      </c>
      <c r="AG299" s="291">
        <f t="shared" si="6"/>
        <v>0</v>
      </c>
      <c r="AH299" s="291">
        <f t="shared" si="6"/>
        <v>0</v>
      </c>
      <c r="AI299" s="291">
        <f t="shared" si="6"/>
        <v>0</v>
      </c>
      <c r="AJ299" s="327">
        <f t="shared" si="2"/>
        <v>0</v>
      </c>
    </row>
    <row r="300" spans="2:36">
      <c r="B300" s="72" t="s">
        <v>497</v>
      </c>
      <c r="C300" s="72" t="s">
        <v>498</v>
      </c>
      <c r="D300" s="291">
        <f t="shared" si="0"/>
        <v>0</v>
      </c>
      <c r="E300" s="291">
        <f t="shared" si="6"/>
        <v>0</v>
      </c>
      <c r="F300" s="291">
        <f t="shared" si="6"/>
        <v>0</v>
      </c>
      <c r="G300" s="291">
        <f t="shared" si="6"/>
        <v>0</v>
      </c>
      <c r="H300" s="291">
        <f t="shared" si="6"/>
        <v>0</v>
      </c>
      <c r="I300" s="291">
        <f t="shared" si="6"/>
        <v>0</v>
      </c>
      <c r="J300" s="291">
        <f t="shared" si="6"/>
        <v>0</v>
      </c>
      <c r="K300" s="291">
        <f t="shared" si="6"/>
        <v>0</v>
      </c>
      <c r="L300" s="291">
        <f t="shared" si="6"/>
        <v>0</v>
      </c>
      <c r="M300" s="291">
        <f t="shared" si="6"/>
        <v>0</v>
      </c>
      <c r="N300" s="291">
        <f t="shared" si="6"/>
        <v>0</v>
      </c>
      <c r="O300" s="291">
        <f t="shared" si="6"/>
        <v>0</v>
      </c>
      <c r="P300" s="291">
        <f t="shared" si="6"/>
        <v>0</v>
      </c>
      <c r="Q300" s="291">
        <f t="shared" si="6"/>
        <v>0</v>
      </c>
      <c r="R300" s="291">
        <f t="shared" si="6"/>
        <v>0</v>
      </c>
      <c r="S300" s="291">
        <f t="shared" si="6"/>
        <v>0</v>
      </c>
      <c r="T300" s="291">
        <f t="shared" si="6"/>
        <v>0</v>
      </c>
      <c r="U300" s="291">
        <f t="shared" si="6"/>
        <v>0</v>
      </c>
      <c r="V300" s="291">
        <f t="shared" si="6"/>
        <v>0</v>
      </c>
      <c r="W300" s="291">
        <f t="shared" si="6"/>
        <v>0</v>
      </c>
      <c r="X300" s="291">
        <f t="shared" si="6"/>
        <v>0</v>
      </c>
      <c r="Y300" s="291">
        <f t="shared" si="6"/>
        <v>0</v>
      </c>
      <c r="Z300" s="291">
        <f t="shared" si="6"/>
        <v>0.27942394201870202</v>
      </c>
      <c r="AA300" s="291">
        <f t="shared" si="6"/>
        <v>0.25433542491666161</v>
      </c>
      <c r="AB300" s="291">
        <f t="shared" si="6"/>
        <v>0.25463185066438748</v>
      </c>
      <c r="AC300" s="291">
        <f t="shared" si="6"/>
        <v>0.26334532261625943</v>
      </c>
      <c r="AD300" s="291">
        <f t="shared" si="6"/>
        <v>0.27259959144105561</v>
      </c>
      <c r="AE300" s="291">
        <f t="shared" si="6"/>
        <v>0.25729572988033417</v>
      </c>
      <c r="AF300" s="291">
        <f t="shared" si="6"/>
        <v>0.31926237271111135</v>
      </c>
      <c r="AG300" s="291">
        <f t="shared" si="6"/>
        <v>0.34967336533019261</v>
      </c>
      <c r="AH300" s="291">
        <f t="shared" si="6"/>
        <v>0.41126149549501073</v>
      </c>
      <c r="AI300" s="291">
        <f t="shared" si="6"/>
        <v>0.4354136683669883</v>
      </c>
      <c r="AJ300" s="327">
        <f>AJ48/AJ$250</f>
        <v>0.4354136683669883</v>
      </c>
    </row>
    <row r="301" spans="2:36">
      <c r="B301" s="72" t="s">
        <v>499</v>
      </c>
      <c r="C301" s="72" t="s">
        <v>330</v>
      </c>
      <c r="D301" s="291">
        <f t="shared" si="0"/>
        <v>0</v>
      </c>
      <c r="E301" s="291">
        <f t="shared" si="6"/>
        <v>0</v>
      </c>
      <c r="F301" s="291">
        <f t="shared" si="6"/>
        <v>0</v>
      </c>
      <c r="G301" s="291">
        <f t="shared" si="6"/>
        <v>0</v>
      </c>
      <c r="H301" s="291">
        <f t="shared" si="6"/>
        <v>0.37658980706020118</v>
      </c>
      <c r="I301" s="291">
        <f t="shared" si="6"/>
        <v>0.37006344612420439</v>
      </c>
      <c r="J301" s="291">
        <f t="shared" si="6"/>
        <v>0.32799785530075115</v>
      </c>
      <c r="K301" s="291">
        <f t="shared" si="6"/>
        <v>0.27926839407932247</v>
      </c>
      <c r="L301" s="291">
        <f t="shared" si="6"/>
        <v>0.24136176115256214</v>
      </c>
      <c r="M301" s="291">
        <f t="shared" si="6"/>
        <v>0.24454451313492556</v>
      </c>
      <c r="N301" s="291">
        <f t="shared" si="6"/>
        <v>0.20834039914231509</v>
      </c>
      <c r="O301" s="291">
        <f t="shared" si="6"/>
        <v>0.15188516282914485</v>
      </c>
      <c r="P301" s="291">
        <f t="shared" si="6"/>
        <v>9.8982113143567071E-2</v>
      </c>
      <c r="Q301" s="291">
        <f t="shared" ref="E301:AI309" si="7">Q49/Q$250</f>
        <v>0.17783402918308241</v>
      </c>
      <c r="R301" s="291">
        <f t="shared" si="7"/>
        <v>0.25625725259859161</v>
      </c>
      <c r="S301" s="291">
        <f t="shared" si="7"/>
        <v>0.26018190984140893</v>
      </c>
      <c r="T301" s="291">
        <f t="shared" si="7"/>
        <v>0.29460277483231628</v>
      </c>
      <c r="U301" s="291">
        <f t="shared" si="7"/>
        <v>0.22586221051282632</v>
      </c>
      <c r="V301" s="291">
        <f t="shared" si="7"/>
        <v>0.23896037289424574</v>
      </c>
      <c r="W301" s="291">
        <f t="shared" si="7"/>
        <v>0.27260714759635102</v>
      </c>
      <c r="X301" s="291">
        <f t="shared" si="7"/>
        <v>0.29290464298055024</v>
      </c>
      <c r="Y301" s="291">
        <f t="shared" si="7"/>
        <v>0.3168607387418802</v>
      </c>
      <c r="Z301" s="291">
        <f t="shared" si="7"/>
        <v>0.31603091530659638</v>
      </c>
      <c r="AA301" s="291">
        <f t="shared" si="7"/>
        <v>0.33444898609486462</v>
      </c>
      <c r="AB301" s="291">
        <f t="shared" si="7"/>
        <v>0.36649867292878657</v>
      </c>
      <c r="AC301" s="291">
        <f t="shared" si="7"/>
        <v>0.37776762577067813</v>
      </c>
      <c r="AD301" s="291">
        <f t="shared" si="7"/>
        <v>0.36875647589936184</v>
      </c>
      <c r="AE301" s="291">
        <f t="shared" si="7"/>
        <v>0.36431256631790254</v>
      </c>
      <c r="AF301" s="291">
        <f t="shared" si="7"/>
        <v>0.41655586046992621</v>
      </c>
      <c r="AG301" s="291">
        <f t="shared" si="7"/>
        <v>0.43087114510037872</v>
      </c>
      <c r="AH301" s="291">
        <f t="shared" si="7"/>
        <v>0.41765943573165443</v>
      </c>
      <c r="AI301" s="291">
        <f t="shared" si="7"/>
        <v>0.41513592713405623</v>
      </c>
      <c r="AJ301" s="327">
        <f t="shared" si="2"/>
        <v>0.41513592713405623</v>
      </c>
    </row>
    <row r="302" spans="2:36">
      <c r="B302" s="72" t="s">
        <v>500</v>
      </c>
      <c r="C302" s="72" t="s">
        <v>501</v>
      </c>
      <c r="D302" s="291">
        <f t="shared" si="0"/>
        <v>0.64472854775765032</v>
      </c>
      <c r="E302" s="291">
        <f t="shared" si="7"/>
        <v>0.68064916382009832</v>
      </c>
      <c r="F302" s="291">
        <f t="shared" si="7"/>
        <v>0.69838152604661008</v>
      </c>
      <c r="G302" s="291">
        <f t="shared" si="7"/>
        <v>0.78144526176325757</v>
      </c>
      <c r="H302" s="291">
        <f t="shared" si="7"/>
        <v>0.8871519109585555</v>
      </c>
      <c r="I302" s="291">
        <f t="shared" si="7"/>
        <v>0.90387098977614078</v>
      </c>
      <c r="J302" s="291">
        <f t="shared" si="7"/>
        <v>0.83786538518506382</v>
      </c>
      <c r="K302" s="291">
        <f t="shared" si="7"/>
        <v>0.75277018962325581</v>
      </c>
      <c r="L302" s="291">
        <f t="shared" si="7"/>
        <v>0.58180850787362093</v>
      </c>
      <c r="M302" s="291">
        <f t="shared" si="7"/>
        <v>0.53159707318619798</v>
      </c>
      <c r="N302" s="291">
        <f t="shared" si="7"/>
        <v>0.50345976759871369</v>
      </c>
      <c r="O302" s="291">
        <f t="shared" si="7"/>
        <v>0.35556000493646289</v>
      </c>
      <c r="P302" s="291">
        <f t="shared" si="7"/>
        <v>0.35614529810094608</v>
      </c>
      <c r="Q302" s="291">
        <f t="shared" si="7"/>
        <v>0.43057292893120469</v>
      </c>
      <c r="R302" s="291">
        <f t="shared" si="7"/>
        <v>0.35718863627594599</v>
      </c>
      <c r="S302" s="291">
        <f t="shared" si="7"/>
        <v>0.3182700473775612</v>
      </c>
      <c r="T302" s="291">
        <f t="shared" si="7"/>
        <v>0.34156650911095182</v>
      </c>
      <c r="U302" s="291">
        <f t="shared" si="7"/>
        <v>0.32753050308051845</v>
      </c>
      <c r="V302" s="291">
        <f t="shared" si="7"/>
        <v>0.29923844150610751</v>
      </c>
      <c r="W302" s="291">
        <f t="shared" si="7"/>
        <v>0.29197867244277625</v>
      </c>
      <c r="X302" s="291">
        <f t="shared" si="7"/>
        <v>0.34562969077099254</v>
      </c>
      <c r="Y302" s="291">
        <f t="shared" si="7"/>
        <v>0.35389757386940451</v>
      </c>
      <c r="Z302" s="291">
        <f t="shared" si="7"/>
        <v>0.32978390641147803</v>
      </c>
      <c r="AA302" s="291">
        <f t="shared" si="7"/>
        <v>0.32385284890539118</v>
      </c>
      <c r="AB302" s="291">
        <f t="shared" si="7"/>
        <v>0.33811342371593306</v>
      </c>
      <c r="AC302" s="291">
        <f t="shared" si="7"/>
        <v>0.37527687345215993</v>
      </c>
      <c r="AD302" s="291">
        <f t="shared" si="7"/>
        <v>0.4088674250070044</v>
      </c>
      <c r="AE302" s="291">
        <f t="shared" si="7"/>
        <v>0.39971300478515881</v>
      </c>
      <c r="AF302" s="291">
        <f t="shared" si="7"/>
        <v>0.51898129764004497</v>
      </c>
      <c r="AG302" s="291">
        <f t="shared" si="7"/>
        <v>0.47052970931117571</v>
      </c>
      <c r="AH302" s="291">
        <f t="shared" si="7"/>
        <v>0.53089072068292775</v>
      </c>
      <c r="AI302" s="291">
        <f t="shared" si="7"/>
        <v>0.55339532274045522</v>
      </c>
      <c r="AJ302" s="327">
        <f t="shared" si="2"/>
        <v>0.55339532274045522</v>
      </c>
    </row>
    <row r="303" spans="2:36">
      <c r="B303" s="72" t="s">
        <v>502</v>
      </c>
      <c r="C303" s="72" t="s">
        <v>503</v>
      </c>
      <c r="D303" s="291">
        <f t="shared" si="0"/>
        <v>0</v>
      </c>
      <c r="E303" s="291">
        <f t="shared" si="7"/>
        <v>0</v>
      </c>
      <c r="F303" s="291">
        <f t="shared" si="7"/>
        <v>0</v>
      </c>
      <c r="G303" s="291">
        <f t="shared" si="7"/>
        <v>0</v>
      </c>
      <c r="H303" s="291">
        <f t="shared" si="7"/>
        <v>0</v>
      </c>
      <c r="I303" s="291">
        <f t="shared" si="7"/>
        <v>0</v>
      </c>
      <c r="J303" s="291">
        <f t="shared" si="7"/>
        <v>0</v>
      </c>
      <c r="K303" s="291">
        <f t="shared" si="7"/>
        <v>0</v>
      </c>
      <c r="L303" s="291">
        <f t="shared" si="7"/>
        <v>0</v>
      </c>
      <c r="M303" s="291">
        <f t="shared" si="7"/>
        <v>0</v>
      </c>
      <c r="N303" s="291">
        <f t="shared" si="7"/>
        <v>0</v>
      </c>
      <c r="O303" s="291">
        <f t="shared" si="7"/>
        <v>0</v>
      </c>
      <c r="P303" s="291">
        <f t="shared" si="7"/>
        <v>0</v>
      </c>
      <c r="Q303" s="291">
        <f t="shared" si="7"/>
        <v>0</v>
      </c>
      <c r="R303" s="291">
        <f t="shared" si="7"/>
        <v>0</v>
      </c>
      <c r="S303" s="291">
        <f t="shared" si="7"/>
        <v>0</v>
      </c>
      <c r="T303" s="291">
        <f t="shared" si="7"/>
        <v>0</v>
      </c>
      <c r="U303" s="291">
        <f t="shared" si="7"/>
        <v>0</v>
      </c>
      <c r="V303" s="291">
        <f t="shared" si="7"/>
        <v>0</v>
      </c>
      <c r="W303" s="291">
        <f t="shared" si="7"/>
        <v>0</v>
      </c>
      <c r="X303" s="291">
        <f t="shared" si="7"/>
        <v>0</v>
      </c>
      <c r="Y303" s="291">
        <f t="shared" si="7"/>
        <v>0</v>
      </c>
      <c r="Z303" s="291">
        <f t="shared" si="7"/>
        <v>0</v>
      </c>
      <c r="AA303" s="291">
        <f t="shared" si="7"/>
        <v>0</v>
      </c>
      <c r="AB303" s="291">
        <f t="shared" si="7"/>
        <v>0</v>
      </c>
      <c r="AC303" s="291">
        <f t="shared" si="7"/>
        <v>0</v>
      </c>
      <c r="AD303" s="291">
        <f t="shared" si="7"/>
        <v>0</v>
      </c>
      <c r="AE303" s="291">
        <f t="shared" si="7"/>
        <v>0</v>
      </c>
      <c r="AF303" s="291">
        <f t="shared" si="7"/>
        <v>0</v>
      </c>
      <c r="AG303" s="291">
        <f t="shared" si="7"/>
        <v>0</v>
      </c>
      <c r="AH303" s="291">
        <f t="shared" si="7"/>
        <v>0</v>
      </c>
      <c r="AI303" s="291">
        <f t="shared" si="7"/>
        <v>0</v>
      </c>
      <c r="AJ303" s="327">
        <f t="shared" si="2"/>
        <v>0</v>
      </c>
    </row>
    <row r="304" spans="2:36">
      <c r="B304" s="72" t="s">
        <v>504</v>
      </c>
      <c r="C304" s="72" t="s">
        <v>505</v>
      </c>
      <c r="D304" s="291">
        <f t="shared" si="0"/>
        <v>0</v>
      </c>
      <c r="E304" s="291">
        <f t="shared" si="7"/>
        <v>0</v>
      </c>
      <c r="F304" s="291">
        <f t="shared" si="7"/>
        <v>0</v>
      </c>
      <c r="G304" s="291">
        <f t="shared" si="7"/>
        <v>0</v>
      </c>
      <c r="H304" s="291">
        <f t="shared" si="7"/>
        <v>0</v>
      </c>
      <c r="I304" s="291">
        <f t="shared" si="7"/>
        <v>0</v>
      </c>
      <c r="J304" s="291">
        <f t="shared" si="7"/>
        <v>0</v>
      </c>
      <c r="K304" s="291">
        <f t="shared" si="7"/>
        <v>0</v>
      </c>
      <c r="L304" s="291">
        <f t="shared" si="7"/>
        <v>0</v>
      </c>
      <c r="M304" s="291">
        <f t="shared" si="7"/>
        <v>0</v>
      </c>
      <c r="N304" s="291">
        <f t="shared" si="7"/>
        <v>0</v>
      </c>
      <c r="O304" s="291">
        <f t="shared" si="7"/>
        <v>0</v>
      </c>
      <c r="P304" s="291">
        <f t="shared" si="7"/>
        <v>0</v>
      </c>
      <c r="Q304" s="291">
        <f t="shared" si="7"/>
        <v>0</v>
      </c>
      <c r="R304" s="291">
        <f t="shared" si="7"/>
        <v>0</v>
      </c>
      <c r="S304" s="291">
        <f t="shared" si="7"/>
        <v>0</v>
      </c>
      <c r="T304" s="291">
        <f t="shared" si="7"/>
        <v>0</v>
      </c>
      <c r="U304" s="291">
        <f t="shared" si="7"/>
        <v>0</v>
      </c>
      <c r="V304" s="291">
        <f t="shared" si="7"/>
        <v>0</v>
      </c>
      <c r="W304" s="291">
        <f t="shared" si="7"/>
        <v>0</v>
      </c>
      <c r="X304" s="291">
        <f t="shared" si="7"/>
        <v>0</v>
      </c>
      <c r="Y304" s="291">
        <f t="shared" si="7"/>
        <v>0</v>
      </c>
      <c r="Z304" s="291">
        <f t="shared" si="7"/>
        <v>0</v>
      </c>
      <c r="AA304" s="291">
        <f t="shared" si="7"/>
        <v>0</v>
      </c>
      <c r="AB304" s="291">
        <f t="shared" si="7"/>
        <v>0</v>
      </c>
      <c r="AC304" s="291">
        <f t="shared" si="7"/>
        <v>0</v>
      </c>
      <c r="AD304" s="291">
        <f t="shared" si="7"/>
        <v>0</v>
      </c>
      <c r="AE304" s="291">
        <f t="shared" si="7"/>
        <v>0</v>
      </c>
      <c r="AF304" s="291">
        <f t="shared" si="7"/>
        <v>0</v>
      </c>
      <c r="AG304" s="291">
        <f t="shared" si="7"/>
        <v>0</v>
      </c>
      <c r="AH304" s="291">
        <f t="shared" si="7"/>
        <v>0</v>
      </c>
      <c r="AI304" s="291">
        <f t="shared" si="7"/>
        <v>0</v>
      </c>
      <c r="AJ304" s="327">
        <f t="shared" si="2"/>
        <v>0</v>
      </c>
    </row>
    <row r="305" spans="2:36">
      <c r="B305" s="72" t="s">
        <v>506</v>
      </c>
      <c r="C305" s="72" t="s">
        <v>507</v>
      </c>
      <c r="D305" s="291">
        <f t="shared" si="0"/>
        <v>0</v>
      </c>
      <c r="E305" s="291">
        <f t="shared" si="7"/>
        <v>0</v>
      </c>
      <c r="F305" s="291">
        <f t="shared" si="7"/>
        <v>0</v>
      </c>
      <c r="G305" s="291">
        <f t="shared" si="7"/>
        <v>0</v>
      </c>
      <c r="H305" s="291">
        <f t="shared" si="7"/>
        <v>0</v>
      </c>
      <c r="I305" s="291">
        <f t="shared" si="7"/>
        <v>0.58896330896646121</v>
      </c>
      <c r="J305" s="291">
        <f t="shared" si="7"/>
        <v>0.45303992407286436</v>
      </c>
      <c r="K305" s="291">
        <f t="shared" si="7"/>
        <v>0.41527150653818268</v>
      </c>
      <c r="L305" s="291">
        <f t="shared" si="7"/>
        <v>0.36712866967236191</v>
      </c>
      <c r="M305" s="291">
        <f t="shared" si="7"/>
        <v>0.43124246278224304</v>
      </c>
      <c r="N305" s="291">
        <f t="shared" si="7"/>
        <v>0.40921064884902769</v>
      </c>
      <c r="O305" s="291">
        <f t="shared" si="7"/>
        <v>0.46614596976169342</v>
      </c>
      <c r="P305" s="291">
        <f t="shared" si="7"/>
        <v>0.23044678975671071</v>
      </c>
      <c r="Q305" s="291">
        <f t="shared" si="7"/>
        <v>0.31838766922336859</v>
      </c>
      <c r="R305" s="291">
        <f t="shared" si="7"/>
        <v>0.22803835401994918</v>
      </c>
      <c r="S305" s="291">
        <f t="shared" si="7"/>
        <v>0.24158226497028895</v>
      </c>
      <c r="T305" s="291">
        <f t="shared" si="7"/>
        <v>0.32250448257909903</v>
      </c>
      <c r="U305" s="291">
        <f t="shared" si="7"/>
        <v>0.167280255056107</v>
      </c>
      <c r="V305" s="291">
        <f t="shared" si="7"/>
        <v>3.0588544690425535E-2</v>
      </c>
      <c r="W305" s="291">
        <f t="shared" si="7"/>
        <v>5.5717576261584495E-2</v>
      </c>
      <c r="X305" s="291">
        <f t="shared" si="7"/>
        <v>0.14116244517124465</v>
      </c>
      <c r="Y305" s="291">
        <f t="shared" si="7"/>
        <v>0.15555510626409569</v>
      </c>
      <c r="Z305" s="291">
        <f t="shared" si="7"/>
        <v>0.18885638005688563</v>
      </c>
      <c r="AA305" s="291">
        <f t="shared" si="7"/>
        <v>0.3007872286044696</v>
      </c>
      <c r="AB305" s="291">
        <f t="shared" si="7"/>
        <v>0.36154018868059462</v>
      </c>
      <c r="AC305" s="291">
        <f t="shared" si="7"/>
        <v>0.47856481847781274</v>
      </c>
      <c r="AD305" s="291">
        <f t="shared" si="7"/>
        <v>0.55016051644413677</v>
      </c>
      <c r="AE305" s="291">
        <f t="shared" si="7"/>
        <v>0.55026606189824878</v>
      </c>
      <c r="AF305" s="291">
        <f t="shared" si="7"/>
        <v>0.65776803152679786</v>
      </c>
      <c r="AG305" s="291">
        <f t="shared" si="7"/>
        <v>0.6041266663007625</v>
      </c>
      <c r="AH305" s="291">
        <f t="shared" si="7"/>
        <v>0.72047358515360305</v>
      </c>
      <c r="AI305" s="291">
        <f t="shared" si="7"/>
        <v>0.82056042249991101</v>
      </c>
      <c r="AJ305" s="327">
        <f t="shared" si="2"/>
        <v>0.82056042249991101</v>
      </c>
    </row>
    <row r="306" spans="2:36">
      <c r="B306" s="72" t="s">
        <v>508</v>
      </c>
      <c r="C306" s="72" t="s">
        <v>509</v>
      </c>
      <c r="D306" s="291">
        <f t="shared" si="0"/>
        <v>0.38943469125066199</v>
      </c>
      <c r="E306" s="291">
        <f t="shared" si="7"/>
        <v>0.43928270560118082</v>
      </c>
      <c r="F306" s="291">
        <f t="shared" si="7"/>
        <v>0.52058385184212042</v>
      </c>
      <c r="G306" s="291">
        <f t="shared" si="7"/>
        <v>0.60365013390029598</v>
      </c>
      <c r="H306" s="291">
        <f t="shared" si="7"/>
        <v>0.67837604601003665</v>
      </c>
      <c r="I306" s="291">
        <f t="shared" si="7"/>
        <v>0.71564912102158162</v>
      </c>
      <c r="J306" s="291">
        <f t="shared" si="7"/>
        <v>0.65470632546188678</v>
      </c>
      <c r="K306" s="291">
        <f t="shared" si="7"/>
        <v>0.5998598305439683</v>
      </c>
      <c r="L306" s="291">
        <f t="shared" si="7"/>
        <v>0.58142156893019237</v>
      </c>
      <c r="M306" s="291">
        <f t="shared" si="7"/>
        <v>0.61400858580287432</v>
      </c>
      <c r="N306" s="291">
        <f t="shared" si="7"/>
        <v>0.53746061253784061</v>
      </c>
      <c r="O306" s="291">
        <f t="shared" si="7"/>
        <v>0.52279023899533306</v>
      </c>
      <c r="P306" s="291">
        <f t="shared" si="7"/>
        <v>0.51980448785515565</v>
      </c>
      <c r="Q306" s="291">
        <f t="shared" si="7"/>
        <v>0.60445196373812815</v>
      </c>
      <c r="R306" s="291">
        <f t="shared" si="7"/>
        <v>0.60102478515740432</v>
      </c>
      <c r="S306" s="291">
        <f t="shared" si="7"/>
        <v>0.58395706699922967</v>
      </c>
      <c r="T306" s="291">
        <f t="shared" si="7"/>
        <v>0.59538579210049425</v>
      </c>
      <c r="U306" s="291">
        <f t="shared" si="7"/>
        <v>0.57461759122702316</v>
      </c>
      <c r="V306" s="291">
        <f t="shared" si="7"/>
        <v>0.5649708718217008</v>
      </c>
      <c r="W306" s="291">
        <f t="shared" si="7"/>
        <v>0.57962406404538791</v>
      </c>
      <c r="X306" s="291">
        <f t="shared" si="7"/>
        <v>0.71574708011315835</v>
      </c>
      <c r="Y306" s="291">
        <f t="shared" si="7"/>
        <v>0.76146158897067107</v>
      </c>
      <c r="Z306" s="291">
        <f t="shared" si="7"/>
        <v>0.72363067122163638</v>
      </c>
      <c r="AA306" s="291">
        <f t="shared" si="7"/>
        <v>0.62949358600083061</v>
      </c>
      <c r="AB306" s="291">
        <f t="shared" si="7"/>
        <v>0.56196212408042312</v>
      </c>
      <c r="AC306" s="291">
        <f t="shared" si="7"/>
        <v>0.56809815626310989</v>
      </c>
      <c r="AD306" s="291">
        <f t="shared" si="7"/>
        <v>0.55326292118253617</v>
      </c>
      <c r="AE306" s="291">
        <f t="shared" si="7"/>
        <v>0.49775322465758715</v>
      </c>
      <c r="AF306" s="291">
        <f t="shared" si="7"/>
        <v>0.54928849802728297</v>
      </c>
      <c r="AG306" s="291">
        <f t="shared" si="7"/>
        <v>0.64204009035417942</v>
      </c>
      <c r="AH306" s="291">
        <f t="shared" si="7"/>
        <v>0.65836326232291775</v>
      </c>
      <c r="AI306" s="291">
        <f t="shared" si="7"/>
        <v>0.61640529418605072</v>
      </c>
      <c r="AJ306" s="327">
        <f t="shared" si="2"/>
        <v>0.61640529418605072</v>
      </c>
    </row>
    <row r="307" spans="2:36">
      <c r="B307" s="72" t="s">
        <v>510</v>
      </c>
      <c r="C307" s="72" t="s">
        <v>511</v>
      </c>
      <c r="D307" s="291">
        <f t="shared" si="0"/>
        <v>0.49448043352302801</v>
      </c>
      <c r="E307" s="291">
        <f t="shared" si="7"/>
        <v>0.55650386662212459</v>
      </c>
      <c r="F307" s="291">
        <f t="shared" si="7"/>
        <v>0.6719751429047075</v>
      </c>
      <c r="G307" s="291">
        <f t="shared" si="7"/>
        <v>0.8716508579201393</v>
      </c>
      <c r="H307" s="291">
        <f t="shared" si="7"/>
        <v>0.70674560194144731</v>
      </c>
      <c r="I307" s="291">
        <f t="shared" si="7"/>
        <v>0.83717293366352385</v>
      </c>
      <c r="J307" s="291">
        <f t="shared" si="7"/>
        <v>0.82427724032007699</v>
      </c>
      <c r="K307" s="291">
        <f t="shared" si="7"/>
        <v>0.68302763349590967</v>
      </c>
      <c r="L307" s="291">
        <f t="shared" si="7"/>
        <v>0.6881425775957436</v>
      </c>
      <c r="M307" s="291">
        <f t="shared" si="7"/>
        <v>0.457681517733109</v>
      </c>
      <c r="N307" s="291">
        <f t="shared" si="7"/>
        <v>0.7403379714531011</v>
      </c>
      <c r="O307" s="291">
        <f t="shared" si="7"/>
        <v>0.83518595035058973</v>
      </c>
      <c r="P307" s="291">
        <f t="shared" si="7"/>
        <v>0.87367903611392117</v>
      </c>
      <c r="Q307" s="291">
        <f t="shared" si="7"/>
        <v>0.97112648736505658</v>
      </c>
      <c r="R307" s="291">
        <f t="shared" si="7"/>
        <v>0.96300046087876812</v>
      </c>
      <c r="S307" s="291">
        <f t="shared" si="7"/>
        <v>0.93600089066140313</v>
      </c>
      <c r="T307" s="291">
        <f t="shared" si="7"/>
        <v>0.92987482710990699</v>
      </c>
      <c r="U307" s="291">
        <f t="shared" si="7"/>
        <v>0.87426261720812415</v>
      </c>
      <c r="V307" s="291">
        <f t="shared" si="7"/>
        <v>0.8249951475915539</v>
      </c>
      <c r="W307" s="291">
        <f t="shared" si="7"/>
        <v>0.80789025121452607</v>
      </c>
      <c r="X307" s="291">
        <f t="shared" si="7"/>
        <v>0.87668200118508399</v>
      </c>
      <c r="Y307" s="291">
        <f t="shared" si="7"/>
        <v>0.90444690578950315</v>
      </c>
      <c r="Z307" s="291">
        <f t="shared" si="7"/>
        <v>0.36374521587805464</v>
      </c>
      <c r="AA307" s="291">
        <f t="shared" si="7"/>
        <v>0.37375844659055185</v>
      </c>
      <c r="AB307" s="291">
        <f t="shared" si="7"/>
        <v>0.35594115179738006</v>
      </c>
      <c r="AC307" s="291">
        <f t="shared" si="7"/>
        <v>0.37794708007825495</v>
      </c>
      <c r="AD307" s="291">
        <f t="shared" si="7"/>
        <v>0.39521552934335435</v>
      </c>
      <c r="AE307" s="291">
        <f t="shared" si="7"/>
        <v>0.38494971043087456</v>
      </c>
      <c r="AF307" s="291">
        <f t="shared" si="7"/>
        <v>0.47685386219021103</v>
      </c>
      <c r="AG307" s="291">
        <f t="shared" si="7"/>
        <v>0.51111730541824607</v>
      </c>
      <c r="AH307" s="291">
        <f t="shared" si="7"/>
        <v>0.55863243426395293</v>
      </c>
      <c r="AI307" s="291">
        <f t="shared" si="7"/>
        <v>0.56933468865129078</v>
      </c>
      <c r="AJ307" s="327">
        <f t="shared" si="2"/>
        <v>0.56933468865129078</v>
      </c>
    </row>
    <row r="308" spans="2:36">
      <c r="B308" s="72" t="s">
        <v>512</v>
      </c>
      <c r="C308" s="72" t="s">
        <v>513</v>
      </c>
      <c r="D308" s="291">
        <f t="shared" si="0"/>
        <v>0</v>
      </c>
      <c r="E308" s="291">
        <f t="shared" si="7"/>
        <v>0</v>
      </c>
      <c r="F308" s="291">
        <f t="shared" si="7"/>
        <v>0</v>
      </c>
      <c r="G308" s="291">
        <f t="shared" si="7"/>
        <v>0</v>
      </c>
      <c r="H308" s="291">
        <f t="shared" si="7"/>
        <v>0</v>
      </c>
      <c r="I308" s="291">
        <f t="shared" si="7"/>
        <v>0</v>
      </c>
      <c r="J308" s="291">
        <f t="shared" si="7"/>
        <v>0</v>
      </c>
      <c r="K308" s="291">
        <f t="shared" si="7"/>
        <v>0</v>
      </c>
      <c r="L308" s="291">
        <f t="shared" si="7"/>
        <v>0</v>
      </c>
      <c r="M308" s="291">
        <f t="shared" si="7"/>
        <v>0</v>
      </c>
      <c r="N308" s="291">
        <f t="shared" si="7"/>
        <v>0.27633432650500422</v>
      </c>
      <c r="O308" s="291">
        <f t="shared" si="7"/>
        <v>0.27163454406051002</v>
      </c>
      <c r="P308" s="291">
        <f t="shared" si="7"/>
        <v>0.27882932057369586</v>
      </c>
      <c r="Q308" s="291">
        <f t="shared" si="7"/>
        <v>0.32831004947401637</v>
      </c>
      <c r="R308" s="291">
        <f t="shared" si="7"/>
        <v>0.32913264933715791</v>
      </c>
      <c r="S308" s="291">
        <f t="shared" si="7"/>
        <v>0.3238557570870858</v>
      </c>
      <c r="T308" s="291">
        <f t="shared" si="7"/>
        <v>0.33071208321972495</v>
      </c>
      <c r="U308" s="291">
        <f t="shared" si="7"/>
        <v>0.31039242388272847</v>
      </c>
      <c r="V308" s="291">
        <f t="shared" si="7"/>
        <v>0.32077327887695539</v>
      </c>
      <c r="W308" s="291">
        <f t="shared" si="7"/>
        <v>0.30188518541046544</v>
      </c>
      <c r="X308" s="291">
        <f t="shared" si="7"/>
        <v>0.31712672312805157</v>
      </c>
      <c r="Y308" s="291">
        <f t="shared" si="7"/>
        <v>0.33462116965056887</v>
      </c>
      <c r="Z308" s="291">
        <f t="shared" si="7"/>
        <v>0.31293534171530063</v>
      </c>
      <c r="AA308" s="291">
        <f t="shared" si="7"/>
        <v>0.28542077788983145</v>
      </c>
      <c r="AB308" s="291">
        <f t="shared" si="7"/>
        <v>0.28929309339279019</v>
      </c>
      <c r="AC308" s="291">
        <f t="shared" si="7"/>
        <v>0.33732485635382842</v>
      </c>
      <c r="AD308" s="291">
        <f t="shared" si="7"/>
        <v>0.376840324011468</v>
      </c>
      <c r="AE308" s="291">
        <f t="shared" si="7"/>
        <v>0.41502553106093215</v>
      </c>
      <c r="AF308" s="291">
        <f t="shared" si="7"/>
        <v>0.51931685892202861</v>
      </c>
      <c r="AG308" s="291">
        <f t="shared" si="7"/>
        <v>0.51556396703831908</v>
      </c>
      <c r="AH308" s="291">
        <f t="shared" si="7"/>
        <v>0.54383207125250832</v>
      </c>
      <c r="AI308" s="291">
        <f t="shared" si="7"/>
        <v>0.5215007581126051</v>
      </c>
      <c r="AJ308" s="327">
        <f t="shared" si="2"/>
        <v>0.5215007581126051</v>
      </c>
    </row>
    <row r="309" spans="2:36">
      <c r="B309" s="72" t="s">
        <v>514</v>
      </c>
      <c r="C309" s="72" t="s">
        <v>515</v>
      </c>
      <c r="D309" s="291">
        <f t="shared" si="0"/>
        <v>0</v>
      </c>
      <c r="E309" s="291">
        <f t="shared" si="7"/>
        <v>0</v>
      </c>
      <c r="F309" s="291">
        <f t="shared" si="7"/>
        <v>0</v>
      </c>
      <c r="G309" s="291">
        <f t="shared" si="7"/>
        <v>0</v>
      </c>
      <c r="H309" s="291">
        <f t="shared" si="7"/>
        <v>0</v>
      </c>
      <c r="I309" s="291">
        <f t="shared" si="7"/>
        <v>0</v>
      </c>
      <c r="J309" s="291">
        <f t="shared" si="7"/>
        <v>0</v>
      </c>
      <c r="K309" s="291">
        <f t="shared" si="7"/>
        <v>0</v>
      </c>
      <c r="L309" s="291">
        <f t="shared" si="7"/>
        <v>0</v>
      </c>
      <c r="M309" s="291">
        <f t="shared" si="7"/>
        <v>0</v>
      </c>
      <c r="N309" s="291">
        <f t="shared" si="7"/>
        <v>0</v>
      </c>
      <c r="O309" s="291">
        <f t="shared" si="7"/>
        <v>0</v>
      </c>
      <c r="P309" s="291">
        <f t="shared" si="7"/>
        <v>0</v>
      </c>
      <c r="Q309" s="291">
        <f t="shared" si="7"/>
        <v>0</v>
      </c>
      <c r="R309" s="291">
        <f t="shared" si="7"/>
        <v>0</v>
      </c>
      <c r="S309" s="291">
        <f t="shared" si="7"/>
        <v>0</v>
      </c>
      <c r="T309" s="291">
        <f t="shared" si="7"/>
        <v>0</v>
      </c>
      <c r="U309" s="291">
        <f t="shared" si="7"/>
        <v>0</v>
      </c>
      <c r="V309" s="291">
        <f t="shared" si="7"/>
        <v>0</v>
      </c>
      <c r="W309" s="291">
        <f t="shared" si="7"/>
        <v>0</v>
      </c>
      <c r="X309" s="291">
        <f t="shared" ref="E309:AI317" si="8">X57/X$250</f>
        <v>0</v>
      </c>
      <c r="Y309" s="291">
        <f t="shared" si="8"/>
        <v>0</v>
      </c>
      <c r="Z309" s="291">
        <f t="shared" si="8"/>
        <v>0</v>
      </c>
      <c r="AA309" s="291">
        <f t="shared" si="8"/>
        <v>0</v>
      </c>
      <c r="AB309" s="291">
        <f t="shared" si="8"/>
        <v>0</v>
      </c>
      <c r="AC309" s="291">
        <f t="shared" si="8"/>
        <v>0</v>
      </c>
      <c r="AD309" s="291">
        <f t="shared" si="8"/>
        <v>0</v>
      </c>
      <c r="AE309" s="291">
        <f t="shared" si="8"/>
        <v>0</v>
      </c>
      <c r="AF309" s="291">
        <f t="shared" si="8"/>
        <v>0</v>
      </c>
      <c r="AG309" s="291">
        <f t="shared" si="8"/>
        <v>0</v>
      </c>
      <c r="AH309" s="291">
        <f t="shared" si="8"/>
        <v>0</v>
      </c>
      <c r="AI309" s="291">
        <f t="shared" si="8"/>
        <v>0</v>
      </c>
      <c r="AJ309" s="327">
        <f t="shared" si="2"/>
        <v>0</v>
      </c>
    </row>
    <row r="310" spans="2:36">
      <c r="B310" s="72" t="s">
        <v>516</v>
      </c>
      <c r="C310" s="72" t="s">
        <v>331</v>
      </c>
      <c r="D310" s="291">
        <f t="shared" si="0"/>
        <v>0.96530997410193065</v>
      </c>
      <c r="E310" s="291">
        <f t="shared" si="8"/>
        <v>1.1494911321505978</v>
      </c>
      <c r="F310" s="291">
        <f t="shared" si="8"/>
        <v>1.3100432502658712</v>
      </c>
      <c r="G310" s="291">
        <f t="shared" si="8"/>
        <v>1.317983574978447</v>
      </c>
      <c r="H310" s="291">
        <f t="shared" si="8"/>
        <v>1.4752050083738029</v>
      </c>
      <c r="I310" s="291">
        <f t="shared" si="8"/>
        <v>1.2884882545284382</v>
      </c>
      <c r="J310" s="291">
        <f t="shared" si="8"/>
        <v>1.0550419078948921</v>
      </c>
      <c r="K310" s="291">
        <f t="shared" si="8"/>
        <v>0.91147320271853616</v>
      </c>
      <c r="L310" s="291">
        <f t="shared" si="8"/>
        <v>0.9414135422954486</v>
      </c>
      <c r="M310" s="291">
        <f t="shared" si="8"/>
        <v>1.1487034041072599</v>
      </c>
      <c r="N310" s="291">
        <f t="shared" si="8"/>
        <v>0.97368594232170946</v>
      </c>
      <c r="O310" s="291">
        <f t="shared" si="8"/>
        <v>0.95736853047902959</v>
      </c>
      <c r="P310" s="291">
        <f t="shared" si="8"/>
        <v>0.91511037775269832</v>
      </c>
      <c r="Q310" s="291">
        <f t="shared" si="8"/>
        <v>0.96446596648250882</v>
      </c>
      <c r="R310" s="291">
        <f t="shared" si="8"/>
        <v>0.92734129245981445</v>
      </c>
      <c r="S310" s="291">
        <f t="shared" si="8"/>
        <v>0.96277477773368958</v>
      </c>
      <c r="T310" s="291">
        <f t="shared" si="8"/>
        <v>0.99705317759578971</v>
      </c>
      <c r="U310" s="291">
        <f t="shared" si="8"/>
        <v>0.98693566482478012</v>
      </c>
      <c r="V310" s="291">
        <f t="shared" si="8"/>
        <v>0.82488840549994191</v>
      </c>
      <c r="W310" s="291">
        <f t="shared" si="8"/>
        <v>0.76970964460437319</v>
      </c>
      <c r="X310" s="291">
        <f t="shared" si="8"/>
        <v>0.85863201554271351</v>
      </c>
      <c r="Y310" s="291">
        <f t="shared" si="8"/>
        <v>0.79131262235219235</v>
      </c>
      <c r="Z310" s="291">
        <f t="shared" si="8"/>
        <v>0.74338475847311902</v>
      </c>
      <c r="AA310" s="291">
        <f t="shared" si="8"/>
        <v>0.75216382591648667</v>
      </c>
      <c r="AB310" s="291">
        <f t="shared" si="8"/>
        <v>0.83737494330109519</v>
      </c>
      <c r="AC310" s="291">
        <f t="shared" si="8"/>
        <v>0.90233879965854902</v>
      </c>
      <c r="AD310" s="291">
        <f t="shared" si="8"/>
        <v>0.91307118298527346</v>
      </c>
      <c r="AE310" s="291">
        <f t="shared" si="8"/>
        <v>0.86538983765688804</v>
      </c>
      <c r="AF310" s="291">
        <f t="shared" si="8"/>
        <v>1.1067504993247601</v>
      </c>
      <c r="AG310" s="291">
        <f t="shared" si="8"/>
        <v>1.0514491631030669</v>
      </c>
      <c r="AH310" s="291">
        <f t="shared" si="8"/>
        <v>1.3126463826851307</v>
      </c>
      <c r="AI310" s="291">
        <f t="shared" si="8"/>
        <v>1.4022064640097658</v>
      </c>
      <c r="AJ310" s="327">
        <f t="shared" si="2"/>
        <v>1.4022064640097658</v>
      </c>
    </row>
    <row r="311" spans="2:36">
      <c r="B311" s="72" t="s">
        <v>517</v>
      </c>
      <c r="C311" s="72" t="s">
        <v>518</v>
      </c>
      <c r="D311" s="291">
        <f t="shared" si="0"/>
        <v>0.90123848997252654</v>
      </c>
      <c r="E311" s="291">
        <f t="shared" si="8"/>
        <v>0.81117908024791074</v>
      </c>
      <c r="F311" s="291">
        <f t="shared" si="8"/>
        <v>0.85452561569479035</v>
      </c>
      <c r="G311" s="291">
        <f t="shared" si="8"/>
        <v>0.91737136482131387</v>
      </c>
      <c r="H311" s="291">
        <f t="shared" si="8"/>
        <v>0.94169661308512309</v>
      </c>
      <c r="I311" s="291">
        <f t="shared" si="8"/>
        <v>0.91820405155490736</v>
      </c>
      <c r="J311" s="291">
        <f t="shared" si="8"/>
        <v>1.0844876122097507</v>
      </c>
      <c r="K311" s="291">
        <f t="shared" si="8"/>
        <v>1.1421653097476454</v>
      </c>
      <c r="L311" s="291">
        <f t="shared" si="8"/>
        <v>1.026483798792436</v>
      </c>
      <c r="M311" s="291">
        <f t="shared" si="8"/>
        <v>0.99913362118705462</v>
      </c>
      <c r="N311" s="291">
        <f t="shared" si="8"/>
        <v>1.0242759082312549</v>
      </c>
      <c r="O311" s="291">
        <f t="shared" si="8"/>
        <v>0.97763338272908584</v>
      </c>
      <c r="P311" s="291">
        <f t="shared" si="8"/>
        <v>1.0410313529555029</v>
      </c>
      <c r="Q311" s="291">
        <f t="shared" si="8"/>
        <v>1.1496111782278198</v>
      </c>
      <c r="R311" s="291">
        <f t="shared" si="8"/>
        <v>1.157788026119452</v>
      </c>
      <c r="S311" s="291">
        <f t="shared" si="8"/>
        <v>1.2613218824948977</v>
      </c>
      <c r="T311" s="291">
        <f t="shared" si="8"/>
        <v>1.2081568169803492</v>
      </c>
      <c r="U311" s="291">
        <f t="shared" si="8"/>
        <v>1.0026795285218024</v>
      </c>
      <c r="V311" s="291">
        <f t="shared" si="8"/>
        <v>0.9546620163360422</v>
      </c>
      <c r="W311" s="291">
        <f t="shared" si="8"/>
        <v>0.92536477210457868</v>
      </c>
      <c r="X311" s="291">
        <f t="shared" si="8"/>
        <v>0.8619084752926427</v>
      </c>
      <c r="Y311" s="291">
        <f t="shared" si="8"/>
        <v>0.90995075684410232</v>
      </c>
      <c r="Z311" s="291">
        <f t="shared" si="8"/>
        <v>0.89608067277894488</v>
      </c>
      <c r="AA311" s="291">
        <f t="shared" si="8"/>
        <v>0.95425520544000964</v>
      </c>
      <c r="AB311" s="291">
        <f t="shared" si="8"/>
        <v>0.93755615180483609</v>
      </c>
      <c r="AC311" s="291">
        <f t="shared" si="8"/>
        <v>0.95300861823936223</v>
      </c>
      <c r="AD311" s="291">
        <f t="shared" si="8"/>
        <v>0.93178112297049343</v>
      </c>
      <c r="AE311" s="291">
        <f t="shared" si="8"/>
        <v>0.91942995356998003</v>
      </c>
      <c r="AF311" s="291">
        <f t="shared" si="8"/>
        <v>1.0436928594831973</v>
      </c>
      <c r="AG311" s="291">
        <f t="shared" si="8"/>
        <v>1.1477346626319826</v>
      </c>
      <c r="AH311" s="291">
        <f t="shared" si="8"/>
        <v>1.0829417902332548</v>
      </c>
      <c r="AI311" s="291">
        <f t="shared" si="8"/>
        <v>1.0738461648331585</v>
      </c>
      <c r="AJ311" s="327">
        <f t="shared" si="2"/>
        <v>1.0738461648331585</v>
      </c>
    </row>
    <row r="312" spans="2:36">
      <c r="B312" s="72" t="s">
        <v>519</v>
      </c>
      <c r="C312" s="72" t="s">
        <v>520</v>
      </c>
      <c r="D312" s="291">
        <f t="shared" si="0"/>
        <v>0</v>
      </c>
      <c r="E312" s="291">
        <f t="shared" si="8"/>
        <v>0</v>
      </c>
      <c r="F312" s="291">
        <f t="shared" si="8"/>
        <v>0</v>
      </c>
      <c r="G312" s="291">
        <f t="shared" si="8"/>
        <v>0</v>
      </c>
      <c r="H312" s="291">
        <f t="shared" si="8"/>
        <v>0</v>
      </c>
      <c r="I312" s="291">
        <f t="shared" si="8"/>
        <v>0</v>
      </c>
      <c r="J312" s="291">
        <f t="shared" si="8"/>
        <v>0</v>
      </c>
      <c r="K312" s="291">
        <f t="shared" si="8"/>
        <v>0</v>
      </c>
      <c r="L312" s="291">
        <f t="shared" si="8"/>
        <v>0</v>
      </c>
      <c r="M312" s="291">
        <f t="shared" si="8"/>
        <v>0</v>
      </c>
      <c r="N312" s="291">
        <f t="shared" si="8"/>
        <v>0.33187933184212848</v>
      </c>
      <c r="O312" s="291">
        <f t="shared" si="8"/>
        <v>0.31416012853592523</v>
      </c>
      <c r="P312" s="291">
        <f t="shared" si="8"/>
        <v>0.22375650617000123</v>
      </c>
      <c r="Q312" s="291">
        <f t="shared" si="8"/>
        <v>0.26346407709271341</v>
      </c>
      <c r="R312" s="291">
        <f t="shared" si="8"/>
        <v>0.26412420161176647</v>
      </c>
      <c r="S312" s="291">
        <f t="shared" si="8"/>
        <v>0.25988957174049943</v>
      </c>
      <c r="T312" s="291">
        <f t="shared" si="8"/>
        <v>0.26539167451522511</v>
      </c>
      <c r="U312" s="291">
        <f t="shared" si="8"/>
        <v>0.29556158432352447</v>
      </c>
      <c r="V312" s="291">
        <f t="shared" si="8"/>
        <v>0.28943438019177598</v>
      </c>
      <c r="W312" s="291">
        <f t="shared" si="8"/>
        <v>0.27699401181138911</v>
      </c>
      <c r="X312" s="291">
        <f t="shared" si="8"/>
        <v>0.30818342113984165</v>
      </c>
      <c r="Y312" s="291">
        <f t="shared" si="8"/>
        <v>0.31664046538198537</v>
      </c>
      <c r="Z312" s="291">
        <f t="shared" si="8"/>
        <v>0.29517087156538663</v>
      </c>
      <c r="AA312" s="291">
        <f t="shared" si="8"/>
        <v>0.2727009343848768</v>
      </c>
      <c r="AB312" s="291">
        <f t="shared" si="8"/>
        <v>0.25944160235985742</v>
      </c>
      <c r="AC312" s="291">
        <f t="shared" si="8"/>
        <v>0.30349649354062602</v>
      </c>
      <c r="AD312" s="291">
        <f t="shared" si="8"/>
        <v>0.34695779400744958</v>
      </c>
      <c r="AE312" s="291">
        <f t="shared" si="8"/>
        <v>0.37967589672690011</v>
      </c>
      <c r="AF312" s="291">
        <f t="shared" si="8"/>
        <v>0.53486262558481734</v>
      </c>
      <c r="AG312" s="291">
        <f t="shared" si="8"/>
        <v>0.50992169162209999</v>
      </c>
      <c r="AH312" s="291">
        <f t="shared" si="8"/>
        <v>0.57651914474847998</v>
      </c>
      <c r="AI312" s="291">
        <f t="shared" si="8"/>
        <v>0.62746198626678995</v>
      </c>
      <c r="AJ312" s="327">
        <f t="shared" si="2"/>
        <v>0.62746198626678995</v>
      </c>
    </row>
    <row r="313" spans="2:36">
      <c r="B313" s="72" t="s">
        <v>521</v>
      </c>
      <c r="C313" s="72" t="s">
        <v>522</v>
      </c>
      <c r="D313" s="291">
        <f t="shared" si="0"/>
        <v>0.44332289121796165</v>
      </c>
      <c r="E313" s="291">
        <f t="shared" si="8"/>
        <v>0.54170336921327855</v>
      </c>
      <c r="F313" s="291">
        <f t="shared" si="8"/>
        <v>0.60159541873112476</v>
      </c>
      <c r="G313" s="291">
        <f t="shared" si="8"/>
        <v>0.69652541454017358</v>
      </c>
      <c r="H313" s="291">
        <f t="shared" si="8"/>
        <v>0.78294531495309927</v>
      </c>
      <c r="I313" s="291">
        <f t="shared" si="8"/>
        <v>0.83155122112409352</v>
      </c>
      <c r="J313" s="291">
        <f t="shared" si="8"/>
        <v>0.73675171791084915</v>
      </c>
      <c r="K313" s="291">
        <f t="shared" si="8"/>
        <v>0.66861082227272461</v>
      </c>
      <c r="L313" s="291">
        <f t="shared" si="8"/>
        <v>0.58643379009605923</v>
      </c>
      <c r="M313" s="291">
        <f t="shared" si="8"/>
        <v>0.60494015965799575</v>
      </c>
      <c r="N313" s="291">
        <f t="shared" si="8"/>
        <v>0.54407956462047302</v>
      </c>
      <c r="O313" s="291">
        <f t="shared" si="8"/>
        <v>0.52841616838097993</v>
      </c>
      <c r="P313" s="291">
        <f t="shared" si="8"/>
        <v>0.53317301572116604</v>
      </c>
      <c r="Q313" s="291">
        <f t="shared" si="8"/>
        <v>0.60134093888527196</v>
      </c>
      <c r="R313" s="291">
        <f t="shared" si="8"/>
        <v>0.59307072042799691</v>
      </c>
      <c r="S313" s="291">
        <f t="shared" si="8"/>
        <v>0.56324077774146175</v>
      </c>
      <c r="T313" s="291">
        <f t="shared" si="8"/>
        <v>0.56535815703698733</v>
      </c>
      <c r="U313" s="291">
        <f t="shared" si="8"/>
        <v>0.71926406221246919</v>
      </c>
      <c r="V313" s="291">
        <f t="shared" si="8"/>
        <v>0.71156147487627175</v>
      </c>
      <c r="W313" s="291">
        <f t="shared" si="8"/>
        <v>0.74498938803005954</v>
      </c>
      <c r="X313" s="291">
        <f t="shared" si="8"/>
        <v>0.80750141985485291</v>
      </c>
      <c r="Y313" s="291">
        <f t="shared" si="8"/>
        <v>0.84528345863942356</v>
      </c>
      <c r="Z313" s="291">
        <f t="shared" si="8"/>
        <v>0.82924210386708597</v>
      </c>
      <c r="AA313" s="291">
        <f t="shared" si="8"/>
        <v>0.73860810554908463</v>
      </c>
      <c r="AB313" s="291">
        <f t="shared" si="8"/>
        <v>0.65680870779608835</v>
      </c>
      <c r="AC313" s="291">
        <f t="shared" si="8"/>
        <v>0.66865771467015955</v>
      </c>
      <c r="AD313" s="291">
        <f t="shared" si="8"/>
        <v>0.65440021782157487</v>
      </c>
      <c r="AE313" s="291">
        <f t="shared" si="8"/>
        <v>0.58528191929985107</v>
      </c>
      <c r="AF313" s="291">
        <f t="shared" si="8"/>
        <v>0.62723355236027567</v>
      </c>
      <c r="AG313" s="291">
        <f t="shared" si="8"/>
        <v>0.70906989752632477</v>
      </c>
      <c r="AH313" s="291">
        <f t="shared" si="8"/>
        <v>0.70838093246036871</v>
      </c>
      <c r="AI313" s="291">
        <f t="shared" si="8"/>
        <v>0.64068288844592602</v>
      </c>
      <c r="AJ313" s="327">
        <f t="shared" si="2"/>
        <v>0.64068288844592602</v>
      </c>
    </row>
    <row r="314" spans="2:36">
      <c r="B314" s="72" t="s">
        <v>523</v>
      </c>
      <c r="C314" s="72" t="s">
        <v>524</v>
      </c>
      <c r="D314" s="291">
        <f t="shared" si="0"/>
        <v>0.7394805445095527</v>
      </c>
      <c r="E314" s="291">
        <f t="shared" si="8"/>
        <v>0.91516178166489448</v>
      </c>
      <c r="F314" s="291">
        <f t="shared" si="8"/>
        <v>1.1146411920840016</v>
      </c>
      <c r="G314" s="291">
        <f t="shared" si="8"/>
        <v>1.1728097965103488</v>
      </c>
      <c r="H314" s="291">
        <f t="shared" si="8"/>
        <v>1.2724517518536123</v>
      </c>
      <c r="I314" s="291">
        <f t="shared" si="8"/>
        <v>1.2232841299901835</v>
      </c>
      <c r="J314" s="291">
        <f t="shared" si="8"/>
        <v>0.85545234593206498</v>
      </c>
      <c r="K314" s="291">
        <f t="shared" si="8"/>
        <v>0.73316097002475178</v>
      </c>
      <c r="L314" s="291">
        <f t="shared" si="8"/>
        <v>0.64637758679155477</v>
      </c>
      <c r="M314" s="291">
        <f t="shared" si="8"/>
        <v>0.6809312893125683</v>
      </c>
      <c r="N314" s="291">
        <f t="shared" si="8"/>
        <v>0.61098577940434973</v>
      </c>
      <c r="O314" s="291">
        <f t="shared" si="8"/>
        <v>0.56771162183165569</v>
      </c>
      <c r="P314" s="291">
        <f t="shared" si="8"/>
        <v>0.53181598921057727</v>
      </c>
      <c r="Q314" s="291">
        <f t="shared" si="8"/>
        <v>0.58665948948467039</v>
      </c>
      <c r="R314" s="291">
        <f t="shared" si="8"/>
        <v>0.60773961541189181</v>
      </c>
      <c r="S314" s="291">
        <f t="shared" si="8"/>
        <v>0.57882223205331229</v>
      </c>
      <c r="T314" s="291">
        <f t="shared" si="8"/>
        <v>0.57646728934844538</v>
      </c>
      <c r="U314" s="291">
        <f t="shared" si="8"/>
        <v>0.54959067596390654</v>
      </c>
      <c r="V314" s="291">
        <f t="shared" si="8"/>
        <v>0.49039341462766511</v>
      </c>
      <c r="W314" s="291">
        <f t="shared" si="8"/>
        <v>0.50220625151478016</v>
      </c>
      <c r="X314" s="291">
        <f t="shared" si="8"/>
        <v>0.61662625235533597</v>
      </c>
      <c r="Y314" s="291">
        <f t="shared" si="8"/>
        <v>0.61169556620629872</v>
      </c>
      <c r="Z314" s="291">
        <f t="shared" si="8"/>
        <v>0.58726571424108398</v>
      </c>
      <c r="AA314" s="291">
        <f t="shared" si="8"/>
        <v>0.55375334294993683</v>
      </c>
      <c r="AB314" s="291">
        <f t="shared" si="8"/>
        <v>0.5311555903506705</v>
      </c>
      <c r="AC314" s="291">
        <f t="shared" si="8"/>
        <v>0.57200011136994278</v>
      </c>
      <c r="AD314" s="291">
        <f t="shared" si="8"/>
        <v>0.61291956323685692</v>
      </c>
      <c r="AE314" s="291">
        <f t="shared" si="8"/>
        <v>0.57265816283163173</v>
      </c>
      <c r="AF314" s="291">
        <f t="shared" si="8"/>
        <v>0.67448082777128959</v>
      </c>
      <c r="AG314" s="291">
        <f t="shared" si="8"/>
        <v>0.6631898457664881</v>
      </c>
      <c r="AH314" s="291">
        <f t="shared" si="8"/>
        <v>0.74912200768756898</v>
      </c>
      <c r="AI314" s="291">
        <f t="shared" si="8"/>
        <v>0</v>
      </c>
      <c r="AJ314" s="327">
        <f t="shared" si="2"/>
        <v>0</v>
      </c>
    </row>
    <row r="315" spans="2:36">
      <c r="B315" s="72" t="s">
        <v>525</v>
      </c>
      <c r="C315" s="72" t="s">
        <v>526</v>
      </c>
      <c r="D315" s="291">
        <f t="shared" si="0"/>
        <v>0.60453355888165838</v>
      </c>
      <c r="E315" s="291">
        <f t="shared" si="8"/>
        <v>0.65969703794174883</v>
      </c>
      <c r="F315" s="291">
        <f t="shared" si="8"/>
        <v>0.63160328273009603</v>
      </c>
      <c r="G315" s="291">
        <f t="shared" si="8"/>
        <v>0.62922973454129083</v>
      </c>
      <c r="H315" s="291">
        <f t="shared" si="8"/>
        <v>0.74731767224383394</v>
      </c>
      <c r="I315" s="291">
        <f t="shared" si="8"/>
        <v>0.77897665412161765</v>
      </c>
      <c r="J315" s="291">
        <f t="shared" si="8"/>
        <v>0.61930550087067271</v>
      </c>
      <c r="K315" s="291">
        <f t="shared" si="8"/>
        <v>0.57129283450999779</v>
      </c>
      <c r="L315" s="291">
        <f t="shared" si="8"/>
        <v>0.52105945947411292</v>
      </c>
      <c r="M315" s="291">
        <f t="shared" si="8"/>
        <v>0.53829939556501927</v>
      </c>
      <c r="N315" s="291">
        <f t="shared" si="8"/>
        <v>0.48848627126382616</v>
      </c>
      <c r="O315" s="291">
        <f t="shared" si="8"/>
        <v>0.45996052119645381</v>
      </c>
      <c r="P315" s="291">
        <f t="shared" si="8"/>
        <v>0.43555023562502687</v>
      </c>
      <c r="Q315" s="291">
        <f t="shared" si="8"/>
        <v>0.49556532490425903</v>
      </c>
      <c r="R315" s="291">
        <f t="shared" si="8"/>
        <v>0.4678787452823801</v>
      </c>
      <c r="S315" s="291">
        <f t="shared" si="8"/>
        <v>0.47201016610746643</v>
      </c>
      <c r="T315" s="291">
        <f t="shared" si="8"/>
        <v>0.48066394618997721</v>
      </c>
      <c r="U315" s="291">
        <f t="shared" si="8"/>
        <v>0.44832294987518656</v>
      </c>
      <c r="V315" s="291">
        <f t="shared" si="8"/>
        <v>0.42615206980851411</v>
      </c>
      <c r="W315" s="291">
        <f t="shared" si="8"/>
        <v>0.42011707705261919</v>
      </c>
      <c r="X315" s="291">
        <f t="shared" si="8"/>
        <v>0.43922878214305461</v>
      </c>
      <c r="Y315" s="291">
        <f t="shared" si="8"/>
        <v>0.43394091378238181</v>
      </c>
      <c r="Z315" s="291">
        <f t="shared" si="8"/>
        <v>0.39703906637651248</v>
      </c>
      <c r="AA315" s="291">
        <f t="shared" si="8"/>
        <v>0.3624696308655187</v>
      </c>
      <c r="AB315" s="291">
        <f t="shared" si="8"/>
        <v>0.32655799501662935</v>
      </c>
      <c r="AC315" s="291">
        <f t="shared" si="8"/>
        <v>0.31828644038899523</v>
      </c>
      <c r="AD315" s="291">
        <f t="shared" si="8"/>
        <v>0.29753824993894018</v>
      </c>
      <c r="AE315" s="291">
        <f t="shared" si="8"/>
        <v>0.26844098784599502</v>
      </c>
      <c r="AF315" s="291">
        <f t="shared" si="8"/>
        <v>0.31039809236129073</v>
      </c>
      <c r="AG315" s="291">
        <f t="shared" si="8"/>
        <v>0.37896649709255259</v>
      </c>
      <c r="AH315" s="291">
        <f t="shared" si="8"/>
        <v>0.39877838595005705</v>
      </c>
      <c r="AI315" s="291">
        <f t="shared" si="8"/>
        <v>0.3821388828438303</v>
      </c>
      <c r="AJ315" s="327">
        <f t="shared" si="2"/>
        <v>0.3821388828438303</v>
      </c>
    </row>
    <row r="316" spans="2:36">
      <c r="B316" s="72" t="s">
        <v>527</v>
      </c>
      <c r="C316" s="72" t="s">
        <v>528</v>
      </c>
      <c r="D316" s="291">
        <f t="shared" si="0"/>
        <v>0</v>
      </c>
      <c r="E316" s="291">
        <f t="shared" si="8"/>
        <v>0</v>
      </c>
      <c r="F316" s="291">
        <f t="shared" si="8"/>
        <v>0</v>
      </c>
      <c r="G316" s="291">
        <f t="shared" si="8"/>
        <v>0</v>
      </c>
      <c r="H316" s="291">
        <f t="shared" si="8"/>
        <v>0</v>
      </c>
      <c r="I316" s="291">
        <f t="shared" si="8"/>
        <v>0.79514485917011091</v>
      </c>
      <c r="J316" s="291">
        <f t="shared" si="8"/>
        <v>0.67537655449690681</v>
      </c>
      <c r="K316" s="291">
        <f t="shared" si="8"/>
        <v>0.62681753808929552</v>
      </c>
      <c r="L316" s="291">
        <f t="shared" si="8"/>
        <v>0.54232999810506111</v>
      </c>
      <c r="M316" s="291">
        <f t="shared" si="8"/>
        <v>0.57846725858105497</v>
      </c>
      <c r="N316" s="291">
        <f t="shared" si="8"/>
        <v>0.52213843587046183</v>
      </c>
      <c r="O316" s="291">
        <f t="shared" si="8"/>
        <v>0.50236810433368295</v>
      </c>
      <c r="P316" s="291">
        <f t="shared" si="8"/>
        <v>0.48337456799408823</v>
      </c>
      <c r="Q316" s="291">
        <f t="shared" si="8"/>
        <v>0.56255143624984294</v>
      </c>
      <c r="R316" s="291">
        <f t="shared" si="8"/>
        <v>0.54947618608979687</v>
      </c>
      <c r="S316" s="291">
        <f t="shared" si="8"/>
        <v>0.5491324937751435</v>
      </c>
      <c r="T316" s="291">
        <f t="shared" si="8"/>
        <v>0.5716718806211496</v>
      </c>
      <c r="U316" s="291">
        <f t="shared" si="8"/>
        <v>0.56114642359343581</v>
      </c>
      <c r="V316" s="291">
        <f t="shared" si="8"/>
        <v>0.5580679534916908</v>
      </c>
      <c r="W316" s="291">
        <f t="shared" si="8"/>
        <v>0.56648911710788763</v>
      </c>
      <c r="X316" s="291">
        <f t="shared" si="8"/>
        <v>0.61645691271565917</v>
      </c>
      <c r="Y316" s="291">
        <f t="shared" si="8"/>
        <v>0.67602118105067177</v>
      </c>
      <c r="Z316" s="291">
        <f t="shared" si="8"/>
        <v>0.64115557330971196</v>
      </c>
      <c r="AA316" s="291">
        <f t="shared" si="8"/>
        <v>0.602346570239638</v>
      </c>
      <c r="AB316" s="291">
        <f t="shared" si="8"/>
        <v>0.53495867943236053</v>
      </c>
      <c r="AC316" s="291">
        <f t="shared" si="8"/>
        <v>0.53460733696962659</v>
      </c>
      <c r="AD316" s="291">
        <f t="shared" si="8"/>
        <v>0.53279596973555743</v>
      </c>
      <c r="AE316" s="291">
        <f t="shared" si="8"/>
        <v>0.49219406112608016</v>
      </c>
      <c r="AF316" s="291">
        <f t="shared" si="8"/>
        <v>0.55852173247814008</v>
      </c>
      <c r="AG316" s="291">
        <f t="shared" si="8"/>
        <v>0.66400396428966557</v>
      </c>
      <c r="AH316" s="291">
        <f t="shared" si="8"/>
        <v>0</v>
      </c>
      <c r="AI316" s="291">
        <f t="shared" si="8"/>
        <v>0</v>
      </c>
      <c r="AJ316" s="327">
        <f t="shared" si="2"/>
        <v>0</v>
      </c>
    </row>
    <row r="317" spans="2:36">
      <c r="B317" s="72" t="s">
        <v>529</v>
      </c>
      <c r="C317" s="72" t="s">
        <v>530</v>
      </c>
      <c r="D317" s="291">
        <f t="shared" si="0"/>
        <v>0</v>
      </c>
      <c r="E317" s="291">
        <f t="shared" si="8"/>
        <v>0</v>
      </c>
      <c r="F317" s="291">
        <f t="shared" si="8"/>
        <v>0</v>
      </c>
      <c r="G317" s="291">
        <f t="shared" si="8"/>
        <v>0</v>
      </c>
      <c r="H317" s="291">
        <f t="shared" si="8"/>
        <v>0</v>
      </c>
      <c r="I317" s="291">
        <f t="shared" si="8"/>
        <v>0</v>
      </c>
      <c r="J317" s="291">
        <f t="shared" si="8"/>
        <v>0</v>
      </c>
      <c r="K317" s="291">
        <f t="shared" si="8"/>
        <v>0</v>
      </c>
      <c r="L317" s="291">
        <f t="shared" si="8"/>
        <v>0</v>
      </c>
      <c r="M317" s="291">
        <f t="shared" si="8"/>
        <v>0</v>
      </c>
      <c r="N317" s="291">
        <f t="shared" si="8"/>
        <v>0.33784867729084528</v>
      </c>
      <c r="O317" s="291">
        <f t="shared" si="8"/>
        <v>0.33210268692512607</v>
      </c>
      <c r="P317" s="291">
        <f t="shared" si="8"/>
        <v>0.34089907617558085</v>
      </c>
      <c r="Q317" s="291">
        <f t="shared" si="8"/>
        <v>0.40139465627413995</v>
      </c>
      <c r="R317" s="291">
        <f t="shared" si="8"/>
        <v>0.40240037898307923</v>
      </c>
      <c r="S317" s="291">
        <f t="shared" si="8"/>
        <v>0.3959487837336928</v>
      </c>
      <c r="T317" s="291">
        <f t="shared" si="8"/>
        <v>0.40433139217806202</v>
      </c>
      <c r="U317" s="291">
        <f t="shared" si="8"/>
        <v>0.32823785418801238</v>
      </c>
      <c r="V317" s="291">
        <f t="shared" si="8"/>
        <v>0.31319666192812895</v>
      </c>
      <c r="W317" s="291">
        <f t="shared" si="8"/>
        <v>0.24095739980883454</v>
      </c>
      <c r="X317" s="291">
        <f t="shared" si="8"/>
        <v>0.25666133347286985</v>
      </c>
      <c r="Y317" s="291">
        <f t="shared" si="8"/>
        <v>0.24797570869611826</v>
      </c>
      <c r="Z317" s="291">
        <f t="shared" si="8"/>
        <v>0.26315242969676489</v>
      </c>
      <c r="AA317" s="291">
        <f t="shared" si="8"/>
        <v>0.2643830712061227</v>
      </c>
      <c r="AB317" s="291">
        <f t="shared" si="8"/>
        <v>0.2706297526577664</v>
      </c>
      <c r="AC317" s="291">
        <f t="shared" si="8"/>
        <v>0.31282066841835549</v>
      </c>
      <c r="AD317" s="291">
        <f t="shared" si="8"/>
        <v>0.3377316258866887</v>
      </c>
      <c r="AE317" s="291">
        <f t="shared" ref="E317:AI326" si="9">AE65/AE$250</f>
        <v>0.33080287071756154</v>
      </c>
      <c r="AF317" s="291">
        <f t="shared" si="9"/>
        <v>0.42522679715142897</v>
      </c>
      <c r="AG317" s="291">
        <f t="shared" si="9"/>
        <v>0.39515294853164917</v>
      </c>
      <c r="AH317" s="291">
        <f t="shared" si="9"/>
        <v>0.40911705049951547</v>
      </c>
      <c r="AI317" s="291">
        <f t="shared" si="9"/>
        <v>0.3558582234857659</v>
      </c>
      <c r="AJ317" s="327">
        <f t="shared" si="2"/>
        <v>0.3558582234857659</v>
      </c>
    </row>
    <row r="318" spans="2:36">
      <c r="B318" s="72" t="s">
        <v>531</v>
      </c>
      <c r="C318" s="72" t="s">
        <v>532</v>
      </c>
      <c r="D318" s="291">
        <f t="shared" si="0"/>
        <v>1.0807368843156491</v>
      </c>
      <c r="E318" s="291">
        <f t="shared" si="9"/>
        <v>0.92916770384708214</v>
      </c>
      <c r="F318" s="291">
        <f t="shared" si="9"/>
        <v>0.86990560824634422</v>
      </c>
      <c r="G318" s="291">
        <f t="shared" si="9"/>
        <v>0.89688848283357214</v>
      </c>
      <c r="H318" s="291">
        <f t="shared" si="9"/>
        <v>0.91171102768762835</v>
      </c>
      <c r="I318" s="291">
        <f t="shared" si="9"/>
        <v>0.90902356561188502</v>
      </c>
      <c r="J318" s="291">
        <f t="shared" si="9"/>
        <v>1.0514249075878237</v>
      </c>
      <c r="K318" s="291">
        <f t="shared" si="9"/>
        <v>1.0891830416700439</v>
      </c>
      <c r="L318" s="291">
        <f t="shared" si="9"/>
        <v>0.97678415066906266</v>
      </c>
      <c r="M318" s="291">
        <f t="shared" si="9"/>
        <v>0.96759775794216185</v>
      </c>
      <c r="N318" s="291">
        <f t="shared" si="9"/>
        <v>1.0033487080801788</v>
      </c>
      <c r="O318" s="291">
        <f t="shared" si="9"/>
        <v>0.95525570933200721</v>
      </c>
      <c r="P318" s="291">
        <f t="shared" si="9"/>
        <v>1.0163059042662139</v>
      </c>
      <c r="Q318" s="291">
        <f t="shared" si="9"/>
        <v>1.1172748699097754</v>
      </c>
      <c r="R318" s="291">
        <f t="shared" si="9"/>
        <v>1.1377592464585751</v>
      </c>
      <c r="S318" s="291">
        <f t="shared" si="9"/>
        <v>1.2344428936936116</v>
      </c>
      <c r="T318" s="291">
        <f t="shared" si="9"/>
        <v>1.1881506983536876</v>
      </c>
      <c r="U318" s="291">
        <f t="shared" si="9"/>
        <v>0.98936986091354495</v>
      </c>
      <c r="V318" s="291">
        <f t="shared" si="9"/>
        <v>0.9617647342594885</v>
      </c>
      <c r="W318" s="291">
        <f t="shared" si="9"/>
        <v>0.9295821090501748</v>
      </c>
      <c r="X318" s="291">
        <f t="shared" si="9"/>
        <v>0.85301875126189974</v>
      </c>
      <c r="Y318" s="291">
        <f t="shared" si="9"/>
        <v>0.87849236680689613</v>
      </c>
      <c r="Z318" s="291">
        <f t="shared" si="9"/>
        <v>0.8655916782049965</v>
      </c>
      <c r="AA318" s="291">
        <f t="shared" si="9"/>
        <v>0.94770688173330253</v>
      </c>
      <c r="AB318" s="291">
        <f t="shared" si="9"/>
        <v>0.96125984360380157</v>
      </c>
      <c r="AC318" s="291">
        <f t="shared" si="9"/>
        <v>0.96719583611887627</v>
      </c>
      <c r="AD318" s="291">
        <f t="shared" si="9"/>
        <v>0.96062489085952851</v>
      </c>
      <c r="AE318" s="291">
        <f t="shared" si="9"/>
        <v>0.93995022476595935</v>
      </c>
      <c r="AF318" s="291">
        <f t="shared" si="9"/>
        <v>1.0694160299059914</v>
      </c>
      <c r="AG318" s="291">
        <f t="shared" si="9"/>
        <v>1.1668497953279751</v>
      </c>
      <c r="AH318" s="291">
        <f t="shared" si="9"/>
        <v>1.1072620214837918</v>
      </c>
      <c r="AI318" s="291">
        <f t="shared" si="9"/>
        <v>1.0993656104917156</v>
      </c>
      <c r="AJ318" s="327">
        <f t="shared" si="2"/>
        <v>1.0993656104917156</v>
      </c>
    </row>
    <row r="319" spans="2:36">
      <c r="B319" s="72" t="s">
        <v>533</v>
      </c>
      <c r="C319" s="72" t="s">
        <v>534</v>
      </c>
      <c r="D319" s="291">
        <f t="shared" si="0"/>
        <v>0.7268394673355274</v>
      </c>
      <c r="E319" s="291">
        <f t="shared" si="9"/>
        <v>0.73795853866207006</v>
      </c>
      <c r="F319" s="291">
        <f t="shared" si="9"/>
        <v>0.73650463935258159</v>
      </c>
      <c r="G319" s="291">
        <f t="shared" si="9"/>
        <v>0.86664869512211284</v>
      </c>
      <c r="H319" s="291">
        <f t="shared" si="9"/>
        <v>1.0334079123923534</v>
      </c>
      <c r="I319" s="291">
        <f t="shared" si="9"/>
        <v>0.99295459858901525</v>
      </c>
      <c r="J319" s="291">
        <f t="shared" si="9"/>
        <v>0.87568039712384071</v>
      </c>
      <c r="K319" s="291">
        <f t="shared" si="9"/>
        <v>0.81368160630729214</v>
      </c>
      <c r="L319" s="291">
        <f t="shared" si="9"/>
        <v>0.73304058988455156</v>
      </c>
      <c r="M319" s="291">
        <f t="shared" si="9"/>
        <v>0.75736191681014242</v>
      </c>
      <c r="N319" s="291">
        <f t="shared" si="9"/>
        <v>0.66651297870717596</v>
      </c>
      <c r="O319" s="291">
        <f t="shared" si="9"/>
        <v>0.61502537912665267</v>
      </c>
      <c r="P319" s="291">
        <f t="shared" si="9"/>
        <v>0.62108704170543372</v>
      </c>
      <c r="Q319" s="291">
        <f t="shared" si="9"/>
        <v>0.7181826756923857</v>
      </c>
      <c r="R319" s="291">
        <f t="shared" si="9"/>
        <v>0.71804278047360104</v>
      </c>
      <c r="S319" s="291">
        <f t="shared" si="9"/>
        <v>0.71762281469758171</v>
      </c>
      <c r="T319" s="291">
        <f t="shared" si="9"/>
        <v>0.72734275705001394</v>
      </c>
      <c r="U319" s="291">
        <f t="shared" si="9"/>
        <v>0.67688316791337799</v>
      </c>
      <c r="V319" s="291">
        <f t="shared" si="9"/>
        <v>0.65958683055856482</v>
      </c>
      <c r="W319" s="291">
        <f t="shared" si="9"/>
        <v>0.64328822096009763</v>
      </c>
      <c r="X319" s="291">
        <f t="shared" si="9"/>
        <v>0.69391684605473325</v>
      </c>
      <c r="Y319" s="291">
        <f t="shared" si="9"/>
        <v>0.7228793529391504</v>
      </c>
      <c r="Z319" s="291">
        <f t="shared" si="9"/>
        <v>0.6943387212950165</v>
      </c>
      <c r="AA319" s="291">
        <f t="shared" si="9"/>
        <v>0.59255253622553206</v>
      </c>
      <c r="AB319" s="291">
        <f t="shared" si="9"/>
        <v>0.53201298755517046</v>
      </c>
      <c r="AC319" s="291">
        <f t="shared" si="9"/>
        <v>0.5281349476948658</v>
      </c>
      <c r="AD319" s="291">
        <f t="shared" si="9"/>
        <v>0.53299575956730261</v>
      </c>
      <c r="AE319" s="291">
        <f t="shared" si="9"/>
        <v>0.48090058261805496</v>
      </c>
      <c r="AF319" s="291">
        <f t="shared" si="9"/>
        <v>0.52401599083349226</v>
      </c>
      <c r="AG319" s="291">
        <f t="shared" si="9"/>
        <v>0.59586666722055237</v>
      </c>
      <c r="AH319" s="291">
        <f t="shared" si="9"/>
        <v>0.59662185779031984</v>
      </c>
      <c r="AI319" s="291">
        <f t="shared" si="9"/>
        <v>0.55569899760333885</v>
      </c>
      <c r="AJ319" s="327">
        <f t="shared" si="2"/>
        <v>0.55569899760333885</v>
      </c>
    </row>
    <row r="320" spans="2:36">
      <c r="B320" s="72" t="s">
        <v>535</v>
      </c>
      <c r="C320" s="72" t="s">
        <v>536</v>
      </c>
      <c r="D320" s="291">
        <f t="shared" si="0"/>
        <v>0.62491182954413838</v>
      </c>
      <c r="E320" s="291">
        <f t="shared" si="9"/>
        <v>0.54221512506019787</v>
      </c>
      <c r="F320" s="291">
        <f t="shared" si="9"/>
        <v>0.55771608255463345</v>
      </c>
      <c r="G320" s="291">
        <f t="shared" si="9"/>
        <v>0.55037876471320624</v>
      </c>
      <c r="H320" s="291">
        <f t="shared" si="9"/>
        <v>0.53316574343602952</v>
      </c>
      <c r="I320" s="291">
        <f t="shared" si="9"/>
        <v>0.48303304439992178</v>
      </c>
      <c r="J320" s="291">
        <f t="shared" si="9"/>
        <v>0.51136403929180285</v>
      </c>
      <c r="K320" s="291">
        <f t="shared" si="9"/>
        <v>0.51687822206624612</v>
      </c>
      <c r="L320" s="291">
        <f t="shared" si="9"/>
        <v>0.44800211333965484</v>
      </c>
      <c r="M320" s="291">
        <f t="shared" si="9"/>
        <v>0.43323114503897159</v>
      </c>
      <c r="N320" s="291">
        <f t="shared" si="9"/>
        <v>0.44125924366374691</v>
      </c>
      <c r="O320" s="291">
        <f t="shared" si="9"/>
        <v>0.40611562883445418</v>
      </c>
      <c r="P320" s="291">
        <f t="shared" si="9"/>
        <v>0.32797553815537911</v>
      </c>
      <c r="Q320" s="291">
        <f t="shared" si="9"/>
        <v>0.46734515911507868</v>
      </c>
      <c r="R320" s="291">
        <f t="shared" si="9"/>
        <v>0.3071283450555411</v>
      </c>
      <c r="S320" s="291">
        <f t="shared" si="9"/>
        <v>0.37131195193579974</v>
      </c>
      <c r="T320" s="291">
        <f t="shared" si="9"/>
        <v>0.38428262745655783</v>
      </c>
      <c r="U320" s="291">
        <f t="shared" si="9"/>
        <v>0.33401335507110042</v>
      </c>
      <c r="V320" s="291">
        <f t="shared" si="9"/>
        <v>0.33201875232928735</v>
      </c>
      <c r="W320" s="291">
        <f t="shared" si="9"/>
        <v>0.32351285968351795</v>
      </c>
      <c r="X320" s="291">
        <f t="shared" si="9"/>
        <v>0.31017787723763385</v>
      </c>
      <c r="Y320" s="291">
        <f t="shared" si="9"/>
        <v>0.32412139682914615</v>
      </c>
      <c r="Z320" s="291">
        <f t="shared" si="9"/>
        <v>0.34643590255967693</v>
      </c>
      <c r="AA320" s="291">
        <f t="shared" si="9"/>
        <v>0.37210080165880272</v>
      </c>
      <c r="AB320" s="291">
        <f t="shared" si="9"/>
        <v>0.36078311275068986</v>
      </c>
      <c r="AC320" s="291">
        <f t="shared" si="9"/>
        <v>0.35990822116331644</v>
      </c>
      <c r="AD320" s="291">
        <f t="shared" si="9"/>
        <v>0.37059909973064598</v>
      </c>
      <c r="AE320" s="291">
        <f t="shared" si="9"/>
        <v>0.36055124724104437</v>
      </c>
      <c r="AF320" s="291">
        <f t="shared" si="9"/>
        <v>0.43648673828811269</v>
      </c>
      <c r="AG320" s="291">
        <f t="shared" si="9"/>
        <v>0.47624458158401167</v>
      </c>
      <c r="AH320" s="291">
        <f t="shared" si="9"/>
        <v>0.45765566220613724</v>
      </c>
      <c r="AI320" s="291">
        <f t="shared" si="9"/>
        <v>0.45288575562540562</v>
      </c>
      <c r="AJ320" s="327">
        <f t="shared" si="2"/>
        <v>0.45288575562540562</v>
      </c>
    </row>
    <row r="321" spans="2:36">
      <c r="B321" s="72" t="s">
        <v>537</v>
      </c>
      <c r="C321" s="72" t="s">
        <v>538</v>
      </c>
      <c r="D321" s="291">
        <f t="shared" si="0"/>
        <v>0</v>
      </c>
      <c r="E321" s="291">
        <f t="shared" si="9"/>
        <v>0</v>
      </c>
      <c r="F321" s="291">
        <f t="shared" si="9"/>
        <v>0</v>
      </c>
      <c r="G321" s="291">
        <f t="shared" si="9"/>
        <v>0</v>
      </c>
      <c r="H321" s="291">
        <f t="shared" si="9"/>
        <v>0</v>
      </c>
      <c r="I321" s="291">
        <f t="shared" si="9"/>
        <v>0</v>
      </c>
      <c r="J321" s="291">
        <f t="shared" si="9"/>
        <v>0</v>
      </c>
      <c r="K321" s="291">
        <f t="shared" si="9"/>
        <v>0</v>
      </c>
      <c r="L321" s="291">
        <f t="shared" si="9"/>
        <v>0</v>
      </c>
      <c r="M321" s="291">
        <f t="shared" si="9"/>
        <v>0</v>
      </c>
      <c r="N321" s="291">
        <f t="shared" si="9"/>
        <v>0</v>
      </c>
      <c r="O321" s="291">
        <f t="shared" si="9"/>
        <v>0</v>
      </c>
      <c r="P321" s="291">
        <f t="shared" si="9"/>
        <v>0</v>
      </c>
      <c r="Q321" s="291">
        <f t="shared" si="9"/>
        <v>0</v>
      </c>
      <c r="R321" s="291">
        <f t="shared" si="9"/>
        <v>0</v>
      </c>
      <c r="S321" s="291">
        <f t="shared" si="9"/>
        <v>0</v>
      </c>
      <c r="T321" s="291">
        <f t="shared" si="9"/>
        <v>0</v>
      </c>
      <c r="U321" s="291">
        <f t="shared" si="9"/>
        <v>0</v>
      </c>
      <c r="V321" s="291">
        <f t="shared" si="9"/>
        <v>0</v>
      </c>
      <c r="W321" s="291">
        <f t="shared" si="9"/>
        <v>0</v>
      </c>
      <c r="X321" s="291">
        <f t="shared" si="9"/>
        <v>0</v>
      </c>
      <c r="Y321" s="291">
        <f t="shared" si="9"/>
        <v>0</v>
      </c>
      <c r="Z321" s="291">
        <f t="shared" si="9"/>
        <v>0</v>
      </c>
      <c r="AA321" s="291">
        <f t="shared" si="9"/>
        <v>0</v>
      </c>
      <c r="AB321" s="291">
        <f t="shared" si="9"/>
        <v>0</v>
      </c>
      <c r="AC321" s="291">
        <f t="shared" si="9"/>
        <v>0</v>
      </c>
      <c r="AD321" s="291">
        <f t="shared" si="9"/>
        <v>0</v>
      </c>
      <c r="AE321" s="291">
        <f t="shared" si="9"/>
        <v>0</v>
      </c>
      <c r="AF321" s="291">
        <f t="shared" si="9"/>
        <v>0</v>
      </c>
      <c r="AG321" s="291">
        <f t="shared" si="9"/>
        <v>0</v>
      </c>
      <c r="AH321" s="291">
        <f t="shared" si="9"/>
        <v>0</v>
      </c>
      <c r="AI321" s="291">
        <f t="shared" si="9"/>
        <v>0</v>
      </c>
      <c r="AJ321" s="327">
        <f t="shared" si="2"/>
        <v>0</v>
      </c>
    </row>
    <row r="322" spans="2:36">
      <c r="B322" s="72" t="s">
        <v>539</v>
      </c>
      <c r="C322" s="72" t="s">
        <v>540</v>
      </c>
      <c r="D322" s="291">
        <f t="shared" si="0"/>
        <v>0.65695817668942269</v>
      </c>
      <c r="E322" s="291">
        <f t="shared" si="9"/>
        <v>0.64621713809802173</v>
      </c>
      <c r="F322" s="291">
        <f t="shared" si="9"/>
        <v>0.68086817519410692</v>
      </c>
      <c r="G322" s="291">
        <f t="shared" si="9"/>
        <v>0.74297751417775393</v>
      </c>
      <c r="H322" s="291">
        <f t="shared" si="9"/>
        <v>0.79197673304521943</v>
      </c>
      <c r="I322" s="291">
        <f t="shared" si="9"/>
        <v>0.75716556393851953</v>
      </c>
      <c r="J322" s="291">
        <f t="shared" si="9"/>
        <v>0.6708083478066692</v>
      </c>
      <c r="K322" s="291">
        <f t="shared" si="9"/>
        <v>0.55796849019300965</v>
      </c>
      <c r="L322" s="291">
        <f t="shared" si="9"/>
        <v>0.5149722638847567</v>
      </c>
      <c r="M322" s="291">
        <f t="shared" si="9"/>
        <v>0.47213859788415441</v>
      </c>
      <c r="N322" s="291">
        <f t="shared" si="9"/>
        <v>0.39597626366559013</v>
      </c>
      <c r="O322" s="291">
        <f t="shared" si="9"/>
        <v>0.31405154235918115</v>
      </c>
      <c r="P322" s="291">
        <f t="shared" si="9"/>
        <v>0.292426632443474</v>
      </c>
      <c r="Q322" s="291">
        <f t="shared" si="9"/>
        <v>0.3059398113667674</v>
      </c>
      <c r="R322" s="291">
        <f t="shared" si="9"/>
        <v>0.32388708642135211</v>
      </c>
      <c r="S322" s="291">
        <f t="shared" si="9"/>
        <v>0.31892883446115228</v>
      </c>
      <c r="T322" s="291">
        <f t="shared" si="9"/>
        <v>0.31354143083289143</v>
      </c>
      <c r="U322" s="291">
        <f t="shared" si="9"/>
        <v>0.32506710276430739</v>
      </c>
      <c r="V322" s="291">
        <f t="shared" si="9"/>
        <v>0.30349332050986427</v>
      </c>
      <c r="W322" s="291">
        <f t="shared" si="9"/>
        <v>0.3116755214077967</v>
      </c>
      <c r="X322" s="291">
        <f t="shared" si="9"/>
        <v>0.32807174187815469</v>
      </c>
      <c r="Y322" s="291">
        <f t="shared" si="9"/>
        <v>0.34305793462152701</v>
      </c>
      <c r="Z322" s="291">
        <f t="shared" si="9"/>
        <v>0.32960882170805594</v>
      </c>
      <c r="AA322" s="291">
        <f t="shared" si="9"/>
        <v>0.31222507800782912</v>
      </c>
      <c r="AB322" s="291">
        <f t="shared" si="9"/>
        <v>0.29268789363494707</v>
      </c>
      <c r="AC322" s="291">
        <f t="shared" si="9"/>
        <v>0.30854617045251387</v>
      </c>
      <c r="AD322" s="291">
        <f t="shared" si="9"/>
        <v>0.30726280301458858</v>
      </c>
      <c r="AE322" s="291">
        <f t="shared" si="9"/>
        <v>0.30160453339543947</v>
      </c>
      <c r="AF322" s="291">
        <f t="shared" si="9"/>
        <v>0.31990164225941015</v>
      </c>
      <c r="AG322" s="291">
        <f t="shared" si="9"/>
        <v>0.34647050224429154</v>
      </c>
      <c r="AH322" s="291">
        <f t="shared" si="9"/>
        <v>0.38611889244054809</v>
      </c>
      <c r="AI322" s="291">
        <f t="shared" si="9"/>
        <v>0.36660908872644654</v>
      </c>
      <c r="AJ322" s="327">
        <f t="shared" si="2"/>
        <v>0.36660908872644654</v>
      </c>
    </row>
    <row r="323" spans="2:36">
      <c r="B323" s="72" t="s">
        <v>541</v>
      </c>
      <c r="C323" s="72" t="s">
        <v>542</v>
      </c>
      <c r="D323" s="291">
        <f t="shared" si="0"/>
        <v>0.4084962790688903</v>
      </c>
      <c r="E323" s="291">
        <f t="shared" si="9"/>
        <v>0.54918544995469476</v>
      </c>
      <c r="F323" s="291">
        <f t="shared" si="9"/>
        <v>0.58137153411723663</v>
      </c>
      <c r="G323" s="291">
        <f t="shared" si="9"/>
        <v>0.64161500871081145</v>
      </c>
      <c r="H323" s="291">
        <f t="shared" si="9"/>
        <v>0.79692689003285389</v>
      </c>
      <c r="I323" s="291">
        <f t="shared" si="9"/>
        <v>0.69176645237926848</v>
      </c>
      <c r="J323" s="291">
        <f t="shared" si="9"/>
        <v>0.44247059713899844</v>
      </c>
      <c r="K323" s="291">
        <f t="shared" si="9"/>
        <v>0.40160665008636198</v>
      </c>
      <c r="L323" s="291">
        <f t="shared" si="9"/>
        <v>0.35865497317727185</v>
      </c>
      <c r="M323" s="291">
        <f t="shared" si="9"/>
        <v>0.35912815027210448</v>
      </c>
      <c r="N323" s="291">
        <f t="shared" si="9"/>
        <v>0.30322613815438709</v>
      </c>
      <c r="O323" s="291">
        <f t="shared" si="9"/>
        <v>0.29944675545201632</v>
      </c>
      <c r="P323" s="291">
        <f t="shared" si="9"/>
        <v>0.3021695849244323</v>
      </c>
      <c r="Q323" s="291">
        <f t="shared" si="9"/>
        <v>0.33496334115888104</v>
      </c>
      <c r="R323" s="291">
        <f t="shared" si="9"/>
        <v>0.32215927343174999</v>
      </c>
      <c r="S323" s="291">
        <f t="shared" si="9"/>
        <v>0.32553493345189649</v>
      </c>
      <c r="T323" s="291">
        <f t="shared" si="9"/>
        <v>0.34153094211779855</v>
      </c>
      <c r="U323" s="291">
        <f t="shared" si="9"/>
        <v>0.32934715061038389</v>
      </c>
      <c r="V323" s="291">
        <f t="shared" si="9"/>
        <v>0.32275563489055509</v>
      </c>
      <c r="W323" s="291">
        <f t="shared" si="9"/>
        <v>0.31259337509214624</v>
      </c>
      <c r="X323" s="291">
        <f t="shared" si="9"/>
        <v>0.33197371211657584</v>
      </c>
      <c r="Y323" s="291">
        <f t="shared" si="9"/>
        <v>0.33015257288280242</v>
      </c>
      <c r="Z323" s="291">
        <f t="shared" si="9"/>
        <v>0.29517845841018192</v>
      </c>
      <c r="AA323" s="291">
        <f t="shared" si="9"/>
        <v>0.25871697176765496</v>
      </c>
      <c r="AB323" s="291">
        <f t="shared" si="9"/>
        <v>0.23690096831252788</v>
      </c>
      <c r="AC323" s="291">
        <f t="shared" si="9"/>
        <v>0.23928429285791361</v>
      </c>
      <c r="AD323" s="291">
        <f t="shared" si="9"/>
        <v>0.26577354158776323</v>
      </c>
      <c r="AE323" s="291">
        <f t="shared" si="9"/>
        <v>0.2530055134047971</v>
      </c>
      <c r="AF323" s="291">
        <f t="shared" si="9"/>
        <v>0.31987264011006772</v>
      </c>
      <c r="AG323" s="291">
        <f t="shared" si="9"/>
        <v>0.36988574166092669</v>
      </c>
      <c r="AH323" s="291">
        <f t="shared" si="9"/>
        <v>0.40006253445196366</v>
      </c>
      <c r="AI323" s="291">
        <f t="shared" si="9"/>
        <v>0.425236405246743</v>
      </c>
      <c r="AJ323" s="327">
        <f t="shared" si="2"/>
        <v>0.425236405246743</v>
      </c>
    </row>
    <row r="324" spans="2:36">
      <c r="B324" s="72" t="s">
        <v>543</v>
      </c>
      <c r="C324" s="72" t="s">
        <v>544</v>
      </c>
      <c r="D324" s="291">
        <f t="shared" si="0"/>
        <v>0</v>
      </c>
      <c r="E324" s="291">
        <f t="shared" si="9"/>
        <v>0</v>
      </c>
      <c r="F324" s="291">
        <f t="shared" si="9"/>
        <v>0</v>
      </c>
      <c r="G324" s="291">
        <f t="shared" si="9"/>
        <v>0</v>
      </c>
      <c r="H324" s="291">
        <f t="shared" si="9"/>
        <v>0</v>
      </c>
      <c r="I324" s="291">
        <f t="shared" si="9"/>
        <v>0</v>
      </c>
      <c r="J324" s="291">
        <f t="shared" si="9"/>
        <v>0</v>
      </c>
      <c r="K324" s="291">
        <f t="shared" si="9"/>
        <v>0</v>
      </c>
      <c r="L324" s="291">
        <f t="shared" si="9"/>
        <v>0</v>
      </c>
      <c r="M324" s="291">
        <f t="shared" si="9"/>
        <v>0</v>
      </c>
      <c r="N324" s="291">
        <f t="shared" si="9"/>
        <v>0</v>
      </c>
      <c r="O324" s="291">
        <f t="shared" si="9"/>
        <v>0</v>
      </c>
      <c r="P324" s="291">
        <f t="shared" si="9"/>
        <v>0</v>
      </c>
      <c r="Q324" s="291">
        <f t="shared" si="9"/>
        <v>0</v>
      </c>
      <c r="R324" s="291">
        <f t="shared" si="9"/>
        <v>0.35218999802422324</v>
      </c>
      <c r="S324" s="291">
        <f t="shared" si="9"/>
        <v>0.40827266425404118</v>
      </c>
      <c r="T324" s="291">
        <f t="shared" si="9"/>
        <v>0.32055677270882871</v>
      </c>
      <c r="U324" s="291">
        <f t="shared" si="9"/>
        <v>0.29694033548913074</v>
      </c>
      <c r="V324" s="291">
        <f t="shared" si="9"/>
        <v>0.27647670279789943</v>
      </c>
      <c r="W324" s="291">
        <f t="shared" si="9"/>
        <v>0.2864358508023005</v>
      </c>
      <c r="X324" s="291">
        <f t="shared" si="9"/>
        <v>0.34264211920234711</v>
      </c>
      <c r="Y324" s="291">
        <f t="shared" si="9"/>
        <v>0.35745635506472245</v>
      </c>
      <c r="Z324" s="291">
        <f t="shared" si="9"/>
        <v>0.37060737358435714</v>
      </c>
      <c r="AA324" s="291">
        <f t="shared" si="9"/>
        <v>0.39486854182534092</v>
      </c>
      <c r="AB324" s="291">
        <f t="shared" si="9"/>
        <v>0.39162413588922929</v>
      </c>
      <c r="AC324" s="291">
        <f t="shared" si="9"/>
        <v>0.39479061324968562</v>
      </c>
      <c r="AD324" s="291">
        <f t="shared" si="9"/>
        <v>0.39653617343725334</v>
      </c>
      <c r="AE324" s="291">
        <f t="shared" si="9"/>
        <v>0.39639735082041749</v>
      </c>
      <c r="AF324" s="291">
        <f t="shared" si="9"/>
        <v>0.47266931236647891</v>
      </c>
      <c r="AG324" s="291">
        <f t="shared" si="9"/>
        <v>0.51655431573902078</v>
      </c>
      <c r="AH324" s="291">
        <f t="shared" si="9"/>
        <v>0.49941124156079331</v>
      </c>
      <c r="AI324" s="291">
        <f t="shared" si="9"/>
        <v>0.48511478128771601</v>
      </c>
      <c r="AJ324" s="327">
        <f t="shared" si="2"/>
        <v>0.48511478128771601</v>
      </c>
    </row>
    <row r="325" spans="2:36">
      <c r="B325" s="72" t="s">
        <v>545</v>
      </c>
      <c r="C325" s="72" t="s">
        <v>546</v>
      </c>
      <c r="D325" s="291">
        <f t="shared" si="0"/>
        <v>0.56496284833178079</v>
      </c>
      <c r="E325" s="291">
        <f t="shared" si="9"/>
        <v>0.54437882125896775</v>
      </c>
      <c r="F325" s="291">
        <f t="shared" si="9"/>
        <v>0.4912939124288222</v>
      </c>
      <c r="G325" s="291">
        <f t="shared" si="9"/>
        <v>0.54788639167500663</v>
      </c>
      <c r="H325" s="291">
        <f t="shared" si="9"/>
        <v>0.58211733678111199</v>
      </c>
      <c r="I325" s="291">
        <f t="shared" si="9"/>
        <v>0.47806261634942049</v>
      </c>
      <c r="J325" s="291">
        <f t="shared" si="9"/>
        <v>0.46736104967240066</v>
      </c>
      <c r="K325" s="291">
        <f t="shared" si="9"/>
        <v>0.50191358168185396</v>
      </c>
      <c r="L325" s="291">
        <f t="shared" si="9"/>
        <v>0.48868546176966704</v>
      </c>
      <c r="M325" s="291">
        <f t="shared" si="9"/>
        <v>0.51068012203370494</v>
      </c>
      <c r="N325" s="291">
        <f t="shared" si="9"/>
        <v>0.50323050894008536</v>
      </c>
      <c r="O325" s="291">
        <f t="shared" si="9"/>
        <v>0.4612929155186748</v>
      </c>
      <c r="P325" s="291">
        <f t="shared" si="9"/>
        <v>0.45772782518517707</v>
      </c>
      <c r="Q325" s="291">
        <f t="shared" si="9"/>
        <v>0.51258514349711504</v>
      </c>
      <c r="R325" s="291">
        <f t="shared" si="9"/>
        <v>0.49806094576090415</v>
      </c>
      <c r="S325" s="291">
        <f t="shared" si="9"/>
        <v>0.49432141678675551</v>
      </c>
      <c r="T325" s="291">
        <f t="shared" si="9"/>
        <v>0.4680795793361075</v>
      </c>
      <c r="U325" s="291">
        <f t="shared" si="9"/>
        <v>0.43311069658088641</v>
      </c>
      <c r="V325" s="291">
        <f t="shared" si="9"/>
        <v>0.37680931316808614</v>
      </c>
      <c r="W325" s="291">
        <f t="shared" si="9"/>
        <v>0.40435577249014804</v>
      </c>
      <c r="X325" s="291">
        <f t="shared" si="9"/>
        <v>0.39379216927287575</v>
      </c>
      <c r="Y325" s="291">
        <f t="shared" si="9"/>
        <v>0.4249574283200131</v>
      </c>
      <c r="Z325" s="291">
        <f t="shared" si="9"/>
        <v>0.3713888445970549</v>
      </c>
      <c r="AA325" s="291">
        <f t="shared" si="9"/>
        <v>0.40850595091328629</v>
      </c>
      <c r="AB325" s="291">
        <f t="shared" si="9"/>
        <v>0.42090359085361451</v>
      </c>
      <c r="AC325" s="291">
        <f t="shared" si="9"/>
        <v>0.40954161049559656</v>
      </c>
      <c r="AD325" s="291">
        <f t="shared" si="9"/>
        <v>0.41497455388301685</v>
      </c>
      <c r="AE325" s="291">
        <f t="shared" si="9"/>
        <v>0.37830566401904242</v>
      </c>
      <c r="AF325" s="291">
        <f t="shared" si="9"/>
        <v>0.42142923246057445</v>
      </c>
      <c r="AG325" s="291">
        <f t="shared" si="9"/>
        <v>0.43674853609410819</v>
      </c>
      <c r="AH325" s="291">
        <f t="shared" si="9"/>
        <v>0.52401172905515336</v>
      </c>
      <c r="AI325" s="291">
        <f t="shared" si="9"/>
        <v>0.52852697369740964</v>
      </c>
      <c r="AJ325" s="327">
        <f t="shared" si="2"/>
        <v>0.52852697369740964</v>
      </c>
    </row>
    <row r="326" spans="2:36">
      <c r="B326" s="72" t="s">
        <v>547</v>
      </c>
      <c r="C326" s="72" t="s">
        <v>548</v>
      </c>
      <c r="D326" s="291">
        <f t="shared" si="0"/>
        <v>0.4647275476566774</v>
      </c>
      <c r="E326" s="291">
        <f t="shared" si="9"/>
        <v>0.56596074295375576</v>
      </c>
      <c r="F326" s="291">
        <f t="shared" si="9"/>
        <v>0.6440758398992843</v>
      </c>
      <c r="G326" s="291">
        <f t="shared" ref="E326:AI334" si="10">G74/G$250</f>
        <v>0.52579002355079807</v>
      </c>
      <c r="H326" s="291">
        <f t="shared" si="10"/>
        <v>0.55949368889907469</v>
      </c>
      <c r="I326" s="291">
        <f t="shared" si="10"/>
        <v>0.54134200124223242</v>
      </c>
      <c r="J326" s="291">
        <f t="shared" si="10"/>
        <v>0.51039749853709471</v>
      </c>
      <c r="K326" s="291">
        <f t="shared" si="10"/>
        <v>0.46006103153962535</v>
      </c>
      <c r="L326" s="291">
        <f t="shared" si="10"/>
        <v>0.44717064502797066</v>
      </c>
      <c r="M326" s="291">
        <f t="shared" si="10"/>
        <v>0.56507882399875742</v>
      </c>
      <c r="N326" s="291">
        <f t="shared" si="10"/>
        <v>0.54859624922839423</v>
      </c>
      <c r="O326" s="291">
        <f t="shared" si="10"/>
        <v>0.4512774090037695</v>
      </c>
      <c r="P326" s="291">
        <f t="shared" si="10"/>
        <v>0.42215280376833531</v>
      </c>
      <c r="Q326" s="291">
        <f t="shared" si="10"/>
        <v>0.51488718930723187</v>
      </c>
      <c r="R326" s="291">
        <f t="shared" si="10"/>
        <v>0.66141200540095546</v>
      </c>
      <c r="S326" s="291">
        <f t="shared" si="10"/>
        <v>0.74682947845915637</v>
      </c>
      <c r="T326" s="291">
        <f t="shared" si="10"/>
        <v>0.79355195415449908</v>
      </c>
      <c r="U326" s="291">
        <f t="shared" si="10"/>
        <v>0.75231549585779656</v>
      </c>
      <c r="V326" s="291">
        <f t="shared" si="10"/>
        <v>0.69929486460373735</v>
      </c>
      <c r="W326" s="291">
        <f t="shared" si="10"/>
        <v>0.48393373188977284</v>
      </c>
      <c r="X326" s="291">
        <f t="shared" si="10"/>
        <v>0.54740428350686665</v>
      </c>
      <c r="Y326" s="291">
        <f t="shared" si="10"/>
        <v>0.48393189248839513</v>
      </c>
      <c r="Z326" s="291">
        <f t="shared" si="10"/>
        <v>0.40518030260196813</v>
      </c>
      <c r="AA326" s="291">
        <f t="shared" si="10"/>
        <v>0.38648303936043821</v>
      </c>
      <c r="AB326" s="291">
        <f t="shared" si="10"/>
        <v>0.3859840989487508</v>
      </c>
      <c r="AC326" s="291">
        <f t="shared" si="10"/>
        <v>0.48190654732071042</v>
      </c>
      <c r="AD326" s="291">
        <f t="shared" si="10"/>
        <v>0.55540394982825425</v>
      </c>
      <c r="AE326" s="291">
        <f t="shared" si="10"/>
        <v>0.57051656547385332</v>
      </c>
      <c r="AF326" s="291">
        <f t="shared" si="10"/>
        <v>0.69311428400905706</v>
      </c>
      <c r="AG326" s="291">
        <f t="shared" si="10"/>
        <v>0.78418005366125609</v>
      </c>
      <c r="AH326" s="291">
        <f t="shared" si="10"/>
        <v>0.95775756085749453</v>
      </c>
      <c r="AI326" s="291">
        <f t="shared" si="10"/>
        <v>0.98825517128334317</v>
      </c>
      <c r="AJ326" s="327">
        <f t="shared" si="2"/>
        <v>0.98825517128334317</v>
      </c>
    </row>
    <row r="327" spans="2:36">
      <c r="B327" s="72" t="s">
        <v>549</v>
      </c>
      <c r="C327" s="72" t="s">
        <v>550</v>
      </c>
      <c r="D327" s="291">
        <f t="shared" si="0"/>
        <v>0.58836211905174518</v>
      </c>
      <c r="E327" s="291">
        <f t="shared" si="10"/>
        <v>0.67497023830749825</v>
      </c>
      <c r="F327" s="291">
        <f t="shared" si="10"/>
        <v>0.67913378986613693</v>
      </c>
      <c r="G327" s="291">
        <f t="shared" si="10"/>
        <v>0.66561958194585091</v>
      </c>
      <c r="H327" s="291">
        <f t="shared" si="10"/>
        <v>0.70921865047835553</v>
      </c>
      <c r="I327" s="291">
        <f t="shared" si="10"/>
        <v>0.65674195747047981</v>
      </c>
      <c r="J327" s="291">
        <f t="shared" si="10"/>
        <v>0.38253010428153528</v>
      </c>
      <c r="K327" s="291">
        <f t="shared" si="10"/>
        <v>0.37287329247239953</v>
      </c>
      <c r="L327" s="291">
        <f t="shared" si="10"/>
        <v>0.31138608904013532</v>
      </c>
      <c r="M327" s="291">
        <f t="shared" si="10"/>
        <v>0.35385334751719782</v>
      </c>
      <c r="N327" s="291">
        <f t="shared" si="10"/>
        <v>0.35332294205923581</v>
      </c>
      <c r="O327" s="291">
        <f t="shared" si="10"/>
        <v>0.34108031014390805</v>
      </c>
      <c r="P327" s="291">
        <f t="shared" si="10"/>
        <v>0.35732855245766365</v>
      </c>
      <c r="Q327" s="291">
        <f t="shared" si="10"/>
        <v>0.39770280125821783</v>
      </c>
      <c r="R327" s="291">
        <f t="shared" si="10"/>
        <v>0.37048189682854415</v>
      </c>
      <c r="S327" s="291">
        <f t="shared" si="10"/>
        <v>0.38694150972026864</v>
      </c>
      <c r="T327" s="291">
        <f t="shared" si="10"/>
        <v>0.40398398476740882</v>
      </c>
      <c r="U327" s="291">
        <f t="shared" si="10"/>
        <v>0.39347902403520568</v>
      </c>
      <c r="V327" s="291">
        <f t="shared" si="10"/>
        <v>0.29609454467818003</v>
      </c>
      <c r="W327" s="291">
        <f t="shared" si="10"/>
        <v>0.32546512091477448</v>
      </c>
      <c r="X327" s="291">
        <f t="shared" si="10"/>
        <v>0.44339171880808814</v>
      </c>
      <c r="Y327" s="291">
        <f t="shared" si="10"/>
        <v>0.42014090520928554</v>
      </c>
      <c r="Z327" s="291">
        <f t="shared" si="10"/>
        <v>0.39819252206893724</v>
      </c>
      <c r="AA327" s="291">
        <f t="shared" si="10"/>
        <v>0.38236220694495504</v>
      </c>
      <c r="AB327" s="291">
        <f t="shared" si="10"/>
        <v>0.40136032655766057</v>
      </c>
      <c r="AC327" s="291">
        <f t="shared" si="10"/>
        <v>0.46908204066383069</v>
      </c>
      <c r="AD327" s="291">
        <f t="shared" si="10"/>
        <v>0.52486735765298798</v>
      </c>
      <c r="AE327" s="291">
        <f t="shared" si="10"/>
        <v>0.48612331638927747</v>
      </c>
      <c r="AF327" s="291">
        <f t="shared" si="10"/>
        <v>0.61517348300491903</v>
      </c>
      <c r="AG327" s="291">
        <f t="shared" si="10"/>
        <v>0.53669147594230604</v>
      </c>
      <c r="AH327" s="291">
        <f t="shared" si="10"/>
        <v>0.5991807412147544</v>
      </c>
      <c r="AI327" s="291">
        <f t="shared" si="10"/>
        <v>0.71117345831411583</v>
      </c>
      <c r="AJ327" s="327">
        <f t="shared" si="2"/>
        <v>0.71117345831411583</v>
      </c>
    </row>
    <row r="328" spans="2:36">
      <c r="B328" s="72" t="s">
        <v>551</v>
      </c>
      <c r="C328" s="72" t="s">
        <v>552</v>
      </c>
      <c r="D328" s="291">
        <f t="shared" si="0"/>
        <v>0.71096961202636144</v>
      </c>
      <c r="E328" s="291">
        <f t="shared" si="10"/>
        <v>0.70427563271082583</v>
      </c>
      <c r="F328" s="291">
        <f t="shared" si="10"/>
        <v>0.72779820549106888</v>
      </c>
      <c r="G328" s="291">
        <f t="shared" si="10"/>
        <v>0.6583233191577772</v>
      </c>
      <c r="H328" s="291">
        <f t="shared" si="10"/>
        <v>0.71217419806330973</v>
      </c>
      <c r="I328" s="291">
        <f t="shared" si="10"/>
        <v>0.68504674357714845</v>
      </c>
      <c r="J328" s="291">
        <f t="shared" si="10"/>
        <v>0.64203547390878313</v>
      </c>
      <c r="K328" s="291">
        <f t="shared" si="10"/>
        <v>0.72323109519454365</v>
      </c>
      <c r="L328" s="291">
        <f t="shared" si="10"/>
        <v>0.45585793439472549</v>
      </c>
      <c r="M328" s="291">
        <f t="shared" si="10"/>
        <v>0.4515110901301026</v>
      </c>
      <c r="N328" s="291">
        <f t="shared" si="10"/>
        <v>0.40529351698812177</v>
      </c>
      <c r="O328" s="291">
        <f t="shared" si="10"/>
        <v>0.22134819868925404</v>
      </c>
      <c r="P328" s="291">
        <f t="shared" si="10"/>
        <v>0.21969508115132164</v>
      </c>
      <c r="Q328" s="291">
        <f t="shared" si="10"/>
        <v>0.26492061057400657</v>
      </c>
      <c r="R328" s="291">
        <f t="shared" si="10"/>
        <v>0.22499770021255863</v>
      </c>
      <c r="S328" s="291">
        <f t="shared" si="10"/>
        <v>0.27752542996760027</v>
      </c>
      <c r="T328" s="291">
        <f t="shared" si="10"/>
        <v>0.22874156922893776</v>
      </c>
      <c r="U328" s="291">
        <f t="shared" si="10"/>
        <v>0.23942521193709623</v>
      </c>
      <c r="V328" s="291">
        <f t="shared" si="10"/>
        <v>0.27073473485735533</v>
      </c>
      <c r="W328" s="291">
        <f t="shared" si="10"/>
        <v>0.26936268296039922</v>
      </c>
      <c r="X328" s="291">
        <f t="shared" si="10"/>
        <v>0.26364594665561181</v>
      </c>
      <c r="Y328" s="291">
        <f t="shared" si="10"/>
        <v>0.2835534075711062</v>
      </c>
      <c r="Z328" s="291">
        <f t="shared" si="10"/>
        <v>0.2848219044695034</v>
      </c>
      <c r="AA328" s="291">
        <f t="shared" si="10"/>
        <v>0.30745021339744882</v>
      </c>
      <c r="AB328" s="291">
        <f t="shared" si="10"/>
        <v>0.31632526790561871</v>
      </c>
      <c r="AC328" s="291">
        <f t="shared" si="10"/>
        <v>0.32902795110933863</v>
      </c>
      <c r="AD328" s="291">
        <f t="shared" si="10"/>
        <v>0.33772757745580273</v>
      </c>
      <c r="AE328" s="291">
        <f t="shared" si="10"/>
        <v>0.34490904703851383</v>
      </c>
      <c r="AF328" s="291">
        <f t="shared" si="10"/>
        <v>0.40830660506167504</v>
      </c>
      <c r="AG328" s="291">
        <f t="shared" si="10"/>
        <v>0.4576533119456091</v>
      </c>
      <c r="AH328" s="291">
        <f t="shared" si="10"/>
        <v>0.44416982792525833</v>
      </c>
      <c r="AI328" s="291">
        <f t="shared" si="10"/>
        <v>0.441017539794967</v>
      </c>
      <c r="AJ328" s="327">
        <f t="shared" si="2"/>
        <v>0.441017539794967</v>
      </c>
    </row>
    <row r="329" spans="2:36">
      <c r="B329" s="72" t="s">
        <v>553</v>
      </c>
      <c r="C329" s="72" t="s">
        <v>554</v>
      </c>
      <c r="D329" s="291">
        <f t="shared" si="0"/>
        <v>0.79402502490396354</v>
      </c>
      <c r="E329" s="291">
        <f t="shared" si="10"/>
        <v>0.72815460538349686</v>
      </c>
      <c r="F329" s="291">
        <f t="shared" si="10"/>
        <v>0.70317616136133887</v>
      </c>
      <c r="G329" s="291">
        <f t="shared" si="10"/>
        <v>0.69831813793420228</v>
      </c>
      <c r="H329" s="291">
        <f t="shared" si="10"/>
        <v>0.7066517520437835</v>
      </c>
      <c r="I329" s="291">
        <f t="shared" si="10"/>
        <v>0.6781252847796212</v>
      </c>
      <c r="J329" s="291">
        <f t="shared" si="10"/>
        <v>0.69748179042313174</v>
      </c>
      <c r="K329" s="291">
        <f t="shared" si="10"/>
        <v>0.69275808367597458</v>
      </c>
      <c r="L329" s="291">
        <f t="shared" si="10"/>
        <v>0.6247217179575818</v>
      </c>
      <c r="M329" s="291">
        <f t="shared" si="10"/>
        <v>0.61952862561015554</v>
      </c>
      <c r="N329" s="291">
        <f t="shared" si="10"/>
        <v>0.63258337138941489</v>
      </c>
      <c r="O329" s="291">
        <f t="shared" si="10"/>
        <v>0.55521730797480173</v>
      </c>
      <c r="P329" s="291">
        <f t="shared" si="10"/>
        <v>0.38438003734838699</v>
      </c>
      <c r="Q329" s="291">
        <f t="shared" si="10"/>
        <v>0.43993010885340023</v>
      </c>
      <c r="R329" s="291">
        <f t="shared" si="10"/>
        <v>0.3406143915278847</v>
      </c>
      <c r="S329" s="291">
        <f t="shared" si="10"/>
        <v>0.38110571120468356</v>
      </c>
      <c r="T329" s="291">
        <f t="shared" si="10"/>
        <v>0.37091658680760403</v>
      </c>
      <c r="U329" s="291">
        <f t="shared" si="10"/>
        <v>0.31184613905456077</v>
      </c>
      <c r="V329" s="291">
        <f t="shared" si="10"/>
        <v>0.31970922393713491</v>
      </c>
      <c r="W329" s="291">
        <f t="shared" si="10"/>
        <v>0.31915730232281064</v>
      </c>
      <c r="X329" s="291">
        <f t="shared" si="10"/>
        <v>0.29149011815212761</v>
      </c>
      <c r="Y329" s="291">
        <f t="shared" si="10"/>
        <v>0.30714414287225017</v>
      </c>
      <c r="Z329" s="291">
        <f t="shared" si="10"/>
        <v>0.32375086555770272</v>
      </c>
      <c r="AA329" s="291">
        <f t="shared" si="10"/>
        <v>0.3425102953495871</v>
      </c>
      <c r="AB329" s="291">
        <f t="shared" si="10"/>
        <v>0.34413848880851849</v>
      </c>
      <c r="AC329" s="291">
        <f t="shared" si="10"/>
        <v>0.32817944370029023</v>
      </c>
      <c r="AD329" s="291">
        <f t="shared" si="10"/>
        <v>0.31921367390549488</v>
      </c>
      <c r="AE329" s="291">
        <f t="shared" si="10"/>
        <v>0.30939881005386788</v>
      </c>
      <c r="AF329" s="291">
        <f t="shared" si="10"/>
        <v>0.38169829826652729</v>
      </c>
      <c r="AG329" s="291">
        <f t="shared" si="10"/>
        <v>0.42594008632831692</v>
      </c>
      <c r="AH329" s="291">
        <f t="shared" si="10"/>
        <v>0.41480068176642459</v>
      </c>
      <c r="AI329" s="291">
        <f t="shared" si="10"/>
        <v>0.42163354779385098</v>
      </c>
      <c r="AJ329" s="327">
        <f t="shared" si="2"/>
        <v>0.42163354779385098</v>
      </c>
    </row>
    <row r="330" spans="2:36">
      <c r="B330" s="72" t="s">
        <v>555</v>
      </c>
      <c r="C330" s="72" t="s">
        <v>556</v>
      </c>
      <c r="D330" s="291">
        <f t="shared" si="0"/>
        <v>0.67107941832767615</v>
      </c>
      <c r="E330" s="291">
        <f t="shared" si="10"/>
        <v>0.65451127980388546</v>
      </c>
      <c r="F330" s="291">
        <f t="shared" si="10"/>
        <v>0.74073398738496898</v>
      </c>
      <c r="G330" s="291">
        <f t="shared" si="10"/>
        <v>0.83393940470882366</v>
      </c>
      <c r="H330" s="291">
        <f t="shared" si="10"/>
        <v>0.82694393862187565</v>
      </c>
      <c r="I330" s="291">
        <f t="shared" si="10"/>
        <v>0.84390627310150368</v>
      </c>
      <c r="J330" s="291">
        <f t="shared" si="10"/>
        <v>0.72305023947041291</v>
      </c>
      <c r="K330" s="291">
        <f t="shared" si="10"/>
        <v>0.54940214738802984</v>
      </c>
      <c r="L330" s="291">
        <f t="shared" si="10"/>
        <v>0.4324807690785083</v>
      </c>
      <c r="M330" s="291">
        <f t="shared" si="10"/>
        <v>0.44493972439180374</v>
      </c>
      <c r="N330" s="291">
        <f t="shared" si="10"/>
        <v>0.37397895410725329</v>
      </c>
      <c r="O330" s="291">
        <f t="shared" si="10"/>
        <v>0.34782046480076717</v>
      </c>
      <c r="P330" s="291">
        <f t="shared" si="10"/>
        <v>0.3102190463907471</v>
      </c>
      <c r="Q330" s="291">
        <f t="shared" si="10"/>
        <v>0.32619065632192851</v>
      </c>
      <c r="R330" s="291">
        <f t="shared" si="10"/>
        <v>0.32262488507169951</v>
      </c>
      <c r="S330" s="291">
        <f t="shared" si="10"/>
        <v>0.35700890045516132</v>
      </c>
      <c r="T330" s="291">
        <f t="shared" si="10"/>
        <v>0.33505635421550689</v>
      </c>
      <c r="U330" s="291">
        <f t="shared" si="10"/>
        <v>0.36003564602209093</v>
      </c>
      <c r="V330" s="291">
        <f t="shared" si="10"/>
        <v>0.30313079740889964</v>
      </c>
      <c r="W330" s="291">
        <f t="shared" si="10"/>
        <v>0.27619560513048985</v>
      </c>
      <c r="X330" s="291">
        <f t="shared" si="10"/>
        <v>0.30929287280478257</v>
      </c>
      <c r="Y330" s="291">
        <f t="shared" si="10"/>
        <v>0.31118554898732265</v>
      </c>
      <c r="Z330" s="291">
        <f t="shared" si="10"/>
        <v>0.26670136870441008</v>
      </c>
      <c r="AA330" s="291">
        <f t="shared" si="10"/>
        <v>0.23137417230549526</v>
      </c>
      <c r="AB330" s="291">
        <f t="shared" si="10"/>
        <v>0.22964719375667272</v>
      </c>
      <c r="AC330" s="291">
        <f t="shared" si="10"/>
        <v>0.27414245645737523</v>
      </c>
      <c r="AD330" s="291">
        <f t="shared" si="10"/>
        <v>0.27963528144061689</v>
      </c>
      <c r="AE330" s="291">
        <f t="shared" si="10"/>
        <v>0.24721107973400341</v>
      </c>
      <c r="AF330" s="291">
        <f t="shared" si="10"/>
        <v>0.30525802054612039</v>
      </c>
      <c r="AG330" s="291">
        <f t="shared" si="10"/>
        <v>0.37977478686571703</v>
      </c>
      <c r="AH330" s="291">
        <f t="shared" si="10"/>
        <v>0.40607549825988865</v>
      </c>
      <c r="AI330" s="291">
        <f t="shared" si="10"/>
        <v>0.41024175556247511</v>
      </c>
      <c r="AJ330" s="327">
        <f t="shared" si="2"/>
        <v>0.41024175556247511</v>
      </c>
    </row>
    <row r="331" spans="2:36">
      <c r="B331" s="72" t="s">
        <v>557</v>
      </c>
      <c r="C331" s="72" t="s">
        <v>558</v>
      </c>
      <c r="D331" s="291">
        <f t="shared" si="0"/>
        <v>0</v>
      </c>
      <c r="E331" s="291">
        <f t="shared" si="10"/>
        <v>0</v>
      </c>
      <c r="F331" s="291">
        <f t="shared" si="10"/>
        <v>0</v>
      </c>
      <c r="G331" s="291">
        <f t="shared" si="10"/>
        <v>0</v>
      </c>
      <c r="H331" s="291">
        <f t="shared" si="10"/>
        <v>0</v>
      </c>
      <c r="I331" s="291">
        <f t="shared" si="10"/>
        <v>0</v>
      </c>
      <c r="J331" s="291">
        <f t="shared" si="10"/>
        <v>0</v>
      </c>
      <c r="K331" s="291">
        <f t="shared" si="10"/>
        <v>0</v>
      </c>
      <c r="L331" s="291">
        <f t="shared" si="10"/>
        <v>0</v>
      </c>
      <c r="M331" s="291">
        <f t="shared" si="10"/>
        <v>0</v>
      </c>
      <c r="N331" s="291">
        <f t="shared" si="10"/>
        <v>0</v>
      </c>
      <c r="O331" s="291">
        <f t="shared" si="10"/>
        <v>0</v>
      </c>
      <c r="P331" s="291">
        <f t="shared" si="10"/>
        <v>0</v>
      </c>
      <c r="Q331" s="291">
        <f t="shared" si="10"/>
        <v>0.43334910766305895</v>
      </c>
      <c r="R331" s="291">
        <f t="shared" si="10"/>
        <v>0.42236549082039809</v>
      </c>
      <c r="S331" s="291">
        <f t="shared" si="10"/>
        <v>0.46086249304560761</v>
      </c>
      <c r="T331" s="291">
        <f t="shared" si="10"/>
        <v>0.44283641703448484</v>
      </c>
      <c r="U331" s="291">
        <f t="shared" si="10"/>
        <v>0.3888894152084012</v>
      </c>
      <c r="V331" s="291">
        <f t="shared" si="10"/>
        <v>0.32218334909882757</v>
      </c>
      <c r="W331" s="291">
        <f t="shared" si="10"/>
        <v>0.32372403968382968</v>
      </c>
      <c r="X331" s="291">
        <f t="shared" si="10"/>
        <v>0.33209072742111895</v>
      </c>
      <c r="Y331" s="291">
        <f t="shared" si="10"/>
        <v>0.34921607773427399</v>
      </c>
      <c r="Z331" s="291">
        <f t="shared" si="10"/>
        <v>0.33248957316931549</v>
      </c>
      <c r="AA331" s="291">
        <f t="shared" si="10"/>
        <v>0.29338769925203217</v>
      </c>
      <c r="AB331" s="291">
        <f t="shared" si="10"/>
        <v>0.26774250234590236</v>
      </c>
      <c r="AC331" s="291">
        <f t="shared" si="10"/>
        <v>0.27009426918914697</v>
      </c>
      <c r="AD331" s="291">
        <f t="shared" si="10"/>
        <v>0.27358056326450708</v>
      </c>
      <c r="AE331" s="291">
        <f t="shared" si="10"/>
        <v>0.25611380335683587</v>
      </c>
      <c r="AF331" s="291">
        <f t="shared" si="10"/>
        <v>0.3037343069451221</v>
      </c>
      <c r="AG331" s="291">
        <f t="shared" si="10"/>
        <v>0.35047924236772249</v>
      </c>
      <c r="AH331" s="291">
        <f t="shared" si="10"/>
        <v>0.35527313468083699</v>
      </c>
      <c r="AI331" s="291">
        <f t="shared" si="10"/>
        <v>0.34732758533904706</v>
      </c>
      <c r="AJ331" s="327">
        <f t="shared" si="2"/>
        <v>0.34732758533904706</v>
      </c>
    </row>
    <row r="332" spans="2:36">
      <c r="B332" s="72" t="s">
        <v>559</v>
      </c>
      <c r="C332" s="72" t="s">
        <v>560</v>
      </c>
      <c r="D332" s="291">
        <f t="shared" ref="D332:D395" si="11">D80/D$250</f>
        <v>0.67148643969969402</v>
      </c>
      <c r="E332" s="291">
        <f t="shared" si="10"/>
        <v>0.67457379782929616</v>
      </c>
      <c r="F332" s="291">
        <f t="shared" si="10"/>
        <v>0.64437544236856215</v>
      </c>
      <c r="G332" s="291">
        <f t="shared" si="10"/>
        <v>0.66404659215960093</v>
      </c>
      <c r="H332" s="291">
        <f t="shared" si="10"/>
        <v>0.71147629767806864</v>
      </c>
      <c r="I332" s="291">
        <f t="shared" si="10"/>
        <v>0.67333735489080926</v>
      </c>
      <c r="J332" s="291">
        <f t="shared" si="10"/>
        <v>0.69588175848355893</v>
      </c>
      <c r="K332" s="291">
        <f t="shared" si="10"/>
        <v>0.70134383170459069</v>
      </c>
      <c r="L332" s="291">
        <f t="shared" si="10"/>
        <v>0.66779373533005426</v>
      </c>
      <c r="M332" s="291">
        <f t="shared" si="10"/>
        <v>0.61449109026330118</v>
      </c>
      <c r="N332" s="291">
        <f t="shared" si="10"/>
        <v>0.56076540830295019</v>
      </c>
      <c r="O332" s="291">
        <f t="shared" si="10"/>
        <v>0.61557741088170725</v>
      </c>
      <c r="P332" s="291">
        <f t="shared" si="10"/>
        <v>0.56539601534685868</v>
      </c>
      <c r="Q332" s="291">
        <f t="shared" si="10"/>
        <v>0.7889482514275209</v>
      </c>
      <c r="R332" s="291">
        <f t="shared" si="10"/>
        <v>0.53215172008619194</v>
      </c>
      <c r="S332" s="291">
        <f t="shared" si="10"/>
        <v>0.45969900450927348</v>
      </c>
      <c r="T332" s="291">
        <f t="shared" si="10"/>
        <v>0.4849563343877582</v>
      </c>
      <c r="U332" s="291">
        <f t="shared" si="10"/>
        <v>0.44069605409190282</v>
      </c>
      <c r="V332" s="291">
        <f t="shared" si="10"/>
        <v>0.39414614496477518</v>
      </c>
      <c r="W332" s="291">
        <f t="shared" si="10"/>
        <v>0.41015918004717727</v>
      </c>
      <c r="X332" s="291">
        <f t="shared" si="10"/>
        <v>0.3744179895885289</v>
      </c>
      <c r="Y332" s="291">
        <f t="shared" si="10"/>
        <v>0.38759763870367436</v>
      </c>
      <c r="Z332" s="291">
        <f t="shared" si="10"/>
        <v>0.39716672836260541</v>
      </c>
      <c r="AA332" s="291">
        <f t="shared" si="10"/>
        <v>0.42089319317366297</v>
      </c>
      <c r="AB332" s="291">
        <f t="shared" si="10"/>
        <v>0.41304535615462501</v>
      </c>
      <c r="AC332" s="291">
        <f t="shared" si="10"/>
        <v>0.41142413458103444</v>
      </c>
      <c r="AD332" s="291">
        <f t="shared" si="10"/>
        <v>0.41871932011941482</v>
      </c>
      <c r="AE332" s="291">
        <f t="shared" si="10"/>
        <v>0.40044595808923467</v>
      </c>
      <c r="AF332" s="291">
        <f t="shared" si="10"/>
        <v>0.47897723652917068</v>
      </c>
      <c r="AG332" s="291">
        <f t="shared" si="10"/>
        <v>0.50465168652785075</v>
      </c>
      <c r="AH332" s="291">
        <f t="shared" si="10"/>
        <v>0.49250321557583576</v>
      </c>
      <c r="AI332" s="291">
        <f t="shared" si="10"/>
        <v>0.48785520350859601</v>
      </c>
      <c r="AJ332" s="327">
        <f t="shared" ref="AJ332:AJ395" si="12">AJ80/AJ$250</f>
        <v>0.48785520350859601</v>
      </c>
    </row>
    <row r="333" spans="2:36">
      <c r="B333" s="72" t="s">
        <v>561</v>
      </c>
      <c r="C333" s="72" t="s">
        <v>336</v>
      </c>
      <c r="D333" s="291">
        <f t="shared" si="11"/>
        <v>0.86180515802986923</v>
      </c>
      <c r="E333" s="291">
        <f t="shared" ref="E333:S333" si="13">E81/E$250</f>
        <v>0.96665408448887047</v>
      </c>
      <c r="F333" s="291">
        <f t="shared" si="13"/>
        <v>1.0913879396468653</v>
      </c>
      <c r="G333" s="291">
        <f t="shared" si="13"/>
        <v>1.2584597951364709</v>
      </c>
      <c r="H333" s="291">
        <f t="shared" si="13"/>
        <v>1.3475257553219491</v>
      </c>
      <c r="I333" s="291">
        <f t="shared" si="13"/>
        <v>1.2904070973418331</v>
      </c>
      <c r="J333" s="291">
        <f t="shared" si="13"/>
        <v>1.106036900088976</v>
      </c>
      <c r="K333" s="291">
        <f t="shared" si="13"/>
        <v>1.0322387544147524</v>
      </c>
      <c r="L333" s="291">
        <f t="shared" si="13"/>
        <v>1.0046193703639315</v>
      </c>
      <c r="M333" s="291">
        <f t="shared" si="13"/>
        <v>1.1058247522561355</v>
      </c>
      <c r="N333" s="291">
        <f t="shared" si="13"/>
        <v>0.99028954936426883</v>
      </c>
      <c r="O333" s="291">
        <f t="shared" si="13"/>
        <v>0.98191273986571603</v>
      </c>
      <c r="P333" s="291">
        <f t="shared" si="13"/>
        <v>0.91332657138772499</v>
      </c>
      <c r="Q333" s="291">
        <f t="shared" si="13"/>
        <v>0.98738731481256514</v>
      </c>
      <c r="R333" s="291">
        <f t="shared" si="13"/>
        <v>0.91015484631866639</v>
      </c>
      <c r="S333" s="291">
        <f t="shared" si="13"/>
        <v>0.87467234610363587</v>
      </c>
      <c r="T333" s="291">
        <f t="shared" si="10"/>
        <v>0.88800537822769554</v>
      </c>
      <c r="U333" s="291">
        <f t="shared" si="10"/>
        <v>0.83721973026412622</v>
      </c>
      <c r="V333" s="291">
        <f t="shared" si="10"/>
        <v>0.74898090555048324</v>
      </c>
      <c r="W333" s="291">
        <f t="shared" si="10"/>
        <v>0.75909041092876006</v>
      </c>
      <c r="X333" s="291">
        <f t="shared" si="10"/>
        <v>0.86183110106570726</v>
      </c>
      <c r="Y333" s="291">
        <f t="shared" si="10"/>
        <v>0.87165272281025441</v>
      </c>
      <c r="Z333" s="291">
        <f t="shared" si="10"/>
        <v>0.83275618050897771</v>
      </c>
      <c r="AA333" s="291">
        <f t="shared" si="10"/>
        <v>0.83654978324651419</v>
      </c>
      <c r="AB333" s="291">
        <f t="shared" si="10"/>
        <v>0.81690826441926612</v>
      </c>
      <c r="AC333" s="291">
        <f t="shared" si="10"/>
        <v>0.86588559270676013</v>
      </c>
      <c r="AD333" s="291">
        <f t="shared" si="10"/>
        <v>0.92232283390400749</v>
      </c>
      <c r="AE333" s="291">
        <f t="shared" si="10"/>
        <v>0.87323148296040798</v>
      </c>
      <c r="AF333" s="291">
        <f t="shared" si="10"/>
        <v>0.96686816338569737</v>
      </c>
      <c r="AG333" s="291">
        <f t="shared" si="10"/>
        <v>1.0217534909267416</v>
      </c>
      <c r="AH333" s="291">
        <f t="shared" si="10"/>
        <v>1.1527305144701487</v>
      </c>
      <c r="AI333" s="291">
        <f t="shared" si="10"/>
        <v>1.1390883862565537</v>
      </c>
      <c r="AJ333" s="327">
        <f t="shared" si="12"/>
        <v>1.1390883862565537</v>
      </c>
    </row>
    <row r="334" spans="2:36">
      <c r="B334" s="72" t="s">
        <v>562</v>
      </c>
      <c r="C334" s="72" t="s">
        <v>563</v>
      </c>
      <c r="D334" s="291">
        <f t="shared" si="11"/>
        <v>0.86943306987024471</v>
      </c>
      <c r="E334" s="291">
        <f t="shared" si="10"/>
        <v>0.81609463465098353</v>
      </c>
      <c r="F334" s="291">
        <f t="shared" si="10"/>
        <v>0.85710136938953829</v>
      </c>
      <c r="G334" s="291">
        <f t="shared" si="10"/>
        <v>0.84188290315099268</v>
      </c>
      <c r="H334" s="291">
        <f t="shared" si="10"/>
        <v>0.84259857103386404</v>
      </c>
      <c r="I334" s="291">
        <f t="shared" si="10"/>
        <v>0.7923075011571924</v>
      </c>
      <c r="J334" s="291">
        <f t="shared" si="10"/>
        <v>0.90253807904508521</v>
      </c>
      <c r="K334" s="291">
        <f t="shared" si="10"/>
        <v>0.90905482253758463</v>
      </c>
      <c r="L334" s="291">
        <f t="shared" si="10"/>
        <v>0.83275800999848237</v>
      </c>
      <c r="M334" s="291">
        <f t="shared" si="10"/>
        <v>0.80773959069310219</v>
      </c>
      <c r="N334" s="291">
        <f t="shared" si="10"/>
        <v>0.78790835143276849</v>
      </c>
      <c r="O334" s="291">
        <f t="shared" si="10"/>
        <v>0.76683374808559313</v>
      </c>
      <c r="P334" s="291">
        <f t="shared" si="10"/>
        <v>0.80701025201795629</v>
      </c>
      <c r="Q334" s="291">
        <f t="shared" si="10"/>
        <v>1.1746466649175111</v>
      </c>
      <c r="R334" s="291">
        <f t="shared" si="10"/>
        <v>0.87901432621011888</v>
      </c>
      <c r="S334" s="291">
        <f t="shared" si="10"/>
        <v>0.92310992891023702</v>
      </c>
      <c r="T334" s="291">
        <f t="shared" si="10"/>
        <v>0.88616400882330004</v>
      </c>
      <c r="U334" s="291">
        <f t="shared" si="10"/>
        <v>0.76002758688003169</v>
      </c>
      <c r="V334" s="291">
        <f t="shared" si="10"/>
        <v>0.71595858078510644</v>
      </c>
      <c r="W334" s="291">
        <f t="shared" si="10"/>
        <v>0.72476125540014824</v>
      </c>
      <c r="X334" s="291">
        <f t="shared" si="10"/>
        <v>0.66051319039771617</v>
      </c>
      <c r="Y334" s="291">
        <f t="shared" si="10"/>
        <v>0.67778782572846785</v>
      </c>
      <c r="Z334" s="291">
        <f t="shared" si="10"/>
        <v>0.6700292474750994</v>
      </c>
      <c r="AA334" s="291">
        <f t="shared" si="10"/>
        <v>0.73874553405637167</v>
      </c>
      <c r="AB334" s="291">
        <f t="shared" si="10"/>
        <v>0.70693308993276294</v>
      </c>
      <c r="AC334" s="291">
        <f t="shared" ref="E334:AI342" si="14">AC82/AC$250</f>
        <v>0.67626748864914066</v>
      </c>
      <c r="AD334" s="291">
        <f t="shared" si="14"/>
        <v>0.67930692381130098</v>
      </c>
      <c r="AE334" s="291">
        <f t="shared" si="14"/>
        <v>0.65267131852261284</v>
      </c>
      <c r="AF334" s="291">
        <f t="shared" si="14"/>
        <v>0.7613502186253257</v>
      </c>
      <c r="AG334" s="291">
        <f t="shared" si="14"/>
        <v>0.8648491803283298</v>
      </c>
      <c r="AH334" s="291">
        <f t="shared" si="14"/>
        <v>0.84667182415022724</v>
      </c>
      <c r="AI334" s="291">
        <f t="shared" si="14"/>
        <v>0.84717809092430885</v>
      </c>
      <c r="AJ334" s="327">
        <f t="shared" si="12"/>
        <v>0.84717809092430885</v>
      </c>
    </row>
    <row r="335" spans="2:36">
      <c r="B335" s="72" t="s">
        <v>564</v>
      </c>
      <c r="C335" s="72" t="s">
        <v>565</v>
      </c>
      <c r="D335" s="291">
        <f t="shared" si="11"/>
        <v>0</v>
      </c>
      <c r="E335" s="291">
        <f t="shared" si="14"/>
        <v>0</v>
      </c>
      <c r="F335" s="291">
        <f t="shared" si="14"/>
        <v>0</v>
      </c>
      <c r="G335" s="291">
        <f t="shared" si="14"/>
        <v>0</v>
      </c>
      <c r="H335" s="291">
        <f t="shared" si="14"/>
        <v>0</v>
      </c>
      <c r="I335" s="291">
        <f t="shared" si="14"/>
        <v>0</v>
      </c>
      <c r="J335" s="291">
        <f t="shared" si="14"/>
        <v>0</v>
      </c>
      <c r="K335" s="291">
        <f t="shared" si="14"/>
        <v>0</v>
      </c>
      <c r="L335" s="291">
        <f t="shared" si="14"/>
        <v>0</v>
      </c>
      <c r="M335" s="291">
        <f t="shared" si="14"/>
        <v>0</v>
      </c>
      <c r="N335" s="291">
        <f t="shared" si="14"/>
        <v>0</v>
      </c>
      <c r="O335" s="291">
        <f t="shared" si="14"/>
        <v>0</v>
      </c>
      <c r="P335" s="291">
        <f t="shared" si="14"/>
        <v>0</v>
      </c>
      <c r="Q335" s="291">
        <f t="shared" si="14"/>
        <v>0</v>
      </c>
      <c r="R335" s="291">
        <f t="shared" si="14"/>
        <v>0</v>
      </c>
      <c r="S335" s="291">
        <f t="shared" si="14"/>
        <v>0</v>
      </c>
      <c r="T335" s="291">
        <f t="shared" si="14"/>
        <v>0</v>
      </c>
      <c r="U335" s="291">
        <f t="shared" si="14"/>
        <v>0</v>
      </c>
      <c r="V335" s="291">
        <f t="shared" si="14"/>
        <v>0</v>
      </c>
      <c r="W335" s="291">
        <f t="shared" si="14"/>
        <v>0</v>
      </c>
      <c r="X335" s="291">
        <f t="shared" si="14"/>
        <v>0</v>
      </c>
      <c r="Y335" s="291">
        <f t="shared" si="14"/>
        <v>0</v>
      </c>
      <c r="Z335" s="291">
        <f t="shared" si="14"/>
        <v>0</v>
      </c>
      <c r="AA335" s="291">
        <f t="shared" si="14"/>
        <v>0</v>
      </c>
      <c r="AB335" s="291">
        <f t="shared" si="14"/>
        <v>0</v>
      </c>
      <c r="AC335" s="291">
        <f t="shared" si="14"/>
        <v>0</v>
      </c>
      <c r="AD335" s="291">
        <f t="shared" si="14"/>
        <v>0</v>
      </c>
      <c r="AE335" s="291">
        <f t="shared" si="14"/>
        <v>0</v>
      </c>
      <c r="AF335" s="291">
        <f t="shared" si="14"/>
        <v>0</v>
      </c>
      <c r="AG335" s="291">
        <f t="shared" si="14"/>
        <v>0</v>
      </c>
      <c r="AH335" s="291">
        <f t="shared" si="14"/>
        <v>0</v>
      </c>
      <c r="AI335" s="291">
        <f t="shared" si="14"/>
        <v>0</v>
      </c>
      <c r="AJ335" s="327">
        <f t="shared" si="12"/>
        <v>0</v>
      </c>
    </row>
    <row r="336" spans="2:36">
      <c r="B336" s="72" t="s">
        <v>566</v>
      </c>
      <c r="C336" s="72" t="s">
        <v>567</v>
      </c>
      <c r="D336" s="291">
        <f t="shared" si="11"/>
        <v>0.64230514496975744</v>
      </c>
      <c r="E336" s="291">
        <f t="shared" si="14"/>
        <v>0.59045516958178601</v>
      </c>
      <c r="F336" s="291">
        <f t="shared" si="14"/>
        <v>0.6322863476144821</v>
      </c>
      <c r="G336" s="291">
        <f t="shared" si="14"/>
        <v>0.66181310653919123</v>
      </c>
      <c r="H336" s="291">
        <f t="shared" si="14"/>
        <v>0.63775511347555869</v>
      </c>
      <c r="I336" s="291">
        <f t="shared" si="14"/>
        <v>0.81480105295147331</v>
      </c>
      <c r="J336" s="291">
        <f t="shared" si="14"/>
        <v>0.86253051507449119</v>
      </c>
      <c r="K336" s="291">
        <f t="shared" si="14"/>
        <v>0.83571557475982661</v>
      </c>
      <c r="L336" s="291">
        <f t="shared" si="14"/>
        <v>0.75181772703212491</v>
      </c>
      <c r="M336" s="291">
        <f t="shared" si="14"/>
        <v>0.73867897324121745</v>
      </c>
      <c r="N336" s="291">
        <f t="shared" si="14"/>
        <v>0.7576228380767922</v>
      </c>
      <c r="O336" s="291">
        <f t="shared" si="14"/>
        <v>0.68110792788336394</v>
      </c>
      <c r="P336" s="291">
        <f t="shared" si="14"/>
        <v>0.72182713007925914</v>
      </c>
      <c r="Q336" s="291">
        <f t="shared" si="14"/>
        <v>0.7411579347303372</v>
      </c>
      <c r="R336" s="291">
        <f t="shared" si="14"/>
        <v>0.44784713639931922</v>
      </c>
      <c r="S336" s="291">
        <f t="shared" si="14"/>
        <v>0.51768442254375546</v>
      </c>
      <c r="T336" s="291">
        <f t="shared" si="14"/>
        <v>0.51124155270680172</v>
      </c>
      <c r="U336" s="291">
        <f t="shared" si="14"/>
        <v>0.4290314578836375</v>
      </c>
      <c r="V336" s="291">
        <f t="shared" si="14"/>
        <v>0.41151328144744581</v>
      </c>
      <c r="W336" s="291">
        <f t="shared" si="14"/>
        <v>0.39781493843654958</v>
      </c>
      <c r="X336" s="291">
        <f t="shared" si="14"/>
        <v>0.3811398615782553</v>
      </c>
      <c r="Y336" s="291">
        <f t="shared" si="14"/>
        <v>0.40272898524928319</v>
      </c>
      <c r="Z336" s="291">
        <f t="shared" si="14"/>
        <v>0.40677827996929034</v>
      </c>
      <c r="AA336" s="291">
        <f t="shared" si="14"/>
        <v>0.44308492301750724</v>
      </c>
      <c r="AB336" s="291">
        <f t="shared" si="14"/>
        <v>0.42958644777534827</v>
      </c>
      <c r="AC336" s="291">
        <f t="shared" si="14"/>
        <v>0.4322808229063505</v>
      </c>
      <c r="AD336" s="291">
        <f t="shared" si="14"/>
        <v>0.44108174717836229</v>
      </c>
      <c r="AE336" s="291">
        <f t="shared" si="14"/>
        <v>0.42576345414705363</v>
      </c>
      <c r="AF336" s="291">
        <f t="shared" si="14"/>
        <v>0.51501814628333875</v>
      </c>
      <c r="AG336" s="291">
        <f t="shared" si="14"/>
        <v>0.58159737466117789</v>
      </c>
      <c r="AH336" s="291">
        <f t="shared" si="14"/>
        <v>0.56239023187136961</v>
      </c>
      <c r="AI336" s="291">
        <f t="shared" si="14"/>
        <v>0.55184813517907505</v>
      </c>
      <c r="AJ336" s="327">
        <f t="shared" si="12"/>
        <v>0.55184813517907505</v>
      </c>
    </row>
    <row r="337" spans="2:36">
      <c r="B337" s="72" t="s">
        <v>568</v>
      </c>
      <c r="C337" s="72" t="s">
        <v>569</v>
      </c>
      <c r="D337" s="291">
        <f t="shared" si="11"/>
        <v>0.63507510632094988</v>
      </c>
      <c r="E337" s="291">
        <f t="shared" si="14"/>
        <v>0.55398207945122713</v>
      </c>
      <c r="F337" s="291">
        <f t="shared" si="14"/>
        <v>0.53585778737414569</v>
      </c>
      <c r="G337" s="291">
        <f t="shared" si="14"/>
        <v>0.50489176044076578</v>
      </c>
      <c r="H337" s="291">
        <f t="shared" si="14"/>
        <v>0.59518179427813245</v>
      </c>
      <c r="I337" s="291">
        <f t="shared" si="14"/>
        <v>0.53787149186837868</v>
      </c>
      <c r="J337" s="291">
        <f t="shared" si="14"/>
        <v>0.49067930297454226</v>
      </c>
      <c r="K337" s="291">
        <f t="shared" si="14"/>
        <v>0.46632380799109779</v>
      </c>
      <c r="L337" s="291">
        <f t="shared" si="14"/>
        <v>0.44473596831155809</v>
      </c>
      <c r="M337" s="291">
        <f t="shared" si="14"/>
        <v>0.41544196035182296</v>
      </c>
      <c r="N337" s="291">
        <f t="shared" si="14"/>
        <v>0.45003843692803269</v>
      </c>
      <c r="O337" s="291">
        <f t="shared" si="14"/>
        <v>0.42395997184384576</v>
      </c>
      <c r="P337" s="291">
        <f t="shared" si="14"/>
        <v>0.38215252199332234</v>
      </c>
      <c r="Q337" s="291">
        <f t="shared" si="14"/>
        <v>0.40103364378096235</v>
      </c>
      <c r="R337" s="291">
        <f t="shared" si="14"/>
        <v>0.28336185283927701</v>
      </c>
      <c r="S337" s="291">
        <f t="shared" si="14"/>
        <v>0.32317477198549838</v>
      </c>
      <c r="T337" s="291">
        <f t="shared" si="14"/>
        <v>0.34935696934844124</v>
      </c>
      <c r="U337" s="291">
        <f t="shared" si="14"/>
        <v>0.30015977054021498</v>
      </c>
      <c r="V337" s="291">
        <f t="shared" si="14"/>
        <v>0.30430724229779016</v>
      </c>
      <c r="W337" s="291">
        <f t="shared" si="14"/>
        <v>0.2692658395837807</v>
      </c>
      <c r="X337" s="291">
        <f t="shared" si="14"/>
        <v>0.26293095889164214</v>
      </c>
      <c r="Y337" s="291">
        <f t="shared" si="14"/>
        <v>0.30313864830336923</v>
      </c>
      <c r="Z337" s="291">
        <f t="shared" si="14"/>
        <v>0.30663047138550065</v>
      </c>
      <c r="AA337" s="291">
        <f t="shared" si="14"/>
        <v>0.3240038548167633</v>
      </c>
      <c r="AB337" s="291">
        <f t="shared" si="14"/>
        <v>0.34373346619097039</v>
      </c>
      <c r="AC337" s="291">
        <f t="shared" si="14"/>
        <v>0.34091885080185874</v>
      </c>
      <c r="AD337" s="291">
        <f t="shared" si="14"/>
        <v>0.37989753076950489</v>
      </c>
      <c r="AE337" s="291">
        <f t="shared" si="14"/>
        <v>0.37892497549567317</v>
      </c>
      <c r="AF337" s="291">
        <f t="shared" si="14"/>
        <v>0.4785082094022719</v>
      </c>
      <c r="AG337" s="291">
        <f t="shared" si="14"/>
        <v>0.47189637009237906</v>
      </c>
      <c r="AH337" s="291">
        <f t="shared" si="14"/>
        <v>0.50032365124866762</v>
      </c>
      <c r="AI337" s="291">
        <f t="shared" si="14"/>
        <v>0.49437577373149821</v>
      </c>
      <c r="AJ337" s="327">
        <f t="shared" si="12"/>
        <v>0.49437577373149821</v>
      </c>
    </row>
    <row r="338" spans="2:36">
      <c r="B338" s="72" t="s">
        <v>570</v>
      </c>
      <c r="C338" s="72" t="s">
        <v>384</v>
      </c>
      <c r="D338" s="291">
        <f t="shared" si="11"/>
        <v>0</v>
      </c>
      <c r="E338" s="291">
        <f t="shared" si="14"/>
        <v>0</v>
      </c>
      <c r="F338" s="291">
        <f t="shared" si="14"/>
        <v>0</v>
      </c>
      <c r="G338" s="291">
        <f t="shared" si="14"/>
        <v>0</v>
      </c>
      <c r="H338" s="291">
        <f t="shared" si="14"/>
        <v>0</v>
      </c>
      <c r="I338" s="291">
        <f t="shared" si="14"/>
        <v>0</v>
      </c>
      <c r="J338" s="291">
        <f t="shared" si="14"/>
        <v>0</v>
      </c>
      <c r="K338" s="291">
        <f t="shared" si="14"/>
        <v>0</v>
      </c>
      <c r="L338" s="291">
        <f t="shared" si="14"/>
        <v>0</v>
      </c>
      <c r="M338" s="291">
        <f t="shared" si="14"/>
        <v>0</v>
      </c>
      <c r="N338" s="291">
        <f t="shared" si="14"/>
        <v>0</v>
      </c>
      <c r="O338" s="291">
        <f t="shared" si="14"/>
        <v>0</v>
      </c>
      <c r="P338" s="291">
        <f t="shared" si="14"/>
        <v>0</v>
      </c>
      <c r="Q338" s="291">
        <f t="shared" si="14"/>
        <v>0</v>
      </c>
      <c r="R338" s="291">
        <f t="shared" si="14"/>
        <v>0</v>
      </c>
      <c r="S338" s="291">
        <f t="shared" si="14"/>
        <v>0</v>
      </c>
      <c r="T338" s="291">
        <f t="shared" si="14"/>
        <v>0</v>
      </c>
      <c r="U338" s="291">
        <f t="shared" si="14"/>
        <v>0</v>
      </c>
      <c r="V338" s="291">
        <f t="shared" si="14"/>
        <v>0</v>
      </c>
      <c r="W338" s="291">
        <f t="shared" si="14"/>
        <v>0</v>
      </c>
      <c r="X338" s="291">
        <f t="shared" si="14"/>
        <v>0</v>
      </c>
      <c r="Y338" s="291">
        <f t="shared" si="14"/>
        <v>0</v>
      </c>
      <c r="Z338" s="291">
        <f t="shared" si="14"/>
        <v>0</v>
      </c>
      <c r="AA338" s="291">
        <f t="shared" si="14"/>
        <v>0</v>
      </c>
      <c r="AB338" s="291">
        <f t="shared" si="14"/>
        <v>0</v>
      </c>
      <c r="AC338" s="291">
        <f t="shared" si="14"/>
        <v>0</v>
      </c>
      <c r="AD338" s="291">
        <f t="shared" si="14"/>
        <v>0</v>
      </c>
      <c r="AE338" s="291">
        <f t="shared" si="14"/>
        <v>0</v>
      </c>
      <c r="AF338" s="291">
        <f t="shared" si="14"/>
        <v>0</v>
      </c>
      <c r="AG338" s="291">
        <f t="shared" si="14"/>
        <v>0</v>
      </c>
      <c r="AH338" s="291">
        <f t="shared" si="14"/>
        <v>0</v>
      </c>
      <c r="AI338" s="291">
        <f t="shared" si="14"/>
        <v>0</v>
      </c>
      <c r="AJ338" s="327">
        <f t="shared" si="12"/>
        <v>0</v>
      </c>
    </row>
    <row r="339" spans="2:36">
      <c r="B339" s="72" t="s">
        <v>571</v>
      </c>
      <c r="C339" s="72" t="s">
        <v>572</v>
      </c>
      <c r="D339" s="291">
        <f t="shared" si="11"/>
        <v>0.92067861656871941</v>
      </c>
      <c r="E339" s="291">
        <f t="shared" si="14"/>
        <v>1.080578920320201</v>
      </c>
      <c r="F339" s="291">
        <f t="shared" si="14"/>
        <v>0.96218135479504296</v>
      </c>
      <c r="G339" s="291">
        <f t="shared" si="14"/>
        <v>0.88745729897197134</v>
      </c>
      <c r="H339" s="291">
        <f t="shared" si="14"/>
        <v>0.87114712159591312</v>
      </c>
      <c r="I339" s="291">
        <f t="shared" si="14"/>
        <v>0.68262731812877386</v>
      </c>
      <c r="J339" s="291">
        <f t="shared" si="14"/>
        <v>0.5882945565256289</v>
      </c>
      <c r="K339" s="291">
        <f t="shared" si="14"/>
        <v>0.54869260700486922</v>
      </c>
      <c r="L339" s="291">
        <f t="shared" si="14"/>
        <v>0.51590798436224372</v>
      </c>
      <c r="M339" s="291">
        <f t="shared" si="14"/>
        <v>0.53909239666325315</v>
      </c>
      <c r="N339" s="291">
        <f t="shared" si="14"/>
        <v>0.48948121762489194</v>
      </c>
      <c r="O339" s="291">
        <f t="shared" si="14"/>
        <v>0.48989317255467091</v>
      </c>
      <c r="P339" s="291">
        <f t="shared" si="14"/>
        <v>0.51078652039968919</v>
      </c>
      <c r="Q339" s="291">
        <f t="shared" si="14"/>
        <v>0.57669701564657738</v>
      </c>
      <c r="R339" s="291">
        <f t="shared" si="14"/>
        <v>0.60253918147694419</v>
      </c>
      <c r="S339" s="291">
        <f t="shared" si="14"/>
        <v>0.65884075951294085</v>
      </c>
      <c r="T339" s="291">
        <f t="shared" si="14"/>
        <v>0.64579457440652988</v>
      </c>
      <c r="U339" s="291">
        <f t="shared" si="14"/>
        <v>0.62662843647668387</v>
      </c>
      <c r="V339" s="291">
        <f t="shared" si="14"/>
        <v>0.56037367824813011</v>
      </c>
      <c r="W339" s="291">
        <f t="shared" si="14"/>
        <v>0.5183095806123269</v>
      </c>
      <c r="X339" s="291">
        <f t="shared" si="14"/>
        <v>0.54917770685623046</v>
      </c>
      <c r="Y339" s="291">
        <f t="shared" si="14"/>
        <v>0.50543642961276136</v>
      </c>
      <c r="Z339" s="291">
        <f t="shared" si="14"/>
        <v>0.45810937546014013</v>
      </c>
      <c r="AA339" s="291">
        <f t="shared" si="14"/>
        <v>0.42550380075251343</v>
      </c>
      <c r="AB339" s="291">
        <f t="shared" si="14"/>
        <v>0.45582814928700521</v>
      </c>
      <c r="AC339" s="291">
        <f t="shared" si="14"/>
        <v>0.51537258503744554</v>
      </c>
      <c r="AD339" s="291">
        <f t="shared" si="14"/>
        <v>0.59488659135760957</v>
      </c>
      <c r="AE339" s="291">
        <f t="shared" si="14"/>
        <v>0.54995498993866032</v>
      </c>
      <c r="AF339" s="291">
        <f t="shared" si="14"/>
        <v>0.58347855466357412</v>
      </c>
      <c r="AG339" s="291">
        <f t="shared" si="14"/>
        <v>0.65391787014155001</v>
      </c>
      <c r="AH339" s="291">
        <f t="shared" si="14"/>
        <v>0.76293072729468325</v>
      </c>
      <c r="AI339" s="291">
        <f t="shared" si="14"/>
        <v>0.75952647862773337</v>
      </c>
      <c r="AJ339" s="327">
        <f t="shared" si="12"/>
        <v>0.75952647862773337</v>
      </c>
    </row>
    <row r="340" spans="2:36">
      <c r="B340" s="72" t="s">
        <v>573</v>
      </c>
      <c r="C340" s="72" t="s">
        <v>574</v>
      </c>
      <c r="D340" s="291">
        <f t="shared" si="11"/>
        <v>0.67087136303970951</v>
      </c>
      <c r="E340" s="291">
        <f t="shared" si="14"/>
        <v>0.67858138532706536</v>
      </c>
      <c r="F340" s="291">
        <f t="shared" si="14"/>
        <v>0.69726801098324476</v>
      </c>
      <c r="G340" s="291">
        <f t="shared" si="14"/>
        <v>0.77233159960149655</v>
      </c>
      <c r="H340" s="291">
        <f t="shared" si="14"/>
        <v>0.82308867271867725</v>
      </c>
      <c r="I340" s="291">
        <f t="shared" si="14"/>
        <v>0.84594011245597889</v>
      </c>
      <c r="J340" s="291">
        <f t="shared" si="14"/>
        <v>0.63924179497934752</v>
      </c>
      <c r="K340" s="291">
        <f t="shared" si="14"/>
        <v>0.4427335897173707</v>
      </c>
      <c r="L340" s="291">
        <f t="shared" si="14"/>
        <v>0.39357214470813506</v>
      </c>
      <c r="M340" s="291">
        <f t="shared" si="14"/>
        <v>0.42569240416215587</v>
      </c>
      <c r="N340" s="291">
        <f t="shared" si="14"/>
        <v>0.36426773816032881</v>
      </c>
      <c r="O340" s="291">
        <f t="shared" si="14"/>
        <v>0.33584034056789375</v>
      </c>
      <c r="P340" s="291">
        <f t="shared" si="14"/>
        <v>0.31807987502445939</v>
      </c>
      <c r="Q340" s="291">
        <f t="shared" si="14"/>
        <v>0.33079171813575342</v>
      </c>
      <c r="R340" s="291">
        <f t="shared" si="14"/>
        <v>0.35837448468702304</v>
      </c>
      <c r="S340" s="291">
        <f t="shared" si="14"/>
        <v>0.39634322218389034</v>
      </c>
      <c r="T340" s="291">
        <f t="shared" si="14"/>
        <v>0.42114900778924619</v>
      </c>
      <c r="U340" s="291">
        <f t="shared" si="14"/>
        <v>0.40501443523129205</v>
      </c>
      <c r="V340" s="291">
        <f t="shared" si="14"/>
        <v>0.38598079355680276</v>
      </c>
      <c r="W340" s="291">
        <f t="shared" si="14"/>
        <v>0.38025510752370428</v>
      </c>
      <c r="X340" s="291">
        <f t="shared" si="14"/>
        <v>0.4168145994407117</v>
      </c>
      <c r="Y340" s="291">
        <f t="shared" si="14"/>
        <v>0.44377645449754222</v>
      </c>
      <c r="Z340" s="291">
        <f t="shared" si="14"/>
        <v>0.42122011098318163</v>
      </c>
      <c r="AA340" s="291">
        <f t="shared" si="14"/>
        <v>0.38058196732654254</v>
      </c>
      <c r="AB340" s="291">
        <f t="shared" si="14"/>
        <v>0.3575677738373923</v>
      </c>
      <c r="AC340" s="291">
        <f t="shared" si="14"/>
        <v>0.36373871936661872</v>
      </c>
      <c r="AD340" s="291">
        <f t="shared" si="14"/>
        <v>0.37657657186951626</v>
      </c>
      <c r="AE340" s="291">
        <f t="shared" si="14"/>
        <v>0.36896135168287353</v>
      </c>
      <c r="AF340" s="291">
        <f t="shared" si="14"/>
        <v>0.46004478315954156</v>
      </c>
      <c r="AG340" s="291">
        <f t="shared" si="14"/>
        <v>0.5344672841588477</v>
      </c>
      <c r="AH340" s="291">
        <f t="shared" si="14"/>
        <v>0.57167679334462029</v>
      </c>
      <c r="AI340" s="291">
        <f t="shared" si="14"/>
        <v>0.59203131598419767</v>
      </c>
      <c r="AJ340" s="327">
        <f t="shared" si="12"/>
        <v>0.59203131598419767</v>
      </c>
    </row>
    <row r="341" spans="2:36">
      <c r="B341" s="72" t="s">
        <v>575</v>
      </c>
      <c r="C341" s="72" t="s">
        <v>576</v>
      </c>
      <c r="D341" s="291">
        <f t="shared" si="11"/>
        <v>0.42727991685164746</v>
      </c>
      <c r="E341" s="291">
        <f t="shared" si="14"/>
        <v>0.4726156750799026</v>
      </c>
      <c r="F341" s="291">
        <f t="shared" si="14"/>
        <v>0.53695632192461651</v>
      </c>
      <c r="G341" s="291">
        <f t="shared" si="14"/>
        <v>0.57394487916499981</v>
      </c>
      <c r="H341" s="291">
        <f t="shared" si="14"/>
        <v>0.59757802870170851</v>
      </c>
      <c r="I341" s="291">
        <f t="shared" si="14"/>
        <v>0.51779704712924668</v>
      </c>
      <c r="J341" s="291">
        <f t="shared" si="14"/>
        <v>0.41472895595046277</v>
      </c>
      <c r="K341" s="291">
        <f t="shared" si="14"/>
        <v>0.34883568571385065</v>
      </c>
      <c r="L341" s="291">
        <f t="shared" si="14"/>
        <v>0.31233934310848821</v>
      </c>
      <c r="M341" s="291">
        <f t="shared" si="14"/>
        <v>0.30855669629627491</v>
      </c>
      <c r="N341" s="291">
        <f t="shared" si="14"/>
        <v>0.25368934213812938</v>
      </c>
      <c r="O341" s="291">
        <f t="shared" si="14"/>
        <v>0.24052518044291571</v>
      </c>
      <c r="P341" s="291">
        <f t="shared" si="14"/>
        <v>0.26573115604126069</v>
      </c>
      <c r="Q341" s="291">
        <f t="shared" si="14"/>
        <v>0.33438264545103963</v>
      </c>
      <c r="R341" s="291">
        <f t="shared" si="14"/>
        <v>0.44648129269673026</v>
      </c>
      <c r="S341" s="291">
        <f t="shared" si="14"/>
        <v>0.45271960197707484</v>
      </c>
      <c r="T341" s="291">
        <f t="shared" si="14"/>
        <v>0.46310496159292003</v>
      </c>
      <c r="U341" s="291">
        <f t="shared" si="14"/>
        <v>0.4642803255599251</v>
      </c>
      <c r="V341" s="291">
        <f t="shared" si="14"/>
        <v>0.40905364844639064</v>
      </c>
      <c r="W341" s="291">
        <f t="shared" si="14"/>
        <v>0.37293546441787556</v>
      </c>
      <c r="X341" s="291">
        <f t="shared" si="14"/>
        <v>0.4445572859012959</v>
      </c>
      <c r="Y341" s="291">
        <f t="shared" si="14"/>
        <v>0.44838116751792767</v>
      </c>
      <c r="Z341" s="291">
        <f t="shared" si="14"/>
        <v>0.41164187643587319</v>
      </c>
      <c r="AA341" s="291">
        <f t="shared" si="14"/>
        <v>0.33722761704488685</v>
      </c>
      <c r="AB341" s="291">
        <f t="shared" si="14"/>
        <v>0.34786518527425453</v>
      </c>
      <c r="AC341" s="291">
        <f t="shared" si="14"/>
        <v>0.40291312341857655</v>
      </c>
      <c r="AD341" s="291">
        <f t="shared" si="14"/>
        <v>0.40719490642875511</v>
      </c>
      <c r="AE341" s="291">
        <f t="shared" si="14"/>
        <v>0.42189476219742506</v>
      </c>
      <c r="AF341" s="291">
        <f t="shared" si="14"/>
        <v>0.50603682228252833</v>
      </c>
      <c r="AG341" s="291">
        <f t="shared" si="14"/>
        <v>0.54937664610268144</v>
      </c>
      <c r="AH341" s="291">
        <f t="shared" si="14"/>
        <v>0.64151596111368736</v>
      </c>
      <c r="AI341" s="291">
        <f t="shared" si="14"/>
        <v>0.64673218810138577</v>
      </c>
      <c r="AJ341" s="327">
        <f t="shared" si="12"/>
        <v>0.64673218810138577</v>
      </c>
    </row>
    <row r="342" spans="2:36">
      <c r="B342" s="72" t="s">
        <v>577</v>
      </c>
      <c r="C342" s="72" t="s">
        <v>578</v>
      </c>
      <c r="D342" s="291">
        <f t="shared" si="11"/>
        <v>0.56724307792743411</v>
      </c>
      <c r="E342" s="291">
        <f t="shared" si="14"/>
        <v>0.52463926134498395</v>
      </c>
      <c r="F342" s="291">
        <f t="shared" si="14"/>
        <v>0.494970045098377</v>
      </c>
      <c r="G342" s="291">
        <f t="shared" si="14"/>
        <v>0.53722450769226759</v>
      </c>
      <c r="H342" s="291">
        <f t="shared" si="14"/>
        <v>0.54189251208251632</v>
      </c>
      <c r="I342" s="291">
        <f t="shared" si="14"/>
        <v>0.55259733105876685</v>
      </c>
      <c r="J342" s="291">
        <f t="shared" si="14"/>
        <v>0.65174039672072104</v>
      </c>
      <c r="K342" s="291">
        <f t="shared" si="14"/>
        <v>0.66003120274573723</v>
      </c>
      <c r="L342" s="291">
        <f t="shared" si="14"/>
        <v>0.58674118716704715</v>
      </c>
      <c r="M342" s="291">
        <f t="shared" si="14"/>
        <v>0.58813273759605311</v>
      </c>
      <c r="N342" s="291">
        <f t="shared" si="14"/>
        <v>0.6026805918307887</v>
      </c>
      <c r="O342" s="291">
        <f t="shared" si="14"/>
        <v>0.59555116162627975</v>
      </c>
      <c r="P342" s="291">
        <f t="shared" si="14"/>
        <v>0.57467986261299853</v>
      </c>
      <c r="Q342" s="291">
        <f t="shared" si="14"/>
        <v>0.62839351964004164</v>
      </c>
      <c r="R342" s="291">
        <f t="shared" si="14"/>
        <v>0.45127766917254003</v>
      </c>
      <c r="S342" s="291">
        <f t="shared" si="14"/>
        <v>0.51226591246416653</v>
      </c>
      <c r="T342" s="291">
        <f t="shared" si="14"/>
        <v>0.51272777113449275</v>
      </c>
      <c r="U342" s="291">
        <f t="shared" si="14"/>
        <v>0.4283915067515186</v>
      </c>
      <c r="V342" s="291">
        <f t="shared" si="14"/>
        <v>0.41236184520532365</v>
      </c>
      <c r="W342" s="291">
        <f t="shared" si="14"/>
        <v>0.4170673116964223</v>
      </c>
      <c r="X342" s="291">
        <f t="shared" si="14"/>
        <v>0.40063497487622962</v>
      </c>
      <c r="Y342" s="291">
        <f t="shared" si="14"/>
        <v>0.44092708777409267</v>
      </c>
      <c r="Z342" s="291">
        <f t="shared" si="14"/>
        <v>0.45585104813455396</v>
      </c>
      <c r="AA342" s="291">
        <f t="shared" si="14"/>
        <v>0.50602821482037053</v>
      </c>
      <c r="AB342" s="291">
        <f t="shared" si="14"/>
        <v>0.49787808157393704</v>
      </c>
      <c r="AC342" s="291">
        <f t="shared" si="14"/>
        <v>0.49432229342055373</v>
      </c>
      <c r="AD342" s="291">
        <f t="shared" si="14"/>
        <v>0.49368996921301028</v>
      </c>
      <c r="AE342" s="291">
        <f t="shared" si="14"/>
        <v>0.49219786519704273</v>
      </c>
      <c r="AF342" s="291">
        <f t="shared" si="14"/>
        <v>0.58688178894764875</v>
      </c>
      <c r="AG342" s="291">
        <f t="shared" si="14"/>
        <v>0.66903575479230115</v>
      </c>
      <c r="AH342" s="291">
        <f t="shared" si="14"/>
        <v>0.66098877225176</v>
      </c>
      <c r="AI342" s="291">
        <f t="shared" si="14"/>
        <v>0.66623281085871933</v>
      </c>
      <c r="AJ342" s="327">
        <f t="shared" si="12"/>
        <v>0.66623281085871933</v>
      </c>
    </row>
    <row r="343" spans="2:36">
      <c r="B343" s="72" t="s">
        <v>579</v>
      </c>
      <c r="C343" s="72" t="s">
        <v>580</v>
      </c>
      <c r="D343" s="291">
        <f t="shared" si="11"/>
        <v>1.245950304932528</v>
      </c>
      <c r="E343" s="291">
        <f t="shared" ref="E343:AI351" si="15">E91/E$250</f>
        <v>1.1008577936307371</v>
      </c>
      <c r="F343" s="291">
        <f t="shared" si="15"/>
        <v>1.2896510158116565</v>
      </c>
      <c r="G343" s="291">
        <f t="shared" si="15"/>
        <v>1.1201521683505242</v>
      </c>
      <c r="H343" s="291">
        <f t="shared" si="15"/>
        <v>0.82552443659967578</v>
      </c>
      <c r="I343" s="291">
        <f t="shared" si="15"/>
        <v>0.73675688716970633</v>
      </c>
      <c r="J343" s="291">
        <f t="shared" si="15"/>
        <v>0.67013012857887999</v>
      </c>
      <c r="K343" s="291">
        <f t="shared" si="15"/>
        <v>0.52592854517012588</v>
      </c>
      <c r="L343" s="291">
        <f t="shared" si="15"/>
        <v>0.52325318989611724</v>
      </c>
      <c r="M343" s="291">
        <f t="shared" si="15"/>
        <v>0.54668054413024236</v>
      </c>
      <c r="N343" s="291">
        <f t="shared" si="15"/>
        <v>0.51903877272655063</v>
      </c>
      <c r="O343" s="291">
        <f t="shared" si="15"/>
        <v>0.52169955039891402</v>
      </c>
      <c r="P343" s="291">
        <f t="shared" si="15"/>
        <v>0.51112555416367356</v>
      </c>
      <c r="Q343" s="291">
        <f t="shared" si="15"/>
        <v>0.87676077591183044</v>
      </c>
      <c r="R343" s="291">
        <f t="shared" si="15"/>
        <v>0.47864647312278708</v>
      </c>
      <c r="S343" s="291">
        <f t="shared" si="15"/>
        <v>0.43420442338439508</v>
      </c>
      <c r="T343" s="291">
        <f t="shared" si="15"/>
        <v>0.44594173585541225</v>
      </c>
      <c r="U343" s="291">
        <f t="shared" si="15"/>
        <v>0.47099198190169134</v>
      </c>
      <c r="V343" s="291">
        <f t="shared" si="15"/>
        <v>0.46903928422605662</v>
      </c>
      <c r="W343" s="291">
        <f t="shared" si="15"/>
        <v>0.37048249671285471</v>
      </c>
      <c r="X343" s="291">
        <f t="shared" si="15"/>
        <v>0.39060979170030785</v>
      </c>
      <c r="Y343" s="291">
        <f t="shared" si="15"/>
        <v>0.45354940022249091</v>
      </c>
      <c r="Z343" s="291">
        <f t="shared" si="15"/>
        <v>0.48881512898472151</v>
      </c>
      <c r="AA343" s="291">
        <f t="shared" si="15"/>
        <v>0.41607798491702264</v>
      </c>
      <c r="AB343" s="291">
        <f t="shared" si="15"/>
        <v>0.39371323545079734</v>
      </c>
      <c r="AC343" s="291">
        <f t="shared" si="15"/>
        <v>0.39088313062945607</v>
      </c>
      <c r="AD343" s="291">
        <f t="shared" si="15"/>
        <v>0.44093615271758857</v>
      </c>
      <c r="AE343" s="291">
        <f t="shared" si="15"/>
        <v>0.40913547745052287</v>
      </c>
      <c r="AF343" s="291">
        <f t="shared" si="15"/>
        <v>0.47450429643918024</v>
      </c>
      <c r="AG343" s="291">
        <f t="shared" si="15"/>
        <v>0.50892499869133034</v>
      </c>
      <c r="AH343" s="291">
        <f t="shared" si="15"/>
        <v>0.55212929099710517</v>
      </c>
      <c r="AI343" s="291">
        <f t="shared" si="15"/>
        <v>0.56586237994622202</v>
      </c>
      <c r="AJ343" s="327">
        <f t="shared" si="12"/>
        <v>0.56586237994622202</v>
      </c>
    </row>
    <row r="344" spans="2:36">
      <c r="B344" s="72" t="s">
        <v>581</v>
      </c>
      <c r="C344" s="72" t="s">
        <v>582</v>
      </c>
      <c r="D344" s="291">
        <f t="shared" si="11"/>
        <v>0.58513744704720749</v>
      </c>
      <c r="E344" s="291">
        <f t="shared" si="15"/>
        <v>0.60363907662064653</v>
      </c>
      <c r="F344" s="291">
        <f t="shared" si="15"/>
        <v>0.56691203709339788</v>
      </c>
      <c r="G344" s="291">
        <f t="shared" si="15"/>
        <v>0.5679397052150712</v>
      </c>
      <c r="H344" s="291">
        <f t="shared" si="15"/>
        <v>0.60499091135343619</v>
      </c>
      <c r="I344" s="291">
        <f t="shared" si="15"/>
        <v>0.59059443801646216</v>
      </c>
      <c r="J344" s="291">
        <f t="shared" si="15"/>
        <v>0.45938923190052822</v>
      </c>
      <c r="K344" s="291">
        <f t="shared" si="15"/>
        <v>0.48507998674906783</v>
      </c>
      <c r="L344" s="291">
        <f t="shared" si="15"/>
        <v>0.39668259231812214</v>
      </c>
      <c r="M344" s="291">
        <f t="shared" si="15"/>
        <v>0.42307688972220298</v>
      </c>
      <c r="N344" s="291">
        <f t="shared" si="15"/>
        <v>0.41994594491713949</v>
      </c>
      <c r="O344" s="291">
        <f t="shared" si="15"/>
        <v>0.37813169261149421</v>
      </c>
      <c r="P344" s="291">
        <f t="shared" si="15"/>
        <v>0.38521241633586889</v>
      </c>
      <c r="Q344" s="291">
        <f t="shared" si="15"/>
        <v>0.28951277564021344</v>
      </c>
      <c r="R344" s="291">
        <f t="shared" si="15"/>
        <v>0.27262076053494699</v>
      </c>
      <c r="S344" s="291">
        <f t="shared" si="15"/>
        <v>0.29539447516329431</v>
      </c>
      <c r="T344" s="291">
        <f t="shared" si="15"/>
        <v>0.33804160915607484</v>
      </c>
      <c r="U344" s="291">
        <f t="shared" si="15"/>
        <v>0.29374667245906094</v>
      </c>
      <c r="V344" s="291">
        <f t="shared" si="15"/>
        <v>0.22815937707630218</v>
      </c>
      <c r="W344" s="291">
        <f t="shared" si="15"/>
        <v>0.28211227702788494</v>
      </c>
      <c r="X344" s="291">
        <f t="shared" si="15"/>
        <v>0.38527322986457185</v>
      </c>
      <c r="Y344" s="291">
        <f t="shared" si="15"/>
        <v>0.33597712315667089</v>
      </c>
      <c r="Z344" s="291">
        <f t="shared" si="15"/>
        <v>0.32764372216716015</v>
      </c>
      <c r="AA344" s="291">
        <f t="shared" si="15"/>
        <v>0.33126860618425397</v>
      </c>
      <c r="AB344" s="291">
        <f t="shared" si="15"/>
        <v>0.37408968396102005</v>
      </c>
      <c r="AC344" s="291">
        <f t="shared" si="15"/>
        <v>0.4405087492622129</v>
      </c>
      <c r="AD344" s="291">
        <f t="shared" si="15"/>
        <v>0.51119695177908298</v>
      </c>
      <c r="AE344" s="291">
        <f t="shared" si="15"/>
        <v>0.48997588858705959</v>
      </c>
      <c r="AF344" s="291">
        <f t="shared" si="15"/>
        <v>0.69233227827981725</v>
      </c>
      <c r="AG344" s="291">
        <f t="shared" si="15"/>
        <v>0.59897642084562441</v>
      </c>
      <c r="AH344" s="291">
        <f t="shared" si="15"/>
        <v>0.68513534083252015</v>
      </c>
      <c r="AI344" s="291">
        <f t="shared" si="15"/>
        <v>0.72999971346522496</v>
      </c>
      <c r="AJ344" s="327">
        <f t="shared" si="12"/>
        <v>0.72999971346522496</v>
      </c>
    </row>
    <row r="345" spans="2:36">
      <c r="B345" s="72" t="s">
        <v>583</v>
      </c>
      <c r="C345" s="72" t="s">
        <v>257</v>
      </c>
      <c r="D345" s="291">
        <f t="shared" si="11"/>
        <v>0.58870377590556122</v>
      </c>
      <c r="E345" s="291">
        <f t="shared" si="15"/>
        <v>0.33962096689758725</v>
      </c>
      <c r="F345" s="291">
        <f t="shared" si="15"/>
        <v>0.38974298510175359</v>
      </c>
      <c r="G345" s="291">
        <f t="shared" si="15"/>
        <v>0.6314778861548993</v>
      </c>
      <c r="H345" s="291">
        <f t="shared" si="15"/>
        <v>0.74842461226788215</v>
      </c>
      <c r="I345" s="291">
        <f t="shared" si="15"/>
        <v>0.757333970985274</v>
      </c>
      <c r="J345" s="291">
        <f t="shared" si="15"/>
        <v>0.69213535876848031</v>
      </c>
      <c r="K345" s="291">
        <f t="shared" si="15"/>
        <v>0.58795912371798598</v>
      </c>
      <c r="L345" s="291">
        <f t="shared" si="15"/>
        <v>0.50811286038747039</v>
      </c>
      <c r="M345" s="291">
        <f t="shared" si="15"/>
        <v>0.55485061811570435</v>
      </c>
      <c r="N345" s="291">
        <f t="shared" si="15"/>
        <v>0.49283466323537056</v>
      </c>
      <c r="O345" s="291">
        <f t="shared" si="15"/>
        <v>0.4402060276431759</v>
      </c>
      <c r="P345" s="291">
        <f t="shared" si="15"/>
        <v>0.46878508438389699</v>
      </c>
      <c r="Q345" s="291">
        <f t="shared" si="15"/>
        <v>0.55810901952444325</v>
      </c>
      <c r="R345" s="291">
        <f t="shared" si="15"/>
        <v>0.56340072613755765</v>
      </c>
      <c r="S345" s="291">
        <f t="shared" si="15"/>
        <v>0.56713146920958013</v>
      </c>
      <c r="T345" s="291">
        <f t="shared" si="15"/>
        <v>0.56452269450398596</v>
      </c>
      <c r="U345" s="291">
        <f t="shared" si="15"/>
        <v>0.5470992651382891</v>
      </c>
      <c r="V345" s="291">
        <f t="shared" si="15"/>
        <v>0.53238512674487903</v>
      </c>
      <c r="W345" s="291">
        <f t="shared" si="15"/>
        <v>0.54995881859332574</v>
      </c>
      <c r="X345" s="291">
        <f t="shared" si="15"/>
        <v>0.58571730158387902</v>
      </c>
      <c r="Y345" s="291">
        <f t="shared" si="15"/>
        <v>0.6217844463021035</v>
      </c>
      <c r="Z345" s="291">
        <f t="shared" si="15"/>
        <v>0.58551806765157899</v>
      </c>
      <c r="AA345" s="291">
        <f t="shared" si="15"/>
        <v>0.50390110806674981</v>
      </c>
      <c r="AB345" s="291">
        <f t="shared" si="15"/>
        <v>0.4508716210568498</v>
      </c>
      <c r="AC345" s="291">
        <f t="shared" si="15"/>
        <v>0.44298845868814363</v>
      </c>
      <c r="AD345" s="291">
        <f t="shared" si="15"/>
        <v>0.44599439304250149</v>
      </c>
      <c r="AE345" s="291">
        <f t="shared" si="15"/>
        <v>0.41946654793592963</v>
      </c>
      <c r="AF345" s="291">
        <f t="shared" si="15"/>
        <v>0.48864131328063154</v>
      </c>
      <c r="AG345" s="291">
        <f t="shared" si="15"/>
        <v>0.55912884939479424</v>
      </c>
      <c r="AH345" s="291">
        <f t="shared" si="15"/>
        <v>0.65399135393309504</v>
      </c>
      <c r="AI345" s="291">
        <f t="shared" si="15"/>
        <v>0.64967605977795106</v>
      </c>
      <c r="AJ345" s="327">
        <f t="shared" si="12"/>
        <v>0.64967605977795106</v>
      </c>
    </row>
    <row r="346" spans="2:36">
      <c r="B346" s="72" t="s">
        <v>584</v>
      </c>
      <c r="C346" s="72" t="s">
        <v>585</v>
      </c>
      <c r="D346" s="291">
        <f t="shared" si="11"/>
        <v>0.83199359765086878</v>
      </c>
      <c r="E346" s="291">
        <f t="shared" si="15"/>
        <v>0.69164896764148309</v>
      </c>
      <c r="F346" s="291">
        <f t="shared" si="15"/>
        <v>0.66338963464951461</v>
      </c>
      <c r="G346" s="291">
        <f t="shared" si="15"/>
        <v>0.68151918076317053</v>
      </c>
      <c r="H346" s="291">
        <f t="shared" si="15"/>
        <v>0.76352841251690173</v>
      </c>
      <c r="I346" s="291">
        <f t="shared" si="15"/>
        <v>0.72968925316556499</v>
      </c>
      <c r="J346" s="291">
        <f t="shared" si="15"/>
        <v>0.78517078673660501</v>
      </c>
      <c r="K346" s="291">
        <f t="shared" si="15"/>
        <v>0.73893841695651807</v>
      </c>
      <c r="L346" s="291">
        <f t="shared" si="15"/>
        <v>0.64194781530132072</v>
      </c>
      <c r="M346" s="291">
        <f t="shared" si="15"/>
        <v>0.60112249564013753</v>
      </c>
      <c r="N346" s="291">
        <f t="shared" si="15"/>
        <v>0.57560814574734775</v>
      </c>
      <c r="O346" s="291">
        <f t="shared" si="15"/>
        <v>0.52957441757040991</v>
      </c>
      <c r="P346" s="291">
        <f t="shared" si="15"/>
        <v>0.54796137507612608</v>
      </c>
      <c r="Q346" s="291">
        <f t="shared" si="15"/>
        <v>0.61852935234250284</v>
      </c>
      <c r="R346" s="291">
        <f t="shared" si="15"/>
        <v>0.44570581469197224</v>
      </c>
      <c r="S346" s="291">
        <f t="shared" si="15"/>
        <v>0.51865978657491574</v>
      </c>
      <c r="T346" s="291">
        <f t="shared" si="15"/>
        <v>0.52810151695371499</v>
      </c>
      <c r="U346" s="291">
        <f t="shared" si="15"/>
        <v>0.4556375387453705</v>
      </c>
      <c r="V346" s="291">
        <f t="shared" si="15"/>
        <v>0.45534726165396922</v>
      </c>
      <c r="W346" s="291">
        <f t="shared" si="15"/>
        <v>0.43924540259487443</v>
      </c>
      <c r="X346" s="291">
        <f t="shared" si="15"/>
        <v>0.40641338975539465</v>
      </c>
      <c r="Y346" s="291">
        <f t="shared" si="15"/>
        <v>0.42923933401483322</v>
      </c>
      <c r="Z346" s="291">
        <f t="shared" si="15"/>
        <v>0.44761352842199764</v>
      </c>
      <c r="AA346" s="291">
        <f t="shared" si="15"/>
        <v>0.4788190262575176</v>
      </c>
      <c r="AB346" s="291">
        <f t="shared" si="15"/>
        <v>0.46581372021164885</v>
      </c>
      <c r="AC346" s="291">
        <f t="shared" si="15"/>
        <v>0.47119996204745879</v>
      </c>
      <c r="AD346" s="291">
        <f t="shared" si="15"/>
        <v>0.48212686111512909</v>
      </c>
      <c r="AE346" s="291">
        <f t="shared" si="15"/>
        <v>0.46937729761259817</v>
      </c>
      <c r="AF346" s="291">
        <f t="shared" si="15"/>
        <v>0.57289378653671741</v>
      </c>
      <c r="AG346" s="291">
        <f t="shared" si="15"/>
        <v>0.62454931111209289</v>
      </c>
      <c r="AH346" s="291">
        <f t="shared" si="15"/>
        <v>0.60300601111303664</v>
      </c>
      <c r="AI346" s="291">
        <f t="shared" si="15"/>
        <v>0.6097629519599197</v>
      </c>
      <c r="AJ346" s="327">
        <f t="shared" si="12"/>
        <v>0.6097629519599197</v>
      </c>
    </row>
    <row r="347" spans="2:36">
      <c r="B347" s="72" t="s">
        <v>586</v>
      </c>
      <c r="C347" s="72" t="s">
        <v>587</v>
      </c>
      <c r="D347" s="291">
        <f t="shared" si="11"/>
        <v>0</v>
      </c>
      <c r="E347" s="291">
        <f t="shared" si="15"/>
        <v>0</v>
      </c>
      <c r="F347" s="291">
        <f t="shared" si="15"/>
        <v>0</v>
      </c>
      <c r="G347" s="291">
        <f t="shared" si="15"/>
        <v>0</v>
      </c>
      <c r="H347" s="291">
        <f t="shared" si="15"/>
        <v>0</v>
      </c>
      <c r="I347" s="291">
        <f t="shared" si="15"/>
        <v>0</v>
      </c>
      <c r="J347" s="291">
        <f t="shared" si="15"/>
        <v>0</v>
      </c>
      <c r="K347" s="291">
        <f t="shared" si="15"/>
        <v>0</v>
      </c>
      <c r="L347" s="291">
        <f t="shared" si="15"/>
        <v>0</v>
      </c>
      <c r="M347" s="291">
        <f t="shared" si="15"/>
        <v>0</v>
      </c>
      <c r="N347" s="291">
        <f t="shared" si="15"/>
        <v>0</v>
      </c>
      <c r="O347" s="291">
        <f t="shared" si="15"/>
        <v>0</v>
      </c>
      <c r="P347" s="291">
        <f t="shared" si="15"/>
        <v>0</v>
      </c>
      <c r="Q347" s="291">
        <f t="shared" si="15"/>
        <v>0</v>
      </c>
      <c r="R347" s="291">
        <f t="shared" si="15"/>
        <v>0</v>
      </c>
      <c r="S347" s="291">
        <f t="shared" si="15"/>
        <v>0.58442235762294026</v>
      </c>
      <c r="T347" s="291">
        <f t="shared" si="15"/>
        <v>0.57620038443598109</v>
      </c>
      <c r="U347" s="291">
        <f t="shared" si="15"/>
        <v>0.51538247647069446</v>
      </c>
      <c r="V347" s="291">
        <f t="shared" si="15"/>
        <v>0.51756988615883448</v>
      </c>
      <c r="W347" s="291">
        <f t="shared" si="15"/>
        <v>0.48144890948843544</v>
      </c>
      <c r="X347" s="291">
        <f t="shared" si="15"/>
        <v>0.46257439497342484</v>
      </c>
      <c r="Y347" s="291">
        <f t="shared" si="15"/>
        <v>0.49343008682656231</v>
      </c>
      <c r="Z347" s="291">
        <f t="shared" si="15"/>
        <v>0.50512435967378699</v>
      </c>
      <c r="AA347" s="291">
        <f t="shared" si="15"/>
        <v>0.54760512611385614</v>
      </c>
      <c r="AB347" s="291">
        <f t="shared" si="15"/>
        <v>0.55235472398476404</v>
      </c>
      <c r="AC347" s="291">
        <f t="shared" si="15"/>
        <v>0.56898140785697449</v>
      </c>
      <c r="AD347" s="291">
        <f t="shared" si="15"/>
        <v>0.57914550558096167</v>
      </c>
      <c r="AE347" s="291">
        <f t="shared" si="15"/>
        <v>0.55429545750844111</v>
      </c>
      <c r="AF347" s="291">
        <f t="shared" si="15"/>
        <v>0.64884937343055216</v>
      </c>
      <c r="AG347" s="291">
        <f t="shared" si="15"/>
        <v>0.71347589736324624</v>
      </c>
      <c r="AH347" s="291">
        <f t="shared" si="15"/>
        <v>0.70018341576794041</v>
      </c>
      <c r="AI347" s="291">
        <f t="shared" si="15"/>
        <v>0.66526844747280556</v>
      </c>
      <c r="AJ347" s="327">
        <f t="shared" si="12"/>
        <v>0.66526844747280556</v>
      </c>
    </row>
    <row r="348" spans="2:36">
      <c r="B348" s="72" t="s">
        <v>588</v>
      </c>
      <c r="C348" s="72" t="s">
        <v>589</v>
      </c>
      <c r="D348" s="291">
        <f t="shared" si="11"/>
        <v>0</v>
      </c>
      <c r="E348" s="291">
        <f t="shared" si="15"/>
        <v>0</v>
      </c>
      <c r="F348" s="291">
        <f t="shared" si="15"/>
        <v>0</v>
      </c>
      <c r="G348" s="291">
        <f t="shared" si="15"/>
        <v>0</v>
      </c>
      <c r="H348" s="291">
        <f t="shared" si="15"/>
        <v>0</v>
      </c>
      <c r="I348" s="291">
        <f t="shared" si="15"/>
        <v>0</v>
      </c>
      <c r="J348" s="291">
        <f t="shared" si="15"/>
        <v>0</v>
      </c>
      <c r="K348" s="291">
        <f t="shared" si="15"/>
        <v>0</v>
      </c>
      <c r="L348" s="291">
        <f t="shared" si="15"/>
        <v>0</v>
      </c>
      <c r="M348" s="291">
        <f t="shared" si="15"/>
        <v>0</v>
      </c>
      <c r="N348" s="291">
        <f t="shared" si="15"/>
        <v>0</v>
      </c>
      <c r="O348" s="291">
        <f t="shared" si="15"/>
        <v>0</v>
      </c>
      <c r="P348" s="291">
        <f t="shared" si="15"/>
        <v>0</v>
      </c>
      <c r="Q348" s="291">
        <f t="shared" si="15"/>
        <v>0</v>
      </c>
      <c r="R348" s="291">
        <f t="shared" si="15"/>
        <v>0</v>
      </c>
      <c r="S348" s="291">
        <f t="shared" si="15"/>
        <v>0</v>
      </c>
      <c r="T348" s="291">
        <f t="shared" si="15"/>
        <v>0</v>
      </c>
      <c r="U348" s="291">
        <f t="shared" si="15"/>
        <v>0</v>
      </c>
      <c r="V348" s="291">
        <f t="shared" si="15"/>
        <v>0</v>
      </c>
      <c r="W348" s="291">
        <f t="shared" si="15"/>
        <v>0</v>
      </c>
      <c r="X348" s="291">
        <f t="shared" si="15"/>
        <v>0</v>
      </c>
      <c r="Y348" s="291">
        <f t="shared" si="15"/>
        <v>0</v>
      </c>
      <c r="Z348" s="291">
        <f t="shared" si="15"/>
        <v>0</v>
      </c>
      <c r="AA348" s="291">
        <f t="shared" si="15"/>
        <v>0</v>
      </c>
      <c r="AB348" s="291">
        <f t="shared" si="15"/>
        <v>0</v>
      </c>
      <c r="AC348" s="291">
        <f t="shared" si="15"/>
        <v>0</v>
      </c>
      <c r="AD348" s="291">
        <f t="shared" si="15"/>
        <v>0</v>
      </c>
      <c r="AE348" s="291">
        <f t="shared" si="15"/>
        <v>0</v>
      </c>
      <c r="AF348" s="291">
        <f t="shared" si="15"/>
        <v>0</v>
      </c>
      <c r="AG348" s="291">
        <f t="shared" si="15"/>
        <v>0</v>
      </c>
      <c r="AH348" s="291">
        <f t="shared" si="15"/>
        <v>0</v>
      </c>
      <c r="AI348" s="291">
        <f t="shared" si="15"/>
        <v>0</v>
      </c>
      <c r="AJ348" s="327">
        <f t="shared" si="12"/>
        <v>0</v>
      </c>
    </row>
    <row r="349" spans="2:36">
      <c r="B349" s="72" t="s">
        <v>590</v>
      </c>
      <c r="C349" s="72" t="s">
        <v>591</v>
      </c>
      <c r="D349" s="291">
        <f t="shared" si="11"/>
        <v>0</v>
      </c>
      <c r="E349" s="291">
        <f t="shared" si="15"/>
        <v>0</v>
      </c>
      <c r="F349" s="291">
        <f t="shared" si="15"/>
        <v>0</v>
      </c>
      <c r="G349" s="291">
        <f t="shared" si="15"/>
        <v>0</v>
      </c>
      <c r="H349" s="291">
        <f t="shared" si="15"/>
        <v>0</v>
      </c>
      <c r="I349" s="291">
        <f t="shared" si="15"/>
        <v>0</v>
      </c>
      <c r="J349" s="291">
        <f t="shared" si="15"/>
        <v>0</v>
      </c>
      <c r="K349" s="291">
        <f t="shared" si="15"/>
        <v>0</v>
      </c>
      <c r="L349" s="291">
        <f t="shared" si="15"/>
        <v>0</v>
      </c>
      <c r="M349" s="291">
        <f t="shared" si="15"/>
        <v>0</v>
      </c>
      <c r="N349" s="291">
        <f t="shared" si="15"/>
        <v>0</v>
      </c>
      <c r="O349" s="291">
        <f t="shared" si="15"/>
        <v>0</v>
      </c>
      <c r="P349" s="291">
        <f t="shared" si="15"/>
        <v>0</v>
      </c>
      <c r="Q349" s="291">
        <f t="shared" si="15"/>
        <v>0</v>
      </c>
      <c r="R349" s="291">
        <f t="shared" si="15"/>
        <v>0</v>
      </c>
      <c r="S349" s="291">
        <f t="shared" si="15"/>
        <v>0</v>
      </c>
      <c r="T349" s="291">
        <f t="shared" si="15"/>
        <v>0</v>
      </c>
      <c r="U349" s="291">
        <f t="shared" si="15"/>
        <v>0</v>
      </c>
      <c r="V349" s="291">
        <f t="shared" si="15"/>
        <v>0</v>
      </c>
      <c r="W349" s="291">
        <f t="shared" si="15"/>
        <v>0</v>
      </c>
      <c r="X349" s="291">
        <f t="shared" si="15"/>
        <v>0</v>
      </c>
      <c r="Y349" s="291">
        <f t="shared" si="15"/>
        <v>0</v>
      </c>
      <c r="Z349" s="291">
        <f t="shared" si="15"/>
        <v>0</v>
      </c>
      <c r="AA349" s="291">
        <f t="shared" si="15"/>
        <v>0</v>
      </c>
      <c r="AB349" s="291">
        <f t="shared" si="15"/>
        <v>0</v>
      </c>
      <c r="AC349" s="291">
        <f t="shared" si="15"/>
        <v>0</v>
      </c>
      <c r="AD349" s="291">
        <f t="shared" si="15"/>
        <v>0</v>
      </c>
      <c r="AE349" s="291">
        <f t="shared" si="15"/>
        <v>0</v>
      </c>
      <c r="AF349" s="291">
        <f t="shared" si="15"/>
        <v>0</v>
      </c>
      <c r="AG349" s="291">
        <f t="shared" si="15"/>
        <v>0</v>
      </c>
      <c r="AH349" s="291">
        <f t="shared" si="15"/>
        <v>0</v>
      </c>
      <c r="AI349" s="291">
        <f t="shared" si="15"/>
        <v>0</v>
      </c>
      <c r="AJ349" s="327">
        <f t="shared" si="12"/>
        <v>0</v>
      </c>
    </row>
    <row r="350" spans="2:36">
      <c r="B350" s="72" t="s">
        <v>592</v>
      </c>
      <c r="C350" s="72" t="s">
        <v>593</v>
      </c>
      <c r="D350" s="291">
        <f t="shared" si="11"/>
        <v>0.72705094030528494</v>
      </c>
      <c r="E350" s="291">
        <f t="shared" si="15"/>
        <v>0.71350036726881783</v>
      </c>
      <c r="F350" s="291">
        <f t="shared" si="15"/>
        <v>0.74552151993266769</v>
      </c>
      <c r="G350" s="291">
        <f t="shared" si="15"/>
        <v>0.77182008796706159</v>
      </c>
      <c r="H350" s="291">
        <f t="shared" si="15"/>
        <v>0.81538835786113983</v>
      </c>
      <c r="I350" s="291">
        <f t="shared" si="15"/>
        <v>0.81212911369749319</v>
      </c>
      <c r="J350" s="291">
        <f t="shared" si="15"/>
        <v>0.84306568476834898</v>
      </c>
      <c r="K350" s="291">
        <f t="shared" si="15"/>
        <v>0.80365239477882811</v>
      </c>
      <c r="L350" s="291">
        <f t="shared" si="15"/>
        <v>0.7383340558956778</v>
      </c>
      <c r="M350" s="291">
        <f t="shared" si="15"/>
        <v>0.73910346507273295</v>
      </c>
      <c r="N350" s="291">
        <f t="shared" si="15"/>
        <v>0.72167875613296162</v>
      </c>
      <c r="O350" s="291">
        <f t="shared" si="15"/>
        <v>0.70014101161955988</v>
      </c>
      <c r="P350" s="291">
        <f t="shared" si="15"/>
        <v>0.74446445476470091</v>
      </c>
      <c r="Q350" s="291">
        <f t="shared" si="15"/>
        <v>0.8018155793497922</v>
      </c>
      <c r="R350" s="291">
        <f t="shared" si="15"/>
        <v>0.82341176369067526</v>
      </c>
      <c r="S350" s="291">
        <f t="shared" si="15"/>
        <v>0.91081267742068905</v>
      </c>
      <c r="T350" s="291">
        <f t="shared" si="15"/>
        <v>0.89336625593360253</v>
      </c>
      <c r="U350" s="291">
        <f t="shared" si="15"/>
        <v>0.78483969655057995</v>
      </c>
      <c r="V350" s="291">
        <f t="shared" si="15"/>
        <v>0.76657723090677854</v>
      </c>
      <c r="W350" s="291">
        <f t="shared" si="15"/>
        <v>0.74974002405710971</v>
      </c>
      <c r="X350" s="291">
        <f t="shared" si="15"/>
        <v>0.7174882262747182</v>
      </c>
      <c r="Y350" s="291">
        <f t="shared" si="15"/>
        <v>0.73069821181504446</v>
      </c>
      <c r="Z350" s="291">
        <f t="shared" si="15"/>
        <v>0.73914337220697068</v>
      </c>
      <c r="AA350" s="291">
        <f t="shared" si="15"/>
        <v>0.80779622458381983</v>
      </c>
      <c r="AB350" s="291">
        <f t="shared" si="15"/>
        <v>0.79553004864453347</v>
      </c>
      <c r="AC350" s="291">
        <f t="shared" si="15"/>
        <v>0.794499959445368</v>
      </c>
      <c r="AD350" s="291">
        <f t="shared" si="15"/>
        <v>0.78622503328229643</v>
      </c>
      <c r="AE350" s="291">
        <f t="shared" si="15"/>
        <v>0.75738112256138868</v>
      </c>
      <c r="AF350" s="291">
        <f t="shared" si="15"/>
        <v>0.83874625221641963</v>
      </c>
      <c r="AG350" s="291">
        <f t="shared" si="15"/>
        <v>0.90914930467427668</v>
      </c>
      <c r="AH350" s="291">
        <f t="shared" si="15"/>
        <v>0.8821118016488223</v>
      </c>
      <c r="AI350" s="291">
        <f t="shared" si="15"/>
        <v>0.86852689331998467</v>
      </c>
      <c r="AJ350" s="327">
        <f t="shared" si="12"/>
        <v>0.86852689331998467</v>
      </c>
    </row>
    <row r="351" spans="2:36">
      <c r="B351" s="72" t="s">
        <v>594</v>
      </c>
      <c r="C351" s="72" t="s">
        <v>595</v>
      </c>
      <c r="D351" s="291">
        <f t="shared" si="11"/>
        <v>0</v>
      </c>
      <c r="E351" s="291">
        <f t="shared" si="15"/>
        <v>0</v>
      </c>
      <c r="F351" s="291">
        <f t="shared" si="15"/>
        <v>0</v>
      </c>
      <c r="G351" s="291">
        <f t="shared" si="15"/>
        <v>0</v>
      </c>
      <c r="H351" s="291">
        <f t="shared" si="15"/>
        <v>0</v>
      </c>
      <c r="I351" s="291">
        <f t="shared" si="15"/>
        <v>0</v>
      </c>
      <c r="J351" s="291">
        <f t="shared" si="15"/>
        <v>0</v>
      </c>
      <c r="K351" s="291">
        <f t="shared" si="15"/>
        <v>0</v>
      </c>
      <c r="L351" s="291">
        <f t="shared" ref="E351:AI359" si="16">L99/L$250</f>
        <v>0</v>
      </c>
      <c r="M351" s="291">
        <f t="shared" si="16"/>
        <v>0</v>
      </c>
      <c r="N351" s="291">
        <f t="shared" si="16"/>
        <v>0.28319980257470934</v>
      </c>
      <c r="O351" s="291">
        <f t="shared" si="16"/>
        <v>0.22214545554629322</v>
      </c>
      <c r="P351" s="291">
        <f t="shared" si="16"/>
        <v>0.25206275035872011</v>
      </c>
      <c r="Q351" s="291">
        <f t="shared" si="16"/>
        <v>0.33645358307130263</v>
      </c>
      <c r="R351" s="291">
        <f t="shared" si="16"/>
        <v>0.36927702099871201</v>
      </c>
      <c r="S351" s="291">
        <f t="shared" si="16"/>
        <v>0.41272157694354811</v>
      </c>
      <c r="T351" s="291">
        <f t="shared" si="16"/>
        <v>0.44001429702950806</v>
      </c>
      <c r="U351" s="291">
        <f t="shared" si="16"/>
        <v>0.38579025248482324</v>
      </c>
      <c r="V351" s="291">
        <f t="shared" si="16"/>
        <v>0.40273279563067732</v>
      </c>
      <c r="W351" s="291">
        <f t="shared" si="16"/>
        <v>0.38734299351526025</v>
      </c>
      <c r="X351" s="291">
        <f t="shared" si="16"/>
        <v>0.38266617213188692</v>
      </c>
      <c r="Y351" s="291">
        <f t="shared" si="16"/>
        <v>0.41449455540043217</v>
      </c>
      <c r="Z351" s="291">
        <f t="shared" si="16"/>
        <v>0.46494682788667835</v>
      </c>
      <c r="AA351" s="291">
        <f t="shared" si="16"/>
        <v>0.47550346788715248</v>
      </c>
      <c r="AB351" s="291">
        <f t="shared" si="16"/>
        <v>0.48017295012357469</v>
      </c>
      <c r="AC351" s="291">
        <f t="shared" si="16"/>
        <v>0.51656840980523788</v>
      </c>
      <c r="AD351" s="291">
        <f t="shared" si="16"/>
        <v>0.53864036515985936</v>
      </c>
      <c r="AE351" s="291">
        <f t="shared" si="16"/>
        <v>0.53221525365523847</v>
      </c>
      <c r="AF351" s="291">
        <f t="shared" si="16"/>
        <v>0.69829800851575896</v>
      </c>
      <c r="AG351" s="291">
        <f t="shared" si="16"/>
        <v>0.7136846475490104</v>
      </c>
      <c r="AH351" s="291">
        <f t="shared" si="16"/>
        <v>0.72639876401552228</v>
      </c>
      <c r="AI351" s="291">
        <f t="shared" si="16"/>
        <v>0.71721277983480825</v>
      </c>
      <c r="AJ351" s="327">
        <f t="shared" si="12"/>
        <v>0.71721277983480825</v>
      </c>
    </row>
    <row r="352" spans="2:36">
      <c r="B352" s="72" t="s">
        <v>596</v>
      </c>
      <c r="C352" s="72" t="s">
        <v>597</v>
      </c>
      <c r="D352" s="291">
        <f t="shared" si="11"/>
        <v>1.1895346754705143</v>
      </c>
      <c r="E352" s="291">
        <f t="shared" si="16"/>
        <v>1.0792268254393504</v>
      </c>
      <c r="F352" s="291">
        <f t="shared" si="16"/>
        <v>1.0879275003436562</v>
      </c>
      <c r="G352" s="291">
        <f t="shared" si="16"/>
        <v>1.1631129766840393</v>
      </c>
      <c r="H352" s="291">
        <f t="shared" si="16"/>
        <v>1.1859362281358583</v>
      </c>
      <c r="I352" s="291">
        <f t="shared" si="16"/>
        <v>1.1838693998266432</v>
      </c>
      <c r="J352" s="291">
        <f t="shared" si="16"/>
        <v>1.3475224846206559</v>
      </c>
      <c r="K352" s="291">
        <f t="shared" si="16"/>
        <v>1.4221588715559874</v>
      </c>
      <c r="L352" s="291">
        <f t="shared" si="16"/>
        <v>1.2984444073806081</v>
      </c>
      <c r="M352" s="291">
        <f t="shared" si="16"/>
        <v>1.2711464940814046</v>
      </c>
      <c r="N352" s="291">
        <f t="shared" si="16"/>
        <v>1.3207316359116568</v>
      </c>
      <c r="O352" s="291">
        <f t="shared" si="16"/>
        <v>1.2407058012446539</v>
      </c>
      <c r="P352" s="291">
        <f t="shared" si="16"/>
        <v>1.2947719910581921</v>
      </c>
      <c r="Q352" s="291">
        <f t="shared" si="16"/>
        <v>1.380226148188171</v>
      </c>
      <c r="R352" s="291">
        <f t="shared" si="16"/>
        <v>1.3780526295391073</v>
      </c>
      <c r="S352" s="291">
        <f t="shared" si="16"/>
        <v>1.4962343369662163</v>
      </c>
      <c r="T352" s="291">
        <f t="shared" si="16"/>
        <v>1.4553348384462312</v>
      </c>
      <c r="U352" s="291">
        <f t="shared" si="16"/>
        <v>1.2283300080943147</v>
      </c>
      <c r="V352" s="291">
        <f t="shared" si="16"/>
        <v>1.1725590205335814</v>
      </c>
      <c r="W352" s="291">
        <f t="shared" si="16"/>
        <v>1.1498249961518061</v>
      </c>
      <c r="X352" s="291">
        <f t="shared" si="16"/>
        <v>1.0810858984956992</v>
      </c>
      <c r="Y352" s="291">
        <f t="shared" si="16"/>
        <v>1.1278656795972586</v>
      </c>
      <c r="Z352" s="291">
        <f t="shared" si="16"/>
        <v>1.1179233456023558</v>
      </c>
      <c r="AA352" s="291">
        <f t="shared" si="16"/>
        <v>1.2385380995318602</v>
      </c>
      <c r="AB352" s="291">
        <f t="shared" si="16"/>
        <v>1.2113046911974497</v>
      </c>
      <c r="AC352" s="291">
        <f t="shared" si="16"/>
        <v>1.238384783865105</v>
      </c>
      <c r="AD352" s="291">
        <f t="shared" si="16"/>
        <v>1.2142447079401339</v>
      </c>
      <c r="AE352" s="291">
        <f t="shared" si="16"/>
        <v>1.1714686822505256</v>
      </c>
      <c r="AF352" s="291">
        <f t="shared" si="16"/>
        <v>1.3135292808128363</v>
      </c>
      <c r="AG352" s="291">
        <f t="shared" si="16"/>
        <v>1.4299784574568266</v>
      </c>
      <c r="AH352" s="291">
        <f t="shared" si="16"/>
        <v>1.3556214954808565</v>
      </c>
      <c r="AI352" s="291">
        <f t="shared" si="16"/>
        <v>1.3363661517307592</v>
      </c>
      <c r="AJ352" s="327">
        <f t="shared" si="12"/>
        <v>1.3363661517307592</v>
      </c>
    </row>
    <row r="353" spans="2:36">
      <c r="B353" s="72" t="s">
        <v>598</v>
      </c>
      <c r="C353" s="72" t="s">
        <v>599</v>
      </c>
      <c r="D353" s="291">
        <f t="shared" si="11"/>
        <v>0</v>
      </c>
      <c r="E353" s="291">
        <f t="shared" si="16"/>
        <v>0</v>
      </c>
      <c r="F353" s="291">
        <f t="shared" si="16"/>
        <v>0</v>
      </c>
      <c r="G353" s="291">
        <f t="shared" si="16"/>
        <v>0</v>
      </c>
      <c r="H353" s="291">
        <f t="shared" si="16"/>
        <v>0</v>
      </c>
      <c r="I353" s="291">
        <f t="shared" si="16"/>
        <v>0</v>
      </c>
      <c r="J353" s="291">
        <f t="shared" si="16"/>
        <v>0</v>
      </c>
      <c r="K353" s="291">
        <f t="shared" si="16"/>
        <v>0</v>
      </c>
      <c r="L353" s="291">
        <f t="shared" si="16"/>
        <v>0</v>
      </c>
      <c r="M353" s="291">
        <f t="shared" si="16"/>
        <v>0</v>
      </c>
      <c r="N353" s="291">
        <f t="shared" si="16"/>
        <v>0.37485048379680452</v>
      </c>
      <c r="O353" s="291">
        <f t="shared" si="16"/>
        <v>0.37912273884594305</v>
      </c>
      <c r="P353" s="291">
        <f t="shared" si="16"/>
        <v>0.38067425144723405</v>
      </c>
      <c r="Q353" s="291">
        <f t="shared" si="16"/>
        <v>0.45208753239486354</v>
      </c>
      <c r="R353" s="291">
        <f t="shared" si="16"/>
        <v>0.46470534108879707</v>
      </c>
      <c r="S353" s="291">
        <f t="shared" si="16"/>
        <v>0.45921066085513251</v>
      </c>
      <c r="T353" s="291">
        <f t="shared" si="16"/>
        <v>0.47247843435015058</v>
      </c>
      <c r="U353" s="291">
        <f t="shared" si="16"/>
        <v>0.45753799664673317</v>
      </c>
      <c r="V353" s="291">
        <f t="shared" si="16"/>
        <v>0.4489276824599564</v>
      </c>
      <c r="W353" s="291">
        <f t="shared" si="16"/>
        <v>0.45688444336102102</v>
      </c>
      <c r="X353" s="291">
        <f t="shared" si="16"/>
        <v>0.50247493055470327</v>
      </c>
      <c r="Y353" s="291">
        <f t="shared" si="16"/>
        <v>0.53335503207366719</v>
      </c>
      <c r="Z353" s="291">
        <f t="shared" si="16"/>
        <v>0.50648203789376633</v>
      </c>
      <c r="AA353" s="291">
        <f t="shared" si="16"/>
        <v>0.45475341588905971</v>
      </c>
      <c r="AB353" s="291">
        <f t="shared" si="16"/>
        <v>0.41213121359800547</v>
      </c>
      <c r="AC353" s="291">
        <f t="shared" si="16"/>
        <v>0.41195865702725742</v>
      </c>
      <c r="AD353" s="291">
        <f t="shared" si="16"/>
        <v>0.41386245242010411</v>
      </c>
      <c r="AE353" s="291">
        <f t="shared" si="16"/>
        <v>0.37727510743872922</v>
      </c>
      <c r="AF353" s="291">
        <f t="shared" si="16"/>
        <v>0.43632666295080957</v>
      </c>
      <c r="AG353" s="291">
        <f t="shared" si="16"/>
        <v>0.50994401032378511</v>
      </c>
      <c r="AH353" s="291">
        <f t="shared" si="16"/>
        <v>0</v>
      </c>
      <c r="AI353" s="291">
        <f t="shared" si="16"/>
        <v>0</v>
      </c>
      <c r="AJ353" s="327">
        <f t="shared" si="12"/>
        <v>0</v>
      </c>
    </row>
    <row r="354" spans="2:36">
      <c r="B354" s="72" t="s">
        <v>600</v>
      </c>
      <c r="C354" s="72" t="s">
        <v>601</v>
      </c>
      <c r="D354" s="291">
        <f t="shared" si="11"/>
        <v>0.33674739939346554</v>
      </c>
      <c r="E354" s="291">
        <f t="shared" si="16"/>
        <v>0.3495096187494155</v>
      </c>
      <c r="F354" s="291">
        <f t="shared" si="16"/>
        <v>0.39112507284920961</v>
      </c>
      <c r="G354" s="291">
        <f t="shared" si="16"/>
        <v>0.4615766114460142</v>
      </c>
      <c r="H354" s="291">
        <f t="shared" si="16"/>
        <v>0.53622969850273594</v>
      </c>
      <c r="I354" s="291">
        <f t="shared" si="16"/>
        <v>0.56884668579608388</v>
      </c>
      <c r="J354" s="291">
        <f t="shared" si="16"/>
        <v>0.51125714483636919</v>
      </c>
      <c r="K354" s="291">
        <f t="shared" si="16"/>
        <v>0.45642540360274036</v>
      </c>
      <c r="L354" s="291">
        <f t="shared" si="16"/>
        <v>0.41346603526170617</v>
      </c>
      <c r="M354" s="291">
        <f t="shared" si="16"/>
        <v>0.44800249742194759</v>
      </c>
      <c r="N354" s="291">
        <f t="shared" si="16"/>
        <v>0.39508665417920297</v>
      </c>
      <c r="O354" s="291">
        <f t="shared" si="16"/>
        <v>0.4034464650713851</v>
      </c>
      <c r="P354" s="291">
        <f t="shared" si="16"/>
        <v>0.40800741084917963</v>
      </c>
      <c r="Q354" s="291">
        <f t="shared" si="16"/>
        <v>0.47706605684213338</v>
      </c>
      <c r="R354" s="291">
        <f t="shared" si="16"/>
        <v>0.48802189827939374</v>
      </c>
      <c r="S354" s="291">
        <f t="shared" si="16"/>
        <v>0.46883279475571527</v>
      </c>
      <c r="T354" s="291">
        <f t="shared" si="16"/>
        <v>0.47915834768155607</v>
      </c>
      <c r="U354" s="291">
        <f t="shared" si="16"/>
        <v>0.46356364314710025</v>
      </c>
      <c r="V354" s="291">
        <f t="shared" si="16"/>
        <v>0.44576041838042163</v>
      </c>
      <c r="W354" s="291">
        <f t="shared" si="16"/>
        <v>0.49520511237652359</v>
      </c>
      <c r="X354" s="291">
        <f t="shared" si="16"/>
        <v>0.65074029264056943</v>
      </c>
      <c r="Y354" s="291">
        <f t="shared" si="16"/>
        <v>0.69281246222078485</v>
      </c>
      <c r="Z354" s="291">
        <f t="shared" si="16"/>
        <v>0.66003217717956342</v>
      </c>
      <c r="AA354" s="291">
        <f t="shared" si="16"/>
        <v>0.56402491277010347</v>
      </c>
      <c r="AB354" s="291">
        <f t="shared" si="16"/>
        <v>0.51801016006922507</v>
      </c>
      <c r="AC354" s="291">
        <f t="shared" si="16"/>
        <v>0.49871519584355128</v>
      </c>
      <c r="AD354" s="291">
        <f t="shared" si="16"/>
        <v>0.49729961145531226</v>
      </c>
      <c r="AE354" s="291">
        <f t="shared" si="16"/>
        <v>0.44282303954774332</v>
      </c>
      <c r="AF354" s="291">
        <f t="shared" si="16"/>
        <v>0.47766383606296564</v>
      </c>
      <c r="AG354" s="291">
        <f t="shared" si="16"/>
        <v>0.53984251895843549</v>
      </c>
      <c r="AH354" s="291">
        <f t="shared" si="16"/>
        <v>0.52100320101398356</v>
      </c>
      <c r="AI354" s="291">
        <f t="shared" si="16"/>
        <v>0.49174395855527525</v>
      </c>
      <c r="AJ354" s="327">
        <f t="shared" si="12"/>
        <v>0.49174395855527525</v>
      </c>
    </row>
    <row r="355" spans="2:36">
      <c r="B355" s="72" t="s">
        <v>602</v>
      </c>
      <c r="C355" s="72" t="s">
        <v>603</v>
      </c>
      <c r="D355" s="291">
        <f t="shared" si="11"/>
        <v>0.55342112289418666</v>
      </c>
      <c r="E355" s="291">
        <f t="shared" si="16"/>
        <v>0.60386431230470528</v>
      </c>
      <c r="F355" s="291">
        <f t="shared" si="16"/>
        <v>0.69692358634105245</v>
      </c>
      <c r="G355" s="291">
        <f t="shared" si="16"/>
        <v>0.78783485228669103</v>
      </c>
      <c r="H355" s="291">
        <f t="shared" si="16"/>
        <v>1.0157149112984056</v>
      </c>
      <c r="I355" s="291">
        <f t="shared" si="16"/>
        <v>0.49622891701928101</v>
      </c>
      <c r="J355" s="291">
        <f t="shared" si="16"/>
        <v>0.49246648222447192</v>
      </c>
      <c r="K355" s="291">
        <f t="shared" si="16"/>
        <v>0.36242479544100464</v>
      </c>
      <c r="L355" s="291">
        <f t="shared" si="16"/>
        <v>0.28279645963499833</v>
      </c>
      <c r="M355" s="291">
        <f t="shared" si="16"/>
        <v>0.34146298938935338</v>
      </c>
      <c r="N355" s="291">
        <f t="shared" si="16"/>
        <v>0.32703787566702397</v>
      </c>
      <c r="O355" s="291">
        <f t="shared" si="16"/>
        <v>0.42177814094467914</v>
      </c>
      <c r="P355" s="291">
        <f t="shared" si="16"/>
        <v>0.42981511692593466</v>
      </c>
      <c r="Q355" s="291">
        <f t="shared" si="16"/>
        <v>0.52468422872661258</v>
      </c>
      <c r="R355" s="291">
        <f t="shared" si="16"/>
        <v>0.55355521564391663</v>
      </c>
      <c r="S355" s="291">
        <f t="shared" si="16"/>
        <v>0.5573054442647738</v>
      </c>
      <c r="T355" s="291">
        <f t="shared" si="16"/>
        <v>0.57312644638941601</v>
      </c>
      <c r="U355" s="291">
        <f t="shared" si="16"/>
        <v>0.54164684516087946</v>
      </c>
      <c r="V355" s="291">
        <f t="shared" si="16"/>
        <v>0.52505366659078456</v>
      </c>
      <c r="W355" s="291">
        <f t="shared" si="16"/>
        <v>0.50329491236919688</v>
      </c>
      <c r="X355" s="291">
        <f t="shared" si="16"/>
        <v>0.56551492707905304</v>
      </c>
      <c r="Y355" s="291">
        <f t="shared" si="16"/>
        <v>0.60109464600595508</v>
      </c>
      <c r="Z355" s="291">
        <f t="shared" si="16"/>
        <v>0.57227201152131324</v>
      </c>
      <c r="AA355" s="291">
        <f t="shared" si="16"/>
        <v>0.40437102677963332</v>
      </c>
      <c r="AB355" s="291">
        <f t="shared" si="16"/>
        <v>0.36346019577535887</v>
      </c>
      <c r="AC355" s="291">
        <f t="shared" si="16"/>
        <v>0.49734685439500126</v>
      </c>
      <c r="AD355" s="291">
        <f t="shared" si="16"/>
        <v>0.46119684479826867</v>
      </c>
      <c r="AE355" s="291">
        <f t="shared" si="16"/>
        <v>0.42445818927517781</v>
      </c>
      <c r="AF355" s="291">
        <f t="shared" si="16"/>
        <v>0.47211447800362466</v>
      </c>
      <c r="AG355" s="291">
        <f t="shared" si="16"/>
        <v>0.53575717702496861</v>
      </c>
      <c r="AH355" s="291">
        <f t="shared" si="16"/>
        <v>0.5447199886165216</v>
      </c>
      <c r="AI355" s="291">
        <f t="shared" si="16"/>
        <v>0.51561650851055674</v>
      </c>
      <c r="AJ355" s="327">
        <f t="shared" si="12"/>
        <v>0.51561650851055674</v>
      </c>
    </row>
    <row r="356" spans="2:36">
      <c r="B356" s="72" t="s">
        <v>604</v>
      </c>
      <c r="C356" s="72" t="s">
        <v>605</v>
      </c>
      <c r="D356" s="291">
        <f t="shared" si="11"/>
        <v>0.47789580114986219</v>
      </c>
      <c r="E356" s="291">
        <f t="shared" si="16"/>
        <v>0.56368683438836142</v>
      </c>
      <c r="F356" s="291">
        <f t="shared" si="16"/>
        <v>0.57325383714835465</v>
      </c>
      <c r="G356" s="291">
        <f t="shared" si="16"/>
        <v>0.54485779630042896</v>
      </c>
      <c r="H356" s="291">
        <f t="shared" si="16"/>
        <v>0.58182343230810907</v>
      </c>
      <c r="I356" s="291">
        <f t="shared" si="16"/>
        <v>0.5756759229104409</v>
      </c>
      <c r="J356" s="291">
        <f t="shared" si="16"/>
        <v>0.40773586847698046</v>
      </c>
      <c r="K356" s="291">
        <f t="shared" si="16"/>
        <v>0.31311492079775055</v>
      </c>
      <c r="L356" s="291">
        <f t="shared" si="16"/>
        <v>0.24969565097159868</v>
      </c>
      <c r="M356" s="291">
        <f t="shared" si="16"/>
        <v>0.26235031879511528</v>
      </c>
      <c r="N356" s="291">
        <f t="shared" si="16"/>
        <v>0.23771260834224581</v>
      </c>
      <c r="O356" s="291">
        <f t="shared" si="16"/>
        <v>0.234508568990309</v>
      </c>
      <c r="P356" s="291">
        <f t="shared" si="16"/>
        <v>0.23714812687237555</v>
      </c>
      <c r="Q356" s="291">
        <f t="shared" si="16"/>
        <v>0.33772433194365004</v>
      </c>
      <c r="R356" s="291">
        <f t="shared" si="16"/>
        <v>0.38404723945320202</v>
      </c>
      <c r="S356" s="291">
        <f t="shared" si="16"/>
        <v>0.38666499568585466</v>
      </c>
      <c r="T356" s="291">
        <f t="shared" si="16"/>
        <v>0.3952470213205122</v>
      </c>
      <c r="U356" s="291">
        <f t="shared" si="16"/>
        <v>0.39874714145190593</v>
      </c>
      <c r="V356" s="291">
        <f t="shared" si="16"/>
        <v>0.36884069008100362</v>
      </c>
      <c r="W356" s="291">
        <f t="shared" si="16"/>
        <v>0.2815603467326569</v>
      </c>
      <c r="X356" s="291">
        <f t="shared" si="16"/>
        <v>0.28109898127694344</v>
      </c>
      <c r="Y356" s="291">
        <f t="shared" si="16"/>
        <v>0.37104926971132385</v>
      </c>
      <c r="Z356" s="291">
        <f t="shared" si="16"/>
        <v>0.38747373436652294</v>
      </c>
      <c r="AA356" s="291">
        <f t="shared" si="16"/>
        <v>0.37971036045413042</v>
      </c>
      <c r="AB356" s="291">
        <f t="shared" si="16"/>
        <v>0.35233666139629388</v>
      </c>
      <c r="AC356" s="291">
        <f t="shared" si="16"/>
        <v>0.36537915803266008</v>
      </c>
      <c r="AD356" s="291">
        <f t="shared" si="16"/>
        <v>0.38221292735597634</v>
      </c>
      <c r="AE356" s="291">
        <f t="shared" si="16"/>
        <v>0.35506483504409819</v>
      </c>
      <c r="AF356" s="291">
        <f t="shared" si="16"/>
        <v>0.41649701431507286</v>
      </c>
      <c r="AG356" s="291">
        <f t="shared" si="16"/>
        <v>0.45772981357813819</v>
      </c>
      <c r="AH356" s="291">
        <f t="shared" si="16"/>
        <v>0.48946282399567625</v>
      </c>
      <c r="AI356" s="291">
        <f t="shared" si="16"/>
        <v>0.47377157288908472</v>
      </c>
      <c r="AJ356" s="327">
        <f t="shared" si="12"/>
        <v>0.47377157288908472</v>
      </c>
    </row>
    <row r="357" spans="2:36">
      <c r="B357" s="72" t="s">
        <v>606</v>
      </c>
      <c r="C357" s="72" t="s">
        <v>607</v>
      </c>
      <c r="D357" s="291">
        <f t="shared" si="11"/>
        <v>0.38615674774407827</v>
      </c>
      <c r="E357" s="291">
        <f t="shared" si="16"/>
        <v>0.39473145242343877</v>
      </c>
      <c r="F357" s="291">
        <f t="shared" si="16"/>
        <v>0.42058629383350127</v>
      </c>
      <c r="G357" s="291">
        <f t="shared" si="16"/>
        <v>0.47037067027242174</v>
      </c>
      <c r="H357" s="291">
        <f t="shared" si="16"/>
        <v>0.52606642253164759</v>
      </c>
      <c r="I357" s="291">
        <f t="shared" si="16"/>
        <v>0.54705299963278176</v>
      </c>
      <c r="J357" s="291">
        <f t="shared" si="16"/>
        <v>0.46665032355338576</v>
      </c>
      <c r="K357" s="291">
        <f t="shared" si="16"/>
        <v>0.4375428273716655</v>
      </c>
      <c r="L357" s="291">
        <f t="shared" si="16"/>
        <v>0.31068288488530182</v>
      </c>
      <c r="M357" s="291">
        <f t="shared" si="16"/>
        <v>0.33926289754323907</v>
      </c>
      <c r="N357" s="291">
        <f t="shared" si="16"/>
        <v>0.29885987387633839</v>
      </c>
      <c r="O357" s="291">
        <f t="shared" si="16"/>
        <v>0.24001038405523328</v>
      </c>
      <c r="P357" s="291">
        <f t="shared" si="16"/>
        <v>0.25266558743006323</v>
      </c>
      <c r="Q357" s="291">
        <f t="shared" si="16"/>
        <v>0.31083529200764121</v>
      </c>
      <c r="R357" s="291">
        <f t="shared" si="16"/>
        <v>0.32149801684474349</v>
      </c>
      <c r="S357" s="291">
        <f t="shared" si="16"/>
        <v>0.33553577182795374</v>
      </c>
      <c r="T357" s="291">
        <f t="shared" si="16"/>
        <v>0.35711434841602147</v>
      </c>
      <c r="U357" s="291">
        <f t="shared" si="16"/>
        <v>0.37085952103725822</v>
      </c>
      <c r="V357" s="291">
        <f t="shared" si="16"/>
        <v>0.37010755885168767</v>
      </c>
      <c r="W357" s="291">
        <f t="shared" si="16"/>
        <v>0.37209747446366598</v>
      </c>
      <c r="X357" s="291">
        <f t="shared" si="16"/>
        <v>0.41744161106309685</v>
      </c>
      <c r="Y357" s="291">
        <f t="shared" si="16"/>
        <v>0.41127068933456623</v>
      </c>
      <c r="Z357" s="291">
        <f t="shared" si="16"/>
        <v>0.34112627533869055</v>
      </c>
      <c r="AA357" s="291">
        <f t="shared" si="16"/>
        <v>0.27475349488893547</v>
      </c>
      <c r="AB357" s="291">
        <f t="shared" si="16"/>
        <v>0.22054141775778413</v>
      </c>
      <c r="AC357" s="291">
        <f t="shared" si="16"/>
        <v>0.23269129341698649</v>
      </c>
      <c r="AD357" s="291">
        <f t="shared" si="16"/>
        <v>0.25334355116026808</v>
      </c>
      <c r="AE357" s="291">
        <f t="shared" si="16"/>
        <v>0.2494986664722792</v>
      </c>
      <c r="AF357" s="291">
        <f t="shared" si="16"/>
        <v>0.30680503012189941</v>
      </c>
      <c r="AG357" s="291">
        <f t="shared" si="16"/>
        <v>0.39096998280519352</v>
      </c>
      <c r="AH357" s="291">
        <f t="shared" si="16"/>
        <v>0.42802802095717196</v>
      </c>
      <c r="AI357" s="291">
        <f t="shared" si="16"/>
        <v>0.40440475516919488</v>
      </c>
      <c r="AJ357" s="327">
        <f t="shared" si="12"/>
        <v>0.40440475516919488</v>
      </c>
    </row>
    <row r="358" spans="2:36">
      <c r="B358" s="72" t="s">
        <v>608</v>
      </c>
      <c r="C358" s="72" t="s">
        <v>609</v>
      </c>
      <c r="D358" s="291">
        <f t="shared" si="11"/>
        <v>0.31972640951002684</v>
      </c>
      <c r="E358" s="291">
        <f t="shared" si="16"/>
        <v>0.35651729254480136</v>
      </c>
      <c r="F358" s="291">
        <f t="shared" si="16"/>
        <v>0.40301711178295629</v>
      </c>
      <c r="G358" s="291">
        <f t="shared" si="16"/>
        <v>0.44730966884538348</v>
      </c>
      <c r="H358" s="291">
        <f t="shared" si="16"/>
        <v>0.50222835192980686</v>
      </c>
      <c r="I358" s="291">
        <f t="shared" si="16"/>
        <v>0.50729619486723265</v>
      </c>
      <c r="J358" s="291">
        <f t="shared" si="16"/>
        <v>0.42539938289796769</v>
      </c>
      <c r="K358" s="291">
        <f t="shared" si="16"/>
        <v>0.37077803266033887</v>
      </c>
      <c r="L358" s="291">
        <f t="shared" si="16"/>
        <v>0.3329686426794301</v>
      </c>
      <c r="M358" s="291">
        <f t="shared" si="16"/>
        <v>0.34868557941041678</v>
      </c>
      <c r="N358" s="291">
        <f t="shared" si="16"/>
        <v>0.31262159997019306</v>
      </c>
      <c r="O358" s="291">
        <f t="shared" si="16"/>
        <v>0.31620297334723657</v>
      </c>
      <c r="P358" s="291">
        <f t="shared" si="16"/>
        <v>0.32011896800625689</v>
      </c>
      <c r="Q358" s="291">
        <f t="shared" si="16"/>
        <v>0.39516045238719899</v>
      </c>
      <c r="R358" s="291">
        <f t="shared" si="16"/>
        <v>0.41912501437489591</v>
      </c>
      <c r="S358" s="291">
        <f t="shared" si="16"/>
        <v>0.43608811434223071</v>
      </c>
      <c r="T358" s="291">
        <f t="shared" si="16"/>
        <v>0.46275247914208956</v>
      </c>
      <c r="U358" s="291">
        <f t="shared" si="16"/>
        <v>0.45259892394258455</v>
      </c>
      <c r="V358" s="291">
        <f t="shared" si="16"/>
        <v>0.45166175114781265</v>
      </c>
      <c r="W358" s="291">
        <f t="shared" si="16"/>
        <v>0.4520987996598218</v>
      </c>
      <c r="X358" s="291">
        <f t="shared" si="16"/>
        <v>0.50085551500623149</v>
      </c>
      <c r="Y358" s="291">
        <f t="shared" si="16"/>
        <v>0.54020209517812567</v>
      </c>
      <c r="Z358" s="291">
        <f t="shared" si="16"/>
        <v>0.51591581731475256</v>
      </c>
      <c r="AA358" s="291">
        <f t="shared" si="16"/>
        <v>0.46703762442274521</v>
      </c>
      <c r="AB358" s="291">
        <f t="shared" si="16"/>
        <v>0.42308304792064971</v>
      </c>
      <c r="AC358" s="291">
        <f t="shared" si="16"/>
        <v>0.42834205650678298</v>
      </c>
      <c r="AD358" s="291">
        <f t="shared" si="16"/>
        <v>0.43421565339473078</v>
      </c>
      <c r="AE358" s="291">
        <f t="shared" si="16"/>
        <v>0.39372152064578569</v>
      </c>
      <c r="AF358" s="291">
        <f t="shared" si="16"/>
        <v>0.43759908595280805</v>
      </c>
      <c r="AG358" s="291">
        <f t="shared" si="16"/>
        <v>0.5005614609931941</v>
      </c>
      <c r="AH358" s="291">
        <f t="shared" si="16"/>
        <v>0.50899498939252819</v>
      </c>
      <c r="AI358" s="291">
        <f t="shared" si="16"/>
        <v>0.49502395675723221</v>
      </c>
      <c r="AJ358" s="327">
        <f t="shared" si="12"/>
        <v>0.49502395675723221</v>
      </c>
    </row>
    <row r="359" spans="2:36">
      <c r="B359" s="72" t="s">
        <v>610</v>
      </c>
      <c r="C359" s="72" t="s">
        <v>611</v>
      </c>
      <c r="D359" s="291">
        <f t="shared" si="11"/>
        <v>0</v>
      </c>
      <c r="E359" s="291">
        <f t="shared" si="16"/>
        <v>0</v>
      </c>
      <c r="F359" s="291">
        <f t="shared" si="16"/>
        <v>0</v>
      </c>
      <c r="G359" s="291">
        <f t="shared" si="16"/>
        <v>0</v>
      </c>
      <c r="H359" s="291">
        <f t="shared" si="16"/>
        <v>0</v>
      </c>
      <c r="I359" s="291">
        <f t="shared" si="16"/>
        <v>0.26841676183676194</v>
      </c>
      <c r="J359" s="291">
        <f t="shared" si="16"/>
        <v>0.28894084419814953</v>
      </c>
      <c r="K359" s="291">
        <f t="shared" si="16"/>
        <v>0.28528728959913419</v>
      </c>
      <c r="L359" s="291">
        <f t="shared" si="16"/>
        <v>0.25520995872893598</v>
      </c>
      <c r="M359" s="291">
        <f t="shared" si="16"/>
        <v>0.23051954847833189</v>
      </c>
      <c r="N359" s="291">
        <f t="shared" si="16"/>
        <v>0.22542165054727159</v>
      </c>
      <c r="O359" s="291">
        <f t="shared" si="16"/>
        <v>0.21341680471500771</v>
      </c>
      <c r="P359" s="291">
        <f t="shared" si="16"/>
        <v>0.22103251467693866</v>
      </c>
      <c r="Q359" s="291">
        <f t="shared" si="16"/>
        <v>0.23338995020682207</v>
      </c>
      <c r="R359" s="291">
        <f t="shared" si="16"/>
        <v>0.17713160474652251</v>
      </c>
      <c r="S359" s="291">
        <f t="shared" ref="E359:AI367" si="17">S107/S$250</f>
        <v>0.19046419899248748</v>
      </c>
      <c r="T359" s="291">
        <f t="shared" si="17"/>
        <v>0.23160794747488669</v>
      </c>
      <c r="U359" s="291">
        <f t="shared" si="17"/>
        <v>0.24552652198771702</v>
      </c>
      <c r="V359" s="291">
        <f t="shared" si="17"/>
        <v>0.17705345111867654</v>
      </c>
      <c r="W359" s="291">
        <f t="shared" si="17"/>
        <v>0.23889894463246567</v>
      </c>
      <c r="X359" s="291">
        <f t="shared" si="17"/>
        <v>0.32519657392386858</v>
      </c>
      <c r="Y359" s="291">
        <f t="shared" si="17"/>
        <v>0.29002405473806586</v>
      </c>
      <c r="Z359" s="291">
        <f t="shared" si="17"/>
        <v>0.28327958067138326</v>
      </c>
      <c r="AA359" s="291">
        <f t="shared" si="17"/>
        <v>0.3010326650469049</v>
      </c>
      <c r="AB359" s="291">
        <f t="shared" si="17"/>
        <v>0.34028154082640139</v>
      </c>
      <c r="AC359" s="291">
        <f t="shared" si="17"/>
        <v>0.47109798123779878</v>
      </c>
      <c r="AD359" s="291">
        <f t="shared" si="17"/>
        <v>0.52772218621184475</v>
      </c>
      <c r="AE359" s="291">
        <f t="shared" si="17"/>
        <v>0.49440936321593065</v>
      </c>
      <c r="AF359" s="291">
        <f t="shared" si="17"/>
        <v>0.69107866592762413</v>
      </c>
      <c r="AG359" s="291">
        <f t="shared" si="17"/>
        <v>0.50374036731415883</v>
      </c>
      <c r="AH359" s="291">
        <f t="shared" si="17"/>
        <v>0.59702013715159874</v>
      </c>
      <c r="AI359" s="291">
        <f t="shared" si="17"/>
        <v>0.69326746395567174</v>
      </c>
      <c r="AJ359" s="327">
        <f t="shared" si="12"/>
        <v>0.69326746395567174</v>
      </c>
    </row>
    <row r="360" spans="2:36">
      <c r="B360" s="72" t="s">
        <v>612</v>
      </c>
      <c r="C360" s="72" t="s">
        <v>613</v>
      </c>
      <c r="D360" s="291">
        <f t="shared" si="11"/>
        <v>0</v>
      </c>
      <c r="E360" s="291">
        <f t="shared" si="17"/>
        <v>0</v>
      </c>
      <c r="F360" s="291">
        <f t="shared" si="17"/>
        <v>0</v>
      </c>
      <c r="G360" s="291">
        <f t="shared" si="17"/>
        <v>0</v>
      </c>
      <c r="H360" s="291">
        <f t="shared" si="17"/>
        <v>0</v>
      </c>
      <c r="I360" s="291">
        <f t="shared" si="17"/>
        <v>0</v>
      </c>
      <c r="J360" s="291">
        <f t="shared" si="17"/>
        <v>0</v>
      </c>
      <c r="K360" s="291">
        <f t="shared" si="17"/>
        <v>0</v>
      </c>
      <c r="L360" s="291">
        <f t="shared" si="17"/>
        <v>0</v>
      </c>
      <c r="M360" s="291">
        <f t="shared" si="17"/>
        <v>0</v>
      </c>
      <c r="N360" s="291">
        <f t="shared" si="17"/>
        <v>0</v>
      </c>
      <c r="O360" s="291">
        <f t="shared" si="17"/>
        <v>0</v>
      </c>
      <c r="P360" s="291">
        <f t="shared" si="17"/>
        <v>0.39033586048544161</v>
      </c>
      <c r="Q360" s="291">
        <f t="shared" si="17"/>
        <v>0.3837995178579694</v>
      </c>
      <c r="R360" s="291">
        <f t="shared" si="17"/>
        <v>0.34726152569186169</v>
      </c>
      <c r="S360" s="291">
        <f t="shared" si="17"/>
        <v>0.34579287159955036</v>
      </c>
      <c r="T360" s="291">
        <f t="shared" si="17"/>
        <v>0.37745467514324832</v>
      </c>
      <c r="U360" s="291">
        <f t="shared" si="17"/>
        <v>0.32704951580626263</v>
      </c>
      <c r="V360" s="291">
        <f t="shared" si="17"/>
        <v>0.33503294451154891</v>
      </c>
      <c r="W360" s="291">
        <f t="shared" si="17"/>
        <v>0.30880693495026895</v>
      </c>
      <c r="X360" s="291">
        <f t="shared" si="17"/>
        <v>0.35109342270284616</v>
      </c>
      <c r="Y360" s="291">
        <f t="shared" si="17"/>
        <v>0.32779422978365591</v>
      </c>
      <c r="Z360" s="291">
        <f t="shared" si="17"/>
        <v>0.2950055416444598</v>
      </c>
      <c r="AA360" s="291">
        <f t="shared" si="17"/>
        <v>0.34378635496338084</v>
      </c>
      <c r="AB360" s="291">
        <f t="shared" si="17"/>
        <v>0.37948176923756</v>
      </c>
      <c r="AC360" s="291">
        <f t="shared" si="17"/>
        <v>0.35508844889676616</v>
      </c>
      <c r="AD360" s="291">
        <f t="shared" si="17"/>
        <v>0.38373739286119884</v>
      </c>
      <c r="AE360" s="291">
        <f t="shared" si="17"/>
        <v>0.35767388547417417</v>
      </c>
      <c r="AF360" s="291">
        <f t="shared" si="17"/>
        <v>0.43844538932737759</v>
      </c>
      <c r="AG360" s="291">
        <f t="shared" si="17"/>
        <v>0.65262154134164263</v>
      </c>
      <c r="AH360" s="291">
        <f t="shared" si="17"/>
        <v>0.72358373598362258</v>
      </c>
      <c r="AI360" s="291">
        <f t="shared" si="17"/>
        <v>0.7522807147390681</v>
      </c>
      <c r="AJ360" s="327">
        <f t="shared" si="12"/>
        <v>0.7522807147390681</v>
      </c>
    </row>
    <row r="361" spans="2:36">
      <c r="B361" s="72" t="s">
        <v>614</v>
      </c>
      <c r="C361" s="72" t="s">
        <v>615</v>
      </c>
      <c r="D361" s="291">
        <f t="shared" si="11"/>
        <v>4.1511419758177362E-3</v>
      </c>
      <c r="E361" s="291">
        <f t="shared" si="17"/>
        <v>3.5843208980080752E-3</v>
      </c>
      <c r="F361" s="291">
        <f t="shared" si="17"/>
        <v>3.4664565106868007E-3</v>
      </c>
      <c r="G361" s="291">
        <f t="shared" si="17"/>
        <v>3.7183014055448102E-3</v>
      </c>
      <c r="H361" s="291">
        <f t="shared" si="17"/>
        <v>3.6210718568268989E-3</v>
      </c>
      <c r="I361" s="291">
        <f t="shared" si="17"/>
        <v>3.2368615885030052E-3</v>
      </c>
      <c r="J361" s="291">
        <f t="shared" si="17"/>
        <v>3.8272766681447606E-3</v>
      </c>
      <c r="K361" s="291">
        <f t="shared" si="17"/>
        <v>4.0073545058563649E-3</v>
      </c>
      <c r="L361" s="291">
        <f t="shared" si="17"/>
        <v>3.6513548991453019E-3</v>
      </c>
      <c r="M361" s="291">
        <f t="shared" si="17"/>
        <v>3.7353785291447876E-3</v>
      </c>
      <c r="N361" s="291">
        <f t="shared" si="17"/>
        <v>4.9726199804263557E-3</v>
      </c>
      <c r="O361" s="291">
        <f t="shared" si="17"/>
        <v>1.0665371832609256E-2</v>
      </c>
      <c r="P361" s="291">
        <f t="shared" si="17"/>
        <v>0.10713996010960626</v>
      </c>
      <c r="Q361" s="291">
        <f t="shared" si="17"/>
        <v>0.21279108923475165</v>
      </c>
      <c r="R361" s="291">
        <f t="shared" si="17"/>
        <v>0.29194567507517821</v>
      </c>
      <c r="S361" s="291">
        <f t="shared" si="17"/>
        <v>0.41084107489776861</v>
      </c>
      <c r="T361" s="291">
        <f t="shared" si="17"/>
        <v>0.48075689427583651</v>
      </c>
      <c r="U361" s="291">
        <f t="shared" si="17"/>
        <v>0.43467261951148933</v>
      </c>
      <c r="V361" s="291">
        <f t="shared" si="17"/>
        <v>0.44650519795432664</v>
      </c>
      <c r="W361" s="291">
        <f t="shared" si="17"/>
        <v>0.44791459362622016</v>
      </c>
      <c r="X361" s="291">
        <f t="shared" si="17"/>
        <v>0.4357734888845321</v>
      </c>
      <c r="Y361" s="291">
        <f t="shared" si="17"/>
        <v>0.47297650934223001</v>
      </c>
      <c r="Z361" s="291">
        <f t="shared" si="17"/>
        <v>0.47759766615518423</v>
      </c>
      <c r="AA361" s="291">
        <f t="shared" si="17"/>
        <v>0.51854847589581032</v>
      </c>
      <c r="AB361" s="291">
        <f t="shared" si="17"/>
        <v>0.5209753042998343</v>
      </c>
      <c r="AC361" s="291">
        <f t="shared" si="17"/>
        <v>0.53970132510158952</v>
      </c>
      <c r="AD361" s="291">
        <f t="shared" si="17"/>
        <v>0.56592939063517789</v>
      </c>
      <c r="AE361" s="291">
        <f t="shared" si="17"/>
        <v>0.58816081665535713</v>
      </c>
      <c r="AF361" s="291">
        <f t="shared" si="17"/>
        <v>0.671900062208035</v>
      </c>
      <c r="AG361" s="291">
        <f t="shared" si="17"/>
        <v>0.71300545870953336</v>
      </c>
      <c r="AH361" s="291">
        <f t="shared" si="17"/>
        <v>0.68173499230671608</v>
      </c>
      <c r="AI361" s="291">
        <f t="shared" si="17"/>
        <v>0.68656597594130542</v>
      </c>
      <c r="AJ361" s="327">
        <f t="shared" si="12"/>
        <v>0.68656597594130542</v>
      </c>
    </row>
    <row r="362" spans="2:36">
      <c r="B362" s="72" t="s">
        <v>616</v>
      </c>
      <c r="C362" s="72" t="s">
        <v>617</v>
      </c>
      <c r="D362" s="291">
        <f t="shared" si="11"/>
        <v>0</v>
      </c>
      <c r="E362" s="291">
        <f t="shared" si="17"/>
        <v>0.63162589429423366</v>
      </c>
      <c r="F362" s="291">
        <f t="shared" si="17"/>
        <v>0.70535388141708366</v>
      </c>
      <c r="G362" s="291">
        <f t="shared" si="17"/>
        <v>0.7914323054663297</v>
      </c>
      <c r="H362" s="291">
        <f t="shared" si="17"/>
        <v>0.83870717757992297</v>
      </c>
      <c r="I362" s="291">
        <f t="shared" si="17"/>
        <v>1.0823549899617211</v>
      </c>
      <c r="J362" s="291">
        <f t="shared" si="17"/>
        <v>0.86795032197732969</v>
      </c>
      <c r="K362" s="291">
        <f t="shared" si="17"/>
        <v>0.69376775590802831</v>
      </c>
      <c r="L362" s="291">
        <f t="shared" si="17"/>
        <v>0.6182228323118768</v>
      </c>
      <c r="M362" s="291">
        <f t="shared" si="17"/>
        <v>0.66135713018171227</v>
      </c>
      <c r="N362" s="291">
        <f t="shared" si="17"/>
        <v>0.58461968207148063</v>
      </c>
      <c r="O362" s="291">
        <f t="shared" si="17"/>
        <v>0.65928977017185586</v>
      </c>
      <c r="P362" s="291">
        <f t="shared" si="17"/>
        <v>0.54633428783965232</v>
      </c>
      <c r="Q362" s="291">
        <f t="shared" si="17"/>
        <v>0.3949345571741083</v>
      </c>
      <c r="R362" s="291">
        <f t="shared" si="17"/>
        <v>0.35896815069219107</v>
      </c>
      <c r="S362" s="291">
        <f t="shared" si="17"/>
        <v>0.33825893736207036</v>
      </c>
      <c r="T362" s="291">
        <f t="shared" si="17"/>
        <v>0.32676599620552105</v>
      </c>
      <c r="U362" s="291">
        <f t="shared" si="17"/>
        <v>0.30541123130367054</v>
      </c>
      <c r="V362" s="291">
        <f t="shared" si="17"/>
        <v>0.27523876806632414</v>
      </c>
      <c r="W362" s="291">
        <f t="shared" si="17"/>
        <v>0.24763780151875611</v>
      </c>
      <c r="X362" s="291">
        <f t="shared" si="17"/>
        <v>0.27474879860914175</v>
      </c>
      <c r="Y362" s="291">
        <f t="shared" si="17"/>
        <v>0.26242627830045195</v>
      </c>
      <c r="Z362" s="291">
        <f t="shared" si="17"/>
        <v>0.23559832596661243</v>
      </c>
      <c r="AA362" s="291">
        <f t="shared" si="17"/>
        <v>0.23307057414157509</v>
      </c>
      <c r="AB362" s="291">
        <f t="shared" si="17"/>
        <v>0.21193873858623952</v>
      </c>
      <c r="AC362" s="291">
        <f t="shared" si="17"/>
        <v>0.22485467410352256</v>
      </c>
      <c r="AD362" s="291">
        <f t="shared" si="17"/>
        <v>0.24256540686976702</v>
      </c>
      <c r="AE362" s="291">
        <f t="shared" si="17"/>
        <v>0.23965874997036746</v>
      </c>
      <c r="AF362" s="291">
        <f t="shared" si="17"/>
        <v>0.30800782976126984</v>
      </c>
      <c r="AG362" s="291">
        <f t="shared" si="17"/>
        <v>0.35821622267625874</v>
      </c>
      <c r="AH362" s="291">
        <f t="shared" si="17"/>
        <v>0.30220145276206567</v>
      </c>
      <c r="AI362" s="291">
        <f t="shared" si="17"/>
        <v>0.29403315657398521</v>
      </c>
      <c r="AJ362" s="327">
        <f t="shared" si="12"/>
        <v>0.29403315657398521</v>
      </c>
    </row>
    <row r="363" spans="2:36">
      <c r="B363" s="72" t="s">
        <v>618</v>
      </c>
      <c r="C363" s="72" t="s">
        <v>619</v>
      </c>
      <c r="D363" s="291">
        <f t="shared" si="11"/>
        <v>0</v>
      </c>
      <c r="E363" s="291">
        <f t="shared" si="17"/>
        <v>0</v>
      </c>
      <c r="F363" s="291">
        <f t="shared" si="17"/>
        <v>0</v>
      </c>
      <c r="G363" s="291">
        <f t="shared" si="17"/>
        <v>0</v>
      </c>
      <c r="H363" s="291">
        <f t="shared" si="17"/>
        <v>0</v>
      </c>
      <c r="I363" s="291">
        <f t="shared" si="17"/>
        <v>0</v>
      </c>
      <c r="J363" s="291">
        <f t="shared" si="17"/>
        <v>0</v>
      </c>
      <c r="K363" s="291">
        <f t="shared" si="17"/>
        <v>0</v>
      </c>
      <c r="L363" s="291">
        <f t="shared" si="17"/>
        <v>0</v>
      </c>
      <c r="M363" s="291">
        <f t="shared" si="17"/>
        <v>0</v>
      </c>
      <c r="N363" s="291">
        <f t="shared" si="17"/>
        <v>0</v>
      </c>
      <c r="O363" s="291">
        <f t="shared" si="17"/>
        <v>0</v>
      </c>
      <c r="P363" s="291">
        <f t="shared" si="17"/>
        <v>0</v>
      </c>
      <c r="Q363" s="291">
        <f t="shared" si="17"/>
        <v>0</v>
      </c>
      <c r="R363" s="291">
        <f t="shared" si="17"/>
        <v>0</v>
      </c>
      <c r="S363" s="291">
        <f t="shared" si="17"/>
        <v>0</v>
      </c>
      <c r="T363" s="291">
        <f t="shared" si="17"/>
        <v>0</v>
      </c>
      <c r="U363" s="291">
        <f t="shared" si="17"/>
        <v>0</v>
      </c>
      <c r="V363" s="291">
        <f t="shared" si="17"/>
        <v>0</v>
      </c>
      <c r="W363" s="291">
        <f t="shared" si="17"/>
        <v>0</v>
      </c>
      <c r="X363" s="291">
        <f t="shared" si="17"/>
        <v>0</v>
      </c>
      <c r="Y363" s="291">
        <f t="shared" si="17"/>
        <v>0</v>
      </c>
      <c r="Z363" s="291">
        <f t="shared" si="17"/>
        <v>0</v>
      </c>
      <c r="AA363" s="291">
        <f t="shared" si="17"/>
        <v>0</v>
      </c>
      <c r="AB363" s="291">
        <f t="shared" si="17"/>
        <v>0</v>
      </c>
      <c r="AC363" s="291">
        <f t="shared" si="17"/>
        <v>0</v>
      </c>
      <c r="AD363" s="291">
        <f t="shared" si="17"/>
        <v>0</v>
      </c>
      <c r="AE363" s="291">
        <f t="shared" si="17"/>
        <v>0</v>
      </c>
      <c r="AF363" s="291">
        <f t="shared" si="17"/>
        <v>0</v>
      </c>
      <c r="AG363" s="291">
        <f t="shared" si="17"/>
        <v>0</v>
      </c>
      <c r="AH363" s="291">
        <f t="shared" si="17"/>
        <v>0</v>
      </c>
      <c r="AI363" s="291">
        <f t="shared" si="17"/>
        <v>0</v>
      </c>
      <c r="AJ363" s="327">
        <f t="shared" si="12"/>
        <v>0</v>
      </c>
    </row>
    <row r="364" spans="2:36">
      <c r="B364" s="72" t="s">
        <v>620</v>
      </c>
      <c r="C364" s="72" t="s">
        <v>621</v>
      </c>
      <c r="D364" s="291">
        <f t="shared" si="11"/>
        <v>1.0037046600292105</v>
      </c>
      <c r="E364" s="291">
        <f t="shared" si="17"/>
        <v>1.0072377873733729</v>
      </c>
      <c r="F364" s="291">
        <f t="shared" si="17"/>
        <v>1.1084511431725399</v>
      </c>
      <c r="G364" s="291">
        <f t="shared" si="17"/>
        <v>1.1860341841156976</v>
      </c>
      <c r="H364" s="291">
        <f t="shared" si="17"/>
        <v>1.250414417901937</v>
      </c>
      <c r="I364" s="291">
        <f t="shared" si="17"/>
        <v>1.2435787852253568</v>
      </c>
      <c r="J364" s="291">
        <f t="shared" si="17"/>
        <v>1.1046056941652642</v>
      </c>
      <c r="K364" s="291">
        <f t="shared" si="17"/>
        <v>0.91944483135099331</v>
      </c>
      <c r="L364" s="291">
        <f t="shared" si="17"/>
        <v>0.74172645983794461</v>
      </c>
      <c r="M364" s="291">
        <f t="shared" si="17"/>
        <v>0.74529547015077147</v>
      </c>
      <c r="N364" s="291">
        <f t="shared" si="17"/>
        <v>0.6816611282303503</v>
      </c>
      <c r="O364" s="291">
        <f t="shared" si="17"/>
        <v>0.68667882170687389</v>
      </c>
      <c r="P364" s="291">
        <f t="shared" si="17"/>
        <v>0.69567654740834117</v>
      </c>
      <c r="Q364" s="291">
        <f t="shared" si="17"/>
        <v>0.82727609122755852</v>
      </c>
      <c r="R364" s="291">
        <f t="shared" si="17"/>
        <v>0.84791643893239088</v>
      </c>
      <c r="S364" s="291">
        <f t="shared" si="17"/>
        <v>0.84131362063862158</v>
      </c>
      <c r="T364" s="291">
        <f t="shared" si="17"/>
        <v>0.86230277739419858</v>
      </c>
      <c r="U364" s="291">
        <f t="shared" si="17"/>
        <v>0.81903686933365072</v>
      </c>
      <c r="V364" s="291">
        <f t="shared" si="17"/>
        <v>0.61413452264352386</v>
      </c>
      <c r="W364" s="291">
        <f t="shared" si="17"/>
        <v>0.66009631710222172</v>
      </c>
      <c r="X364" s="291">
        <f t="shared" si="17"/>
        <v>0.62538117459836906</v>
      </c>
      <c r="Y364" s="291">
        <f t="shared" si="17"/>
        <v>0.63042766999793121</v>
      </c>
      <c r="Z364" s="291">
        <f t="shared" si="17"/>
        <v>0.63985654548716464</v>
      </c>
      <c r="AA364" s="291">
        <f t="shared" si="17"/>
        <v>0.70110352804328646</v>
      </c>
      <c r="AB364" s="291">
        <f t="shared" si="17"/>
        <v>0.68906653761465819</v>
      </c>
      <c r="AC364" s="291">
        <f t="shared" si="17"/>
        <v>0.73097103562448729</v>
      </c>
      <c r="AD364" s="291">
        <f t="shared" si="17"/>
        <v>0.7189342309437714</v>
      </c>
      <c r="AE364" s="291">
        <f t="shared" si="17"/>
        <v>0.68613331014812928</v>
      </c>
      <c r="AF364" s="291">
        <f t="shared" si="17"/>
        <v>0.76167456568909231</v>
      </c>
      <c r="AG364" s="291">
        <f t="shared" si="17"/>
        <v>0.71100311121128179</v>
      </c>
      <c r="AH364" s="291">
        <f t="shared" si="17"/>
        <v>0.78039922489164859</v>
      </c>
      <c r="AI364" s="291">
        <f t="shared" si="17"/>
        <v>0.84421311997742987</v>
      </c>
      <c r="AJ364" s="327">
        <f t="shared" si="12"/>
        <v>0.84421311997742987</v>
      </c>
    </row>
    <row r="365" spans="2:36">
      <c r="B365" s="72" t="s">
        <v>622</v>
      </c>
      <c r="C365" s="72" t="s">
        <v>385</v>
      </c>
      <c r="D365" s="291">
        <f t="shared" si="11"/>
        <v>1.0771055984681071</v>
      </c>
      <c r="E365" s="291">
        <f t="shared" si="17"/>
        <v>1.0787763677830906</v>
      </c>
      <c r="F365" s="291">
        <f t="shared" si="17"/>
        <v>1.1295276488540598</v>
      </c>
      <c r="G365" s="291">
        <f t="shared" si="17"/>
        <v>1.1543527530774953</v>
      </c>
      <c r="H365" s="291">
        <f t="shared" si="17"/>
        <v>1.2642496395258433</v>
      </c>
      <c r="I365" s="291">
        <f t="shared" si="17"/>
        <v>1.2642191824929969</v>
      </c>
      <c r="J365" s="291">
        <f t="shared" si="17"/>
        <v>1.3715219438854314</v>
      </c>
      <c r="K365" s="291">
        <f t="shared" si="17"/>
        <v>1.4049214393962457</v>
      </c>
      <c r="L365" s="291">
        <f t="shared" si="17"/>
        <v>1.3739391126839533</v>
      </c>
      <c r="M365" s="291">
        <f t="shared" si="17"/>
        <v>1.4432816311317742</v>
      </c>
      <c r="N365" s="291">
        <f t="shared" si="17"/>
        <v>1.4606111452805872</v>
      </c>
      <c r="O365" s="291">
        <f t="shared" si="17"/>
        <v>1.3257054343970249</v>
      </c>
      <c r="P365" s="291">
        <f t="shared" si="17"/>
        <v>1.1697135071597322</v>
      </c>
      <c r="Q365" s="291">
        <f t="shared" si="17"/>
        <v>1.0635308344163774</v>
      </c>
      <c r="R365" s="291">
        <f t="shared" si="17"/>
        <v>1.1402937152574362</v>
      </c>
      <c r="S365" s="291">
        <f t="shared" si="17"/>
        <v>1.3465533400269845</v>
      </c>
      <c r="T365" s="291">
        <f t="shared" si="17"/>
        <v>1.2983547325910441</v>
      </c>
      <c r="U365" s="291">
        <f t="shared" si="17"/>
        <v>1.0989664187852375</v>
      </c>
      <c r="V365" s="291">
        <f t="shared" si="17"/>
        <v>1.0444183047151763</v>
      </c>
      <c r="W365" s="291">
        <f t="shared" si="17"/>
        <v>1.0118923776972728</v>
      </c>
      <c r="X365" s="291">
        <f t="shared" si="17"/>
        <v>0.95251314882188876</v>
      </c>
      <c r="Y365" s="291">
        <f t="shared" si="17"/>
        <v>1.0034822496846481</v>
      </c>
      <c r="Z365" s="291">
        <f t="shared" si="17"/>
        <v>1.0036840102051792</v>
      </c>
      <c r="AA365" s="291">
        <f t="shared" si="17"/>
        <v>1.0900868085000393</v>
      </c>
      <c r="AB365" s="291">
        <f t="shared" si="17"/>
        <v>1.0456796077550989</v>
      </c>
      <c r="AC365" s="291">
        <f t="shared" si="17"/>
        <v>1.0506611488167918</v>
      </c>
      <c r="AD365" s="291">
        <f t="shared" si="17"/>
        <v>1.0334797459742606</v>
      </c>
      <c r="AE365" s="291">
        <f t="shared" si="17"/>
        <v>0.99695815628458906</v>
      </c>
      <c r="AF365" s="291">
        <f t="shared" si="17"/>
        <v>1.1234365821257921</v>
      </c>
      <c r="AG365" s="291">
        <f t="shared" si="17"/>
        <v>1.22783682094657</v>
      </c>
      <c r="AH365" s="291">
        <f t="shared" si="17"/>
        <v>1.1858826278751591</v>
      </c>
      <c r="AI365" s="291">
        <f t="shared" si="17"/>
        <v>1.1903136430095915</v>
      </c>
      <c r="AJ365" s="327">
        <f t="shared" si="12"/>
        <v>1.1903136430095915</v>
      </c>
    </row>
    <row r="366" spans="2:36">
      <c r="B366" s="72" t="s">
        <v>623</v>
      </c>
      <c r="C366" s="72" t="s">
        <v>328</v>
      </c>
      <c r="D366" s="291">
        <f t="shared" si="11"/>
        <v>1.1482148417599891</v>
      </c>
      <c r="E366" s="291">
        <f t="shared" si="17"/>
        <v>1.0350495115630023</v>
      </c>
      <c r="F366" s="291">
        <f t="shared" si="17"/>
        <v>1.0275901799204537</v>
      </c>
      <c r="G366" s="291">
        <f t="shared" si="17"/>
        <v>1.0621754153647847</v>
      </c>
      <c r="H366" s="291">
        <f t="shared" si="17"/>
        <v>1.0808448485895188</v>
      </c>
      <c r="I366" s="291">
        <f t="shared" si="17"/>
        <v>1.0851480615828493</v>
      </c>
      <c r="J366" s="291">
        <f t="shared" si="17"/>
        <v>1.2538030098347444</v>
      </c>
      <c r="K366" s="291">
        <f t="shared" si="17"/>
        <v>1.2616722652484915</v>
      </c>
      <c r="L366" s="291">
        <f t="shared" si="17"/>
        <v>1.1365864315069503</v>
      </c>
      <c r="M366" s="291">
        <f t="shared" si="17"/>
        <v>1.1115024743028434</v>
      </c>
      <c r="N366" s="291">
        <f t="shared" si="17"/>
        <v>1.1446365928970443</v>
      </c>
      <c r="O366" s="291">
        <f t="shared" si="17"/>
        <v>1.0723792004198356</v>
      </c>
      <c r="P366" s="291">
        <f t="shared" si="17"/>
        <v>1.1283370620377817</v>
      </c>
      <c r="Q366" s="291">
        <f t="shared" si="17"/>
        <v>1.2206315961561585</v>
      </c>
      <c r="R366" s="291">
        <f t="shared" si="17"/>
        <v>1.2146404858302311</v>
      </c>
      <c r="S366" s="291">
        <f t="shared" si="17"/>
        <v>1.2918511861592399</v>
      </c>
      <c r="T366" s="291">
        <f t="shared" si="17"/>
        <v>1.2667076833657649</v>
      </c>
      <c r="U366" s="291">
        <f t="shared" si="17"/>
        <v>1.0532358554092043</v>
      </c>
      <c r="V366" s="291">
        <f t="shared" si="17"/>
        <v>1.0064130789554611</v>
      </c>
      <c r="W366" s="291">
        <f t="shared" si="17"/>
        <v>0.96853415747435889</v>
      </c>
      <c r="X366" s="291">
        <f t="shared" si="17"/>
        <v>0.89907457356976728</v>
      </c>
      <c r="Y366" s="291">
        <f t="shared" si="17"/>
        <v>0.91116242080949839</v>
      </c>
      <c r="Z366" s="291">
        <f t="shared" si="17"/>
        <v>0.90535452170149833</v>
      </c>
      <c r="AA366" s="291">
        <f t="shared" si="17"/>
        <v>1.0116537094954998</v>
      </c>
      <c r="AB366" s="291">
        <f t="shared" si="17"/>
        <v>1.0078385478564877</v>
      </c>
      <c r="AC366" s="291">
        <f t="shared" si="17"/>
        <v>0.99271290402636658</v>
      </c>
      <c r="AD366" s="291">
        <f t="shared" si="17"/>
        <v>0.98209264079519165</v>
      </c>
      <c r="AE366" s="291">
        <f t="shared" si="17"/>
        <v>0.94646582983070338</v>
      </c>
      <c r="AF366" s="291">
        <f t="shared" si="17"/>
        <v>1.0801094779666065</v>
      </c>
      <c r="AG366" s="291">
        <f t="shared" si="17"/>
        <v>1.1704560916929947</v>
      </c>
      <c r="AH366" s="291">
        <f t="shared" si="17"/>
        <v>1.1136246240958672</v>
      </c>
      <c r="AI366" s="291">
        <f t="shared" si="17"/>
        <v>1.0981991452690154</v>
      </c>
      <c r="AJ366" s="327">
        <f t="shared" si="12"/>
        <v>1.0981991452690154</v>
      </c>
    </row>
    <row r="367" spans="2:36">
      <c r="B367" s="72" t="s">
        <v>624</v>
      </c>
      <c r="C367" s="72" t="s">
        <v>625</v>
      </c>
      <c r="D367" s="291">
        <f t="shared" si="11"/>
        <v>0</v>
      </c>
      <c r="E367" s="291">
        <f t="shared" si="17"/>
        <v>0</v>
      </c>
      <c r="F367" s="291">
        <f t="shared" si="17"/>
        <v>0</v>
      </c>
      <c r="G367" s="291">
        <f t="shared" si="17"/>
        <v>0</v>
      </c>
      <c r="H367" s="291">
        <f t="shared" si="17"/>
        <v>0</v>
      </c>
      <c r="I367" s="291">
        <f t="shared" si="17"/>
        <v>0</v>
      </c>
      <c r="J367" s="291">
        <f t="shared" si="17"/>
        <v>0</v>
      </c>
      <c r="K367" s="291">
        <f t="shared" si="17"/>
        <v>0</v>
      </c>
      <c r="L367" s="291">
        <f t="shared" si="17"/>
        <v>0</v>
      </c>
      <c r="M367" s="291">
        <f t="shared" si="17"/>
        <v>0</v>
      </c>
      <c r="N367" s="291">
        <f t="shared" si="17"/>
        <v>0</v>
      </c>
      <c r="O367" s="291">
        <f t="shared" si="17"/>
        <v>0</v>
      </c>
      <c r="P367" s="291">
        <f t="shared" si="17"/>
        <v>0</v>
      </c>
      <c r="Q367" s="291">
        <f t="shared" si="17"/>
        <v>0</v>
      </c>
      <c r="R367" s="291">
        <f t="shared" si="17"/>
        <v>0</v>
      </c>
      <c r="S367" s="291">
        <f t="shared" si="17"/>
        <v>0</v>
      </c>
      <c r="T367" s="291">
        <f t="shared" si="17"/>
        <v>0</v>
      </c>
      <c r="U367" s="291">
        <f t="shared" si="17"/>
        <v>0</v>
      </c>
      <c r="V367" s="291">
        <f t="shared" si="17"/>
        <v>0</v>
      </c>
      <c r="W367" s="291">
        <f t="shared" si="17"/>
        <v>0</v>
      </c>
      <c r="X367" s="291">
        <f t="shared" si="17"/>
        <v>0</v>
      </c>
      <c r="Y367" s="291">
        <f t="shared" si="17"/>
        <v>0</v>
      </c>
      <c r="Z367" s="291">
        <f t="shared" ref="E367:AI375" si="18">Z115/Z$250</f>
        <v>0</v>
      </c>
      <c r="AA367" s="291">
        <f t="shared" si="18"/>
        <v>0</v>
      </c>
      <c r="AB367" s="291">
        <f t="shared" si="18"/>
        <v>0</v>
      </c>
      <c r="AC367" s="291">
        <f t="shared" si="18"/>
        <v>0</v>
      </c>
      <c r="AD367" s="291">
        <f t="shared" si="18"/>
        <v>0</v>
      </c>
      <c r="AE367" s="291">
        <f t="shared" si="18"/>
        <v>0</v>
      </c>
      <c r="AF367" s="291">
        <f t="shared" si="18"/>
        <v>0</v>
      </c>
      <c r="AG367" s="291">
        <f t="shared" si="18"/>
        <v>0</v>
      </c>
      <c r="AH367" s="291">
        <f t="shared" si="18"/>
        <v>0</v>
      </c>
      <c r="AI367" s="291">
        <f t="shared" si="18"/>
        <v>0</v>
      </c>
      <c r="AJ367" s="327">
        <f t="shared" si="12"/>
        <v>0</v>
      </c>
    </row>
    <row r="368" spans="2:36">
      <c r="B368" s="72" t="s">
        <v>626</v>
      </c>
      <c r="C368" s="72" t="s">
        <v>627</v>
      </c>
      <c r="D368" s="291">
        <f t="shared" si="11"/>
        <v>0.67129993842308744</v>
      </c>
      <c r="E368" s="291">
        <f t="shared" si="18"/>
        <v>0.59851726518120552</v>
      </c>
      <c r="F368" s="291">
        <f t="shared" si="18"/>
        <v>0.6196606025025938</v>
      </c>
      <c r="G368" s="291">
        <f t="shared" si="18"/>
        <v>0.60085633237919733</v>
      </c>
      <c r="H368" s="291">
        <f t="shared" si="18"/>
        <v>0.63947731853421741</v>
      </c>
      <c r="I368" s="291">
        <f t="shared" si="18"/>
        <v>0.60127131186933025</v>
      </c>
      <c r="J368" s="291">
        <f t="shared" si="18"/>
        <v>0.52291655071697252</v>
      </c>
      <c r="K368" s="291">
        <f t="shared" si="18"/>
        <v>0.51812926214340771</v>
      </c>
      <c r="L368" s="291">
        <f t="shared" si="18"/>
        <v>0.46365881149968652</v>
      </c>
      <c r="M368" s="291">
        <f t="shared" si="18"/>
        <v>0.47250858562695264</v>
      </c>
      <c r="N368" s="291">
        <f t="shared" si="18"/>
        <v>0.54666892152187574</v>
      </c>
      <c r="O368" s="291">
        <f t="shared" si="18"/>
        <v>0.44284558300459309</v>
      </c>
      <c r="P368" s="291">
        <f t="shared" si="18"/>
        <v>0.45931076395921794</v>
      </c>
      <c r="Q368" s="291">
        <f t="shared" si="18"/>
        <v>0.39355671942466747</v>
      </c>
      <c r="R368" s="291">
        <f t="shared" si="18"/>
        <v>0.35054184193847843</v>
      </c>
      <c r="S368" s="291">
        <f t="shared" si="18"/>
        <v>0.37226908787912594</v>
      </c>
      <c r="T368" s="291">
        <f t="shared" si="18"/>
        <v>0.41002289231371392</v>
      </c>
      <c r="U368" s="291">
        <f t="shared" si="18"/>
        <v>0.3426571590525363</v>
      </c>
      <c r="V368" s="291">
        <f t="shared" si="18"/>
        <v>0.26756717023903626</v>
      </c>
      <c r="W368" s="291">
        <f t="shared" si="18"/>
        <v>0.30484340824770872</v>
      </c>
      <c r="X368" s="291">
        <f t="shared" si="18"/>
        <v>0.36266105169836549</v>
      </c>
      <c r="Y368" s="291">
        <f t="shared" si="18"/>
        <v>0.34444911328285144</v>
      </c>
      <c r="Z368" s="291">
        <f t="shared" si="18"/>
        <v>0.34102951482550847</v>
      </c>
      <c r="AA368" s="291">
        <f t="shared" si="18"/>
        <v>0.35978797863490963</v>
      </c>
      <c r="AB368" s="291">
        <f t="shared" si="18"/>
        <v>0.36983996419513326</v>
      </c>
      <c r="AC368" s="291">
        <f t="shared" si="18"/>
        <v>0.41997174019331618</v>
      </c>
      <c r="AD368" s="291">
        <f t="shared" si="18"/>
        <v>0.44380687075867636</v>
      </c>
      <c r="AE368" s="291">
        <f t="shared" si="18"/>
        <v>0.44276447477667874</v>
      </c>
      <c r="AF368" s="291">
        <f t="shared" si="18"/>
        <v>0.57399510871461346</v>
      </c>
      <c r="AG368" s="291">
        <f t="shared" si="18"/>
        <v>0.50390209722835633</v>
      </c>
      <c r="AH368" s="291">
        <f t="shared" si="18"/>
        <v>0.56646658407303474</v>
      </c>
      <c r="AI368" s="291">
        <f t="shared" si="18"/>
        <v>0.64039286119878658</v>
      </c>
      <c r="AJ368" s="327">
        <f t="shared" si="12"/>
        <v>0.64039286119878658</v>
      </c>
    </row>
    <row r="369" spans="2:36">
      <c r="B369" s="72" t="s">
        <v>628</v>
      </c>
      <c r="C369" s="72" t="s">
        <v>629</v>
      </c>
      <c r="D369" s="291">
        <f t="shared" si="11"/>
        <v>0.42565250734773452</v>
      </c>
      <c r="E369" s="291">
        <f t="shared" si="18"/>
        <v>0.38813892383824933</v>
      </c>
      <c r="F369" s="291">
        <f t="shared" si="18"/>
        <v>0.41369259732987668</v>
      </c>
      <c r="G369" s="291">
        <f t="shared" si="18"/>
        <v>0.40268999301237629</v>
      </c>
      <c r="H369" s="291">
        <f t="shared" si="18"/>
        <v>0.35207337501324037</v>
      </c>
      <c r="I369" s="291">
        <f t="shared" si="18"/>
        <v>0.44241884480314964</v>
      </c>
      <c r="J369" s="291">
        <f t="shared" si="18"/>
        <v>0.29592086320387134</v>
      </c>
      <c r="K369" s="291">
        <f t="shared" si="18"/>
        <v>0.29225749238498538</v>
      </c>
      <c r="L369" s="291">
        <f t="shared" si="18"/>
        <v>0.29222170329747088</v>
      </c>
      <c r="M369" s="291">
        <f t="shared" si="18"/>
        <v>0.29788461795381727</v>
      </c>
      <c r="N369" s="291">
        <f t="shared" si="18"/>
        <v>0.27478198067578513</v>
      </c>
      <c r="O369" s="291">
        <f t="shared" si="18"/>
        <v>0.54944119287787474</v>
      </c>
      <c r="P369" s="291">
        <f t="shared" si="18"/>
        <v>0.53401251276480022</v>
      </c>
      <c r="Q369" s="291">
        <f t="shared" si="18"/>
        <v>0.62337506860728109</v>
      </c>
      <c r="R369" s="291">
        <f t="shared" si="18"/>
        <v>0.59393775513881319</v>
      </c>
      <c r="S369" s="291">
        <f t="shared" si="18"/>
        <v>0.58403740349064537</v>
      </c>
      <c r="T369" s="291">
        <f t="shared" si="18"/>
        <v>0.6128605115240483</v>
      </c>
      <c r="U369" s="291">
        <f t="shared" si="18"/>
        <v>0.52283265770028031</v>
      </c>
      <c r="V369" s="291">
        <f t="shared" si="18"/>
        <v>0.50707257075103351</v>
      </c>
      <c r="W369" s="291">
        <f t="shared" si="18"/>
        <v>0.46096038918117899</v>
      </c>
      <c r="X369" s="291">
        <f t="shared" si="18"/>
        <v>0.45094406921098312</v>
      </c>
      <c r="Y369" s="291">
        <f t="shared" si="18"/>
        <v>0.39036010798355703</v>
      </c>
      <c r="Z369" s="291">
        <f t="shared" si="18"/>
        <v>0.32026693662584066</v>
      </c>
      <c r="AA369" s="291">
        <f t="shared" si="18"/>
        <v>0.22226044033668388</v>
      </c>
      <c r="AB369" s="291">
        <f t="shared" si="18"/>
        <v>0.21681920268132712</v>
      </c>
      <c r="AC369" s="291">
        <f t="shared" si="18"/>
        <v>0.22873646101719605</v>
      </c>
      <c r="AD369" s="291">
        <f t="shared" si="18"/>
        <v>0.23041995147690203</v>
      </c>
      <c r="AE369" s="291">
        <f t="shared" si="18"/>
        <v>0.23557304260187056</v>
      </c>
      <c r="AF369" s="291">
        <f t="shared" si="18"/>
        <v>0.2844148406807771</v>
      </c>
      <c r="AG369" s="291">
        <f t="shared" si="18"/>
        <v>0.28636991036957526</v>
      </c>
      <c r="AH369" s="291">
        <f t="shared" si="18"/>
        <v>0.28234994922691425</v>
      </c>
      <c r="AI369" s="291">
        <f t="shared" si="18"/>
        <v>0.25539013652561593</v>
      </c>
      <c r="AJ369" s="327">
        <f t="shared" si="12"/>
        <v>0.25539013652561593</v>
      </c>
    </row>
    <row r="370" spans="2:36">
      <c r="B370" s="72" t="s">
        <v>630</v>
      </c>
      <c r="C370" s="72" t="s">
        <v>631</v>
      </c>
      <c r="D370" s="291">
        <f t="shared" si="11"/>
        <v>0</v>
      </c>
      <c r="E370" s="291">
        <f t="shared" si="18"/>
        <v>0</v>
      </c>
      <c r="F370" s="291">
        <f t="shared" si="18"/>
        <v>0</v>
      </c>
      <c r="G370" s="291">
        <f t="shared" si="18"/>
        <v>0</v>
      </c>
      <c r="H370" s="291">
        <f t="shared" si="18"/>
        <v>0</v>
      </c>
      <c r="I370" s="291">
        <f t="shared" si="18"/>
        <v>0</v>
      </c>
      <c r="J370" s="291">
        <f t="shared" si="18"/>
        <v>0</v>
      </c>
      <c r="K370" s="291">
        <f t="shared" si="18"/>
        <v>0</v>
      </c>
      <c r="L370" s="291">
        <f t="shared" si="18"/>
        <v>0</v>
      </c>
      <c r="M370" s="291">
        <f t="shared" si="18"/>
        <v>0</v>
      </c>
      <c r="N370" s="291">
        <f t="shared" si="18"/>
        <v>0.33474676215846849</v>
      </c>
      <c r="O370" s="291">
        <f t="shared" si="18"/>
        <v>0.32905352462463855</v>
      </c>
      <c r="P370" s="291">
        <f t="shared" si="18"/>
        <v>0.33776915606338564</v>
      </c>
      <c r="Q370" s="291">
        <f t="shared" si="18"/>
        <v>0.39770928003380446</v>
      </c>
      <c r="R370" s="291">
        <f t="shared" si="18"/>
        <v>0.39870576368432653</v>
      </c>
      <c r="S370" s="291">
        <f t="shared" si="18"/>
        <v>0.39231342506414535</v>
      </c>
      <c r="T370" s="291">
        <f t="shared" si="18"/>
        <v>0.40290138466145731</v>
      </c>
      <c r="U370" s="291">
        <f t="shared" si="18"/>
        <v>0.39059252181261117</v>
      </c>
      <c r="V370" s="291">
        <f t="shared" si="18"/>
        <v>0.37434980475115415</v>
      </c>
      <c r="W370" s="291">
        <f t="shared" si="18"/>
        <v>0.2813047498082894</v>
      </c>
      <c r="X370" s="291">
        <f t="shared" si="18"/>
        <v>0.32394545072807601</v>
      </c>
      <c r="Y370" s="291">
        <f t="shared" si="18"/>
        <v>0.3395010349184871</v>
      </c>
      <c r="Z370" s="291">
        <f t="shared" si="18"/>
        <v>0.32037470431508347</v>
      </c>
      <c r="AA370" s="291">
        <f t="shared" si="18"/>
        <v>0.29856446234481393</v>
      </c>
      <c r="AB370" s="291">
        <f t="shared" si="18"/>
        <v>0.31825830806143685</v>
      </c>
      <c r="AC370" s="291">
        <f t="shared" si="18"/>
        <v>0.35198971585218336</v>
      </c>
      <c r="AD370" s="291">
        <f t="shared" si="18"/>
        <v>0.37815505152706064</v>
      </c>
      <c r="AE370" s="291">
        <f t="shared" si="18"/>
        <v>0.38324386737258481</v>
      </c>
      <c r="AF370" s="291">
        <f t="shared" si="18"/>
        <v>0.497686225373555</v>
      </c>
      <c r="AG370" s="291">
        <f t="shared" si="18"/>
        <v>0.50005706209198597</v>
      </c>
      <c r="AH370" s="291">
        <f t="shared" si="18"/>
        <v>0.5055827501168263</v>
      </c>
      <c r="AI370" s="291">
        <f t="shared" si="18"/>
        <v>0.53523880408532776</v>
      </c>
      <c r="AJ370" s="327">
        <f t="shared" si="12"/>
        <v>0.53523880408532776</v>
      </c>
    </row>
    <row r="371" spans="2:36">
      <c r="B371" s="72" t="s">
        <v>632</v>
      </c>
      <c r="C371" s="72" t="s">
        <v>633</v>
      </c>
      <c r="D371" s="291">
        <f t="shared" si="11"/>
        <v>1.0365249089570305</v>
      </c>
      <c r="E371" s="291">
        <f t="shared" si="18"/>
        <v>0.9017475119877737</v>
      </c>
      <c r="F371" s="291">
        <f t="shared" si="18"/>
        <v>0.94064613304760081</v>
      </c>
      <c r="G371" s="291">
        <f t="shared" si="18"/>
        <v>1.0040695552282111</v>
      </c>
      <c r="H371" s="291">
        <f t="shared" si="18"/>
        <v>1.0010062318420956</v>
      </c>
      <c r="I371" s="291">
        <f t="shared" si="18"/>
        <v>0.96772371794658196</v>
      </c>
      <c r="J371" s="291">
        <f t="shared" si="18"/>
        <v>1.1439060951917337</v>
      </c>
      <c r="K371" s="291">
        <f t="shared" si="18"/>
        <v>1.1917327413066905</v>
      </c>
      <c r="L371" s="291">
        <f t="shared" si="18"/>
        <v>1.0722733456733131</v>
      </c>
      <c r="M371" s="291">
        <f t="shared" si="18"/>
        <v>1.0437489112927787</v>
      </c>
      <c r="N371" s="291">
        <f t="shared" si="18"/>
        <v>1.0741743253777534</v>
      </c>
      <c r="O371" s="291">
        <f t="shared" si="18"/>
        <v>1.0195047806764221</v>
      </c>
      <c r="P371" s="291">
        <f t="shared" si="18"/>
        <v>1.105914097177328</v>
      </c>
      <c r="Q371" s="291">
        <f t="shared" si="18"/>
        <v>1.2356914834716151</v>
      </c>
      <c r="R371" s="291">
        <f t="shared" si="18"/>
        <v>1.2446978725724902</v>
      </c>
      <c r="S371" s="291">
        <f t="shared" si="18"/>
        <v>1.3579526363817023</v>
      </c>
      <c r="T371" s="291">
        <f t="shared" si="18"/>
        <v>1.2896854889055915</v>
      </c>
      <c r="U371" s="291">
        <f t="shared" si="18"/>
        <v>1.0744257259355492</v>
      </c>
      <c r="V371" s="291">
        <f t="shared" si="18"/>
        <v>1.0278736391837855</v>
      </c>
      <c r="W371" s="291">
        <f t="shared" si="18"/>
        <v>0.98369657525026843</v>
      </c>
      <c r="X371" s="291">
        <f t="shared" si="18"/>
        <v>0.92575869271929268</v>
      </c>
      <c r="Y371" s="291">
        <f t="shared" si="18"/>
        <v>0.94779955276978878</v>
      </c>
      <c r="Z371" s="291">
        <f t="shared" si="18"/>
        <v>0.94227316839657016</v>
      </c>
      <c r="AA371" s="291">
        <f t="shared" si="18"/>
        <v>0.98973261419847414</v>
      </c>
      <c r="AB371" s="291">
        <f t="shared" si="18"/>
        <v>0.96130626185292711</v>
      </c>
      <c r="AC371" s="291">
        <f t="shared" si="18"/>
        <v>0.93201224653109649</v>
      </c>
      <c r="AD371" s="291">
        <f t="shared" si="18"/>
        <v>0.91107215329513558</v>
      </c>
      <c r="AE371" s="291">
        <f t="shared" si="18"/>
        <v>0.88037581780570795</v>
      </c>
      <c r="AF371" s="291">
        <f t="shared" si="18"/>
        <v>0.9936895421792008</v>
      </c>
      <c r="AG371" s="291">
        <f t="shared" si="18"/>
        <v>1.1001107634713378</v>
      </c>
      <c r="AH371" s="291">
        <f t="shared" si="18"/>
        <v>1.0390737584004235</v>
      </c>
      <c r="AI371" s="291">
        <f t="shared" si="18"/>
        <v>1.0190511253930095</v>
      </c>
      <c r="AJ371" s="327">
        <f t="shared" si="12"/>
        <v>1.0190511253930095</v>
      </c>
    </row>
    <row r="372" spans="2:36">
      <c r="B372" s="72" t="s">
        <v>634</v>
      </c>
      <c r="C372" s="72" t="s">
        <v>635</v>
      </c>
      <c r="D372" s="291">
        <f t="shared" si="11"/>
        <v>0.74652567976960205</v>
      </c>
      <c r="E372" s="291">
        <f t="shared" si="18"/>
        <v>0.76297247150835013</v>
      </c>
      <c r="F372" s="291">
        <f t="shared" si="18"/>
        <v>0.839153739229891</v>
      </c>
      <c r="G372" s="291">
        <f t="shared" si="18"/>
        <v>0.96567938274101117</v>
      </c>
      <c r="H372" s="291">
        <f t="shared" si="18"/>
        <v>1.0531167950640912</v>
      </c>
      <c r="I372" s="291">
        <f t="shared" si="18"/>
        <v>1.0017557489996363</v>
      </c>
      <c r="J372" s="291">
        <f t="shared" si="18"/>
        <v>1.0250402308614284</v>
      </c>
      <c r="K372" s="291">
        <f t="shared" si="18"/>
        <v>0.73790431512547738</v>
      </c>
      <c r="L372" s="291">
        <f t="shared" si="18"/>
        <v>0.61839852926500116</v>
      </c>
      <c r="M372" s="291">
        <f t="shared" si="18"/>
        <v>0.60241506620950624</v>
      </c>
      <c r="N372" s="291">
        <f t="shared" si="18"/>
        <v>0.55960241472173333</v>
      </c>
      <c r="O372" s="291">
        <f t="shared" si="18"/>
        <v>0.56438038013504921</v>
      </c>
      <c r="P372" s="291">
        <f t="shared" si="18"/>
        <v>0.51264350105994183</v>
      </c>
      <c r="Q372" s="291">
        <f t="shared" si="18"/>
        <v>0.51741685916800184</v>
      </c>
      <c r="R372" s="291">
        <f t="shared" si="18"/>
        <v>0.44112146944560654</v>
      </c>
      <c r="S372" s="291">
        <f t="shared" si="18"/>
        <v>0.47379733222483211</v>
      </c>
      <c r="T372" s="291">
        <f t="shared" si="18"/>
        <v>0.4828579378873426</v>
      </c>
      <c r="U372" s="291">
        <f t="shared" si="18"/>
        <v>0.43510414764283578</v>
      </c>
      <c r="V372" s="291">
        <f t="shared" si="18"/>
        <v>0.43314788650050684</v>
      </c>
      <c r="W372" s="291">
        <f t="shared" si="18"/>
        <v>0.42694914003058781</v>
      </c>
      <c r="X372" s="291">
        <f t="shared" si="18"/>
        <v>0.28547770613643014</v>
      </c>
      <c r="Y372" s="291">
        <f t="shared" si="18"/>
        <v>0.30540776264526154</v>
      </c>
      <c r="Z372" s="291">
        <f t="shared" si="18"/>
        <v>0.31996147428553395</v>
      </c>
      <c r="AA372" s="291">
        <f t="shared" si="18"/>
        <v>0.33150565410660748</v>
      </c>
      <c r="AB372" s="291">
        <f t="shared" si="18"/>
        <v>0.32099480735294206</v>
      </c>
      <c r="AC372" s="291">
        <f t="shared" si="18"/>
        <v>0.35492473413556641</v>
      </c>
      <c r="AD372" s="291">
        <f t="shared" si="18"/>
        <v>0.61578024671305343</v>
      </c>
      <c r="AE372" s="291">
        <f t="shared" si="18"/>
        <v>0.60954661891188056</v>
      </c>
      <c r="AF372" s="291">
        <f t="shared" si="18"/>
        <v>0.68401222648129367</v>
      </c>
      <c r="AG372" s="291">
        <f t="shared" si="18"/>
        <v>0.68842486631427813</v>
      </c>
      <c r="AH372" s="291">
        <f t="shared" si="18"/>
        <v>0.78453958108510535</v>
      </c>
      <c r="AI372" s="291">
        <f t="shared" si="18"/>
        <v>0.76644606948686544</v>
      </c>
      <c r="AJ372" s="327">
        <f t="shared" si="12"/>
        <v>0.76644606948686544</v>
      </c>
    </row>
    <row r="373" spans="2:36">
      <c r="B373" s="72" t="s">
        <v>636</v>
      </c>
      <c r="C373" s="72" t="s">
        <v>637</v>
      </c>
      <c r="D373" s="291">
        <f t="shared" si="11"/>
        <v>0.59410536758817822</v>
      </c>
      <c r="E373" s="291">
        <f t="shared" si="18"/>
        <v>0.57714480076451624</v>
      </c>
      <c r="F373" s="291">
        <f t="shared" si="18"/>
        <v>0.65232649136662846</v>
      </c>
      <c r="G373" s="291">
        <f t="shared" si="18"/>
        <v>0.65198981120065835</v>
      </c>
      <c r="H373" s="291">
        <f t="shared" si="18"/>
        <v>0.67650694020176994</v>
      </c>
      <c r="I373" s="291">
        <f t="shared" si="18"/>
        <v>0.64355829037968681</v>
      </c>
      <c r="J373" s="291">
        <f t="shared" si="18"/>
        <v>0.63899871291694277</v>
      </c>
      <c r="K373" s="291">
        <f t="shared" si="18"/>
        <v>0.64817907196595004</v>
      </c>
      <c r="L373" s="291">
        <f t="shared" si="18"/>
        <v>0.62412456547973316</v>
      </c>
      <c r="M373" s="291">
        <f t="shared" si="18"/>
        <v>0.63229495969666039</v>
      </c>
      <c r="N373" s="291">
        <f t="shared" si="18"/>
        <v>0.66873408678707691</v>
      </c>
      <c r="O373" s="291">
        <f t="shared" si="18"/>
        <v>0.65882620230383304</v>
      </c>
      <c r="P373" s="291">
        <f t="shared" si="18"/>
        <v>0.70044015189503528</v>
      </c>
      <c r="Q373" s="291">
        <f t="shared" si="18"/>
        <v>0.75805307385828202</v>
      </c>
      <c r="R373" s="291">
        <f t="shared" si="18"/>
        <v>0.76825913693777803</v>
      </c>
      <c r="S373" s="291">
        <f t="shared" si="18"/>
        <v>0.8342538858862909</v>
      </c>
      <c r="T373" s="291">
        <f t="shared" si="18"/>
        <v>0.85585190997435912</v>
      </c>
      <c r="U373" s="291">
        <f t="shared" si="18"/>
        <v>0.75621899874264598</v>
      </c>
      <c r="V373" s="291">
        <f t="shared" si="18"/>
        <v>0.71445596416132384</v>
      </c>
      <c r="W373" s="291">
        <f t="shared" si="18"/>
        <v>0.68677051950889634</v>
      </c>
      <c r="X373" s="291">
        <f t="shared" si="18"/>
        <v>0.6490659189292185</v>
      </c>
      <c r="Y373" s="291">
        <f t="shared" si="18"/>
        <v>0.66551143850882921</v>
      </c>
      <c r="Z373" s="291">
        <f t="shared" si="18"/>
        <v>0.66025221904242137</v>
      </c>
      <c r="AA373" s="291">
        <f t="shared" si="18"/>
        <v>0.74294743729529611</v>
      </c>
      <c r="AB373" s="291">
        <f t="shared" si="18"/>
        <v>0.74576057719934352</v>
      </c>
      <c r="AC373" s="291">
        <f t="shared" si="18"/>
        <v>0.76768920713415512</v>
      </c>
      <c r="AD373" s="291">
        <f t="shared" si="18"/>
        <v>0.76066553956194705</v>
      </c>
      <c r="AE373" s="291">
        <f t="shared" si="18"/>
        <v>0.76168270978297392</v>
      </c>
      <c r="AF373" s="291">
        <f t="shared" si="18"/>
        <v>0.85823410257485966</v>
      </c>
      <c r="AG373" s="291">
        <f t="shared" si="18"/>
        <v>0.94828615646854608</v>
      </c>
      <c r="AH373" s="291">
        <f t="shared" si="18"/>
        <v>0.91435189376129422</v>
      </c>
      <c r="AI373" s="291">
        <f t="shared" si="18"/>
        <v>0.90532839924769437</v>
      </c>
      <c r="AJ373" s="327">
        <f t="shared" si="12"/>
        <v>0.90532839924769437</v>
      </c>
    </row>
    <row r="374" spans="2:36">
      <c r="B374" s="72" t="s">
        <v>638</v>
      </c>
      <c r="C374" s="72" t="s">
        <v>639</v>
      </c>
      <c r="D374" s="291">
        <f t="shared" si="11"/>
        <v>0</v>
      </c>
      <c r="E374" s="291">
        <f t="shared" si="18"/>
        <v>0</v>
      </c>
      <c r="F374" s="291">
        <f t="shared" si="18"/>
        <v>0</v>
      </c>
      <c r="G374" s="291">
        <f t="shared" si="18"/>
        <v>0</v>
      </c>
      <c r="H374" s="291">
        <f t="shared" si="18"/>
        <v>0</v>
      </c>
      <c r="I374" s="291">
        <f t="shared" si="18"/>
        <v>0</v>
      </c>
      <c r="J374" s="291">
        <f t="shared" si="18"/>
        <v>0</v>
      </c>
      <c r="K374" s="291">
        <f t="shared" si="18"/>
        <v>0</v>
      </c>
      <c r="L374" s="291">
        <f t="shared" si="18"/>
        <v>0</v>
      </c>
      <c r="M374" s="291">
        <f t="shared" si="18"/>
        <v>0</v>
      </c>
      <c r="N374" s="291">
        <f t="shared" si="18"/>
        <v>0</v>
      </c>
      <c r="O374" s="291">
        <f t="shared" si="18"/>
        <v>0</v>
      </c>
      <c r="P374" s="291">
        <f t="shared" si="18"/>
        <v>0</v>
      </c>
      <c r="Q374" s="291">
        <f t="shared" si="18"/>
        <v>0</v>
      </c>
      <c r="R374" s="291">
        <f t="shared" si="18"/>
        <v>0</v>
      </c>
      <c r="S374" s="291">
        <f t="shared" si="18"/>
        <v>0</v>
      </c>
      <c r="T374" s="291">
        <f t="shared" si="18"/>
        <v>0</v>
      </c>
      <c r="U374" s="291">
        <f t="shared" si="18"/>
        <v>0</v>
      </c>
      <c r="V374" s="291">
        <f t="shared" si="18"/>
        <v>0</v>
      </c>
      <c r="W374" s="291">
        <f t="shared" si="18"/>
        <v>0</v>
      </c>
      <c r="X374" s="291">
        <f t="shared" si="18"/>
        <v>0</v>
      </c>
      <c r="Y374" s="291">
        <f t="shared" si="18"/>
        <v>0</v>
      </c>
      <c r="Z374" s="291">
        <f t="shared" si="18"/>
        <v>0</v>
      </c>
      <c r="AA374" s="291">
        <f t="shared" si="18"/>
        <v>0</v>
      </c>
      <c r="AB374" s="291">
        <f t="shared" si="18"/>
        <v>0</v>
      </c>
      <c r="AC374" s="291">
        <f t="shared" si="18"/>
        <v>0</v>
      </c>
      <c r="AD374" s="291">
        <f t="shared" si="18"/>
        <v>0</v>
      </c>
      <c r="AE374" s="291">
        <f t="shared" si="18"/>
        <v>0</v>
      </c>
      <c r="AF374" s="291">
        <f t="shared" si="18"/>
        <v>0</v>
      </c>
      <c r="AG374" s="291">
        <f t="shared" si="18"/>
        <v>0</v>
      </c>
      <c r="AH374" s="291">
        <f t="shared" si="18"/>
        <v>0</v>
      </c>
      <c r="AI374" s="291">
        <f t="shared" si="18"/>
        <v>0</v>
      </c>
      <c r="AJ374" s="327">
        <f t="shared" si="12"/>
        <v>0</v>
      </c>
    </row>
    <row r="375" spans="2:36">
      <c r="B375" s="72" t="s">
        <v>640</v>
      </c>
      <c r="C375" s="72" t="s">
        <v>641</v>
      </c>
      <c r="D375" s="291">
        <f t="shared" si="11"/>
        <v>0.43340426903935431</v>
      </c>
      <c r="E375" s="291">
        <f t="shared" si="18"/>
        <v>0.46899275975285265</v>
      </c>
      <c r="F375" s="291">
        <f t="shared" si="18"/>
        <v>0.51869077319082413</v>
      </c>
      <c r="G375" s="291">
        <f t="shared" si="18"/>
        <v>0.58514043126546433</v>
      </c>
      <c r="H375" s="291">
        <f t="shared" si="18"/>
        <v>0.66184483534953942</v>
      </c>
      <c r="I375" s="291">
        <f t="shared" si="18"/>
        <v>0.69827793564686724</v>
      </c>
      <c r="J375" s="291">
        <f t="shared" si="18"/>
        <v>0.61336965988994496</v>
      </c>
      <c r="K375" s="291">
        <f t="shared" si="18"/>
        <v>0.54560895594758996</v>
      </c>
      <c r="L375" s="291">
        <f t="shared" si="18"/>
        <v>0.50309587074683404</v>
      </c>
      <c r="M375" s="291">
        <f t="shared" si="18"/>
        <v>0.55485556003690417</v>
      </c>
      <c r="N375" s="291">
        <f t="shared" si="18"/>
        <v>0.46842307627326724</v>
      </c>
      <c r="O375" s="291">
        <f t="shared" si="18"/>
        <v>0.47384820706606762</v>
      </c>
      <c r="P375" s="291">
        <f t="shared" si="18"/>
        <v>0.47936290230294931</v>
      </c>
      <c r="Q375" s="291">
        <f t="shared" si="18"/>
        <v>0.55861778785705163</v>
      </c>
      <c r="R375" s="291">
        <f t="shared" si="18"/>
        <v>0.54886643738834573</v>
      </c>
      <c r="S375" s="291">
        <f t="shared" si="18"/>
        <v>0.5324575481041991</v>
      </c>
      <c r="T375" s="291">
        <f t="shared" si="18"/>
        <v>0.54240296697567125</v>
      </c>
      <c r="U375" s="291">
        <f t="shared" si="18"/>
        <v>0.50687041210862582</v>
      </c>
      <c r="V375" s="291">
        <f t="shared" si="18"/>
        <v>0.51045613923902444</v>
      </c>
      <c r="W375" s="291">
        <f t="shared" si="18"/>
        <v>0.5125339600867399</v>
      </c>
      <c r="X375" s="291">
        <f t="shared" si="18"/>
        <v>0.74019781369090965</v>
      </c>
      <c r="Y375" s="291">
        <f t="shared" si="18"/>
        <v>0.7886576115636561</v>
      </c>
      <c r="Z375" s="291">
        <f t="shared" si="18"/>
        <v>0.7469796638528251</v>
      </c>
      <c r="AA375" s="291">
        <f t="shared" si="18"/>
        <v>0.65716838233962616</v>
      </c>
      <c r="AB375" s="291">
        <f t="shared" si="18"/>
        <v>0.58708789742527834</v>
      </c>
      <c r="AC375" s="291">
        <f t="shared" si="18"/>
        <v>0.58504989183373513</v>
      </c>
      <c r="AD375" s="291">
        <f t="shared" si="18"/>
        <v>0.59433239577062613</v>
      </c>
      <c r="AE375" s="291">
        <f t="shared" si="18"/>
        <v>0.52830705800472844</v>
      </c>
      <c r="AF375" s="291">
        <f t="shared" si="18"/>
        <v>0.6017081377568354</v>
      </c>
      <c r="AG375" s="291">
        <f t="shared" ref="E375:AI384" si="19">AG123/AG$250</f>
        <v>0.68997315330018205</v>
      </c>
      <c r="AH375" s="291">
        <f t="shared" si="19"/>
        <v>0.69316575399496727</v>
      </c>
      <c r="AI375" s="291">
        <f t="shared" si="19"/>
        <v>0.65573435805322433</v>
      </c>
      <c r="AJ375" s="327">
        <f t="shared" si="12"/>
        <v>0.65573435805322433</v>
      </c>
    </row>
    <row r="376" spans="2:36">
      <c r="B376" s="72" t="s">
        <v>642</v>
      </c>
      <c r="C376" s="72" t="s">
        <v>643</v>
      </c>
      <c r="D376" s="291">
        <f t="shared" si="11"/>
        <v>0</v>
      </c>
      <c r="E376" s="291">
        <f t="shared" si="19"/>
        <v>0</v>
      </c>
      <c r="F376" s="291">
        <f t="shared" si="19"/>
        <v>0</v>
      </c>
      <c r="G376" s="291">
        <f t="shared" si="19"/>
        <v>0</v>
      </c>
      <c r="H376" s="291">
        <f t="shared" si="19"/>
        <v>0</v>
      </c>
      <c r="I376" s="291">
        <f t="shared" si="19"/>
        <v>0</v>
      </c>
      <c r="J376" s="291">
        <f t="shared" si="19"/>
        <v>0</v>
      </c>
      <c r="K376" s="291">
        <f t="shared" si="19"/>
        <v>0</v>
      </c>
      <c r="L376" s="291">
        <f t="shared" si="19"/>
        <v>0</v>
      </c>
      <c r="M376" s="291">
        <f t="shared" si="19"/>
        <v>0</v>
      </c>
      <c r="N376" s="291">
        <f t="shared" si="19"/>
        <v>0</v>
      </c>
      <c r="O376" s="291">
        <f t="shared" si="19"/>
        <v>0</v>
      </c>
      <c r="P376" s="291">
        <f t="shared" si="19"/>
        <v>0</v>
      </c>
      <c r="Q376" s="291">
        <f t="shared" si="19"/>
        <v>0</v>
      </c>
      <c r="R376" s="291">
        <f t="shared" si="19"/>
        <v>0</v>
      </c>
      <c r="S376" s="291">
        <f t="shared" si="19"/>
        <v>0</v>
      </c>
      <c r="T376" s="291">
        <f t="shared" si="19"/>
        <v>0</v>
      </c>
      <c r="U376" s="291">
        <f t="shared" si="19"/>
        <v>0</v>
      </c>
      <c r="V376" s="291">
        <f t="shared" si="19"/>
        <v>0</v>
      </c>
      <c r="W376" s="291">
        <f t="shared" si="19"/>
        <v>0</v>
      </c>
      <c r="X376" s="291">
        <f t="shared" si="19"/>
        <v>0</v>
      </c>
      <c r="Y376" s="291">
        <f t="shared" si="19"/>
        <v>0</v>
      </c>
      <c r="Z376" s="291">
        <f t="shared" si="19"/>
        <v>0</v>
      </c>
      <c r="AA376" s="291">
        <f t="shared" si="19"/>
        <v>0</v>
      </c>
      <c r="AB376" s="291">
        <f t="shared" si="19"/>
        <v>0</v>
      </c>
      <c r="AC376" s="291">
        <f t="shared" si="19"/>
        <v>0</v>
      </c>
      <c r="AD376" s="291">
        <f t="shared" si="19"/>
        <v>0</v>
      </c>
      <c r="AE376" s="291">
        <f t="shared" si="19"/>
        <v>0</v>
      </c>
      <c r="AF376" s="291">
        <f t="shared" si="19"/>
        <v>0</v>
      </c>
      <c r="AG376" s="291">
        <f t="shared" si="19"/>
        <v>0</v>
      </c>
      <c r="AH376" s="291">
        <f t="shared" si="19"/>
        <v>0</v>
      </c>
      <c r="AI376" s="291">
        <f t="shared" si="19"/>
        <v>0</v>
      </c>
      <c r="AJ376" s="327">
        <f t="shared" si="12"/>
        <v>0</v>
      </c>
    </row>
    <row r="377" spans="2:36">
      <c r="B377" s="72" t="s">
        <v>644</v>
      </c>
      <c r="C377" s="72" t="s">
        <v>645</v>
      </c>
      <c r="D377" s="291">
        <f t="shared" si="11"/>
        <v>0.52647655612256428</v>
      </c>
      <c r="E377" s="291">
        <f t="shared" si="19"/>
        <v>0.59334772163447036</v>
      </c>
      <c r="F377" s="291">
        <f t="shared" si="19"/>
        <v>0.66710240435768031</v>
      </c>
      <c r="G377" s="291">
        <f t="shared" si="19"/>
        <v>0.77662552756407521</v>
      </c>
      <c r="H377" s="291">
        <f t="shared" si="19"/>
        <v>0.88104126002907845</v>
      </c>
      <c r="I377" s="291">
        <f t="shared" si="19"/>
        <v>0.89109875606161937</v>
      </c>
      <c r="J377" s="291">
        <f t="shared" si="19"/>
        <v>0.56036496848537487</v>
      </c>
      <c r="K377" s="291">
        <f t="shared" si="19"/>
        <v>0.45138135712401134</v>
      </c>
      <c r="L377" s="291">
        <f t="shared" si="19"/>
        <v>0.41563141141689403</v>
      </c>
      <c r="M377" s="291">
        <f t="shared" si="19"/>
        <v>0.43454307789597052</v>
      </c>
      <c r="N377" s="291">
        <f t="shared" si="19"/>
        <v>0.32813643914939605</v>
      </c>
      <c r="O377" s="291">
        <f t="shared" si="19"/>
        <v>0.36858854506013894</v>
      </c>
      <c r="P377" s="291">
        <f t="shared" si="19"/>
        <v>0.37896667079886975</v>
      </c>
      <c r="Q377" s="291">
        <f t="shared" si="19"/>
        <v>0.45290570511393607</v>
      </c>
      <c r="R377" s="291">
        <f t="shared" si="19"/>
        <v>0.47854119450084415</v>
      </c>
      <c r="S377" s="291">
        <f t="shared" si="19"/>
        <v>0.48497483856390378</v>
      </c>
      <c r="T377" s="291">
        <f t="shared" si="19"/>
        <v>0.504131480647659</v>
      </c>
      <c r="U377" s="291">
        <f t="shared" si="19"/>
        <v>0.51430701343427476</v>
      </c>
      <c r="V377" s="291">
        <f t="shared" si="19"/>
        <v>0.51269108931090068</v>
      </c>
      <c r="W377" s="291">
        <f t="shared" si="19"/>
        <v>0.46516742534859551</v>
      </c>
      <c r="X377" s="291">
        <f t="shared" si="19"/>
        <v>0.50781902521449629</v>
      </c>
      <c r="Y377" s="291">
        <f t="shared" si="19"/>
        <v>0.50186093444643654</v>
      </c>
      <c r="Z377" s="291">
        <f t="shared" si="19"/>
        <v>0.50650637237650853</v>
      </c>
      <c r="AA377" s="291">
        <f t="shared" si="19"/>
        <v>0.45887536644089666</v>
      </c>
      <c r="AB377" s="291">
        <f t="shared" si="19"/>
        <v>0.42743965673200424</v>
      </c>
      <c r="AC377" s="291">
        <f t="shared" si="19"/>
        <v>0.45545801531623442</v>
      </c>
      <c r="AD377" s="291">
        <f t="shared" si="19"/>
        <v>0.46607496706679769</v>
      </c>
      <c r="AE377" s="291">
        <f t="shared" si="19"/>
        <v>0.42981222633108979</v>
      </c>
      <c r="AF377" s="291">
        <f t="shared" si="19"/>
        <v>0.50415252483414252</v>
      </c>
      <c r="AG377" s="291">
        <f t="shared" si="19"/>
        <v>0.55575317389018108</v>
      </c>
      <c r="AH377" s="291">
        <f t="shared" si="19"/>
        <v>0.58801013025833382</v>
      </c>
      <c r="AI377" s="291">
        <f t="shared" si="19"/>
        <v>0.58909415237671225</v>
      </c>
      <c r="AJ377" s="327">
        <f t="shared" si="12"/>
        <v>0.58909415237671225</v>
      </c>
    </row>
    <row r="378" spans="2:36">
      <c r="B378" s="72" t="s">
        <v>646</v>
      </c>
      <c r="C378" s="72" t="s">
        <v>647</v>
      </c>
      <c r="D378" s="291">
        <f t="shared" si="11"/>
        <v>0</v>
      </c>
      <c r="E378" s="291">
        <f t="shared" si="19"/>
        <v>0</v>
      </c>
      <c r="F378" s="291">
        <f t="shared" si="19"/>
        <v>0</v>
      </c>
      <c r="G378" s="291">
        <f t="shared" si="19"/>
        <v>0</v>
      </c>
      <c r="H378" s="291">
        <f t="shared" si="19"/>
        <v>0</v>
      </c>
      <c r="I378" s="291">
        <f t="shared" si="19"/>
        <v>0</v>
      </c>
      <c r="J378" s="291">
        <f t="shared" si="19"/>
        <v>0.88997059997066397</v>
      </c>
      <c r="K378" s="291">
        <f t="shared" si="19"/>
        <v>0.77892312150295051</v>
      </c>
      <c r="L378" s="291">
        <f t="shared" si="19"/>
        <v>0.73956694106233622</v>
      </c>
      <c r="M378" s="291">
        <f t="shared" si="19"/>
        <v>0.73489922513179851</v>
      </c>
      <c r="N378" s="291">
        <f t="shared" si="19"/>
        <v>0.66113616730637803</v>
      </c>
      <c r="O378" s="291">
        <f t="shared" si="19"/>
        <v>0.68983958989049088</v>
      </c>
      <c r="P378" s="291">
        <f t="shared" si="19"/>
        <v>0.70670389221113195</v>
      </c>
      <c r="Q378" s="291">
        <f t="shared" si="19"/>
        <v>0.76400849376678126</v>
      </c>
      <c r="R378" s="291">
        <f t="shared" si="19"/>
        <v>0.73177157218206823</v>
      </c>
      <c r="S378" s="291">
        <f t="shared" si="19"/>
        <v>0.71955892290069623</v>
      </c>
      <c r="T378" s="291">
        <f t="shared" si="19"/>
        <v>0.71716684744313997</v>
      </c>
      <c r="U378" s="291">
        <f t="shared" si="19"/>
        <v>0.62985699634019554</v>
      </c>
      <c r="V378" s="291">
        <f t="shared" si="19"/>
        <v>0.55328300696427091</v>
      </c>
      <c r="W378" s="291">
        <f t="shared" si="19"/>
        <v>0.51284975010803424</v>
      </c>
      <c r="X378" s="291">
        <f t="shared" si="19"/>
        <v>0.46502206728638595</v>
      </c>
      <c r="Y378" s="291">
        <f t="shared" si="19"/>
        <v>0.44265025739278147</v>
      </c>
      <c r="Z378" s="291">
        <f t="shared" si="19"/>
        <v>0.41348001809419777</v>
      </c>
      <c r="AA378" s="291">
        <f t="shared" si="19"/>
        <v>0.42016023581921447</v>
      </c>
      <c r="AB378" s="291">
        <f t="shared" si="19"/>
        <v>0.38379545139359011</v>
      </c>
      <c r="AC378" s="291">
        <f t="shared" si="19"/>
        <v>0.28926478114381965</v>
      </c>
      <c r="AD378" s="291">
        <f t="shared" si="19"/>
        <v>0.26313946074213368</v>
      </c>
      <c r="AE378" s="291">
        <f t="shared" si="19"/>
        <v>0.33518244440637163</v>
      </c>
      <c r="AF378" s="291">
        <f t="shared" si="19"/>
        <v>0.30274516622490838</v>
      </c>
      <c r="AG378" s="291">
        <f t="shared" si="19"/>
        <v>0.38461873211496228</v>
      </c>
      <c r="AH378" s="291">
        <f t="shared" si="19"/>
        <v>0.42642809203896426</v>
      </c>
      <c r="AI378" s="291">
        <f t="shared" si="19"/>
        <v>0.40452533895050463</v>
      </c>
      <c r="AJ378" s="327">
        <f t="shared" si="12"/>
        <v>0.40452533895050463</v>
      </c>
    </row>
    <row r="379" spans="2:36">
      <c r="B379" s="72" t="s">
        <v>648</v>
      </c>
      <c r="C379" s="72" t="s">
        <v>649</v>
      </c>
      <c r="D379" s="291">
        <f t="shared" si="11"/>
        <v>0.26665384336053038</v>
      </c>
      <c r="E379" s="291">
        <f t="shared" si="19"/>
        <v>0.32762055676030921</v>
      </c>
      <c r="F379" s="291">
        <f t="shared" si="19"/>
        <v>0.36022040889123275</v>
      </c>
      <c r="G379" s="291">
        <f t="shared" si="19"/>
        <v>0.40259469598262743</v>
      </c>
      <c r="H379" s="291">
        <f t="shared" si="19"/>
        <v>0.34033102862110692</v>
      </c>
      <c r="I379" s="291">
        <f t="shared" si="19"/>
        <v>0.3323561567929012</v>
      </c>
      <c r="J379" s="291">
        <f t="shared" si="19"/>
        <v>0.25673237840021351</v>
      </c>
      <c r="K379" s="291">
        <f t="shared" si="19"/>
        <v>0.28357136641780134</v>
      </c>
      <c r="L379" s="291">
        <f t="shared" si="19"/>
        <v>0.2216616110796977</v>
      </c>
      <c r="M379" s="291">
        <f t="shared" si="19"/>
        <v>0.27433603870909828</v>
      </c>
      <c r="N379" s="291">
        <f t="shared" si="19"/>
        <v>0.25332182580287227</v>
      </c>
      <c r="O379" s="291">
        <f t="shared" si="19"/>
        <v>0.24059456365328258</v>
      </c>
      <c r="P379" s="291">
        <f t="shared" si="19"/>
        <v>0.20338148321886609</v>
      </c>
      <c r="Q379" s="291">
        <f t="shared" si="19"/>
        <v>0.23717760251042552</v>
      </c>
      <c r="R379" s="291">
        <f t="shared" si="19"/>
        <v>0.22063936528692574</v>
      </c>
      <c r="S379" s="291">
        <f t="shared" si="19"/>
        <v>0.2146108475710865</v>
      </c>
      <c r="T379" s="291">
        <f t="shared" si="19"/>
        <v>0.20353292624726937</v>
      </c>
      <c r="U379" s="291">
        <f t="shared" si="19"/>
        <v>0.17927141346319964</v>
      </c>
      <c r="V379" s="291">
        <f t="shared" si="19"/>
        <v>0.18402023265707937</v>
      </c>
      <c r="W379" s="291">
        <f t="shared" si="19"/>
        <v>0.18513125883556886</v>
      </c>
      <c r="X379" s="291">
        <f t="shared" si="19"/>
        <v>0.17755153209516214</v>
      </c>
      <c r="Y379" s="291">
        <f t="shared" si="19"/>
        <v>0.1707469273316754</v>
      </c>
      <c r="Z379" s="291">
        <f t="shared" si="19"/>
        <v>0.17742951543906618</v>
      </c>
      <c r="AA379" s="291">
        <f t="shared" si="19"/>
        <v>0.36694756326855632</v>
      </c>
      <c r="AB379" s="291">
        <f t="shared" si="19"/>
        <v>0.34694973096384102</v>
      </c>
      <c r="AC379" s="291">
        <f t="shared" si="19"/>
        <v>0.3561627176826081</v>
      </c>
      <c r="AD379" s="291">
        <f t="shared" si="19"/>
        <v>0.34182277502677738</v>
      </c>
      <c r="AE379" s="291">
        <f t="shared" si="19"/>
        <v>0.34356147668825776</v>
      </c>
      <c r="AF379" s="291">
        <f t="shared" si="19"/>
        <v>0.43090894687115427</v>
      </c>
      <c r="AG379" s="291">
        <f t="shared" si="19"/>
        <v>0.4739484611671253</v>
      </c>
      <c r="AH379" s="291">
        <f t="shared" si="19"/>
        <v>0.45560114923656264</v>
      </c>
      <c r="AI379" s="291">
        <f t="shared" si="19"/>
        <v>0.46244065579166421</v>
      </c>
      <c r="AJ379" s="327">
        <f t="shared" si="12"/>
        <v>0.46244065579166421</v>
      </c>
    </row>
    <row r="380" spans="2:36">
      <c r="B380" s="72" t="s">
        <v>650</v>
      </c>
      <c r="C380" s="72" t="s">
        <v>651</v>
      </c>
      <c r="D380" s="291">
        <f t="shared" si="11"/>
        <v>0.68687490263560769</v>
      </c>
      <c r="E380" s="291">
        <f t="shared" si="19"/>
        <v>0.66438763311236715</v>
      </c>
      <c r="F380" s="291">
        <f t="shared" si="19"/>
        <v>0.69268812205329067</v>
      </c>
      <c r="G380" s="291">
        <f t="shared" si="19"/>
        <v>0.82426162965801075</v>
      </c>
      <c r="H380" s="291">
        <f t="shared" si="19"/>
        <v>0.84569105661875965</v>
      </c>
      <c r="I380" s="291">
        <f t="shared" si="19"/>
        <v>0.83802258564967891</v>
      </c>
      <c r="J380" s="291">
        <f t="shared" si="19"/>
        <v>0.79663544449604462</v>
      </c>
      <c r="K380" s="291">
        <f t="shared" si="19"/>
        <v>0.47234488504970285</v>
      </c>
      <c r="L380" s="291">
        <f t="shared" si="19"/>
        <v>0.49466613318412539</v>
      </c>
      <c r="M380" s="291">
        <f t="shared" si="19"/>
        <v>0.48391033768891484</v>
      </c>
      <c r="N380" s="291">
        <f t="shared" si="19"/>
        <v>0.44608903692653867</v>
      </c>
      <c r="O380" s="291">
        <f t="shared" si="19"/>
        <v>0.33841511433001042</v>
      </c>
      <c r="P380" s="291">
        <f t="shared" si="19"/>
        <v>0.33333688532652955</v>
      </c>
      <c r="Q380" s="291">
        <f t="shared" si="19"/>
        <v>0.42080437815314425</v>
      </c>
      <c r="R380" s="291">
        <f t="shared" si="19"/>
        <v>0.45768714072041949</v>
      </c>
      <c r="S380" s="291">
        <f t="shared" si="19"/>
        <v>0.47204725350903365</v>
      </c>
      <c r="T380" s="291">
        <f t="shared" si="19"/>
        <v>0.49353276034306093</v>
      </c>
      <c r="U380" s="291">
        <f t="shared" si="19"/>
        <v>0.466059080573962</v>
      </c>
      <c r="V380" s="291">
        <f t="shared" si="19"/>
        <v>0.43599642557514023</v>
      </c>
      <c r="W380" s="291">
        <f t="shared" si="19"/>
        <v>0.40899239137688431</v>
      </c>
      <c r="X380" s="291">
        <f t="shared" si="19"/>
        <v>0.45687734356882492</v>
      </c>
      <c r="Y380" s="291">
        <f t="shared" si="19"/>
        <v>0.45536546631532637</v>
      </c>
      <c r="Z380" s="291">
        <f t="shared" si="19"/>
        <v>0.44122313267649549</v>
      </c>
      <c r="AA380" s="291">
        <f t="shared" si="19"/>
        <v>0.40303369547679063</v>
      </c>
      <c r="AB380" s="291">
        <f t="shared" si="19"/>
        <v>0.36320320242758047</v>
      </c>
      <c r="AC380" s="291">
        <f t="shared" si="19"/>
        <v>0.37677906349577112</v>
      </c>
      <c r="AD380" s="291">
        <f t="shared" si="19"/>
        <v>0.61506423745286876</v>
      </c>
      <c r="AE380" s="291">
        <f t="shared" si="19"/>
        <v>0.59580154472863811</v>
      </c>
      <c r="AF380" s="291">
        <f t="shared" si="19"/>
        <v>0.68155693166619069</v>
      </c>
      <c r="AG380" s="291">
        <f t="shared" si="19"/>
        <v>0.79878339789285646</v>
      </c>
      <c r="AH380" s="291">
        <f t="shared" si="19"/>
        <v>0.8483792701249111</v>
      </c>
      <c r="AI380" s="291">
        <f t="shared" si="19"/>
        <v>0</v>
      </c>
      <c r="AJ380" s="327">
        <f t="shared" si="12"/>
        <v>0</v>
      </c>
    </row>
    <row r="381" spans="2:36">
      <c r="B381" s="72" t="s">
        <v>652</v>
      </c>
      <c r="C381" s="72" t="s">
        <v>653</v>
      </c>
      <c r="D381" s="291">
        <f t="shared" si="11"/>
        <v>0</v>
      </c>
      <c r="E381" s="291">
        <f t="shared" si="19"/>
        <v>0</v>
      </c>
      <c r="F381" s="291">
        <f t="shared" si="19"/>
        <v>0</v>
      </c>
      <c r="G381" s="291">
        <f t="shared" si="19"/>
        <v>0</v>
      </c>
      <c r="H381" s="291">
        <f t="shared" si="19"/>
        <v>0</v>
      </c>
      <c r="I381" s="291">
        <f t="shared" si="19"/>
        <v>0</v>
      </c>
      <c r="J381" s="291">
        <f t="shared" si="19"/>
        <v>0</v>
      </c>
      <c r="K381" s="291">
        <f t="shared" si="19"/>
        <v>0</v>
      </c>
      <c r="L381" s="291">
        <f t="shared" si="19"/>
        <v>0</v>
      </c>
      <c r="M381" s="291">
        <f t="shared" si="19"/>
        <v>0</v>
      </c>
      <c r="N381" s="291">
        <f t="shared" si="19"/>
        <v>0</v>
      </c>
      <c r="O381" s="291">
        <f t="shared" si="19"/>
        <v>0.4190019007662194</v>
      </c>
      <c r="P381" s="291">
        <f t="shared" si="19"/>
        <v>0.26098377285920682</v>
      </c>
      <c r="Q381" s="291">
        <f t="shared" si="19"/>
        <v>0.26855075960877062</v>
      </c>
      <c r="R381" s="291">
        <f t="shared" si="19"/>
        <v>0.34630962913766111</v>
      </c>
      <c r="S381" s="291">
        <f t="shared" si="19"/>
        <v>0.37660532434050753</v>
      </c>
      <c r="T381" s="291">
        <f t="shared" si="19"/>
        <v>0.39618824166219846</v>
      </c>
      <c r="U381" s="291">
        <f t="shared" si="19"/>
        <v>0.39770500682910731</v>
      </c>
      <c r="V381" s="291">
        <f t="shared" si="19"/>
        <v>0.43289886759402418</v>
      </c>
      <c r="W381" s="291">
        <f t="shared" si="19"/>
        <v>0.45758162850623479</v>
      </c>
      <c r="X381" s="291">
        <f t="shared" si="19"/>
        <v>0.43663816327693333</v>
      </c>
      <c r="Y381" s="291">
        <f t="shared" si="19"/>
        <v>0.44059764327976153</v>
      </c>
      <c r="Z381" s="291">
        <f t="shared" si="19"/>
        <v>0.38199932132063447</v>
      </c>
      <c r="AA381" s="291">
        <f t="shared" si="19"/>
        <v>0.29468172543607285</v>
      </c>
      <c r="AB381" s="291">
        <f t="shared" si="19"/>
        <v>0.34756600664145054</v>
      </c>
      <c r="AC381" s="291">
        <f t="shared" si="19"/>
        <v>0.37551211509418569</v>
      </c>
      <c r="AD381" s="291">
        <f t="shared" si="19"/>
        <v>0.4187031803302666</v>
      </c>
      <c r="AE381" s="291">
        <f t="shared" si="19"/>
        <v>0.43072588598984346</v>
      </c>
      <c r="AF381" s="291">
        <f t="shared" si="19"/>
        <v>0.48398481202622856</v>
      </c>
      <c r="AG381" s="291">
        <f t="shared" si="19"/>
        <v>0.54598023615632629</v>
      </c>
      <c r="AH381" s="291">
        <f t="shared" si="19"/>
        <v>0.58825585488001619</v>
      </c>
      <c r="AI381" s="291">
        <f t="shared" si="19"/>
        <v>0.56581515954464223</v>
      </c>
      <c r="AJ381" s="327">
        <f t="shared" si="12"/>
        <v>0.56581515954464223</v>
      </c>
    </row>
    <row r="382" spans="2:36">
      <c r="B382" s="72" t="s">
        <v>654</v>
      </c>
      <c r="C382" s="72" t="s">
        <v>338</v>
      </c>
      <c r="D382" s="291">
        <f t="shared" si="11"/>
        <v>0.45682253434855585</v>
      </c>
      <c r="E382" s="291">
        <f t="shared" si="19"/>
        <v>0.50828398459923274</v>
      </c>
      <c r="F382" s="291">
        <f t="shared" si="19"/>
        <v>0.56849373238589185</v>
      </c>
      <c r="G382" s="291">
        <f t="shared" si="19"/>
        <v>0.66433232574354106</v>
      </c>
      <c r="H382" s="291">
        <f t="shared" si="19"/>
        <v>0.74821363147331188</v>
      </c>
      <c r="I382" s="291">
        <f t="shared" si="19"/>
        <v>0.77112800232965639</v>
      </c>
      <c r="J382" s="291">
        <f t="shared" si="19"/>
        <v>0.67820546193098474</v>
      </c>
      <c r="K382" s="291">
        <f t="shared" si="19"/>
        <v>0.5937903880738159</v>
      </c>
      <c r="L382" s="291">
        <f t="shared" si="19"/>
        <v>0.46906214021922588</v>
      </c>
      <c r="M382" s="291">
        <f t="shared" si="19"/>
        <v>0.40885149701027074</v>
      </c>
      <c r="N382" s="291">
        <f t="shared" si="19"/>
        <v>0.2991390753441393</v>
      </c>
      <c r="O382" s="291">
        <f t="shared" si="19"/>
        <v>0.27612325478071698</v>
      </c>
      <c r="P382" s="291">
        <f t="shared" si="19"/>
        <v>0.2828987846335016</v>
      </c>
      <c r="Q382" s="291">
        <f t="shared" si="19"/>
        <v>0.30847539826972953</v>
      </c>
      <c r="R382" s="291">
        <f t="shared" si="19"/>
        <v>0.29736373597163335</v>
      </c>
      <c r="S382" s="291">
        <f t="shared" si="19"/>
        <v>0.30676772176963529</v>
      </c>
      <c r="T382" s="291">
        <f t="shared" si="19"/>
        <v>0.30359313598300569</v>
      </c>
      <c r="U382" s="291">
        <f t="shared" si="19"/>
        <v>0.31572519846461039</v>
      </c>
      <c r="V382" s="291">
        <f t="shared" si="19"/>
        <v>0.32860261877916708</v>
      </c>
      <c r="W382" s="291">
        <f t="shared" si="19"/>
        <v>0.34506316679111504</v>
      </c>
      <c r="X382" s="291">
        <f t="shared" si="19"/>
        <v>0.46350149433305154</v>
      </c>
      <c r="Y382" s="291">
        <f t="shared" si="19"/>
        <v>0.5011948937794154</v>
      </c>
      <c r="Z382" s="291">
        <f t="shared" si="19"/>
        <v>0.46848447810391575</v>
      </c>
      <c r="AA382" s="291">
        <f t="shared" si="19"/>
        <v>0.41778991283491768</v>
      </c>
      <c r="AB382" s="291">
        <f t="shared" si="19"/>
        <v>0.37233951999253118</v>
      </c>
      <c r="AC382" s="291">
        <f t="shared" si="19"/>
        <v>0.37256789361384474</v>
      </c>
      <c r="AD382" s="291">
        <f t="shared" si="19"/>
        <v>0.37996614205688978</v>
      </c>
      <c r="AE382" s="291">
        <f t="shared" si="19"/>
        <v>0.35197477880976868</v>
      </c>
      <c r="AF382" s="291">
        <f t="shared" si="19"/>
        <v>0.40059822131497863</v>
      </c>
      <c r="AG382" s="291">
        <f t="shared" si="19"/>
        <v>0.48021939674734937</v>
      </c>
      <c r="AH382" s="291">
        <f t="shared" si="19"/>
        <v>0.50449830514586391</v>
      </c>
      <c r="AI382" s="291">
        <f t="shared" si="19"/>
        <v>0.50719705183908292</v>
      </c>
      <c r="AJ382" s="327">
        <f t="shared" si="12"/>
        <v>0.50719705183908292</v>
      </c>
    </row>
    <row r="383" spans="2:36">
      <c r="B383" s="72" t="s">
        <v>655</v>
      </c>
      <c r="C383" s="72" t="s">
        <v>337</v>
      </c>
      <c r="D383" s="291">
        <f t="shared" si="11"/>
        <v>0.73529586440773831</v>
      </c>
      <c r="E383" s="291">
        <f t="shared" si="19"/>
        <v>0.75183028481693459</v>
      </c>
      <c r="F383" s="291">
        <f t="shared" si="19"/>
        <v>0.8132574348241326</v>
      </c>
      <c r="G383" s="291">
        <f t="shared" si="19"/>
        <v>0.77647224827884531</v>
      </c>
      <c r="H383" s="291">
        <f t="shared" si="19"/>
        <v>0.86196632424833841</v>
      </c>
      <c r="I383" s="291">
        <f t="shared" si="19"/>
        <v>0.8924210239492596</v>
      </c>
      <c r="J383" s="291">
        <f t="shared" si="19"/>
        <v>0.78270446661749615</v>
      </c>
      <c r="K383" s="291">
        <f t="shared" si="19"/>
        <v>0.72427234364590509</v>
      </c>
      <c r="L383" s="291">
        <f t="shared" si="19"/>
        <v>0.68038708700141037</v>
      </c>
      <c r="M383" s="291">
        <f t="shared" si="19"/>
        <v>0.77654573941985017</v>
      </c>
      <c r="N383" s="291">
        <f t="shared" si="19"/>
        <v>0.71590568966179502</v>
      </c>
      <c r="O383" s="291">
        <f t="shared" si="19"/>
        <v>0.74170235197914047</v>
      </c>
      <c r="P383" s="291">
        <f t="shared" si="19"/>
        <v>0.79467816995912244</v>
      </c>
      <c r="Q383" s="291">
        <f t="shared" si="19"/>
        <v>0.98247564793028441</v>
      </c>
      <c r="R383" s="291">
        <f t="shared" si="19"/>
        <v>1.0091405338716368</v>
      </c>
      <c r="S383" s="291">
        <f t="shared" si="19"/>
        <v>0.98916494256428689</v>
      </c>
      <c r="T383" s="291">
        <f t="shared" si="19"/>
        <v>1.041256820206413</v>
      </c>
      <c r="U383" s="291">
        <f t="shared" si="19"/>
        <v>1.0391528342842178</v>
      </c>
      <c r="V383" s="291">
        <f t="shared" si="19"/>
        <v>1.0093565179506903</v>
      </c>
      <c r="W383" s="291">
        <f t="shared" si="19"/>
        <v>0.9641634610290587</v>
      </c>
      <c r="X383" s="291">
        <f t="shared" si="19"/>
        <v>0.99604629184381388</v>
      </c>
      <c r="Y383" s="291">
        <f t="shared" si="19"/>
        <v>1.0195506431075165</v>
      </c>
      <c r="Z383" s="291">
        <f t="shared" si="19"/>
        <v>0.92935424834090852</v>
      </c>
      <c r="AA383" s="291">
        <f t="shared" si="19"/>
        <v>0.77036187945722634</v>
      </c>
      <c r="AB383" s="291">
        <f t="shared" si="19"/>
        <v>0.65255063579938422</v>
      </c>
      <c r="AC383" s="291">
        <f t="shared" si="19"/>
        <v>0.63226583277355042</v>
      </c>
      <c r="AD383" s="291">
        <f t="shared" si="19"/>
        <v>0.61116703579478548</v>
      </c>
      <c r="AE383" s="291">
        <f t="shared" si="19"/>
        <v>0.54526478864787109</v>
      </c>
      <c r="AF383" s="291">
        <f t="shared" si="19"/>
        <v>0.584247527523298</v>
      </c>
      <c r="AG383" s="291">
        <f t="shared" si="19"/>
        <v>0.67199766887231038</v>
      </c>
      <c r="AH383" s="291">
        <f t="shared" si="19"/>
        <v>0.66856725881166035</v>
      </c>
      <c r="AI383" s="291">
        <f t="shared" si="19"/>
        <v>0.63522455045263126</v>
      </c>
      <c r="AJ383" s="327">
        <f t="shared" si="12"/>
        <v>0.63522455045263126</v>
      </c>
    </row>
    <row r="384" spans="2:36">
      <c r="B384" s="72" t="s">
        <v>656</v>
      </c>
      <c r="C384" s="72" t="s">
        <v>657</v>
      </c>
      <c r="D384" s="291">
        <f t="shared" si="11"/>
        <v>0.35233379274733101</v>
      </c>
      <c r="E384" s="291">
        <f t="shared" si="19"/>
        <v>0.36468037144571602</v>
      </c>
      <c r="F384" s="291">
        <f t="shared" si="19"/>
        <v>0.38676070887540481</v>
      </c>
      <c r="G384" s="291">
        <f t="shared" si="19"/>
        <v>0.38072942428654716</v>
      </c>
      <c r="H384" s="291">
        <f t="shared" si="19"/>
        <v>0.39175937528078697</v>
      </c>
      <c r="I384" s="291">
        <f t="shared" ref="E384:AI392" si="20">I132/I$250</f>
        <v>0.38944649977208168</v>
      </c>
      <c r="J384" s="291">
        <f t="shared" si="20"/>
        <v>0.37402277586291421</v>
      </c>
      <c r="K384" s="291">
        <f t="shared" si="20"/>
        <v>0.33636629842244548</v>
      </c>
      <c r="L384" s="291">
        <f t="shared" si="20"/>
        <v>0.31832943029098182</v>
      </c>
      <c r="M384" s="291">
        <f t="shared" si="20"/>
        <v>0.32685924737421529</v>
      </c>
      <c r="N384" s="291">
        <f t="shared" si="20"/>
        <v>0.3285683359800608</v>
      </c>
      <c r="O384" s="291">
        <f t="shared" si="20"/>
        <v>0.36437373530778683</v>
      </c>
      <c r="P384" s="291">
        <f t="shared" si="20"/>
        <v>0.40572323009196798</v>
      </c>
      <c r="Q384" s="291">
        <f t="shared" si="20"/>
        <v>0.48090190174522052</v>
      </c>
      <c r="R384" s="291">
        <f t="shared" si="20"/>
        <v>0.48478000689762624</v>
      </c>
      <c r="S384" s="291">
        <f t="shared" si="20"/>
        <v>0.48519752522736176</v>
      </c>
      <c r="T384" s="291">
        <f t="shared" si="20"/>
        <v>0.47879895049802607</v>
      </c>
      <c r="U384" s="291">
        <f t="shared" si="20"/>
        <v>0.43793538028935819</v>
      </c>
      <c r="V384" s="291">
        <f t="shared" si="20"/>
        <v>0.41108400512890308</v>
      </c>
      <c r="W384" s="291">
        <f t="shared" si="20"/>
        <v>0.40364421632317504</v>
      </c>
      <c r="X384" s="291">
        <f t="shared" si="20"/>
        <v>0.39730404123803448</v>
      </c>
      <c r="Y384" s="291">
        <f t="shared" si="20"/>
        <v>0.42815653333744286</v>
      </c>
      <c r="Z384" s="291">
        <f t="shared" si="20"/>
        <v>0.47359572723440335</v>
      </c>
      <c r="AA384" s="291">
        <f t="shared" si="20"/>
        <v>0.51351941874951434</v>
      </c>
      <c r="AB384" s="291">
        <f t="shared" si="20"/>
        <v>0.5379453715680973</v>
      </c>
      <c r="AC384" s="291">
        <f t="shared" si="20"/>
        <v>0.55703624090594261</v>
      </c>
      <c r="AD384" s="291">
        <f t="shared" si="20"/>
        <v>0.52963253573879898</v>
      </c>
      <c r="AE384" s="291">
        <f t="shared" si="20"/>
        <v>0.55386192131005407</v>
      </c>
      <c r="AF384" s="291">
        <f t="shared" si="20"/>
        <v>0.62851212162317693</v>
      </c>
      <c r="AG384" s="291">
        <f t="shared" si="20"/>
        <v>0.60728120930422702</v>
      </c>
      <c r="AH384" s="291">
        <f t="shared" si="20"/>
        <v>0.60431269107168117</v>
      </c>
      <c r="AI384" s="291">
        <f t="shared" si="20"/>
        <v>0.59213478675748177</v>
      </c>
      <c r="AJ384" s="327">
        <f t="shared" si="12"/>
        <v>0.59213478675748177</v>
      </c>
    </row>
    <row r="385" spans="2:36">
      <c r="B385" s="72" t="s">
        <v>658</v>
      </c>
      <c r="C385" s="72" t="s">
        <v>659</v>
      </c>
      <c r="D385" s="291">
        <f t="shared" si="11"/>
        <v>1.0604458438032014</v>
      </c>
      <c r="E385" s="291">
        <f t="shared" si="20"/>
        <v>1.0908300745773125</v>
      </c>
      <c r="F385" s="291">
        <f t="shared" si="20"/>
        <v>1.0498678181244916</v>
      </c>
      <c r="G385" s="291">
        <f t="shared" si="20"/>
        <v>1.0111041633250535</v>
      </c>
      <c r="H385" s="291">
        <f t="shared" si="20"/>
        <v>1.0956056481157452</v>
      </c>
      <c r="I385" s="291">
        <f t="shared" si="20"/>
        <v>1.0820207980382044</v>
      </c>
      <c r="J385" s="291">
        <f t="shared" si="20"/>
        <v>1.1523858698980469</v>
      </c>
      <c r="K385" s="291">
        <f t="shared" si="20"/>
        <v>1.2507141300017519</v>
      </c>
      <c r="L385" s="291">
        <f t="shared" si="20"/>
        <v>1.1971392851875333</v>
      </c>
      <c r="M385" s="291">
        <f t="shared" si="20"/>
        <v>1.123559356626266</v>
      </c>
      <c r="N385" s="291">
        <f t="shared" si="20"/>
        <v>1.0832596689417451</v>
      </c>
      <c r="O385" s="291">
        <f t="shared" si="20"/>
        <v>1.0966902356828776</v>
      </c>
      <c r="P385" s="291">
        <f t="shared" si="20"/>
        <v>1.1265085956969387</v>
      </c>
      <c r="Q385" s="291">
        <f t="shared" si="20"/>
        <v>1.110765094124043</v>
      </c>
      <c r="R385" s="291">
        <f t="shared" si="20"/>
        <v>1.0625913289897828</v>
      </c>
      <c r="S385" s="291">
        <f t="shared" si="20"/>
        <v>1.1175916126769796</v>
      </c>
      <c r="T385" s="291">
        <f t="shared" si="20"/>
        <v>1.1266134588098458</v>
      </c>
      <c r="U385" s="291">
        <f t="shared" si="20"/>
        <v>1.0102158714968434</v>
      </c>
      <c r="V385" s="291">
        <f t="shared" si="20"/>
        <v>1.0187139626608046</v>
      </c>
      <c r="W385" s="291">
        <f t="shared" si="20"/>
        <v>1.0432938644935232</v>
      </c>
      <c r="X385" s="291">
        <f t="shared" si="20"/>
        <v>1.1144514244794419</v>
      </c>
      <c r="Y385" s="291">
        <f t="shared" si="20"/>
        <v>1.0118845390687965</v>
      </c>
      <c r="Z385" s="291">
        <f t="shared" si="20"/>
        <v>1.0593391657520286</v>
      </c>
      <c r="AA385" s="291">
        <f t="shared" si="20"/>
        <v>1.1772415130726697</v>
      </c>
      <c r="AB385" s="291">
        <f t="shared" si="20"/>
        <v>1.1594402309138596</v>
      </c>
      <c r="AC385" s="291">
        <f t="shared" si="20"/>
        <v>1.3600368654276735</v>
      </c>
      <c r="AD385" s="291">
        <f t="shared" si="20"/>
        <v>1.3244860211787086</v>
      </c>
      <c r="AE385" s="291">
        <f t="shared" si="20"/>
        <v>1.3673873876523728</v>
      </c>
      <c r="AF385" s="291">
        <f t="shared" si="20"/>
        <v>1.1158786422271618</v>
      </c>
      <c r="AG385" s="291">
        <f t="shared" si="20"/>
        <v>0.98941502642361745</v>
      </c>
      <c r="AH385" s="291">
        <f t="shared" si="20"/>
        <v>1.0842574465375896</v>
      </c>
      <c r="AI385" s="291">
        <f t="shared" si="20"/>
        <v>1.100755576817285</v>
      </c>
      <c r="AJ385" s="327">
        <f t="shared" si="12"/>
        <v>1.100755576817285</v>
      </c>
    </row>
    <row r="386" spans="2:36">
      <c r="B386" s="72" t="s">
        <v>660</v>
      </c>
      <c r="C386" s="72" t="s">
        <v>332</v>
      </c>
      <c r="D386" s="291">
        <f t="shared" si="11"/>
        <v>0.56082089949868941</v>
      </c>
      <c r="E386" s="291">
        <f t="shared" si="20"/>
        <v>0.57040758566955274</v>
      </c>
      <c r="F386" s="291">
        <f t="shared" si="20"/>
        <v>0.61242295141777381</v>
      </c>
      <c r="G386" s="291">
        <f t="shared" si="20"/>
        <v>0.67813849394982573</v>
      </c>
      <c r="H386" s="291">
        <f t="shared" si="20"/>
        <v>0.69174905466951975</v>
      </c>
      <c r="I386" s="291">
        <f t="shared" si="20"/>
        <v>0.70530941051746532</v>
      </c>
      <c r="J386" s="291">
        <f t="shared" si="20"/>
        <v>0.61023303077344926</v>
      </c>
      <c r="K386" s="291">
        <f t="shared" si="20"/>
        <v>0.56006610301046245</v>
      </c>
      <c r="L386" s="291">
        <f t="shared" si="20"/>
        <v>0.46931548476009893</v>
      </c>
      <c r="M386" s="291">
        <f t="shared" si="20"/>
        <v>0.44798313090596215</v>
      </c>
      <c r="N386" s="291">
        <f t="shared" si="20"/>
        <v>0.39395867787867456</v>
      </c>
      <c r="O386" s="291">
        <f t="shared" si="20"/>
        <v>0.31066486407604438</v>
      </c>
      <c r="P386" s="291">
        <f t="shared" si="20"/>
        <v>0.30516735024466829</v>
      </c>
      <c r="Q386" s="291">
        <f t="shared" si="20"/>
        <v>0.3211497253827636</v>
      </c>
      <c r="R386" s="291">
        <f t="shared" si="20"/>
        <v>0.34053714259270312</v>
      </c>
      <c r="S386" s="291">
        <f t="shared" si="20"/>
        <v>0.32832254527279869</v>
      </c>
      <c r="T386" s="291">
        <f t="shared" si="20"/>
        <v>0.33090603045196909</v>
      </c>
      <c r="U386" s="291">
        <f t="shared" si="20"/>
        <v>0.31796320821865232</v>
      </c>
      <c r="V386" s="291">
        <f t="shared" si="20"/>
        <v>0.29126282770760908</v>
      </c>
      <c r="W386" s="291">
        <f t="shared" si="20"/>
        <v>0.29013468542268639</v>
      </c>
      <c r="X386" s="291">
        <f t="shared" si="20"/>
        <v>0.30637262286883277</v>
      </c>
      <c r="Y386" s="291">
        <f t="shared" si="20"/>
        <v>0.31586764545368812</v>
      </c>
      <c r="Z386" s="291">
        <f t="shared" si="20"/>
        <v>0.3045808082044747</v>
      </c>
      <c r="AA386" s="291">
        <f t="shared" si="20"/>
        <v>0.29349775633923181</v>
      </c>
      <c r="AB386" s="291">
        <f t="shared" si="20"/>
        <v>0.27941975731136637</v>
      </c>
      <c r="AC386" s="291">
        <f t="shared" si="20"/>
        <v>0.28643630734746606</v>
      </c>
      <c r="AD386" s="291">
        <f t="shared" si="20"/>
        <v>0.28950183433674198</v>
      </c>
      <c r="AE386" s="291">
        <f t="shared" si="20"/>
        <v>0.29894818349143898</v>
      </c>
      <c r="AF386" s="291">
        <f t="shared" si="20"/>
        <v>0.30027063741463578</v>
      </c>
      <c r="AG386" s="291">
        <f t="shared" si="20"/>
        <v>0.35452013758423156</v>
      </c>
      <c r="AH386" s="291">
        <f t="shared" si="20"/>
        <v>0.39799652215200537</v>
      </c>
      <c r="AI386" s="291">
        <f t="shared" si="20"/>
        <v>0.3748344314937157</v>
      </c>
      <c r="AJ386" s="327">
        <f t="shared" si="12"/>
        <v>0.3748344314937157</v>
      </c>
    </row>
    <row r="387" spans="2:36">
      <c r="B387" s="72" t="s">
        <v>661</v>
      </c>
      <c r="C387" s="72" t="s">
        <v>662</v>
      </c>
      <c r="D387" s="291">
        <f t="shared" si="11"/>
        <v>0.7120421802146899</v>
      </c>
      <c r="E387" s="291">
        <f t="shared" si="20"/>
        <v>0.81029917538170926</v>
      </c>
      <c r="F387" s="291">
        <f t="shared" si="20"/>
        <v>0.87914862914519165</v>
      </c>
      <c r="G387" s="291">
        <f t="shared" si="20"/>
        <v>0.7982442345221884</v>
      </c>
      <c r="H387" s="291">
        <f t="shared" si="20"/>
        <v>0.83282428332328506</v>
      </c>
      <c r="I387" s="291">
        <f t="shared" si="20"/>
        <v>0.78565915946948062</v>
      </c>
      <c r="J387" s="291">
        <f t="shared" si="20"/>
        <v>0.57535395247776089</v>
      </c>
      <c r="K387" s="291">
        <f t="shared" si="20"/>
        <v>0.44121415599564862</v>
      </c>
      <c r="L387" s="291">
        <f t="shared" si="20"/>
        <v>0.41925344859799646</v>
      </c>
      <c r="M387" s="291">
        <f t="shared" si="20"/>
        <v>0.44496318503364646</v>
      </c>
      <c r="N387" s="291">
        <f t="shared" si="20"/>
        <v>0.39409374766263988</v>
      </c>
      <c r="O387" s="291">
        <f t="shared" si="20"/>
        <v>0.38376393475436943</v>
      </c>
      <c r="P387" s="291">
        <f t="shared" si="20"/>
        <v>0.37725750954648962</v>
      </c>
      <c r="Q387" s="291">
        <f t="shared" si="20"/>
        <v>0.45445476351891928</v>
      </c>
      <c r="R387" s="291">
        <f t="shared" si="20"/>
        <v>0.45662376093342266</v>
      </c>
      <c r="S387" s="291">
        <f t="shared" si="20"/>
        <v>0.45351011748740994</v>
      </c>
      <c r="T387" s="291">
        <f t="shared" si="20"/>
        <v>0.4710590970828275</v>
      </c>
      <c r="U387" s="291">
        <f t="shared" si="20"/>
        <v>0.40325730211138577</v>
      </c>
      <c r="V387" s="291">
        <f t="shared" si="20"/>
        <v>0.19714337309301821</v>
      </c>
      <c r="W387" s="291">
        <f t="shared" si="20"/>
        <v>0.28621194170376002</v>
      </c>
      <c r="X387" s="291">
        <f t="shared" si="20"/>
        <v>0.34533794832872555</v>
      </c>
      <c r="Y387" s="291">
        <f t="shared" si="20"/>
        <v>0.33792533025972499</v>
      </c>
      <c r="Z387" s="291">
        <f t="shared" si="20"/>
        <v>0.37212415858615544</v>
      </c>
      <c r="AA387" s="291">
        <f t="shared" si="20"/>
        <v>0.37523100341086785</v>
      </c>
      <c r="AB387" s="291">
        <f t="shared" si="20"/>
        <v>0.34344718147323378</v>
      </c>
      <c r="AC387" s="291">
        <f t="shared" si="20"/>
        <v>0.3504816201749209</v>
      </c>
      <c r="AD387" s="291">
        <f t="shared" si="20"/>
        <v>0.41122784944168739</v>
      </c>
      <c r="AE387" s="291">
        <f t="shared" si="20"/>
        <v>0.39828242129767849</v>
      </c>
      <c r="AF387" s="291">
        <f t="shared" si="20"/>
        <v>0.46832959259468354</v>
      </c>
      <c r="AG387" s="291">
        <f t="shared" si="20"/>
        <v>0.54403298256009025</v>
      </c>
      <c r="AH387" s="291">
        <f t="shared" si="20"/>
        <v>0.66808008736773095</v>
      </c>
      <c r="AI387" s="291">
        <f t="shared" si="20"/>
        <v>0.68847439424136836</v>
      </c>
      <c r="AJ387" s="327">
        <f t="shared" si="12"/>
        <v>0.68847439424136836</v>
      </c>
    </row>
    <row r="388" spans="2:36">
      <c r="B388" s="72" t="s">
        <v>663</v>
      </c>
      <c r="C388" s="72" t="s">
        <v>664</v>
      </c>
      <c r="D388" s="291">
        <f t="shared" si="11"/>
        <v>0.59135540297542266</v>
      </c>
      <c r="E388" s="291">
        <f t="shared" si="20"/>
        <v>0.69832224626320027</v>
      </c>
      <c r="F388" s="291">
        <f t="shared" si="20"/>
        <v>0.82879104197319131</v>
      </c>
      <c r="G388" s="291">
        <f t="shared" si="20"/>
        <v>0.97408988169498767</v>
      </c>
      <c r="H388" s="291">
        <f t="shared" si="20"/>
        <v>1.1210651157056652</v>
      </c>
      <c r="I388" s="291">
        <f t="shared" si="20"/>
        <v>1.1992800687610197</v>
      </c>
      <c r="J388" s="291">
        <f t="shared" si="20"/>
        <v>1.3017952584944916</v>
      </c>
      <c r="K388" s="291">
        <f t="shared" si="20"/>
        <v>0.72306509883061421</v>
      </c>
      <c r="L388" s="291">
        <f t="shared" si="20"/>
        <v>0.60670156247684759</v>
      </c>
      <c r="M388" s="291">
        <f t="shared" si="20"/>
        <v>0.56747314807129756</v>
      </c>
      <c r="N388" s="291">
        <f t="shared" si="20"/>
        <v>0.43487057802459689</v>
      </c>
      <c r="O388" s="291">
        <f t="shared" si="20"/>
        <v>0</v>
      </c>
      <c r="P388" s="291">
        <f t="shared" si="20"/>
        <v>0</v>
      </c>
      <c r="Q388" s="291">
        <f t="shared" si="20"/>
        <v>0.2039078607301594</v>
      </c>
      <c r="R388" s="291">
        <f t="shared" si="20"/>
        <v>0.22063769025562008</v>
      </c>
      <c r="S388" s="291">
        <f t="shared" si="20"/>
        <v>0.27399822991471412</v>
      </c>
      <c r="T388" s="291">
        <f t="shared" si="20"/>
        <v>0.30956737026013026</v>
      </c>
      <c r="U388" s="291">
        <f t="shared" si="20"/>
        <v>0.26934428750154843</v>
      </c>
      <c r="V388" s="291">
        <f t="shared" si="20"/>
        <v>0.2453753044696742</v>
      </c>
      <c r="W388" s="291">
        <f t="shared" si="20"/>
        <v>0.24480422969020083</v>
      </c>
      <c r="X388" s="291">
        <f t="shared" si="20"/>
        <v>0.24200999333189255</v>
      </c>
      <c r="Y388" s="291">
        <f t="shared" si="20"/>
        <v>0.27752771206777793</v>
      </c>
      <c r="Z388" s="291">
        <f t="shared" si="20"/>
        <v>0.24565443998385167</v>
      </c>
      <c r="AA388" s="291">
        <f t="shared" si="20"/>
        <v>0.23487763290072783</v>
      </c>
      <c r="AB388" s="291">
        <f t="shared" si="20"/>
        <v>0.23676308689667991</v>
      </c>
      <c r="AC388" s="291">
        <f t="shared" si="20"/>
        <v>0.25797044941009439</v>
      </c>
      <c r="AD388" s="291">
        <f t="shared" si="20"/>
        <v>0.2744697896140792</v>
      </c>
      <c r="AE388" s="291">
        <f t="shared" si="20"/>
        <v>0.2838334352554025</v>
      </c>
      <c r="AF388" s="291">
        <f t="shared" si="20"/>
        <v>0.34636729278345235</v>
      </c>
      <c r="AG388" s="291">
        <f t="shared" si="20"/>
        <v>0.38276057663822466</v>
      </c>
      <c r="AH388" s="291">
        <f t="shared" si="20"/>
        <v>0</v>
      </c>
      <c r="AI388" s="291">
        <f t="shared" si="20"/>
        <v>0</v>
      </c>
      <c r="AJ388" s="327">
        <f t="shared" si="12"/>
        <v>0</v>
      </c>
    </row>
    <row r="389" spans="2:36">
      <c r="B389" s="72" t="s">
        <v>665</v>
      </c>
      <c r="C389" s="72" t="s">
        <v>666</v>
      </c>
      <c r="D389" s="291">
        <f t="shared" si="11"/>
        <v>0</v>
      </c>
      <c r="E389" s="291">
        <f t="shared" si="20"/>
        <v>0</v>
      </c>
      <c r="F389" s="291">
        <f t="shared" si="20"/>
        <v>0</v>
      </c>
      <c r="G389" s="291">
        <f t="shared" si="20"/>
        <v>0</v>
      </c>
      <c r="H389" s="291">
        <f t="shared" si="20"/>
        <v>0</v>
      </c>
      <c r="I389" s="291">
        <f t="shared" si="20"/>
        <v>0</v>
      </c>
      <c r="J389" s="291">
        <f t="shared" si="20"/>
        <v>0</v>
      </c>
      <c r="K389" s="291">
        <f t="shared" si="20"/>
        <v>0</v>
      </c>
      <c r="L389" s="291">
        <f t="shared" si="20"/>
        <v>0</v>
      </c>
      <c r="M389" s="291">
        <f t="shared" si="20"/>
        <v>0</v>
      </c>
      <c r="N389" s="291">
        <f t="shared" si="20"/>
        <v>0</v>
      </c>
      <c r="O389" s="291">
        <f t="shared" si="20"/>
        <v>0</v>
      </c>
      <c r="P389" s="291">
        <f t="shared" si="20"/>
        <v>0</v>
      </c>
      <c r="Q389" s="291">
        <f t="shared" si="20"/>
        <v>0</v>
      </c>
      <c r="R389" s="291">
        <f t="shared" si="20"/>
        <v>0</v>
      </c>
      <c r="S389" s="291">
        <f t="shared" si="20"/>
        <v>0</v>
      </c>
      <c r="T389" s="291">
        <f t="shared" si="20"/>
        <v>0</v>
      </c>
      <c r="U389" s="291">
        <f t="shared" si="20"/>
        <v>0.16526631304016673</v>
      </c>
      <c r="V389" s="291">
        <f t="shared" si="20"/>
        <v>0.12182890442721567</v>
      </c>
      <c r="W389" s="291">
        <f t="shared" si="20"/>
        <v>0.16690628771136434</v>
      </c>
      <c r="X389" s="291">
        <f t="shared" si="20"/>
        <v>0.26994118369770764</v>
      </c>
      <c r="Y389" s="291">
        <f t="shared" si="20"/>
        <v>0.22077959072626846</v>
      </c>
      <c r="Z389" s="291">
        <f t="shared" si="20"/>
        <v>0.22636268526745798</v>
      </c>
      <c r="AA389" s="291">
        <f t="shared" si="20"/>
        <v>0</v>
      </c>
      <c r="AB389" s="291">
        <f t="shared" si="20"/>
        <v>0.27653439315916306</v>
      </c>
      <c r="AC389" s="291">
        <f t="shared" si="20"/>
        <v>0.32813852854616604</v>
      </c>
      <c r="AD389" s="291">
        <f t="shared" si="20"/>
        <v>0.43171409032170033</v>
      </c>
      <c r="AE389" s="291">
        <f t="shared" si="20"/>
        <v>0.46714247500689354</v>
      </c>
      <c r="AF389" s="291">
        <f t="shared" si="20"/>
        <v>0.68399029458083338</v>
      </c>
      <c r="AG389" s="291">
        <f t="shared" si="20"/>
        <v>0.56002812587925122</v>
      </c>
      <c r="AH389" s="291">
        <f t="shared" si="20"/>
        <v>0.69696953391532013</v>
      </c>
      <c r="AI389" s="291">
        <f t="shared" si="20"/>
        <v>0.82749381368181429</v>
      </c>
      <c r="AJ389" s="327">
        <f t="shared" si="12"/>
        <v>0.82749381368181429</v>
      </c>
    </row>
    <row r="390" spans="2:36">
      <c r="B390" s="72" t="s">
        <v>667</v>
      </c>
      <c r="C390" s="72" t="s">
        <v>668</v>
      </c>
      <c r="D390" s="291">
        <f t="shared" si="11"/>
        <v>0.87160174122698009</v>
      </c>
      <c r="E390" s="291">
        <f t="shared" si="20"/>
        <v>0.83243008321173717</v>
      </c>
      <c r="F390" s="291">
        <f t="shared" si="20"/>
        <v>0.90554735164801792</v>
      </c>
      <c r="G390" s="291">
        <f t="shared" si="20"/>
        <v>0.95900325641199202</v>
      </c>
      <c r="H390" s="291">
        <f t="shared" si="20"/>
        <v>0.96946081258699413</v>
      </c>
      <c r="I390" s="291">
        <f t="shared" si="20"/>
        <v>0.97419373001573606</v>
      </c>
      <c r="J390" s="291">
        <f t="shared" si="20"/>
        <v>1.1181342285625526</v>
      </c>
      <c r="K390" s="291">
        <f t="shared" si="20"/>
        <v>1.0744889383445657</v>
      </c>
      <c r="L390" s="291">
        <f t="shared" si="20"/>
        <v>0.9830848799448112</v>
      </c>
      <c r="M390" s="291">
        <f t="shared" si="20"/>
        <v>0.97762794894891636</v>
      </c>
      <c r="N390" s="291">
        <f t="shared" si="20"/>
        <v>0.96874431189872034</v>
      </c>
      <c r="O390" s="291">
        <f t="shared" si="20"/>
        <v>0.90754965674893706</v>
      </c>
      <c r="P390" s="291">
        <f t="shared" si="20"/>
        <v>0.95529230169554258</v>
      </c>
      <c r="Q390" s="291">
        <f t="shared" si="20"/>
        <v>0.99191476918495813</v>
      </c>
      <c r="R390" s="291">
        <f t="shared" si="20"/>
        <v>0.98555371793649338</v>
      </c>
      <c r="S390" s="291">
        <f t="shared" si="20"/>
        <v>1.0280846086319433</v>
      </c>
      <c r="T390" s="291">
        <f t="shared" si="20"/>
        <v>1.0420430193355275</v>
      </c>
      <c r="U390" s="291">
        <f t="shared" si="20"/>
        <v>0.98024456094289203</v>
      </c>
      <c r="V390" s="291">
        <f t="shared" si="20"/>
        <v>0.92579014730184073</v>
      </c>
      <c r="W390" s="291">
        <f t="shared" si="20"/>
        <v>0.93824634806755869</v>
      </c>
      <c r="X390" s="291">
        <f t="shared" si="20"/>
        <v>0.92091422813532842</v>
      </c>
      <c r="Y390" s="291">
        <f t="shared" si="20"/>
        <v>0.98502905459545365</v>
      </c>
      <c r="Z390" s="291">
        <f t="shared" si="20"/>
        <v>1.0043242708697437</v>
      </c>
      <c r="AA390" s="291">
        <f t="shared" si="20"/>
        <v>1.093968869559502</v>
      </c>
      <c r="AB390" s="291">
        <f t="shared" si="20"/>
        <v>1.0786530516741186</v>
      </c>
      <c r="AC390" s="291">
        <f t="shared" si="20"/>
        <v>1.0861424994456679</v>
      </c>
      <c r="AD390" s="291">
        <f t="shared" si="20"/>
        <v>1.0707254963214348</v>
      </c>
      <c r="AE390" s="291">
        <f t="shared" si="20"/>
        <v>1.0158527558728614</v>
      </c>
      <c r="AF390" s="291">
        <f t="shared" si="20"/>
        <v>1.1649425615330664</v>
      </c>
      <c r="AG390" s="291">
        <f t="shared" si="20"/>
        <v>1.2127957007273982</v>
      </c>
      <c r="AH390" s="291">
        <f t="shared" si="20"/>
        <v>1.0929648301381296</v>
      </c>
      <c r="AI390" s="291">
        <f t="shared" si="20"/>
        <v>1.0611098270752726</v>
      </c>
      <c r="AJ390" s="327">
        <f t="shared" si="12"/>
        <v>1.0611098270752726</v>
      </c>
    </row>
    <row r="391" spans="2:36">
      <c r="B391" s="72" t="s">
        <v>669</v>
      </c>
      <c r="C391" s="72" t="s">
        <v>670</v>
      </c>
      <c r="D391" s="291">
        <f t="shared" si="11"/>
        <v>0</v>
      </c>
      <c r="E391" s="291">
        <f t="shared" si="20"/>
        <v>0</v>
      </c>
      <c r="F391" s="291">
        <f t="shared" si="20"/>
        <v>0</v>
      </c>
      <c r="G391" s="291">
        <f t="shared" si="20"/>
        <v>0</v>
      </c>
      <c r="H391" s="291">
        <f t="shared" si="20"/>
        <v>0</v>
      </c>
      <c r="I391" s="291">
        <f t="shared" si="20"/>
        <v>0</v>
      </c>
      <c r="J391" s="291">
        <f t="shared" si="20"/>
        <v>0</v>
      </c>
      <c r="K391" s="291">
        <f t="shared" si="20"/>
        <v>0</v>
      </c>
      <c r="L391" s="291">
        <f t="shared" si="20"/>
        <v>0</v>
      </c>
      <c r="M391" s="291">
        <f t="shared" si="20"/>
        <v>0</v>
      </c>
      <c r="N391" s="291">
        <f t="shared" si="20"/>
        <v>0</v>
      </c>
      <c r="O391" s="291">
        <f t="shared" si="20"/>
        <v>0</v>
      </c>
      <c r="P391" s="291">
        <f t="shared" si="20"/>
        <v>0</v>
      </c>
      <c r="Q391" s="291">
        <f t="shared" si="20"/>
        <v>0</v>
      </c>
      <c r="R391" s="291">
        <f t="shared" si="20"/>
        <v>0</v>
      </c>
      <c r="S391" s="291">
        <f t="shared" si="20"/>
        <v>0</v>
      </c>
      <c r="T391" s="291">
        <f t="shared" si="20"/>
        <v>0</v>
      </c>
      <c r="U391" s="291">
        <f t="shared" si="20"/>
        <v>0</v>
      </c>
      <c r="V391" s="291">
        <f t="shared" si="20"/>
        <v>0</v>
      </c>
      <c r="W391" s="291">
        <f t="shared" si="20"/>
        <v>0</v>
      </c>
      <c r="X391" s="291">
        <f t="shared" si="20"/>
        <v>0</v>
      </c>
      <c r="Y391" s="291">
        <f t="shared" si="20"/>
        <v>0</v>
      </c>
      <c r="Z391" s="291">
        <f t="shared" si="20"/>
        <v>0</v>
      </c>
      <c r="AA391" s="291">
        <f t="shared" si="20"/>
        <v>0</v>
      </c>
      <c r="AB391" s="291">
        <f t="shared" si="20"/>
        <v>0</v>
      </c>
      <c r="AC391" s="291">
        <f t="shared" si="20"/>
        <v>0</v>
      </c>
      <c r="AD391" s="291">
        <f t="shared" si="20"/>
        <v>0</v>
      </c>
      <c r="AE391" s="291">
        <f t="shared" si="20"/>
        <v>0</v>
      </c>
      <c r="AF391" s="291">
        <f t="shared" si="20"/>
        <v>0</v>
      </c>
      <c r="AG391" s="291">
        <f t="shared" si="20"/>
        <v>0</v>
      </c>
      <c r="AH391" s="291">
        <f t="shared" si="20"/>
        <v>0</v>
      </c>
      <c r="AI391" s="291">
        <f t="shared" si="20"/>
        <v>0</v>
      </c>
      <c r="AJ391" s="327">
        <f t="shared" si="12"/>
        <v>0</v>
      </c>
    </row>
    <row r="392" spans="2:36">
      <c r="B392" s="72" t="s">
        <v>671</v>
      </c>
      <c r="C392" s="72" t="s">
        <v>672</v>
      </c>
      <c r="D392" s="291">
        <f t="shared" si="11"/>
        <v>0.65377473204561087</v>
      </c>
      <c r="E392" s="291">
        <f t="shared" si="20"/>
        <v>0.68352094004277109</v>
      </c>
      <c r="F392" s="291">
        <f t="shared" si="20"/>
        <v>0.78357939923182218</v>
      </c>
      <c r="G392" s="291">
        <f t="shared" si="20"/>
        <v>0.92357996451077395</v>
      </c>
      <c r="H392" s="291">
        <f t="shared" si="20"/>
        <v>0.93522282727602402</v>
      </c>
      <c r="I392" s="291">
        <f t="shared" si="20"/>
        <v>0.83035084760638078</v>
      </c>
      <c r="J392" s="291">
        <f t="shared" si="20"/>
        <v>0.83631106085154661</v>
      </c>
      <c r="K392" s="291">
        <f t="shared" si="20"/>
        <v>0.79841919467926548</v>
      </c>
      <c r="L392" s="291">
        <f t="shared" si="20"/>
        <v>0.82029980108369349</v>
      </c>
      <c r="M392" s="291">
        <f t="shared" si="20"/>
        <v>0.82294648028522155</v>
      </c>
      <c r="N392" s="291">
        <f t="shared" si="20"/>
        <v>0.77566405542733108</v>
      </c>
      <c r="O392" s="291">
        <f t="shared" si="20"/>
        <v>0.77952936139276585</v>
      </c>
      <c r="P392" s="291">
        <f t="shared" ref="E392:AI401" si="21">P140/P$250</f>
        <v>0.78410757757211369</v>
      </c>
      <c r="Q392" s="291">
        <f t="shared" si="21"/>
        <v>0.86095993852127761</v>
      </c>
      <c r="R392" s="291">
        <f t="shared" si="21"/>
        <v>0.87846922671728422</v>
      </c>
      <c r="S392" s="291">
        <f t="shared" si="21"/>
        <v>0.90486854063085298</v>
      </c>
      <c r="T392" s="291">
        <f t="shared" si="21"/>
        <v>0.93170829432597124</v>
      </c>
      <c r="U392" s="291">
        <f t="shared" si="21"/>
        <v>0.88041196726001825</v>
      </c>
      <c r="V392" s="291">
        <f t="shared" si="21"/>
        <v>0.82372602187528798</v>
      </c>
      <c r="W392" s="291">
        <f t="shared" si="21"/>
        <v>0.8017829127593934</v>
      </c>
      <c r="X392" s="291">
        <f t="shared" si="21"/>
        <v>0.87744366252263917</v>
      </c>
      <c r="Y392" s="291">
        <f t="shared" si="21"/>
        <v>0.90313189171325492</v>
      </c>
      <c r="Z392" s="291">
        <f t="shared" si="21"/>
        <v>0.77694327441463118</v>
      </c>
      <c r="AA392" s="291">
        <f t="shared" si="21"/>
        <v>0.7616648989080872</v>
      </c>
      <c r="AB392" s="291">
        <f t="shared" si="21"/>
        <v>0.68099544338641371</v>
      </c>
      <c r="AC392" s="291">
        <f t="shared" si="21"/>
        <v>0.71600854404593683</v>
      </c>
      <c r="AD392" s="291">
        <f t="shared" si="21"/>
        <v>0.74572372363548201</v>
      </c>
      <c r="AE392" s="291">
        <f t="shared" si="21"/>
        <v>0.70113587966659296</v>
      </c>
      <c r="AF392" s="291">
        <f t="shared" si="21"/>
        <v>0.90082468313348518</v>
      </c>
      <c r="AG392" s="291">
        <f t="shared" si="21"/>
        <v>0.99412321498166212</v>
      </c>
      <c r="AH392" s="291">
        <f t="shared" si="21"/>
        <v>1.0451980995107435</v>
      </c>
      <c r="AI392" s="291">
        <f t="shared" si="21"/>
        <v>1.0268725380837989</v>
      </c>
      <c r="AJ392" s="327">
        <f t="shared" si="12"/>
        <v>1.0268725380837989</v>
      </c>
    </row>
    <row r="393" spans="2:36">
      <c r="B393" s="72" t="s">
        <v>673</v>
      </c>
      <c r="C393" s="72" t="s">
        <v>674</v>
      </c>
      <c r="D393" s="291">
        <f t="shared" si="11"/>
        <v>0.76751479007340395</v>
      </c>
      <c r="E393" s="291">
        <f t="shared" si="21"/>
        <v>0.71313103886877116</v>
      </c>
      <c r="F393" s="291">
        <f t="shared" si="21"/>
        <v>0.75455226535872522</v>
      </c>
      <c r="G393" s="291">
        <f t="shared" si="21"/>
        <v>0.84489383258041473</v>
      </c>
      <c r="H393" s="291">
        <f t="shared" si="21"/>
        <v>0.88138594762904154</v>
      </c>
      <c r="I393" s="291">
        <f t="shared" si="21"/>
        <v>0.86706326486310337</v>
      </c>
      <c r="J393" s="291">
        <f t="shared" si="21"/>
        <v>1.010529313543284</v>
      </c>
      <c r="K393" s="291">
        <f t="shared" si="21"/>
        <v>1.0490177658985085</v>
      </c>
      <c r="L393" s="291">
        <f t="shared" si="21"/>
        <v>0.96314444685171785</v>
      </c>
      <c r="M393" s="291">
        <f t="shared" si="21"/>
        <v>0.98287230939234072</v>
      </c>
      <c r="N393" s="291">
        <f t="shared" si="21"/>
        <v>1.0485227914125166</v>
      </c>
      <c r="O393" s="291">
        <f t="shared" si="21"/>
        <v>1.0302633999185771</v>
      </c>
      <c r="P393" s="291">
        <f t="shared" si="21"/>
        <v>1.0482987354213684</v>
      </c>
      <c r="Q393" s="291">
        <f t="shared" si="21"/>
        <v>0.97021278021137991</v>
      </c>
      <c r="R393" s="291">
        <f t="shared" si="21"/>
        <v>0.94567771485890006</v>
      </c>
      <c r="S393" s="291">
        <f t="shared" si="21"/>
        <v>0.92768060264728891</v>
      </c>
      <c r="T393" s="291">
        <f t="shared" si="21"/>
        <v>1.0147058205989281</v>
      </c>
      <c r="U393" s="291">
        <f t="shared" si="21"/>
        <v>0.89289869411304279</v>
      </c>
      <c r="V393" s="291">
        <f t="shared" si="21"/>
        <v>0.84373956892253665</v>
      </c>
      <c r="W393" s="291">
        <f t="shared" si="21"/>
        <v>0.82579545133654431</v>
      </c>
      <c r="X393" s="291">
        <f t="shared" si="21"/>
        <v>0.78232825509632353</v>
      </c>
      <c r="Y393" s="291">
        <f t="shared" si="21"/>
        <v>0.80122140648495754</v>
      </c>
      <c r="Z393" s="291">
        <f t="shared" si="21"/>
        <v>0.84578149568376837</v>
      </c>
      <c r="AA393" s="291">
        <f t="shared" si="21"/>
        <v>0.92106647426907329</v>
      </c>
      <c r="AB393" s="291">
        <f t="shared" si="21"/>
        <v>0.93579539127234812</v>
      </c>
      <c r="AC393" s="291">
        <f t="shared" si="21"/>
        <v>0.93176608252385562</v>
      </c>
      <c r="AD393" s="291">
        <f t="shared" si="21"/>
        <v>0.90668700277678271</v>
      </c>
      <c r="AE393" s="291">
        <f t="shared" si="21"/>
        <v>0.86589801107919528</v>
      </c>
      <c r="AF393" s="291">
        <f t="shared" si="21"/>
        <v>0.96579181753018362</v>
      </c>
      <c r="AG393" s="291">
        <f t="shared" si="21"/>
        <v>1.0595488385457841</v>
      </c>
      <c r="AH393" s="291">
        <f t="shared" si="21"/>
        <v>1.0249547750403358</v>
      </c>
      <c r="AI393" s="291">
        <f t="shared" si="21"/>
        <v>1.0100521746742479</v>
      </c>
      <c r="AJ393" s="327">
        <f t="shared" si="12"/>
        <v>1.0100521746742479</v>
      </c>
    </row>
    <row r="394" spans="2:36">
      <c r="B394" s="72" t="s">
        <v>675</v>
      </c>
      <c r="C394" s="72" t="s">
        <v>676</v>
      </c>
      <c r="D394" s="291">
        <f t="shared" si="11"/>
        <v>0</v>
      </c>
      <c r="E394" s="291">
        <f t="shared" si="21"/>
        <v>0</v>
      </c>
      <c r="F394" s="291">
        <f t="shared" si="21"/>
        <v>0</v>
      </c>
      <c r="G394" s="291">
        <f t="shared" si="21"/>
        <v>0</v>
      </c>
      <c r="H394" s="291">
        <f t="shared" si="21"/>
        <v>0</v>
      </c>
      <c r="I394" s="291">
        <f t="shared" si="21"/>
        <v>0</v>
      </c>
      <c r="J394" s="291">
        <f t="shared" si="21"/>
        <v>0</v>
      </c>
      <c r="K394" s="291">
        <f t="shared" si="21"/>
        <v>0</v>
      </c>
      <c r="L394" s="291">
        <f t="shared" si="21"/>
        <v>0</v>
      </c>
      <c r="M394" s="291">
        <f t="shared" si="21"/>
        <v>0</v>
      </c>
      <c r="N394" s="291">
        <f t="shared" si="21"/>
        <v>0</v>
      </c>
      <c r="O394" s="291">
        <f t="shared" si="21"/>
        <v>0</v>
      </c>
      <c r="P394" s="291">
        <f t="shared" si="21"/>
        <v>0</v>
      </c>
      <c r="Q394" s="291">
        <f t="shared" si="21"/>
        <v>0</v>
      </c>
      <c r="R394" s="291">
        <f t="shared" si="21"/>
        <v>0</v>
      </c>
      <c r="S394" s="291">
        <f t="shared" si="21"/>
        <v>0</v>
      </c>
      <c r="T394" s="291">
        <f t="shared" si="21"/>
        <v>0</v>
      </c>
      <c r="U394" s="291">
        <f t="shared" si="21"/>
        <v>0</v>
      </c>
      <c r="V394" s="291">
        <f t="shared" si="21"/>
        <v>0</v>
      </c>
      <c r="W394" s="291">
        <f t="shared" si="21"/>
        <v>0</v>
      </c>
      <c r="X394" s="291">
        <f t="shared" si="21"/>
        <v>0</v>
      </c>
      <c r="Y394" s="291">
        <f t="shared" si="21"/>
        <v>0</v>
      </c>
      <c r="Z394" s="291">
        <f t="shared" si="21"/>
        <v>0</v>
      </c>
      <c r="AA394" s="291">
        <f t="shared" si="21"/>
        <v>0</v>
      </c>
      <c r="AB394" s="291">
        <f t="shared" si="21"/>
        <v>0</v>
      </c>
      <c r="AC394" s="291">
        <f t="shared" si="21"/>
        <v>0.51010022536130073</v>
      </c>
      <c r="AD394" s="291">
        <f t="shared" si="21"/>
        <v>0</v>
      </c>
      <c r="AE394" s="291">
        <f t="shared" si="21"/>
        <v>0</v>
      </c>
      <c r="AF394" s="291">
        <f t="shared" si="21"/>
        <v>0</v>
      </c>
      <c r="AG394" s="291">
        <f t="shared" si="21"/>
        <v>0</v>
      </c>
      <c r="AH394" s="291">
        <f t="shared" si="21"/>
        <v>0</v>
      </c>
      <c r="AI394" s="291">
        <f t="shared" si="21"/>
        <v>0</v>
      </c>
      <c r="AJ394" s="327">
        <f t="shared" si="12"/>
        <v>0</v>
      </c>
    </row>
    <row r="395" spans="2:36">
      <c r="B395" s="72" t="s">
        <v>677</v>
      </c>
      <c r="C395" s="72" t="s">
        <v>678</v>
      </c>
      <c r="D395" s="291">
        <f t="shared" si="11"/>
        <v>0.94930920398268803</v>
      </c>
      <c r="E395" s="291">
        <f t="shared" si="21"/>
        <v>1.0457578479510348</v>
      </c>
      <c r="F395" s="291">
        <f t="shared" si="21"/>
        <v>1.0071027899098592</v>
      </c>
      <c r="G395" s="291">
        <f t="shared" si="21"/>
        <v>1.1643820471165705</v>
      </c>
      <c r="H395" s="291">
        <f t="shared" si="21"/>
        <v>1.2906767056453319</v>
      </c>
      <c r="I395" s="291">
        <f t="shared" si="21"/>
        <v>1.2711524494520285</v>
      </c>
      <c r="J395" s="291">
        <f t="shared" si="21"/>
        <v>1.5502388788332571</v>
      </c>
      <c r="K395" s="291">
        <f t="shared" si="21"/>
        <v>1.5361986360871918</v>
      </c>
      <c r="L395" s="291">
        <f t="shared" si="21"/>
        <v>1.5038475581262516</v>
      </c>
      <c r="M395" s="291">
        <f t="shared" si="21"/>
        <v>1.446503490975394</v>
      </c>
      <c r="N395" s="291">
        <f t="shared" si="21"/>
        <v>1.2056235916293925</v>
      </c>
      <c r="O395" s="291">
        <f t="shared" si="21"/>
        <v>1.2574136021217681</v>
      </c>
      <c r="P395" s="291">
        <f t="shared" si="21"/>
        <v>1.3158715139871571</v>
      </c>
      <c r="Q395" s="291">
        <f t="shared" si="21"/>
        <v>1.7122981135229922</v>
      </c>
      <c r="R395" s="291">
        <f t="shared" si="21"/>
        <v>1.7991150844470205</v>
      </c>
      <c r="S395" s="291">
        <f t="shared" si="21"/>
        <v>1.833005978655631</v>
      </c>
      <c r="T395" s="291">
        <f t="shared" si="21"/>
        <v>1.5644921260805966</v>
      </c>
      <c r="U395" s="291">
        <f t="shared" si="21"/>
        <v>1.3385576335511027</v>
      </c>
      <c r="V395" s="291">
        <f t="shared" si="21"/>
        <v>1.1902866287910958</v>
      </c>
      <c r="W395" s="291">
        <f t="shared" si="21"/>
        <v>1.3472348890763102</v>
      </c>
      <c r="X395" s="291">
        <f t="shared" si="21"/>
        <v>1.4957328287425953</v>
      </c>
      <c r="Y395" s="291">
        <f t="shared" si="21"/>
        <v>1.3669312897580563</v>
      </c>
      <c r="Z395" s="291">
        <f t="shared" si="21"/>
        <v>1.2189309973370248</v>
      </c>
      <c r="AA395" s="291">
        <f t="shared" si="21"/>
        <v>1.1527302714436864</v>
      </c>
      <c r="AB395" s="291">
        <f t="shared" si="21"/>
        <v>1.0707589041523389</v>
      </c>
      <c r="AC395" s="291">
        <f t="shared" si="21"/>
        <v>1.0161954474156425</v>
      </c>
      <c r="AD395" s="291">
        <f t="shared" si="21"/>
        <v>0.9300222295638253</v>
      </c>
      <c r="AE395" s="291">
        <f t="shared" si="21"/>
        <v>0.79056633867871984</v>
      </c>
      <c r="AF395" s="291">
        <f t="shared" si="21"/>
        <v>0.94484465955975117</v>
      </c>
      <c r="AG395" s="291">
        <f t="shared" si="21"/>
        <v>1.1987281590832191</v>
      </c>
      <c r="AH395" s="291">
        <f t="shared" si="21"/>
        <v>1.23569152500089</v>
      </c>
      <c r="AI395" s="291">
        <f t="shared" si="21"/>
        <v>1.2218658838813738</v>
      </c>
      <c r="AJ395" s="327">
        <f t="shared" si="12"/>
        <v>1.2218658838813738</v>
      </c>
    </row>
    <row r="396" spans="2:36">
      <c r="B396" s="72" t="s">
        <v>679</v>
      </c>
      <c r="C396" s="72" t="s">
        <v>680</v>
      </c>
      <c r="D396" s="291">
        <f t="shared" ref="D396:D459" si="22">D144/D$250</f>
        <v>0.84142376355424697</v>
      </c>
      <c r="E396" s="291">
        <f t="shared" si="21"/>
        <v>0.93645412404927852</v>
      </c>
      <c r="F396" s="291">
        <f t="shared" si="21"/>
        <v>1.0136345960603339</v>
      </c>
      <c r="G396" s="291">
        <f t="shared" si="21"/>
        <v>1.1331930162796069</v>
      </c>
      <c r="H396" s="291">
        <f t="shared" si="21"/>
        <v>1.1628415861024712</v>
      </c>
      <c r="I396" s="291">
        <f t="shared" si="21"/>
        <v>1.0933084820035004</v>
      </c>
      <c r="J396" s="291">
        <f t="shared" si="21"/>
        <v>1.0444620151608137</v>
      </c>
      <c r="K396" s="291">
        <f t="shared" si="21"/>
        <v>0.91223427217953978</v>
      </c>
      <c r="L396" s="291">
        <f t="shared" si="21"/>
        <v>0.74473823645777038</v>
      </c>
      <c r="M396" s="291">
        <f t="shared" si="21"/>
        <v>0.59494875659391266</v>
      </c>
      <c r="N396" s="291">
        <f t="shared" si="21"/>
        <v>0.49113000922014327</v>
      </c>
      <c r="O396" s="291">
        <f t="shared" si="21"/>
        <v>0.47643292567906725</v>
      </c>
      <c r="P396" s="291">
        <f t="shared" si="21"/>
        <v>0.49378277853849728</v>
      </c>
      <c r="Q396" s="291">
        <f t="shared" si="21"/>
        <v>0.56665343930288892</v>
      </c>
      <c r="R396" s="291">
        <f t="shared" si="21"/>
        <v>0.57962914667390153</v>
      </c>
      <c r="S396" s="291">
        <f t="shared" si="21"/>
        <v>0.55469254982681515</v>
      </c>
      <c r="T396" s="291">
        <f t="shared" si="21"/>
        <v>0.55621620842312269</v>
      </c>
      <c r="U396" s="291">
        <f t="shared" si="21"/>
        <v>0.53202338651684733</v>
      </c>
      <c r="V396" s="291">
        <f t="shared" si="21"/>
        <v>0.54137958639421968</v>
      </c>
      <c r="W396" s="291">
        <f t="shared" si="21"/>
        <v>0.53803142377122526</v>
      </c>
      <c r="X396" s="291">
        <f t="shared" si="21"/>
        <v>0.57556285169837207</v>
      </c>
      <c r="Y396" s="291">
        <f t="shared" si="21"/>
        <v>0.60512437574054401</v>
      </c>
      <c r="Z396" s="291">
        <f t="shared" si="21"/>
        <v>0.57608462774330038</v>
      </c>
      <c r="AA396" s="291">
        <f t="shared" si="21"/>
        <v>0.51808889962170335</v>
      </c>
      <c r="AB396" s="291">
        <f t="shared" si="21"/>
        <v>0.46928921423542885</v>
      </c>
      <c r="AC396" s="291">
        <f t="shared" si="21"/>
        <v>0.46399263092596554</v>
      </c>
      <c r="AD396" s="291">
        <f t="shared" si="21"/>
        <v>0.4982750232524093</v>
      </c>
      <c r="AE396" s="291">
        <f t="shared" si="21"/>
        <v>0.45475129498240147</v>
      </c>
      <c r="AF396" s="291">
        <f t="shared" si="21"/>
        <v>0.57503515502311164</v>
      </c>
      <c r="AG396" s="291">
        <f t="shared" si="21"/>
        <v>0.67925601862807317</v>
      </c>
      <c r="AH396" s="291">
        <f t="shared" si="21"/>
        <v>0.73201851602128154</v>
      </c>
      <c r="AI396" s="291">
        <f t="shared" si="21"/>
        <v>0.71434041364859402</v>
      </c>
      <c r="AJ396" s="327">
        <f t="shared" ref="AJ396:AJ459" si="23">AJ144/AJ$250</f>
        <v>0.71434041364859402</v>
      </c>
    </row>
    <row r="397" spans="2:36">
      <c r="B397" s="72" t="s">
        <v>681</v>
      </c>
      <c r="C397" s="72" t="s">
        <v>682</v>
      </c>
      <c r="D397" s="291">
        <f t="shared" si="22"/>
        <v>0</v>
      </c>
      <c r="E397" s="291">
        <f t="shared" ref="E397:S397" si="24">E145/E$250</f>
        <v>0</v>
      </c>
      <c r="F397" s="291">
        <f t="shared" si="24"/>
        <v>0</v>
      </c>
      <c r="G397" s="291">
        <f t="shared" si="24"/>
        <v>0</v>
      </c>
      <c r="H397" s="291">
        <f t="shared" si="24"/>
        <v>0</v>
      </c>
      <c r="I397" s="291">
        <f t="shared" si="24"/>
        <v>0</v>
      </c>
      <c r="J397" s="291">
        <f t="shared" si="24"/>
        <v>0</v>
      </c>
      <c r="K397" s="291">
        <f t="shared" si="24"/>
        <v>0</v>
      </c>
      <c r="L397" s="291">
        <f t="shared" si="24"/>
        <v>0</v>
      </c>
      <c r="M397" s="291">
        <f t="shared" si="24"/>
        <v>0</v>
      </c>
      <c r="N397" s="291">
        <f t="shared" si="24"/>
        <v>0.29632755311603659</v>
      </c>
      <c r="O397" s="291">
        <f t="shared" si="24"/>
        <v>0.29128773396341895</v>
      </c>
      <c r="P397" s="291">
        <f t="shared" si="24"/>
        <v>0.29900306396693388</v>
      </c>
      <c r="Q397" s="291">
        <f t="shared" si="24"/>
        <v>0.35206380204345294</v>
      </c>
      <c r="R397" s="291">
        <f t="shared" si="24"/>
        <v>0.35294591832192496</v>
      </c>
      <c r="S397" s="291">
        <f t="shared" si="24"/>
        <v>0.34728723456133337</v>
      </c>
      <c r="T397" s="291">
        <f t="shared" si="21"/>
        <v>0.35462207857797584</v>
      </c>
      <c r="U397" s="291">
        <f t="shared" si="21"/>
        <v>0.34707069453948219</v>
      </c>
      <c r="V397" s="291">
        <f t="shared" si="21"/>
        <v>0.3391768841164865</v>
      </c>
      <c r="W397" s="291">
        <f t="shared" si="21"/>
        <v>0.25110704905074321</v>
      </c>
      <c r="X397" s="291">
        <f t="shared" si="21"/>
        <v>0.26631124475326184</v>
      </c>
      <c r="Y397" s="291">
        <f t="shared" si="21"/>
        <v>0.29640483642517995</v>
      </c>
      <c r="Z397" s="291">
        <f t="shared" si="21"/>
        <v>0.28329996627778409</v>
      </c>
      <c r="AA397" s="291">
        <f t="shared" si="21"/>
        <v>0.28563944810508973</v>
      </c>
      <c r="AB397" s="291">
        <f t="shared" si="21"/>
        <v>0.32051432486723636</v>
      </c>
      <c r="AC397" s="291">
        <f t="shared" si="21"/>
        <v>0.3748005599510586</v>
      </c>
      <c r="AD397" s="291">
        <f t="shared" si="21"/>
        <v>0.46601596983206584</v>
      </c>
      <c r="AE397" s="291">
        <f t="shared" si="21"/>
        <v>0.4812170691078782</v>
      </c>
      <c r="AF397" s="291">
        <f t="shared" si="21"/>
        <v>0.6260509667587838</v>
      </c>
      <c r="AG397" s="291">
        <f t="shared" si="21"/>
        <v>0.61439482508552001</v>
      </c>
      <c r="AH397" s="291">
        <f t="shared" si="21"/>
        <v>0.7306612762049054</v>
      </c>
      <c r="AI397" s="291">
        <f t="shared" si="21"/>
        <v>0.79186523556410882</v>
      </c>
      <c r="AJ397" s="327">
        <f t="shared" si="23"/>
        <v>0.79186523556410882</v>
      </c>
    </row>
    <row r="398" spans="2:36">
      <c r="B398" s="72" t="s">
        <v>683</v>
      </c>
      <c r="C398" s="72" t="s">
        <v>684</v>
      </c>
      <c r="D398" s="291">
        <f t="shared" si="22"/>
        <v>0.59152654296101803</v>
      </c>
      <c r="E398" s="291">
        <f t="shared" si="21"/>
        <v>0.55836263087709459</v>
      </c>
      <c r="F398" s="291">
        <f t="shared" si="21"/>
        <v>0.55277717066603516</v>
      </c>
      <c r="G398" s="291">
        <f t="shared" si="21"/>
        <v>0.55417656778281932</v>
      </c>
      <c r="H398" s="291">
        <f t="shared" si="21"/>
        <v>0.6144336020220752</v>
      </c>
      <c r="I398" s="291">
        <f t="shared" si="21"/>
        <v>0.57160881212573067</v>
      </c>
      <c r="J398" s="291">
        <f t="shared" si="21"/>
        <v>0.53273848296504578</v>
      </c>
      <c r="K398" s="291">
        <f t="shared" si="21"/>
        <v>0.47144764647428128</v>
      </c>
      <c r="L398" s="291">
        <f t="shared" si="21"/>
        <v>0.40216644157855275</v>
      </c>
      <c r="M398" s="291">
        <f t="shared" si="21"/>
        <v>0.38584783399428091</v>
      </c>
      <c r="N398" s="291">
        <f t="shared" si="21"/>
        <v>0.3280530588665464</v>
      </c>
      <c r="O398" s="291">
        <f t="shared" si="21"/>
        <v>0.29122512558266977</v>
      </c>
      <c r="P398" s="291">
        <f t="shared" si="21"/>
        <v>0.28709650452278046</v>
      </c>
      <c r="Q398" s="291">
        <f t="shared" si="21"/>
        <v>0.2280191889489272</v>
      </c>
      <c r="R398" s="291">
        <f t="shared" si="21"/>
        <v>0.26649041688877934</v>
      </c>
      <c r="S398" s="291">
        <f t="shared" si="21"/>
        <v>0.30433380824674278</v>
      </c>
      <c r="T398" s="291">
        <f t="shared" si="21"/>
        <v>0.38676406367144051</v>
      </c>
      <c r="U398" s="291">
        <f t="shared" si="21"/>
        <v>0.39589603869457757</v>
      </c>
      <c r="V398" s="291">
        <f t="shared" si="21"/>
        <v>0.39540446483688618</v>
      </c>
      <c r="W398" s="291">
        <f t="shared" si="21"/>
        <v>0.35278940342959264</v>
      </c>
      <c r="X398" s="291">
        <f t="shared" si="21"/>
        <v>0.37107202506338155</v>
      </c>
      <c r="Y398" s="291">
        <f t="shared" si="21"/>
        <v>0.38120587234858616</v>
      </c>
      <c r="Z398" s="291">
        <f t="shared" si="21"/>
        <v>0.36222318047904506</v>
      </c>
      <c r="AA398" s="291">
        <f t="shared" si="21"/>
        <v>0.35126701792829612</v>
      </c>
      <c r="AB398" s="291">
        <f t="shared" si="21"/>
        <v>0.31715166817627116</v>
      </c>
      <c r="AC398" s="291">
        <f t="shared" si="21"/>
        <v>0.33783569163338828</v>
      </c>
      <c r="AD398" s="291">
        <f t="shared" si="21"/>
        <v>0.37037974582957006</v>
      </c>
      <c r="AE398" s="291">
        <f t="shared" si="21"/>
        <v>0.36398982713046518</v>
      </c>
      <c r="AF398" s="291">
        <f t="shared" si="21"/>
        <v>0.42345437525293256</v>
      </c>
      <c r="AG398" s="291">
        <f t="shared" si="21"/>
        <v>0.47552087555958766</v>
      </c>
      <c r="AH398" s="291">
        <f t="shared" si="21"/>
        <v>0.47046916311170339</v>
      </c>
      <c r="AI398" s="291">
        <f t="shared" si="21"/>
        <v>0.43171000369474066</v>
      </c>
      <c r="AJ398" s="327">
        <f t="shared" si="23"/>
        <v>0.43171000369474066</v>
      </c>
    </row>
    <row r="399" spans="2:36">
      <c r="B399" s="72" t="s">
        <v>685</v>
      </c>
      <c r="C399" s="72" t="s">
        <v>686</v>
      </c>
      <c r="D399" s="291">
        <f t="shared" si="22"/>
        <v>0.42141551650898001</v>
      </c>
      <c r="E399" s="291">
        <f t="shared" si="21"/>
        <v>0.47552667761355721</v>
      </c>
      <c r="F399" s="291">
        <f t="shared" si="21"/>
        <v>0.48264824604377332</v>
      </c>
      <c r="G399" s="291">
        <f t="shared" si="21"/>
        <v>0.48012857646002638</v>
      </c>
      <c r="H399" s="291">
        <f t="shared" si="21"/>
        <v>0.51544561472544848</v>
      </c>
      <c r="I399" s="291">
        <f t="shared" si="21"/>
        <v>0.39334568014238136</v>
      </c>
      <c r="J399" s="291">
        <f t="shared" si="21"/>
        <v>0.31676521863970331</v>
      </c>
      <c r="K399" s="291">
        <f t="shared" si="21"/>
        <v>0.32355380672875445</v>
      </c>
      <c r="L399" s="291">
        <f t="shared" si="21"/>
        <v>0.30487333538783079</v>
      </c>
      <c r="M399" s="291">
        <f t="shared" si="21"/>
        <v>0.32374755840882424</v>
      </c>
      <c r="N399" s="291">
        <f t="shared" si="21"/>
        <v>0.26081906980177127</v>
      </c>
      <c r="O399" s="291">
        <f t="shared" si="21"/>
        <v>0.43424106106173571</v>
      </c>
      <c r="P399" s="291">
        <f t="shared" si="21"/>
        <v>0.42514925918423413</v>
      </c>
      <c r="Q399" s="291">
        <f t="shared" si="21"/>
        <v>0.4569381614679987</v>
      </c>
      <c r="R399" s="291">
        <f t="shared" si="21"/>
        <v>0.48605740642017897</v>
      </c>
      <c r="S399" s="291">
        <f t="shared" si="21"/>
        <v>0.47402653020315</v>
      </c>
      <c r="T399" s="291">
        <f t="shared" si="21"/>
        <v>0.52305627424999168</v>
      </c>
      <c r="U399" s="291">
        <f t="shared" si="21"/>
        <v>0.47686449765476591</v>
      </c>
      <c r="V399" s="291">
        <f t="shared" si="21"/>
        <v>0.40024093340525863</v>
      </c>
      <c r="W399" s="291">
        <f t="shared" si="21"/>
        <v>0.41946808119313456</v>
      </c>
      <c r="X399" s="291">
        <f t="shared" si="21"/>
        <v>0.40606636718129302</v>
      </c>
      <c r="Y399" s="291">
        <f t="shared" si="21"/>
        <v>0.40863834303556096</v>
      </c>
      <c r="Z399" s="291">
        <f t="shared" si="21"/>
        <v>0.42210698872512581</v>
      </c>
      <c r="AA399" s="291">
        <f t="shared" si="21"/>
        <v>0.4484171693092287</v>
      </c>
      <c r="AB399" s="291">
        <f t="shared" si="21"/>
        <v>0.42761197376314569</v>
      </c>
      <c r="AC399" s="291">
        <f t="shared" si="21"/>
        <v>0.43723724676640174</v>
      </c>
      <c r="AD399" s="291">
        <f t="shared" si="21"/>
        <v>0.4214504734754223</v>
      </c>
      <c r="AE399" s="291">
        <f t="shared" si="21"/>
        <v>0.42641462615664394</v>
      </c>
      <c r="AF399" s="291">
        <f t="shared" si="21"/>
        <v>0.48857324228338073</v>
      </c>
      <c r="AG399" s="291">
        <f t="shared" si="21"/>
        <v>0.52670496810661016</v>
      </c>
      <c r="AH399" s="291">
        <f t="shared" si="21"/>
        <v>0.6077391723027159</v>
      </c>
      <c r="AI399" s="291">
        <f t="shared" si="21"/>
        <v>0.64454455240412734</v>
      </c>
      <c r="AJ399" s="327">
        <f t="shared" si="23"/>
        <v>0.64454455240412734</v>
      </c>
    </row>
    <row r="400" spans="2:36">
      <c r="B400" s="72" t="s">
        <v>687</v>
      </c>
      <c r="C400" s="72" t="s">
        <v>688</v>
      </c>
      <c r="D400" s="291">
        <f t="shared" si="22"/>
        <v>0</v>
      </c>
      <c r="E400" s="291">
        <f t="shared" si="21"/>
        <v>0</v>
      </c>
      <c r="F400" s="291">
        <f t="shared" si="21"/>
        <v>0</v>
      </c>
      <c r="G400" s="291">
        <f t="shared" si="21"/>
        <v>0</v>
      </c>
      <c r="H400" s="291">
        <f t="shared" si="21"/>
        <v>0</v>
      </c>
      <c r="I400" s="291">
        <f t="shared" si="21"/>
        <v>0</v>
      </c>
      <c r="J400" s="291">
        <f t="shared" si="21"/>
        <v>0</v>
      </c>
      <c r="K400" s="291">
        <f t="shared" si="21"/>
        <v>0</v>
      </c>
      <c r="L400" s="291">
        <f t="shared" si="21"/>
        <v>0</v>
      </c>
      <c r="M400" s="291">
        <f t="shared" si="21"/>
        <v>0</v>
      </c>
      <c r="N400" s="291">
        <f t="shared" si="21"/>
        <v>0</v>
      </c>
      <c r="O400" s="291">
        <f t="shared" si="21"/>
        <v>0</v>
      </c>
      <c r="P400" s="291">
        <f t="shared" si="21"/>
        <v>0</v>
      </c>
      <c r="Q400" s="291">
        <f t="shared" si="21"/>
        <v>0</v>
      </c>
      <c r="R400" s="291">
        <f t="shared" si="21"/>
        <v>0</v>
      </c>
      <c r="S400" s="291">
        <f t="shared" si="21"/>
        <v>0</v>
      </c>
      <c r="T400" s="291">
        <f t="shared" si="21"/>
        <v>0</v>
      </c>
      <c r="U400" s="291">
        <f t="shared" si="21"/>
        <v>0</v>
      </c>
      <c r="V400" s="291">
        <f t="shared" si="21"/>
        <v>0</v>
      </c>
      <c r="W400" s="291">
        <f t="shared" si="21"/>
        <v>0</v>
      </c>
      <c r="X400" s="291">
        <f t="shared" si="21"/>
        <v>0</v>
      </c>
      <c r="Y400" s="291">
        <f t="shared" si="21"/>
        <v>0</v>
      </c>
      <c r="Z400" s="291">
        <f t="shared" si="21"/>
        <v>0</v>
      </c>
      <c r="AA400" s="291">
        <f t="shared" si="21"/>
        <v>0</v>
      </c>
      <c r="AB400" s="291">
        <f t="shared" si="21"/>
        <v>0</v>
      </c>
      <c r="AC400" s="291">
        <f t="shared" si="21"/>
        <v>0</v>
      </c>
      <c r="AD400" s="291">
        <f t="shared" si="21"/>
        <v>0</v>
      </c>
      <c r="AE400" s="291">
        <f t="shared" si="21"/>
        <v>0</v>
      </c>
      <c r="AF400" s="291">
        <f t="shared" si="21"/>
        <v>0</v>
      </c>
      <c r="AG400" s="291">
        <f t="shared" si="21"/>
        <v>0</v>
      </c>
      <c r="AH400" s="291">
        <f t="shared" si="21"/>
        <v>0</v>
      </c>
      <c r="AI400" s="291">
        <f t="shared" si="21"/>
        <v>0</v>
      </c>
      <c r="AJ400" s="327">
        <f t="shared" si="23"/>
        <v>0</v>
      </c>
    </row>
    <row r="401" spans="2:36">
      <c r="B401" s="72" t="s">
        <v>689</v>
      </c>
      <c r="C401" s="72" t="s">
        <v>690</v>
      </c>
      <c r="D401" s="291">
        <f t="shared" si="22"/>
        <v>0.61260662207739536</v>
      </c>
      <c r="E401" s="291">
        <f t="shared" si="21"/>
        <v>0.66590594354432497</v>
      </c>
      <c r="F401" s="291">
        <f t="shared" si="21"/>
        <v>0.70520253673863509</v>
      </c>
      <c r="G401" s="291">
        <f t="shared" ref="E401:AI409" si="25">G149/G$250</f>
        <v>0.76151432337598057</v>
      </c>
      <c r="H401" s="291">
        <f t="shared" si="25"/>
        <v>0.83414285700281487</v>
      </c>
      <c r="I401" s="291">
        <f t="shared" si="25"/>
        <v>0.78851666506639095</v>
      </c>
      <c r="J401" s="291">
        <f t="shared" si="25"/>
        <v>0.68670704454316378</v>
      </c>
      <c r="K401" s="291">
        <f t="shared" si="25"/>
        <v>0.65651120843487665</v>
      </c>
      <c r="L401" s="291">
        <f t="shared" si="25"/>
        <v>0.68104551629146104</v>
      </c>
      <c r="M401" s="291">
        <f t="shared" si="25"/>
        <v>0.79465054015215597</v>
      </c>
      <c r="N401" s="291">
        <f t="shared" si="25"/>
        <v>0.71185443253660319</v>
      </c>
      <c r="O401" s="291">
        <f t="shared" si="25"/>
        <v>0.71607686587010222</v>
      </c>
      <c r="P401" s="291">
        <f t="shared" si="25"/>
        <v>0.702685264107201</v>
      </c>
      <c r="Q401" s="291">
        <f t="shared" si="25"/>
        <v>0.82740058007557082</v>
      </c>
      <c r="R401" s="291">
        <f t="shared" si="25"/>
        <v>0.85872642569765345</v>
      </c>
      <c r="S401" s="291">
        <f t="shared" si="25"/>
        <v>0.90787328370277987</v>
      </c>
      <c r="T401" s="291">
        <f t="shared" si="25"/>
        <v>0.90700917353898969</v>
      </c>
      <c r="U401" s="291">
        <f t="shared" si="25"/>
        <v>0.75353998783970766</v>
      </c>
      <c r="V401" s="291">
        <f t="shared" si="25"/>
        <v>0.51676649008587172</v>
      </c>
      <c r="W401" s="291">
        <f t="shared" si="25"/>
        <v>0.60138339686956144</v>
      </c>
      <c r="X401" s="291">
        <f t="shared" si="25"/>
        <v>0.68564392754450354</v>
      </c>
      <c r="Y401" s="291">
        <f t="shared" si="25"/>
        <v>0.65072478550850887</v>
      </c>
      <c r="Z401" s="291">
        <f t="shared" si="25"/>
        <v>0.6540750177823631</v>
      </c>
      <c r="AA401" s="291">
        <f t="shared" si="25"/>
        <v>0.63708168382489516</v>
      </c>
      <c r="AB401" s="291">
        <f t="shared" si="25"/>
        <v>0.60013520975467816</v>
      </c>
      <c r="AC401" s="291">
        <f t="shared" si="25"/>
        <v>0.66599043729667895</v>
      </c>
      <c r="AD401" s="291">
        <f t="shared" si="25"/>
        <v>0.7029490064615207</v>
      </c>
      <c r="AE401" s="291">
        <f t="shared" si="25"/>
        <v>0.64053419069041639</v>
      </c>
      <c r="AF401" s="291">
        <f t="shared" si="25"/>
        <v>0.59588286167855842</v>
      </c>
      <c r="AG401" s="291">
        <f t="shared" si="25"/>
        <v>0.61399247013804947</v>
      </c>
      <c r="AH401" s="291">
        <f t="shared" si="25"/>
        <v>0.69401535216043808</v>
      </c>
      <c r="AI401" s="291">
        <f t="shared" si="25"/>
        <v>0.67627279514018246</v>
      </c>
      <c r="AJ401" s="327">
        <f t="shared" si="23"/>
        <v>0.67627279514018246</v>
      </c>
    </row>
    <row r="402" spans="2:36">
      <c r="B402" s="72" t="s">
        <v>691</v>
      </c>
      <c r="C402" s="72" t="s">
        <v>692</v>
      </c>
      <c r="D402" s="291">
        <f t="shared" si="22"/>
        <v>0</v>
      </c>
      <c r="E402" s="291">
        <f t="shared" si="25"/>
        <v>0</v>
      </c>
      <c r="F402" s="291">
        <f t="shared" si="25"/>
        <v>0</v>
      </c>
      <c r="G402" s="291">
        <f t="shared" si="25"/>
        <v>0</v>
      </c>
      <c r="H402" s="291">
        <f t="shared" si="25"/>
        <v>0</v>
      </c>
      <c r="I402" s="291">
        <f t="shared" si="25"/>
        <v>0</v>
      </c>
      <c r="J402" s="291">
        <f t="shared" si="25"/>
        <v>0</v>
      </c>
      <c r="K402" s="291">
        <f t="shared" si="25"/>
        <v>0</v>
      </c>
      <c r="L402" s="291">
        <f t="shared" si="25"/>
        <v>0</v>
      </c>
      <c r="M402" s="291">
        <f t="shared" si="25"/>
        <v>0</v>
      </c>
      <c r="N402" s="291">
        <f t="shared" si="25"/>
        <v>0</v>
      </c>
      <c r="O402" s="291">
        <f t="shared" si="25"/>
        <v>0</v>
      </c>
      <c r="P402" s="291">
        <f t="shared" si="25"/>
        <v>0</v>
      </c>
      <c r="Q402" s="291">
        <f t="shared" si="25"/>
        <v>0</v>
      </c>
      <c r="R402" s="291">
        <f t="shared" si="25"/>
        <v>0</v>
      </c>
      <c r="S402" s="291">
        <f t="shared" si="25"/>
        <v>0</v>
      </c>
      <c r="T402" s="291">
        <f t="shared" si="25"/>
        <v>0</v>
      </c>
      <c r="U402" s="291">
        <f t="shared" si="25"/>
        <v>0</v>
      </c>
      <c r="V402" s="291">
        <f t="shared" si="25"/>
        <v>0</v>
      </c>
      <c r="W402" s="291">
        <f t="shared" si="25"/>
        <v>0</v>
      </c>
      <c r="X402" s="291">
        <f t="shared" si="25"/>
        <v>0</v>
      </c>
      <c r="Y402" s="291">
        <f t="shared" si="25"/>
        <v>0</v>
      </c>
      <c r="Z402" s="291">
        <f t="shared" si="25"/>
        <v>0</v>
      </c>
      <c r="AA402" s="291">
        <f t="shared" si="25"/>
        <v>0</v>
      </c>
      <c r="AB402" s="291">
        <f t="shared" si="25"/>
        <v>0</v>
      </c>
      <c r="AC402" s="291">
        <f t="shared" si="25"/>
        <v>0</v>
      </c>
      <c r="AD402" s="291">
        <f t="shared" si="25"/>
        <v>0</v>
      </c>
      <c r="AE402" s="291">
        <f t="shared" si="25"/>
        <v>0</v>
      </c>
      <c r="AF402" s="291">
        <f t="shared" si="25"/>
        <v>0</v>
      </c>
      <c r="AG402" s="291">
        <f t="shared" si="25"/>
        <v>0</v>
      </c>
      <c r="AH402" s="291">
        <f t="shared" si="25"/>
        <v>0</v>
      </c>
      <c r="AI402" s="291">
        <f t="shared" si="25"/>
        <v>0</v>
      </c>
      <c r="AJ402" s="327">
        <f t="shared" si="23"/>
        <v>0</v>
      </c>
    </row>
    <row r="403" spans="2:36">
      <c r="B403" s="72" t="s">
        <v>693</v>
      </c>
      <c r="C403" s="72" t="s">
        <v>694</v>
      </c>
      <c r="D403" s="291">
        <f t="shared" si="22"/>
        <v>0.94729240996288722</v>
      </c>
      <c r="E403" s="291">
        <f t="shared" si="25"/>
        <v>1.0628138775703009</v>
      </c>
      <c r="F403" s="291">
        <f t="shared" si="25"/>
        <v>1.1177987039016395</v>
      </c>
      <c r="G403" s="291">
        <f t="shared" si="25"/>
        <v>1.0698194501494116</v>
      </c>
      <c r="H403" s="291">
        <f t="shared" si="25"/>
        <v>1.1515465390267536</v>
      </c>
      <c r="I403" s="291">
        <f t="shared" si="25"/>
        <v>1.163984245790842</v>
      </c>
      <c r="J403" s="291">
        <f t="shared" si="25"/>
        <v>0.7577226489098533</v>
      </c>
      <c r="K403" s="291">
        <f t="shared" si="25"/>
        <v>0.74534146367402343</v>
      </c>
      <c r="L403" s="291">
        <f t="shared" si="25"/>
        <v>0.66240804977836465</v>
      </c>
      <c r="M403" s="291">
        <f t="shared" si="25"/>
        <v>0.62645891905223217</v>
      </c>
      <c r="N403" s="291">
        <f t="shared" si="25"/>
        <v>0</v>
      </c>
      <c r="O403" s="291">
        <f t="shared" si="25"/>
        <v>0</v>
      </c>
      <c r="P403" s="291">
        <f t="shared" si="25"/>
        <v>0.52365152750879551</v>
      </c>
      <c r="Q403" s="291">
        <f t="shared" si="25"/>
        <v>0.53596791427814805</v>
      </c>
      <c r="R403" s="291">
        <f t="shared" si="25"/>
        <v>0.49513160915848764</v>
      </c>
      <c r="S403" s="291">
        <f t="shared" si="25"/>
        <v>0.48682257215411223</v>
      </c>
      <c r="T403" s="291">
        <f t="shared" si="25"/>
        <v>0.55706202380271841</v>
      </c>
      <c r="U403" s="291">
        <f t="shared" si="25"/>
        <v>0.49485901036014185</v>
      </c>
      <c r="V403" s="291">
        <f t="shared" si="25"/>
        <v>0.39178631991665996</v>
      </c>
      <c r="W403" s="291">
        <f t="shared" si="25"/>
        <v>0.46199232260356182</v>
      </c>
      <c r="X403" s="291">
        <f t="shared" si="25"/>
        <v>0.59347119173580243</v>
      </c>
      <c r="Y403" s="291">
        <f t="shared" si="25"/>
        <v>0.5685032838602706</v>
      </c>
      <c r="Z403" s="291">
        <f t="shared" si="25"/>
        <v>0.56932660180479844</v>
      </c>
      <c r="AA403" s="291">
        <f t="shared" si="25"/>
        <v>0.53639632894918832</v>
      </c>
      <c r="AB403" s="291">
        <f t="shared" si="25"/>
        <v>0.53105357475725068</v>
      </c>
      <c r="AC403" s="291">
        <f t="shared" si="25"/>
        <v>0.63247251928514114</v>
      </c>
      <c r="AD403" s="291">
        <f t="shared" si="25"/>
        <v>0.73351972001656807</v>
      </c>
      <c r="AE403" s="291">
        <f t="shared" si="25"/>
        <v>0.68968031644053807</v>
      </c>
      <c r="AF403" s="291">
        <f t="shared" si="25"/>
        <v>0.89142914976363841</v>
      </c>
      <c r="AG403" s="291">
        <f t="shared" si="25"/>
        <v>0.77613112836350973</v>
      </c>
      <c r="AH403" s="291">
        <f t="shared" si="25"/>
        <v>0.87575967319482817</v>
      </c>
      <c r="AI403" s="291">
        <f t="shared" si="25"/>
        <v>1.0544109639825647</v>
      </c>
      <c r="AJ403" s="327">
        <f t="shared" si="23"/>
        <v>1.0544109639825647</v>
      </c>
    </row>
    <row r="404" spans="2:36">
      <c r="B404" s="72" t="s">
        <v>695</v>
      </c>
      <c r="C404" s="72" t="s">
        <v>696</v>
      </c>
      <c r="D404" s="291">
        <f t="shared" si="22"/>
        <v>0</v>
      </c>
      <c r="E404" s="291">
        <f t="shared" si="25"/>
        <v>0</v>
      </c>
      <c r="F404" s="291">
        <f t="shared" si="25"/>
        <v>0</v>
      </c>
      <c r="G404" s="291">
        <f t="shared" si="25"/>
        <v>0</v>
      </c>
      <c r="H404" s="291">
        <f t="shared" si="25"/>
        <v>0</v>
      </c>
      <c r="I404" s="291">
        <f t="shared" si="25"/>
        <v>0</v>
      </c>
      <c r="J404" s="291">
        <f t="shared" si="25"/>
        <v>0</v>
      </c>
      <c r="K404" s="291">
        <f t="shared" si="25"/>
        <v>0</v>
      </c>
      <c r="L404" s="291">
        <f t="shared" si="25"/>
        <v>0</v>
      </c>
      <c r="M404" s="291">
        <f t="shared" si="25"/>
        <v>0</v>
      </c>
      <c r="N404" s="291">
        <f t="shared" si="25"/>
        <v>0.30769880715856179</v>
      </c>
      <c r="O404" s="291">
        <f t="shared" si="25"/>
        <v>0.30401733384290452</v>
      </c>
      <c r="P404" s="291">
        <f t="shared" si="25"/>
        <v>0.30893106185026459</v>
      </c>
      <c r="Q404" s="291">
        <f t="shared" si="25"/>
        <v>0.36395832549018886</v>
      </c>
      <c r="R404" s="291">
        <f t="shared" si="25"/>
        <v>0.36430742868041466</v>
      </c>
      <c r="S404" s="291">
        <f t="shared" si="25"/>
        <v>0.35859794655567262</v>
      </c>
      <c r="T404" s="291">
        <f t="shared" si="25"/>
        <v>0.36623244474215289</v>
      </c>
      <c r="U404" s="291">
        <f t="shared" si="25"/>
        <v>0.30444645452894153</v>
      </c>
      <c r="V404" s="291">
        <f t="shared" si="25"/>
        <v>0.26646653844818569</v>
      </c>
      <c r="W404" s="291">
        <f t="shared" si="25"/>
        <v>0.19460956436923951</v>
      </c>
      <c r="X404" s="291">
        <f t="shared" si="25"/>
        <v>0.21740056291769691</v>
      </c>
      <c r="Y404" s="291">
        <f t="shared" si="25"/>
        <v>0.239744526725614</v>
      </c>
      <c r="Z404" s="291">
        <f t="shared" si="25"/>
        <v>0.23822072302332625</v>
      </c>
      <c r="AA404" s="291">
        <f t="shared" si="25"/>
        <v>0.23423368937133382</v>
      </c>
      <c r="AB404" s="291">
        <f t="shared" si="25"/>
        <v>0.22163613365663101</v>
      </c>
      <c r="AC404" s="291">
        <f t="shared" si="25"/>
        <v>0.23931155647465471</v>
      </c>
      <c r="AD404" s="291">
        <f t="shared" si="25"/>
        <v>0.25957558638265854</v>
      </c>
      <c r="AE404" s="291">
        <f t="shared" si="25"/>
        <v>0.27875286400971427</v>
      </c>
      <c r="AF404" s="291">
        <f t="shared" si="25"/>
        <v>0.36703884101056033</v>
      </c>
      <c r="AG404" s="291">
        <f t="shared" si="25"/>
        <v>0.37412631923892398</v>
      </c>
      <c r="AH404" s="291">
        <f t="shared" si="25"/>
        <v>0.38189260675945574</v>
      </c>
      <c r="AI404" s="291">
        <f t="shared" si="25"/>
        <v>0.40917660545806972</v>
      </c>
      <c r="AJ404" s="327">
        <f t="shared" si="23"/>
        <v>0.40917660545806972</v>
      </c>
    </row>
    <row r="405" spans="2:36">
      <c r="B405" s="72" t="s">
        <v>697</v>
      </c>
      <c r="C405" s="72" t="s">
        <v>698</v>
      </c>
      <c r="D405" s="291">
        <f t="shared" si="22"/>
        <v>0</v>
      </c>
      <c r="E405" s="291">
        <f t="shared" si="25"/>
        <v>0</v>
      </c>
      <c r="F405" s="291">
        <f t="shared" si="25"/>
        <v>0</v>
      </c>
      <c r="G405" s="291">
        <f t="shared" si="25"/>
        <v>0</v>
      </c>
      <c r="H405" s="291">
        <f t="shared" si="25"/>
        <v>1.3878364158655263</v>
      </c>
      <c r="I405" s="291">
        <f t="shared" si="25"/>
        <v>1.7421068629700367</v>
      </c>
      <c r="J405" s="291">
        <f t="shared" si="25"/>
        <v>1.0556559850620995</v>
      </c>
      <c r="K405" s="291">
        <f t="shared" si="25"/>
        <v>0.55795553893705019</v>
      </c>
      <c r="L405" s="291">
        <f t="shared" si="25"/>
        <v>0.27109749973043196</v>
      </c>
      <c r="M405" s="291">
        <f t="shared" si="25"/>
        <v>0.28675593385563736</v>
      </c>
      <c r="N405" s="291">
        <f t="shared" si="25"/>
        <v>0.27884040888783002</v>
      </c>
      <c r="O405" s="291">
        <f t="shared" si="25"/>
        <v>0.30072477142499526</v>
      </c>
      <c r="P405" s="291">
        <f t="shared" si="25"/>
        <v>0.30347865116522305</v>
      </c>
      <c r="Q405" s="291">
        <f t="shared" si="25"/>
        <v>0.38373409637419509</v>
      </c>
      <c r="R405" s="291">
        <f t="shared" si="25"/>
        <v>0.39810153697978368</v>
      </c>
      <c r="S405" s="291">
        <f t="shared" si="25"/>
        <v>0.40035720982633993</v>
      </c>
      <c r="T405" s="291">
        <f t="shared" si="25"/>
        <v>0.39540294604099724</v>
      </c>
      <c r="U405" s="291">
        <f t="shared" si="25"/>
        <v>0.32584797938264626</v>
      </c>
      <c r="V405" s="291">
        <f t="shared" si="25"/>
        <v>0.2204806055838277</v>
      </c>
      <c r="W405" s="291">
        <f t="shared" si="25"/>
        <v>0.23287287126389281</v>
      </c>
      <c r="X405" s="291">
        <f t="shared" si="25"/>
        <v>0.28138442088854665</v>
      </c>
      <c r="Y405" s="291">
        <f t="shared" si="25"/>
        <v>0.28354864949878117</v>
      </c>
      <c r="Z405" s="291">
        <f t="shared" si="25"/>
        <v>0.25112631923743972</v>
      </c>
      <c r="AA405" s="291">
        <f t="shared" si="25"/>
        <v>0.23991754031745197</v>
      </c>
      <c r="AB405" s="291">
        <f t="shared" si="25"/>
        <v>0.23183732185433872</v>
      </c>
      <c r="AC405" s="291">
        <f t="shared" si="25"/>
        <v>0.24247152339164316</v>
      </c>
      <c r="AD405" s="291">
        <f t="shared" si="25"/>
        <v>0.27349615934994748</v>
      </c>
      <c r="AE405" s="291">
        <f t="shared" si="25"/>
        <v>0.27007819547505657</v>
      </c>
      <c r="AF405" s="291">
        <f t="shared" si="25"/>
        <v>0.34096765465881546</v>
      </c>
      <c r="AG405" s="291">
        <f t="shared" si="25"/>
        <v>0.39058540307752104</v>
      </c>
      <c r="AH405" s="291">
        <f t="shared" si="25"/>
        <v>0.44037419043756071</v>
      </c>
      <c r="AI405" s="291">
        <f t="shared" si="25"/>
        <v>0.43198900094366544</v>
      </c>
      <c r="AJ405" s="327">
        <f t="shared" si="23"/>
        <v>0.43198900094366544</v>
      </c>
    </row>
    <row r="406" spans="2:36">
      <c r="B406" s="72" t="s">
        <v>699</v>
      </c>
      <c r="C406" s="72" t="s">
        <v>700</v>
      </c>
      <c r="D406" s="291">
        <f t="shared" si="22"/>
        <v>0</v>
      </c>
      <c r="E406" s="291">
        <f t="shared" si="25"/>
        <v>0</v>
      </c>
      <c r="F406" s="291">
        <f t="shared" si="25"/>
        <v>0</v>
      </c>
      <c r="G406" s="291">
        <f t="shared" si="25"/>
        <v>0</v>
      </c>
      <c r="H406" s="291">
        <f t="shared" si="25"/>
        <v>0</v>
      </c>
      <c r="I406" s="291">
        <f t="shared" si="25"/>
        <v>0</v>
      </c>
      <c r="J406" s="291">
        <f t="shared" si="25"/>
        <v>0</v>
      </c>
      <c r="K406" s="291">
        <f t="shared" si="25"/>
        <v>0.34489013705224525</v>
      </c>
      <c r="L406" s="291">
        <f t="shared" si="25"/>
        <v>0.33875715338186835</v>
      </c>
      <c r="M406" s="291">
        <f t="shared" si="25"/>
        <v>0.36582726420092826</v>
      </c>
      <c r="N406" s="291">
        <f t="shared" si="25"/>
        <v>0.32939359738195589</v>
      </c>
      <c r="O406" s="291">
        <f t="shared" si="25"/>
        <v>0.32379140431395875</v>
      </c>
      <c r="P406" s="291">
        <f t="shared" si="25"/>
        <v>0.3323676581199429</v>
      </c>
      <c r="Q406" s="291">
        <f t="shared" si="25"/>
        <v>0.36671625520131745</v>
      </c>
      <c r="R406" s="291">
        <f t="shared" si="25"/>
        <v>0.39231922242706685</v>
      </c>
      <c r="S406" s="291">
        <f t="shared" si="25"/>
        <v>0.3860390481098806</v>
      </c>
      <c r="T406" s="291">
        <f t="shared" si="25"/>
        <v>0.39336381871684456</v>
      </c>
      <c r="U406" s="291">
        <f t="shared" si="25"/>
        <v>0.37706327728539946</v>
      </c>
      <c r="V406" s="291">
        <f t="shared" si="25"/>
        <v>0.3709481253586755</v>
      </c>
      <c r="W406" s="291">
        <f t="shared" si="25"/>
        <v>0.38947292093856006</v>
      </c>
      <c r="X406" s="291">
        <f t="shared" si="25"/>
        <v>0.42670911697575276</v>
      </c>
      <c r="Y406" s="291">
        <f t="shared" si="25"/>
        <v>0.43876414638039102</v>
      </c>
      <c r="Z406" s="291">
        <f t="shared" si="25"/>
        <v>0.42910494543386896</v>
      </c>
      <c r="AA406" s="291">
        <f t="shared" si="25"/>
        <v>0.43282191725671276</v>
      </c>
      <c r="AB406" s="291">
        <f t="shared" si="25"/>
        <v>0.43797565063648453</v>
      </c>
      <c r="AC406" s="291">
        <f t="shared" si="25"/>
        <v>0.46229947770362279</v>
      </c>
      <c r="AD406" s="291">
        <f t="shared" si="25"/>
        <v>0.50407429608957455</v>
      </c>
      <c r="AE406" s="291">
        <f t="shared" si="25"/>
        <v>0.57074453524438795</v>
      </c>
      <c r="AF406" s="291">
        <f t="shared" si="25"/>
        <v>0.68644197565184562</v>
      </c>
      <c r="AG406" s="291">
        <f t="shared" si="25"/>
        <v>0.70121346602254353</v>
      </c>
      <c r="AH406" s="291">
        <f t="shared" si="25"/>
        <v>0.65515336582350003</v>
      </c>
      <c r="AI406" s="291">
        <f t="shared" si="25"/>
        <v>0.66160364722418241</v>
      </c>
      <c r="AJ406" s="327">
        <f t="shared" si="23"/>
        <v>0.66160364722418241</v>
      </c>
    </row>
    <row r="407" spans="2:36">
      <c r="B407" s="72" t="s">
        <v>701</v>
      </c>
      <c r="C407" s="72" t="s">
        <v>702</v>
      </c>
      <c r="D407" s="291">
        <f t="shared" si="22"/>
        <v>0</v>
      </c>
      <c r="E407" s="291">
        <f t="shared" si="25"/>
        <v>0</v>
      </c>
      <c r="F407" s="291">
        <f t="shared" si="25"/>
        <v>0</v>
      </c>
      <c r="G407" s="291">
        <f t="shared" si="25"/>
        <v>0</v>
      </c>
      <c r="H407" s="291">
        <f t="shared" si="25"/>
        <v>0</v>
      </c>
      <c r="I407" s="291">
        <f t="shared" si="25"/>
        <v>0</v>
      </c>
      <c r="J407" s="291">
        <f t="shared" si="25"/>
        <v>0</v>
      </c>
      <c r="K407" s="291">
        <f t="shared" si="25"/>
        <v>0</v>
      </c>
      <c r="L407" s="291">
        <f t="shared" si="25"/>
        <v>0.20974324176940115</v>
      </c>
      <c r="M407" s="291">
        <f t="shared" si="25"/>
        <v>0.3028988209505995</v>
      </c>
      <c r="N407" s="291">
        <f t="shared" si="25"/>
        <v>0.21398659679118917</v>
      </c>
      <c r="O407" s="291">
        <f t="shared" si="25"/>
        <v>0.22995670887275532</v>
      </c>
      <c r="P407" s="291">
        <f t="shared" si="25"/>
        <v>0.2662262855866141</v>
      </c>
      <c r="Q407" s="291">
        <f t="shared" si="25"/>
        <v>0.38456387427531419</v>
      </c>
      <c r="R407" s="291">
        <f t="shared" si="25"/>
        <v>0.43779529102539966</v>
      </c>
      <c r="S407" s="291">
        <f t="shared" si="25"/>
        <v>0.4726577662473665</v>
      </c>
      <c r="T407" s="291">
        <f t="shared" si="25"/>
        <v>0.5220313539624496</v>
      </c>
      <c r="U407" s="291">
        <f t="shared" si="25"/>
        <v>0.58063343051085625</v>
      </c>
      <c r="V407" s="291">
        <f t="shared" si="25"/>
        <v>0.58916660275274746</v>
      </c>
      <c r="W407" s="291">
        <f t="shared" si="25"/>
        <v>0.5953460476816711</v>
      </c>
      <c r="X407" s="291">
        <f t="shared" si="25"/>
        <v>0.62618584102469188</v>
      </c>
      <c r="Y407" s="291">
        <f t="shared" si="25"/>
        <v>0.64250843997979401</v>
      </c>
      <c r="Z407" s="291">
        <f t="shared" si="25"/>
        <v>0.63644118628217483</v>
      </c>
      <c r="AA407" s="291">
        <f t="shared" si="25"/>
        <v>0.56921399780379567</v>
      </c>
      <c r="AB407" s="291">
        <f t="shared" si="25"/>
        <v>0.50493129705619166</v>
      </c>
      <c r="AC407" s="291">
        <f t="shared" si="25"/>
        <v>0.48604580363735023</v>
      </c>
      <c r="AD407" s="291">
        <f t="shared" si="25"/>
        <v>0.48135398331431378</v>
      </c>
      <c r="AE407" s="291">
        <f t="shared" si="25"/>
        <v>0.43439943992861729</v>
      </c>
      <c r="AF407" s="291">
        <f t="shared" si="25"/>
        <v>0.50393200831352924</v>
      </c>
      <c r="AG407" s="291">
        <f t="shared" si="25"/>
        <v>0.61493676288603449</v>
      </c>
      <c r="AH407" s="291">
        <f t="shared" si="25"/>
        <v>0.6119390905181985</v>
      </c>
      <c r="AI407" s="291">
        <f t="shared" si="25"/>
        <v>0.58853860761357157</v>
      </c>
      <c r="AJ407" s="327">
        <f t="shared" si="23"/>
        <v>0.58853860761357157</v>
      </c>
    </row>
    <row r="408" spans="2:36">
      <c r="B408" s="72" t="s">
        <v>703</v>
      </c>
      <c r="C408" s="72" t="s">
        <v>704</v>
      </c>
      <c r="D408" s="291">
        <f t="shared" si="22"/>
        <v>0.71986639865454083</v>
      </c>
      <c r="E408" s="291">
        <f t="shared" si="25"/>
        <v>0.74653973474629198</v>
      </c>
      <c r="F408" s="291">
        <f t="shared" si="25"/>
        <v>0.72193493897556471</v>
      </c>
      <c r="G408" s="291">
        <f t="shared" si="25"/>
        <v>0.84757026599379937</v>
      </c>
      <c r="H408" s="291">
        <f t="shared" si="25"/>
        <v>0.73130157864185297</v>
      </c>
      <c r="I408" s="291">
        <f t="shared" si="25"/>
        <v>0.54099403716733707</v>
      </c>
      <c r="J408" s="291">
        <f t="shared" si="25"/>
        <v>0.50773729384605204</v>
      </c>
      <c r="K408" s="291">
        <f t="shared" si="25"/>
        <v>0.52466209357051952</v>
      </c>
      <c r="L408" s="291">
        <f t="shared" si="25"/>
        <v>0.48458898145186802</v>
      </c>
      <c r="M408" s="291">
        <f t="shared" si="25"/>
        <v>0.486919510275511</v>
      </c>
      <c r="N408" s="291">
        <f t="shared" si="25"/>
        <v>0.47181396990056806</v>
      </c>
      <c r="O408" s="291">
        <f t="shared" si="25"/>
        <v>0.48355085490946609</v>
      </c>
      <c r="P408" s="291">
        <f t="shared" si="25"/>
        <v>0.51707180384605</v>
      </c>
      <c r="Q408" s="291">
        <f t="shared" si="25"/>
        <v>0.56757512668685828</v>
      </c>
      <c r="R408" s="291">
        <f t="shared" si="25"/>
        <v>0.54215315088927374</v>
      </c>
      <c r="S408" s="291">
        <f t="shared" si="25"/>
        <v>0.55357911172906249</v>
      </c>
      <c r="T408" s="291">
        <f t="shared" si="25"/>
        <v>0.51393272442710247</v>
      </c>
      <c r="U408" s="291">
        <f t="shared" si="25"/>
        <v>0.49382558060638915</v>
      </c>
      <c r="V408" s="291">
        <f t="shared" si="25"/>
        <v>0.42927298835242333</v>
      </c>
      <c r="W408" s="291">
        <f t="shared" si="25"/>
        <v>0.4175937396191578</v>
      </c>
      <c r="X408" s="291">
        <f t="shared" si="25"/>
        <v>0.4042376420097481</v>
      </c>
      <c r="Y408" s="291">
        <f t="shared" si="25"/>
        <v>0.37258852580988328</v>
      </c>
      <c r="Z408" s="291">
        <f t="shared" si="25"/>
        <v>0.32360662886985142</v>
      </c>
      <c r="AA408" s="291">
        <f t="shared" si="25"/>
        <v>0.40502686563270346</v>
      </c>
      <c r="AB408" s="291">
        <f t="shared" si="25"/>
        <v>0.45355574898618639</v>
      </c>
      <c r="AC408" s="291">
        <f t="shared" si="25"/>
        <v>0.47447342714303359</v>
      </c>
      <c r="AD408" s="291">
        <f t="shared" si="25"/>
        <v>0.46105392705373538</v>
      </c>
      <c r="AE408" s="291">
        <f t="shared" si="25"/>
        <v>0.42755470763198355</v>
      </c>
      <c r="AF408" s="291">
        <f t="shared" si="25"/>
        <v>0.43603192695071835</v>
      </c>
      <c r="AG408" s="291">
        <f t="shared" si="25"/>
        <v>0.51276156832408915</v>
      </c>
      <c r="AH408" s="291">
        <f t="shared" si="25"/>
        <v>0.61449587300415676</v>
      </c>
      <c r="AI408" s="291">
        <f t="shared" si="25"/>
        <v>0.59313456970895384</v>
      </c>
      <c r="AJ408" s="327">
        <f t="shared" si="23"/>
        <v>0.59313456970895384</v>
      </c>
    </row>
    <row r="409" spans="2:36">
      <c r="B409" s="72" t="s">
        <v>705</v>
      </c>
      <c r="C409" s="72" t="s">
        <v>706</v>
      </c>
      <c r="D409" s="291">
        <f t="shared" si="22"/>
        <v>0.6409662323060481</v>
      </c>
      <c r="E409" s="291">
        <f t="shared" si="25"/>
        <v>0.67350115697856616</v>
      </c>
      <c r="F409" s="291">
        <f t="shared" si="25"/>
        <v>0.75451172701663349</v>
      </c>
      <c r="G409" s="291">
        <f t="shared" si="25"/>
        <v>0.80079530123566467</v>
      </c>
      <c r="H409" s="291">
        <f t="shared" si="25"/>
        <v>0.9184370245531398</v>
      </c>
      <c r="I409" s="291">
        <f t="shared" si="25"/>
        <v>0.91002299315970081</v>
      </c>
      <c r="J409" s="291">
        <f t="shared" si="25"/>
        <v>0.7740180832822291</v>
      </c>
      <c r="K409" s="291">
        <f t="shared" si="25"/>
        <v>0.77005104084264497</v>
      </c>
      <c r="L409" s="291">
        <f t="shared" si="25"/>
        <v>0.72514542797404458</v>
      </c>
      <c r="M409" s="291">
        <f t="shared" si="25"/>
        <v>0.75873332805545446</v>
      </c>
      <c r="N409" s="291">
        <f t="shared" ref="E409:AI417" si="26">N157/N$250</f>
        <v>0.64836227937357582</v>
      </c>
      <c r="O409" s="291">
        <f t="shared" si="26"/>
        <v>0.64804368248402011</v>
      </c>
      <c r="P409" s="291">
        <f t="shared" si="26"/>
        <v>0.62260888155195337</v>
      </c>
      <c r="Q409" s="291">
        <f t="shared" si="26"/>
        <v>0.75836178879608762</v>
      </c>
      <c r="R409" s="291">
        <f t="shared" si="26"/>
        <v>0.77106899792927153</v>
      </c>
      <c r="S409" s="291">
        <f t="shared" si="26"/>
        <v>0.77375418432807763</v>
      </c>
      <c r="T409" s="291">
        <f t="shared" si="26"/>
        <v>0.81112839839677708</v>
      </c>
      <c r="U409" s="291">
        <f t="shared" si="26"/>
        <v>0.68948776962037395</v>
      </c>
      <c r="V409" s="291">
        <f t="shared" si="26"/>
        <v>0.62021217614108837</v>
      </c>
      <c r="W409" s="291">
        <f t="shared" si="26"/>
        <v>0.61850863804245304</v>
      </c>
      <c r="X409" s="291">
        <f t="shared" si="26"/>
        <v>0.632851181672892</v>
      </c>
      <c r="Y409" s="291">
        <f t="shared" si="26"/>
        <v>0.52629025474574886</v>
      </c>
      <c r="Z409" s="291">
        <f t="shared" si="26"/>
        <v>0.39189689804601691</v>
      </c>
      <c r="AA409" s="291">
        <f t="shared" si="26"/>
        <v>0.39202672859746851</v>
      </c>
      <c r="AB409" s="291">
        <f t="shared" si="26"/>
        <v>0.41452986909565642</v>
      </c>
      <c r="AC409" s="291">
        <f t="shared" si="26"/>
        <v>0.42583259595436118</v>
      </c>
      <c r="AD409" s="291">
        <f t="shared" si="26"/>
        <v>0.4195797316792001</v>
      </c>
      <c r="AE409" s="291">
        <f t="shared" si="26"/>
        <v>0.38551324084534316</v>
      </c>
      <c r="AF409" s="291">
        <f t="shared" si="26"/>
        <v>0.42396705289431891</v>
      </c>
      <c r="AG409" s="291">
        <f t="shared" si="26"/>
        <v>0.58162720645507537</v>
      </c>
      <c r="AH409" s="291">
        <f t="shared" si="26"/>
        <v>0.58307078092017772</v>
      </c>
      <c r="AI409" s="291">
        <f t="shared" si="26"/>
        <v>0.58420102674304764</v>
      </c>
      <c r="AJ409" s="327">
        <f t="shared" si="23"/>
        <v>0.58420102674304764</v>
      </c>
    </row>
    <row r="410" spans="2:36">
      <c r="B410" s="72" t="s">
        <v>707</v>
      </c>
      <c r="C410" s="72" t="s">
        <v>708</v>
      </c>
      <c r="D410" s="291">
        <f t="shared" si="22"/>
        <v>0</v>
      </c>
      <c r="E410" s="291">
        <f t="shared" si="26"/>
        <v>0</v>
      </c>
      <c r="F410" s="291">
        <f t="shared" si="26"/>
        <v>0</v>
      </c>
      <c r="G410" s="291">
        <f t="shared" si="26"/>
        <v>0</v>
      </c>
      <c r="H410" s="291">
        <f t="shared" si="26"/>
        <v>0</v>
      </c>
      <c r="I410" s="291">
        <f t="shared" si="26"/>
        <v>0</v>
      </c>
      <c r="J410" s="291">
        <f t="shared" si="26"/>
        <v>0</v>
      </c>
      <c r="K410" s="291">
        <f t="shared" si="26"/>
        <v>0</v>
      </c>
      <c r="L410" s="291">
        <f t="shared" si="26"/>
        <v>0</v>
      </c>
      <c r="M410" s="291">
        <f t="shared" si="26"/>
        <v>0</v>
      </c>
      <c r="N410" s="291">
        <f t="shared" si="26"/>
        <v>0</v>
      </c>
      <c r="O410" s="291">
        <f t="shared" si="26"/>
        <v>0</v>
      </c>
      <c r="P410" s="291">
        <f t="shared" si="26"/>
        <v>0</v>
      </c>
      <c r="Q410" s="291">
        <f t="shared" si="26"/>
        <v>0</v>
      </c>
      <c r="R410" s="291">
        <f t="shared" si="26"/>
        <v>0</v>
      </c>
      <c r="S410" s="291">
        <f t="shared" si="26"/>
        <v>0</v>
      </c>
      <c r="T410" s="291">
        <f t="shared" si="26"/>
        <v>0</v>
      </c>
      <c r="U410" s="291">
        <f t="shared" si="26"/>
        <v>0</v>
      </c>
      <c r="V410" s="291">
        <f t="shared" si="26"/>
        <v>0</v>
      </c>
      <c r="W410" s="291">
        <f t="shared" si="26"/>
        <v>0.52214409980447896</v>
      </c>
      <c r="X410" s="291">
        <f t="shared" si="26"/>
        <v>0.60130969537655343</v>
      </c>
      <c r="Y410" s="291">
        <f t="shared" si="26"/>
        <v>0.54952223794590738</v>
      </c>
      <c r="Z410" s="291">
        <f t="shared" si="26"/>
        <v>0.36681343067385541</v>
      </c>
      <c r="AA410" s="291">
        <f t="shared" si="26"/>
        <v>0.34662329186921331</v>
      </c>
      <c r="AB410" s="291">
        <f t="shared" si="26"/>
        <v>0.40479100424759329</v>
      </c>
      <c r="AC410" s="291">
        <f t="shared" si="26"/>
        <v>0.47041388840785281</v>
      </c>
      <c r="AD410" s="291">
        <f t="shared" si="26"/>
        <v>0.55350097461299108</v>
      </c>
      <c r="AE410" s="291">
        <f t="shared" si="26"/>
        <v>0.57667912763477647</v>
      </c>
      <c r="AF410" s="291">
        <f t="shared" si="26"/>
        <v>0.76120855149344702</v>
      </c>
      <c r="AG410" s="291">
        <f t="shared" si="26"/>
        <v>0.57354763613153881</v>
      </c>
      <c r="AH410" s="291">
        <f t="shared" si="26"/>
        <v>0</v>
      </c>
      <c r="AI410" s="291">
        <f t="shared" si="26"/>
        <v>0</v>
      </c>
      <c r="AJ410" s="327">
        <f t="shared" si="23"/>
        <v>0</v>
      </c>
    </row>
    <row r="411" spans="2:36">
      <c r="B411" s="72" t="s">
        <v>709</v>
      </c>
      <c r="C411" s="72" t="s">
        <v>710</v>
      </c>
      <c r="D411" s="291">
        <f t="shared" si="22"/>
        <v>0</v>
      </c>
      <c r="E411" s="291">
        <f t="shared" si="26"/>
        <v>0</v>
      </c>
      <c r="F411" s="291">
        <f t="shared" si="26"/>
        <v>0</v>
      </c>
      <c r="G411" s="291">
        <f t="shared" si="26"/>
        <v>0</v>
      </c>
      <c r="H411" s="291">
        <f t="shared" si="26"/>
        <v>0</v>
      </c>
      <c r="I411" s="291">
        <f t="shared" si="26"/>
        <v>0</v>
      </c>
      <c r="J411" s="291">
        <f t="shared" si="26"/>
        <v>0</v>
      </c>
      <c r="K411" s="291">
        <f t="shared" si="26"/>
        <v>0</v>
      </c>
      <c r="L411" s="291">
        <f t="shared" si="26"/>
        <v>0</v>
      </c>
      <c r="M411" s="291">
        <f t="shared" si="26"/>
        <v>0</v>
      </c>
      <c r="N411" s="291">
        <f t="shared" si="26"/>
        <v>0</v>
      </c>
      <c r="O411" s="291">
        <f t="shared" si="26"/>
        <v>0</v>
      </c>
      <c r="P411" s="291">
        <f t="shared" si="26"/>
        <v>0</v>
      </c>
      <c r="Q411" s="291">
        <f t="shared" si="26"/>
        <v>0</v>
      </c>
      <c r="R411" s="291">
        <f t="shared" si="26"/>
        <v>0</v>
      </c>
      <c r="S411" s="291">
        <f t="shared" si="26"/>
        <v>0</v>
      </c>
      <c r="T411" s="291">
        <f t="shared" si="26"/>
        <v>0</v>
      </c>
      <c r="U411" s="291">
        <f t="shared" si="26"/>
        <v>0</v>
      </c>
      <c r="V411" s="291">
        <f t="shared" si="26"/>
        <v>0</v>
      </c>
      <c r="W411" s="291">
        <f t="shared" si="26"/>
        <v>0</v>
      </c>
      <c r="X411" s="291">
        <f t="shared" si="26"/>
        <v>0</v>
      </c>
      <c r="Y411" s="291">
        <f t="shared" si="26"/>
        <v>0</v>
      </c>
      <c r="Z411" s="291">
        <f t="shared" si="26"/>
        <v>0</v>
      </c>
      <c r="AA411" s="291">
        <f t="shared" si="26"/>
        <v>0</v>
      </c>
      <c r="AB411" s="291">
        <f t="shared" si="26"/>
        <v>0</v>
      </c>
      <c r="AC411" s="291">
        <f t="shared" si="26"/>
        <v>0</v>
      </c>
      <c r="AD411" s="291">
        <f t="shared" si="26"/>
        <v>0</v>
      </c>
      <c r="AE411" s="291">
        <f t="shared" si="26"/>
        <v>0</v>
      </c>
      <c r="AF411" s="291">
        <f t="shared" si="26"/>
        <v>0</v>
      </c>
      <c r="AG411" s="291">
        <f t="shared" si="26"/>
        <v>0</v>
      </c>
      <c r="AH411" s="291">
        <f t="shared" si="26"/>
        <v>0</v>
      </c>
      <c r="AI411" s="291">
        <f t="shared" si="26"/>
        <v>0</v>
      </c>
      <c r="AJ411" s="327">
        <f t="shared" si="23"/>
        <v>0</v>
      </c>
    </row>
    <row r="412" spans="2:36">
      <c r="B412" s="72" t="s">
        <v>711</v>
      </c>
      <c r="C412" s="72" t="s">
        <v>712</v>
      </c>
      <c r="D412" s="291">
        <f t="shared" si="22"/>
        <v>0</v>
      </c>
      <c r="E412" s="291">
        <f t="shared" si="26"/>
        <v>0</v>
      </c>
      <c r="F412" s="291">
        <f t="shared" si="26"/>
        <v>0</v>
      </c>
      <c r="G412" s="291">
        <f t="shared" si="26"/>
        <v>0</v>
      </c>
      <c r="H412" s="291">
        <f t="shared" si="26"/>
        <v>0</v>
      </c>
      <c r="I412" s="291">
        <f t="shared" si="26"/>
        <v>0</v>
      </c>
      <c r="J412" s="291">
        <f t="shared" si="26"/>
        <v>0</v>
      </c>
      <c r="K412" s="291">
        <f t="shared" si="26"/>
        <v>0</v>
      </c>
      <c r="L412" s="291">
        <f t="shared" si="26"/>
        <v>0</v>
      </c>
      <c r="M412" s="291">
        <f t="shared" si="26"/>
        <v>0</v>
      </c>
      <c r="N412" s="291">
        <f t="shared" si="26"/>
        <v>0.28103541447659425</v>
      </c>
      <c r="O412" s="291">
        <f t="shared" si="26"/>
        <v>0.27625567781972821</v>
      </c>
      <c r="P412" s="291">
        <f t="shared" si="26"/>
        <v>0.28357285417240602</v>
      </c>
      <c r="Q412" s="291">
        <f t="shared" si="26"/>
        <v>0.33389536506297512</v>
      </c>
      <c r="R412" s="291">
        <f t="shared" si="26"/>
        <v>0.33473195926254723</v>
      </c>
      <c r="S412" s="291">
        <f t="shared" si="26"/>
        <v>0.34683835045038852</v>
      </c>
      <c r="T412" s="291">
        <f t="shared" si="26"/>
        <v>0.35035322467730645</v>
      </c>
      <c r="U412" s="291">
        <f t="shared" si="26"/>
        <v>0.37241947808415476</v>
      </c>
      <c r="V412" s="291">
        <f t="shared" si="26"/>
        <v>0.37058141246955756</v>
      </c>
      <c r="W412" s="291">
        <f t="shared" si="26"/>
        <v>0.36782091754260982</v>
      </c>
      <c r="X412" s="291">
        <f t="shared" si="26"/>
        <v>0.39415144964606158</v>
      </c>
      <c r="Y412" s="291">
        <f t="shared" si="26"/>
        <v>0.40523415625584225</v>
      </c>
      <c r="Z412" s="291">
        <f t="shared" si="26"/>
        <v>0.41074729335674448</v>
      </c>
      <c r="AA412" s="291">
        <f t="shared" si="26"/>
        <v>0.42790836500365914</v>
      </c>
      <c r="AB412" s="291">
        <f t="shared" si="26"/>
        <v>0.43709443125288089</v>
      </c>
      <c r="AC412" s="291">
        <f t="shared" si="26"/>
        <v>0.46304397949196358</v>
      </c>
      <c r="AD412" s="291">
        <f t="shared" si="26"/>
        <v>0.47899361348334846</v>
      </c>
      <c r="AE412" s="291">
        <f t="shared" si="26"/>
        <v>0.49402194233694624</v>
      </c>
      <c r="AF412" s="291">
        <f t="shared" si="26"/>
        <v>0.60128240825204093</v>
      </c>
      <c r="AG412" s="291">
        <f t="shared" si="26"/>
        <v>0.63362482993467628</v>
      </c>
      <c r="AH412" s="291">
        <f t="shared" si="26"/>
        <v>0.59380569888545265</v>
      </c>
      <c r="AI412" s="291">
        <f t="shared" si="26"/>
        <v>0.59956671097249081</v>
      </c>
      <c r="AJ412" s="327">
        <f t="shared" si="23"/>
        <v>0.59956671097249081</v>
      </c>
    </row>
    <row r="413" spans="2:36">
      <c r="B413" s="72" t="s">
        <v>713</v>
      </c>
      <c r="C413" s="72" t="s">
        <v>714</v>
      </c>
      <c r="D413" s="291">
        <f t="shared" si="22"/>
        <v>1.0987803505845999</v>
      </c>
      <c r="E413" s="291">
        <f t="shared" si="26"/>
        <v>0.96303540132281262</v>
      </c>
      <c r="F413" s="291">
        <f t="shared" si="26"/>
        <v>0.92877772536703873</v>
      </c>
      <c r="G413" s="291">
        <f t="shared" si="26"/>
        <v>0.96852005134194175</v>
      </c>
      <c r="H413" s="291">
        <f t="shared" si="26"/>
        <v>0.97489737316539138</v>
      </c>
      <c r="I413" s="291">
        <f t="shared" si="26"/>
        <v>0.95776063874978112</v>
      </c>
      <c r="J413" s="291">
        <f t="shared" si="26"/>
        <v>1.0767543051742909</v>
      </c>
      <c r="K413" s="291">
        <f t="shared" si="26"/>
        <v>1.0976396052505251</v>
      </c>
      <c r="L413" s="291">
        <f t="shared" si="26"/>
        <v>0.99022060765620756</v>
      </c>
      <c r="M413" s="291">
        <f t="shared" si="26"/>
        <v>0.97364002659181437</v>
      </c>
      <c r="N413" s="291">
        <f t="shared" si="26"/>
        <v>1.0066779001231445</v>
      </c>
      <c r="O413" s="291">
        <f t="shared" si="26"/>
        <v>0.94860799171815235</v>
      </c>
      <c r="P413" s="291">
        <f t="shared" si="26"/>
        <v>1.0122051865559301</v>
      </c>
      <c r="Q413" s="291">
        <f t="shared" si="26"/>
        <v>1.1339485562261378</v>
      </c>
      <c r="R413" s="291">
        <f t="shared" si="26"/>
        <v>1.17111700986187</v>
      </c>
      <c r="S413" s="291">
        <f t="shared" si="26"/>
        <v>1.2845855881870112</v>
      </c>
      <c r="T413" s="291">
        <f t="shared" si="26"/>
        <v>1.2334624273047523</v>
      </c>
      <c r="U413" s="291">
        <f t="shared" si="26"/>
        <v>1.0393946775310476</v>
      </c>
      <c r="V413" s="291">
        <f t="shared" si="26"/>
        <v>0.98609743803618033</v>
      </c>
      <c r="W413" s="291">
        <f t="shared" si="26"/>
        <v>0.94985420647944463</v>
      </c>
      <c r="X413" s="291">
        <f t="shared" si="26"/>
        <v>0.89980432065463756</v>
      </c>
      <c r="Y413" s="291">
        <f t="shared" si="26"/>
        <v>0.94061932105545998</v>
      </c>
      <c r="Z413" s="291">
        <f t="shared" si="26"/>
        <v>0.93477942277731052</v>
      </c>
      <c r="AA413" s="291">
        <f t="shared" si="26"/>
        <v>1.0160186146197148</v>
      </c>
      <c r="AB413" s="291">
        <f t="shared" si="26"/>
        <v>0.98931396633347712</v>
      </c>
      <c r="AC413" s="291">
        <f t="shared" si="26"/>
        <v>1.0244968241753603</v>
      </c>
      <c r="AD413" s="291">
        <f t="shared" si="26"/>
        <v>0.9947894094378511</v>
      </c>
      <c r="AE413" s="291">
        <f t="shared" si="26"/>
        <v>0.97990565384205452</v>
      </c>
      <c r="AF413" s="291">
        <f t="shared" si="26"/>
        <v>1.1094808650449361</v>
      </c>
      <c r="AG413" s="291">
        <f t="shared" si="26"/>
        <v>1.2331335754083252</v>
      </c>
      <c r="AH413" s="291">
        <f t="shared" si="26"/>
        <v>1.1902444285967502</v>
      </c>
      <c r="AI413" s="291">
        <f t="shared" si="26"/>
        <v>1.1750076126928581</v>
      </c>
      <c r="AJ413" s="327">
        <f t="shared" si="23"/>
        <v>1.1750076126928581</v>
      </c>
    </row>
    <row r="414" spans="2:36">
      <c r="B414" s="72" t="s">
        <v>715</v>
      </c>
      <c r="C414" s="72" t="s">
        <v>716</v>
      </c>
      <c r="D414" s="291">
        <f t="shared" si="22"/>
        <v>0</v>
      </c>
      <c r="E414" s="291">
        <f t="shared" si="26"/>
        <v>0</v>
      </c>
      <c r="F414" s="291">
        <f t="shared" si="26"/>
        <v>0.46765243778132704</v>
      </c>
      <c r="G414" s="291">
        <f t="shared" si="26"/>
        <v>0.4621589105346533</v>
      </c>
      <c r="H414" s="291">
        <f t="shared" si="26"/>
        <v>0.53991425254458014</v>
      </c>
      <c r="I414" s="291">
        <f t="shared" si="26"/>
        <v>0.54250691339308288</v>
      </c>
      <c r="J414" s="291">
        <f t="shared" si="26"/>
        <v>0.48465844197121916</v>
      </c>
      <c r="K414" s="291">
        <f t="shared" si="26"/>
        <v>0.46876809971183891</v>
      </c>
      <c r="L414" s="291">
        <f t="shared" si="26"/>
        <v>0.43900951306617159</v>
      </c>
      <c r="M414" s="291">
        <f t="shared" si="26"/>
        <v>0.5031169630956146</v>
      </c>
      <c r="N414" s="291">
        <f t="shared" si="26"/>
        <v>0.48101174035828509</v>
      </c>
      <c r="O414" s="291">
        <f t="shared" si="26"/>
        <v>0.50901005405426358</v>
      </c>
      <c r="P414" s="291">
        <f t="shared" si="26"/>
        <v>0.57680776437070802</v>
      </c>
      <c r="Q414" s="291">
        <f t="shared" si="26"/>
        <v>0.71888246393359967</v>
      </c>
      <c r="R414" s="291">
        <f t="shared" si="26"/>
        <v>0.7393630414413791</v>
      </c>
      <c r="S414" s="291">
        <f t="shared" si="26"/>
        <v>0.75386194651226102</v>
      </c>
      <c r="T414" s="291">
        <f t="shared" si="26"/>
        <v>0.76011103844451211</v>
      </c>
      <c r="U414" s="291">
        <f t="shared" si="26"/>
        <v>0.72514381893158697</v>
      </c>
      <c r="V414" s="291">
        <f t="shared" si="26"/>
        <v>0.67635681739085385</v>
      </c>
      <c r="W414" s="291">
        <f t="shared" si="26"/>
        <v>0.66119945018222392</v>
      </c>
      <c r="X414" s="291">
        <f t="shared" si="26"/>
        <v>0.69282695860720511</v>
      </c>
      <c r="Y414" s="291">
        <f t="shared" si="26"/>
        <v>0.74979719080905882</v>
      </c>
      <c r="Z414" s="291">
        <f t="shared" si="26"/>
        <v>0.6989428161270036</v>
      </c>
      <c r="AA414" s="291">
        <f t="shared" si="26"/>
        <v>0.6182777153493757</v>
      </c>
      <c r="AB414" s="291">
        <f t="shared" si="26"/>
        <v>0.55418361606968691</v>
      </c>
      <c r="AC414" s="291">
        <f t="shared" si="26"/>
        <v>0.5686784169992577</v>
      </c>
      <c r="AD414" s="291">
        <f t="shared" si="26"/>
        <v>0.59597611551022145</v>
      </c>
      <c r="AE414" s="291">
        <f t="shared" si="26"/>
        <v>0.56123582291329099</v>
      </c>
      <c r="AF414" s="291">
        <f t="shared" si="26"/>
        <v>0.65818398916459353</v>
      </c>
      <c r="AG414" s="291">
        <f t="shared" si="26"/>
        <v>0.76462962152677905</v>
      </c>
      <c r="AH414" s="291">
        <f t="shared" si="26"/>
        <v>0.79347397795168151</v>
      </c>
      <c r="AI414" s="291">
        <f t="shared" si="26"/>
        <v>0.77676448141080379</v>
      </c>
      <c r="AJ414" s="327">
        <f t="shared" si="23"/>
        <v>0.77676448141080379</v>
      </c>
    </row>
    <row r="415" spans="2:36">
      <c r="B415" s="72" t="s">
        <v>717</v>
      </c>
      <c r="C415" s="72" t="s">
        <v>718</v>
      </c>
      <c r="D415" s="291">
        <f t="shared" si="22"/>
        <v>0</v>
      </c>
      <c r="E415" s="291">
        <f t="shared" si="26"/>
        <v>0</v>
      </c>
      <c r="F415" s="291">
        <f t="shared" si="26"/>
        <v>0</v>
      </c>
      <c r="G415" s="291">
        <f t="shared" si="26"/>
        <v>0</v>
      </c>
      <c r="H415" s="291">
        <f t="shared" si="26"/>
        <v>0</v>
      </c>
      <c r="I415" s="291">
        <f t="shared" si="26"/>
        <v>0</v>
      </c>
      <c r="J415" s="291">
        <f t="shared" si="26"/>
        <v>0</v>
      </c>
      <c r="K415" s="291">
        <f t="shared" si="26"/>
        <v>0</v>
      </c>
      <c r="L415" s="291">
        <f t="shared" si="26"/>
        <v>0</v>
      </c>
      <c r="M415" s="291">
        <f t="shared" si="26"/>
        <v>0</v>
      </c>
      <c r="N415" s="291">
        <f t="shared" si="26"/>
        <v>0.38799402090998353</v>
      </c>
      <c r="O415" s="291">
        <f t="shared" si="26"/>
        <v>0.41111520937012941</v>
      </c>
      <c r="P415" s="291">
        <f t="shared" si="26"/>
        <v>0.21083840230487458</v>
      </c>
      <c r="Q415" s="291">
        <f t="shared" si="26"/>
        <v>0.28533333331335148</v>
      </c>
      <c r="R415" s="291">
        <f t="shared" si="26"/>
        <v>0.37167854455611371</v>
      </c>
      <c r="S415" s="291">
        <f t="shared" si="26"/>
        <v>0.46598386173334316</v>
      </c>
      <c r="T415" s="291">
        <f t="shared" si="26"/>
        <v>0.45495336010670606</v>
      </c>
      <c r="U415" s="291">
        <f t="shared" si="26"/>
        <v>0.35783801919573738</v>
      </c>
      <c r="V415" s="291">
        <f t="shared" si="26"/>
        <v>0.31668880645772463</v>
      </c>
      <c r="W415" s="291">
        <f t="shared" si="26"/>
        <v>0.31288245856817204</v>
      </c>
      <c r="X415" s="291">
        <f t="shared" si="26"/>
        <v>0.31219826077819696</v>
      </c>
      <c r="Y415" s="291">
        <f t="shared" si="26"/>
        <v>0.3238183546130618</v>
      </c>
      <c r="Z415" s="291">
        <f t="shared" si="26"/>
        <v>0.33010839281071302</v>
      </c>
      <c r="AA415" s="291">
        <f t="shared" si="26"/>
        <v>0.34825140559291934</v>
      </c>
      <c r="AB415" s="291">
        <f t="shared" si="26"/>
        <v>0.33363494679695022</v>
      </c>
      <c r="AC415" s="291">
        <f t="shared" si="26"/>
        <v>0.32253162758598125</v>
      </c>
      <c r="AD415" s="291">
        <f t="shared" si="26"/>
        <v>0.31754562004384251</v>
      </c>
      <c r="AE415" s="291">
        <f t="shared" si="26"/>
        <v>0.3253663269134916</v>
      </c>
      <c r="AF415" s="291">
        <f t="shared" si="26"/>
        <v>0.37342960843758144</v>
      </c>
      <c r="AG415" s="291">
        <f t="shared" si="26"/>
        <v>0.39518142042785576</v>
      </c>
      <c r="AH415" s="291">
        <f t="shared" si="26"/>
        <v>0.38973505537678138</v>
      </c>
      <c r="AI415" s="291">
        <f t="shared" si="26"/>
        <v>0.39961406941563599</v>
      </c>
      <c r="AJ415" s="327">
        <f t="shared" si="23"/>
        <v>0.39961406941563599</v>
      </c>
    </row>
    <row r="416" spans="2:36">
      <c r="B416" s="72" t="s">
        <v>719</v>
      </c>
      <c r="C416" s="72" t="s">
        <v>720</v>
      </c>
      <c r="D416" s="291">
        <f t="shared" si="22"/>
        <v>0.66345346713289355</v>
      </c>
      <c r="E416" s="291">
        <f t="shared" si="26"/>
        <v>0.67841666829008418</v>
      </c>
      <c r="F416" s="291">
        <f t="shared" si="26"/>
        <v>0.72583675978109385</v>
      </c>
      <c r="G416" s="291">
        <f t="shared" si="26"/>
        <v>0.78262697905822187</v>
      </c>
      <c r="H416" s="291">
        <f t="shared" si="26"/>
        <v>0.70180808438553499</v>
      </c>
      <c r="I416" s="291">
        <f t="shared" si="26"/>
        <v>0.66052074720182186</v>
      </c>
      <c r="J416" s="291">
        <f t="shared" si="26"/>
        <v>0.62525099078248059</v>
      </c>
      <c r="K416" s="291">
        <f t="shared" si="26"/>
        <v>0.41430843123627803</v>
      </c>
      <c r="L416" s="291">
        <f t="shared" si="26"/>
        <v>0.32966793465639072</v>
      </c>
      <c r="M416" s="291">
        <f t="shared" si="26"/>
        <v>0.32822395963063822</v>
      </c>
      <c r="N416" s="291">
        <f t="shared" si="26"/>
        <v>0.33604519947237715</v>
      </c>
      <c r="O416" s="291">
        <f t="shared" si="26"/>
        <v>0.29245145855175997</v>
      </c>
      <c r="P416" s="291">
        <f t="shared" si="26"/>
        <v>0.31994344546340031</v>
      </c>
      <c r="Q416" s="291">
        <f t="shared" si="26"/>
        <v>0.39730256494883992</v>
      </c>
      <c r="R416" s="291">
        <f t="shared" si="26"/>
        <v>0.33890997619339591</v>
      </c>
      <c r="S416" s="291">
        <f t="shared" si="26"/>
        <v>0.33320884240094539</v>
      </c>
      <c r="T416" s="291">
        <f t="shared" si="26"/>
        <v>0.4099256537927084</v>
      </c>
      <c r="U416" s="291">
        <f t="shared" si="26"/>
        <v>0.3314226229130966</v>
      </c>
      <c r="V416" s="291">
        <f t="shared" si="26"/>
        <v>0.32279007976293278</v>
      </c>
      <c r="W416" s="291">
        <f t="shared" si="26"/>
        <v>0.30593280991046967</v>
      </c>
      <c r="X416" s="291">
        <f t="shared" si="26"/>
        <v>0.32715749602250199</v>
      </c>
      <c r="Y416" s="291">
        <f t="shared" si="26"/>
        <v>0.3760021870439102</v>
      </c>
      <c r="Z416" s="291">
        <f t="shared" si="26"/>
        <v>0.3944383910458521</v>
      </c>
      <c r="AA416" s="291">
        <f t="shared" si="26"/>
        <v>0.39383036440265429</v>
      </c>
      <c r="AB416" s="291">
        <f t="shared" si="26"/>
        <v>0.26211821206687436</v>
      </c>
      <c r="AC416" s="291">
        <f t="shared" si="26"/>
        <v>0.28036510557178318</v>
      </c>
      <c r="AD416" s="291">
        <f t="shared" si="26"/>
        <v>0.28363155864192852</v>
      </c>
      <c r="AE416" s="291">
        <f t="shared" si="26"/>
        <v>0.30879885382849626</v>
      </c>
      <c r="AF416" s="291">
        <f t="shared" si="26"/>
        <v>0.38943949333157912</v>
      </c>
      <c r="AG416" s="291">
        <f t="shared" si="26"/>
        <v>0.42379210690562064</v>
      </c>
      <c r="AH416" s="291">
        <f t="shared" si="26"/>
        <v>0.43174070923533026</v>
      </c>
      <c r="AI416" s="291">
        <f t="shared" si="26"/>
        <v>0.43982299660211155</v>
      </c>
      <c r="AJ416" s="327">
        <f t="shared" si="23"/>
        <v>0.43982299660211155</v>
      </c>
    </row>
    <row r="417" spans="2:36">
      <c r="B417" s="72" t="s">
        <v>721</v>
      </c>
      <c r="C417" s="72" t="s">
        <v>722</v>
      </c>
      <c r="D417" s="291">
        <f t="shared" si="22"/>
        <v>0.52259766916784445</v>
      </c>
      <c r="E417" s="291">
        <f t="shared" si="26"/>
        <v>0.57291325954383288</v>
      </c>
      <c r="F417" s="291">
        <f t="shared" si="26"/>
        <v>0.57074395112873966</v>
      </c>
      <c r="G417" s="291">
        <f t="shared" si="26"/>
        <v>0.62315333497081316</v>
      </c>
      <c r="H417" s="291">
        <f t="shared" si="26"/>
        <v>0.63638927456461647</v>
      </c>
      <c r="I417" s="291">
        <f t="shared" si="26"/>
        <v>0.55810689226784027</v>
      </c>
      <c r="J417" s="291">
        <f t="shared" si="26"/>
        <v>0.49537650462754801</v>
      </c>
      <c r="K417" s="291">
        <f t="shared" si="26"/>
        <v>0.41482425468544609</v>
      </c>
      <c r="L417" s="291">
        <f t="shared" si="26"/>
        <v>0.40529463182468006</v>
      </c>
      <c r="M417" s="291">
        <f t="shared" si="26"/>
        <v>0.46693498612767642</v>
      </c>
      <c r="N417" s="291">
        <f t="shared" si="26"/>
        <v>0.4472555891253911</v>
      </c>
      <c r="O417" s="291">
        <f t="shared" si="26"/>
        <v>0.4563909089551873</v>
      </c>
      <c r="P417" s="291">
        <f t="shared" si="26"/>
        <v>0.39057443330828101</v>
      </c>
      <c r="Q417" s="291">
        <f t="shared" si="26"/>
        <v>0.46606364213691759</v>
      </c>
      <c r="R417" s="291">
        <f t="shared" si="26"/>
        <v>0.28602721768912548</v>
      </c>
      <c r="S417" s="291">
        <f t="shared" si="26"/>
        <v>0.27298496101387476</v>
      </c>
      <c r="T417" s="291">
        <f t="shared" si="26"/>
        <v>0.4127077391001544</v>
      </c>
      <c r="U417" s="291">
        <f t="shared" ref="E417:AI425" si="27">U165/U$250</f>
        <v>0.43852203524067473</v>
      </c>
      <c r="V417" s="291">
        <f t="shared" si="27"/>
        <v>0.26634699013904251</v>
      </c>
      <c r="W417" s="291">
        <f t="shared" si="27"/>
        <v>0.26159161609477638</v>
      </c>
      <c r="X417" s="291">
        <f t="shared" si="27"/>
        <v>0.27154423052025844</v>
      </c>
      <c r="Y417" s="291">
        <f t="shared" si="27"/>
        <v>0.29346040298591197</v>
      </c>
      <c r="Z417" s="291">
        <f t="shared" si="27"/>
        <v>0.42278213015548188</v>
      </c>
      <c r="AA417" s="291">
        <f t="shared" si="27"/>
        <v>0.32102461183894671</v>
      </c>
      <c r="AB417" s="291">
        <f t="shared" si="27"/>
        <v>0.29129375508454658</v>
      </c>
      <c r="AC417" s="291">
        <f t="shared" si="27"/>
        <v>0.28805892575763103</v>
      </c>
      <c r="AD417" s="291">
        <f t="shared" si="27"/>
        <v>0.30992909284657721</v>
      </c>
      <c r="AE417" s="291">
        <f t="shared" si="27"/>
        <v>0.2878151154007268</v>
      </c>
      <c r="AF417" s="291">
        <f t="shared" si="27"/>
        <v>0.32889524824691574</v>
      </c>
      <c r="AG417" s="291">
        <f t="shared" si="27"/>
        <v>0.40779646482372556</v>
      </c>
      <c r="AH417" s="291">
        <f t="shared" si="27"/>
        <v>0.40825548365354841</v>
      </c>
      <c r="AI417" s="291">
        <f t="shared" si="27"/>
        <v>0.37365158834542866</v>
      </c>
      <c r="AJ417" s="327">
        <f t="shared" si="23"/>
        <v>0.37365158834542866</v>
      </c>
    </row>
    <row r="418" spans="2:36">
      <c r="B418" s="72" t="s">
        <v>723</v>
      </c>
      <c r="C418" s="72" t="s">
        <v>724</v>
      </c>
      <c r="D418" s="291">
        <f t="shared" si="22"/>
        <v>0.6483211729809355</v>
      </c>
      <c r="E418" s="291">
        <f t="shared" si="27"/>
        <v>0.64271038570359318</v>
      </c>
      <c r="F418" s="291">
        <f t="shared" si="27"/>
        <v>0.69628147145887631</v>
      </c>
      <c r="G418" s="291">
        <f t="shared" si="27"/>
        <v>0.80502447753319495</v>
      </c>
      <c r="H418" s="291">
        <f t="shared" si="27"/>
        <v>0.9169260778804732</v>
      </c>
      <c r="I418" s="291">
        <f t="shared" si="27"/>
        <v>0.83468282030139329</v>
      </c>
      <c r="J418" s="291">
        <f t="shared" si="27"/>
        <v>0.62095360675218314</v>
      </c>
      <c r="K418" s="291">
        <f t="shared" si="27"/>
        <v>0.57162670051091136</v>
      </c>
      <c r="L418" s="291">
        <f t="shared" si="27"/>
        <v>0.49252938348768965</v>
      </c>
      <c r="M418" s="291">
        <f t="shared" si="27"/>
        <v>0.50397445444792366</v>
      </c>
      <c r="N418" s="291">
        <f t="shared" si="27"/>
        <v>0.44845180209335167</v>
      </c>
      <c r="O418" s="291">
        <f t="shared" si="27"/>
        <v>0.43267445586868408</v>
      </c>
      <c r="P418" s="291">
        <f t="shared" si="27"/>
        <v>0.46454671045405377</v>
      </c>
      <c r="Q418" s="291">
        <f t="shared" si="27"/>
        <v>0.54380866408221029</v>
      </c>
      <c r="R418" s="291">
        <f t="shared" si="27"/>
        <v>0.53510059804232857</v>
      </c>
      <c r="S418" s="291">
        <f t="shared" si="27"/>
        <v>0.54747196533116027</v>
      </c>
      <c r="T418" s="291">
        <f t="shared" si="27"/>
        <v>0.5616249945167533</v>
      </c>
      <c r="U418" s="291">
        <f t="shared" si="27"/>
        <v>0.49095398151976266</v>
      </c>
      <c r="V418" s="291">
        <f t="shared" si="27"/>
        <v>0.36658479355870854</v>
      </c>
      <c r="W418" s="291">
        <f t="shared" si="27"/>
        <v>0.37784186381089052</v>
      </c>
      <c r="X418" s="291">
        <f t="shared" si="27"/>
        <v>0.44174068375161979</v>
      </c>
      <c r="Y418" s="291">
        <f t="shared" si="27"/>
        <v>0.45349097701236762</v>
      </c>
      <c r="Z418" s="291">
        <f t="shared" si="27"/>
        <v>0.44132471361381242</v>
      </c>
      <c r="AA418" s="291">
        <f t="shared" si="27"/>
        <v>0.40142194724306024</v>
      </c>
      <c r="AB418" s="291">
        <f t="shared" si="27"/>
        <v>0.37394952614952232</v>
      </c>
      <c r="AC418" s="291">
        <f t="shared" si="27"/>
        <v>0.39582704164019117</v>
      </c>
      <c r="AD418" s="291">
        <f t="shared" si="27"/>
        <v>0.41245083232672286</v>
      </c>
      <c r="AE418" s="291">
        <f t="shared" si="27"/>
        <v>0.401036303932778</v>
      </c>
      <c r="AF418" s="291">
        <f t="shared" si="27"/>
        <v>0.48209083824022658</v>
      </c>
      <c r="AG418" s="291">
        <f t="shared" si="27"/>
        <v>0.49260950573282103</v>
      </c>
      <c r="AH418" s="291">
        <f t="shared" si="27"/>
        <v>0.55756988801591678</v>
      </c>
      <c r="AI418" s="291">
        <f t="shared" si="27"/>
        <v>0.56776117200455012</v>
      </c>
      <c r="AJ418" s="327">
        <f t="shared" si="23"/>
        <v>0.56776117200455012</v>
      </c>
    </row>
    <row r="419" spans="2:36">
      <c r="B419" s="72" t="s">
        <v>725</v>
      </c>
      <c r="C419" s="72" t="s">
        <v>726</v>
      </c>
      <c r="D419" s="291">
        <f t="shared" si="22"/>
        <v>0</v>
      </c>
      <c r="E419" s="291">
        <f t="shared" si="27"/>
        <v>0</v>
      </c>
      <c r="F419" s="291">
        <f t="shared" si="27"/>
        <v>0</v>
      </c>
      <c r="G419" s="291">
        <f t="shared" si="27"/>
        <v>0</v>
      </c>
      <c r="H419" s="291">
        <f t="shared" si="27"/>
        <v>0</v>
      </c>
      <c r="I419" s="291">
        <f t="shared" si="27"/>
        <v>0</v>
      </c>
      <c r="J419" s="291">
        <f t="shared" si="27"/>
        <v>0</v>
      </c>
      <c r="K419" s="291">
        <f t="shared" si="27"/>
        <v>0</v>
      </c>
      <c r="L419" s="291">
        <f t="shared" si="27"/>
        <v>0</v>
      </c>
      <c r="M419" s="291">
        <f t="shared" si="27"/>
        <v>0</v>
      </c>
      <c r="N419" s="291">
        <f t="shared" si="27"/>
        <v>0</v>
      </c>
      <c r="O419" s="291">
        <f t="shared" si="27"/>
        <v>0</v>
      </c>
      <c r="P419" s="291">
        <f t="shared" si="27"/>
        <v>0</v>
      </c>
      <c r="Q419" s="291">
        <f t="shared" si="27"/>
        <v>0</v>
      </c>
      <c r="R419" s="291">
        <f t="shared" si="27"/>
        <v>0</v>
      </c>
      <c r="S419" s="291">
        <f t="shared" si="27"/>
        <v>0.59241079124915408</v>
      </c>
      <c r="T419" s="291">
        <f t="shared" si="27"/>
        <v>0.60934348505421165</v>
      </c>
      <c r="U419" s="291">
        <f t="shared" si="27"/>
        <v>0.58828460072723199</v>
      </c>
      <c r="V419" s="291">
        <f t="shared" si="27"/>
        <v>0.54665837003767814</v>
      </c>
      <c r="W419" s="291">
        <f t="shared" si="27"/>
        <v>0.55486023560239495</v>
      </c>
      <c r="X419" s="291">
        <f t="shared" si="27"/>
        <v>0.60268177253023092</v>
      </c>
      <c r="Y419" s="291">
        <f t="shared" si="27"/>
        <v>0.78101506763685646</v>
      </c>
      <c r="Z419" s="291">
        <f t="shared" si="27"/>
        <v>0.71697660975172905</v>
      </c>
      <c r="AA419" s="291">
        <f t="shared" si="27"/>
        <v>0.63426208054211941</v>
      </c>
      <c r="AB419" s="291">
        <f t="shared" si="27"/>
        <v>0.5611112526489509</v>
      </c>
      <c r="AC419" s="291">
        <f t="shared" si="27"/>
        <v>0.54937090658271592</v>
      </c>
      <c r="AD419" s="291">
        <f t="shared" si="27"/>
        <v>0.58559121032559069</v>
      </c>
      <c r="AE419" s="291">
        <f t="shared" si="27"/>
        <v>0.54440857947125865</v>
      </c>
      <c r="AF419" s="291">
        <f t="shared" si="27"/>
        <v>0.62855365406809005</v>
      </c>
      <c r="AG419" s="291">
        <f t="shared" si="27"/>
        <v>0.77856920626278781</v>
      </c>
      <c r="AH419" s="291">
        <f t="shared" si="27"/>
        <v>0.78217905359191653</v>
      </c>
      <c r="AI419" s="291">
        <f t="shared" si="27"/>
        <v>0.65945736841366098</v>
      </c>
      <c r="AJ419" s="327">
        <f t="shared" si="23"/>
        <v>0.65945736841366098</v>
      </c>
    </row>
    <row r="420" spans="2:36">
      <c r="B420" s="72" t="s">
        <v>727</v>
      </c>
      <c r="C420" s="72" t="s">
        <v>728</v>
      </c>
      <c r="D420" s="291">
        <f t="shared" si="22"/>
        <v>0.59888717033773897</v>
      </c>
      <c r="E420" s="291">
        <f t="shared" si="27"/>
        <v>0.54361469317058042</v>
      </c>
      <c r="F420" s="291">
        <f t="shared" si="27"/>
        <v>0.54255586845514414</v>
      </c>
      <c r="G420" s="291">
        <f t="shared" si="27"/>
        <v>0.55157578386388173</v>
      </c>
      <c r="H420" s="291">
        <f t="shared" si="27"/>
        <v>0.58330394259147611</v>
      </c>
      <c r="I420" s="291">
        <f t="shared" si="27"/>
        <v>0.64551661722570874</v>
      </c>
      <c r="J420" s="291">
        <f t="shared" si="27"/>
        <v>0.64383031879717956</v>
      </c>
      <c r="K420" s="291">
        <f t="shared" si="27"/>
        <v>0.63417294056881068</v>
      </c>
      <c r="L420" s="291">
        <f t="shared" si="27"/>
        <v>0.54463463780901988</v>
      </c>
      <c r="M420" s="291">
        <f t="shared" si="27"/>
        <v>0.50894164604540781</v>
      </c>
      <c r="N420" s="291">
        <f t="shared" si="27"/>
        <v>0.53524609846626059</v>
      </c>
      <c r="O420" s="291">
        <f t="shared" si="27"/>
        <v>0.49916106361743029</v>
      </c>
      <c r="P420" s="291">
        <f t="shared" si="27"/>
        <v>0.5256694598205357</v>
      </c>
      <c r="Q420" s="291">
        <f t="shared" si="27"/>
        <v>0.57487816838416261</v>
      </c>
      <c r="R420" s="291">
        <f t="shared" si="27"/>
        <v>0.36191907846723181</v>
      </c>
      <c r="S420" s="291">
        <f t="shared" si="27"/>
        <v>0.449162836952408</v>
      </c>
      <c r="T420" s="291">
        <f t="shared" si="27"/>
        <v>0.4593615098758308</v>
      </c>
      <c r="U420" s="291">
        <f t="shared" si="27"/>
        <v>0.38409090687764064</v>
      </c>
      <c r="V420" s="291">
        <f t="shared" si="27"/>
        <v>0.36484526438580916</v>
      </c>
      <c r="W420" s="291">
        <f t="shared" si="27"/>
        <v>0.33753165430223203</v>
      </c>
      <c r="X420" s="291">
        <f t="shared" si="27"/>
        <v>0.33105193559917834</v>
      </c>
      <c r="Y420" s="291">
        <f t="shared" si="27"/>
        <v>0.33440295708463619</v>
      </c>
      <c r="Z420" s="291">
        <f t="shared" si="27"/>
        <v>0.38512962840681597</v>
      </c>
      <c r="AA420" s="291">
        <f t="shared" si="27"/>
        <v>0.41190739254653114</v>
      </c>
      <c r="AB420" s="291">
        <f t="shared" si="27"/>
        <v>0.39577704536407193</v>
      </c>
      <c r="AC420" s="291">
        <f t="shared" si="27"/>
        <v>0.39352109940291519</v>
      </c>
      <c r="AD420" s="291">
        <f t="shared" si="27"/>
        <v>0.40108447845122608</v>
      </c>
      <c r="AE420" s="291">
        <f t="shared" si="27"/>
        <v>0.40699445860700512</v>
      </c>
      <c r="AF420" s="291">
        <f t="shared" si="27"/>
        <v>0.50047293744924737</v>
      </c>
      <c r="AG420" s="291">
        <f t="shared" si="27"/>
        <v>0.56471737985897641</v>
      </c>
      <c r="AH420" s="291">
        <f t="shared" si="27"/>
        <v>0.55755246192287555</v>
      </c>
      <c r="AI420" s="291">
        <f t="shared" si="27"/>
        <v>0.55967178718126476</v>
      </c>
      <c r="AJ420" s="327">
        <f t="shared" si="23"/>
        <v>0.55967178718126476</v>
      </c>
    </row>
    <row r="421" spans="2:36">
      <c r="B421" s="72" t="s">
        <v>729</v>
      </c>
      <c r="C421" s="72" t="s">
        <v>730</v>
      </c>
      <c r="D421" s="291">
        <f t="shared" si="22"/>
        <v>0.62313010936797864</v>
      </c>
      <c r="E421" s="291">
        <f t="shared" si="27"/>
        <v>0.62288377508198511</v>
      </c>
      <c r="F421" s="291">
        <f t="shared" si="27"/>
        <v>0.64746380724893349</v>
      </c>
      <c r="G421" s="291">
        <f t="shared" si="27"/>
        <v>0.67207858054192893</v>
      </c>
      <c r="H421" s="291">
        <f t="shared" si="27"/>
        <v>0.68562896102293747</v>
      </c>
      <c r="I421" s="291">
        <f t="shared" si="27"/>
        <v>0.66396710637201328</v>
      </c>
      <c r="J421" s="291">
        <f t="shared" si="27"/>
        <v>0.69461333126503799</v>
      </c>
      <c r="K421" s="291">
        <f t="shared" si="27"/>
        <v>0.69325760906547085</v>
      </c>
      <c r="L421" s="291">
        <f t="shared" si="27"/>
        <v>0.63729541877035145</v>
      </c>
      <c r="M421" s="291">
        <f t="shared" si="27"/>
        <v>0.62618478329211891</v>
      </c>
      <c r="N421" s="291">
        <f t="shared" si="27"/>
        <v>0.60629683504693166</v>
      </c>
      <c r="O421" s="291">
        <f t="shared" si="27"/>
        <v>0.58339345917991092</v>
      </c>
      <c r="P421" s="291">
        <f t="shared" si="27"/>
        <v>0.5946009237364146</v>
      </c>
      <c r="Q421" s="291">
        <f t="shared" si="27"/>
        <v>0.58037890183159602</v>
      </c>
      <c r="R421" s="291">
        <f t="shared" si="27"/>
        <v>0.58682355528942787</v>
      </c>
      <c r="S421" s="291">
        <f t="shared" si="27"/>
        <v>0.62413262708401962</v>
      </c>
      <c r="T421" s="291">
        <f t="shared" si="27"/>
        <v>0.67147535703764893</v>
      </c>
      <c r="U421" s="291">
        <f t="shared" si="27"/>
        <v>0.59822901047208432</v>
      </c>
      <c r="V421" s="291">
        <f t="shared" si="27"/>
        <v>0.58026388274091067</v>
      </c>
      <c r="W421" s="291">
        <f t="shared" si="27"/>
        <v>0.57291355088889528</v>
      </c>
      <c r="X421" s="291">
        <f t="shared" si="27"/>
        <v>0.56631547386242398</v>
      </c>
      <c r="Y421" s="291">
        <f t="shared" si="27"/>
        <v>0.60542626317954973</v>
      </c>
      <c r="Z421" s="291">
        <f t="shared" si="27"/>
        <v>0.59671342417760387</v>
      </c>
      <c r="AA421" s="291">
        <f t="shared" si="27"/>
        <v>0.62335691791093328</v>
      </c>
      <c r="AB421" s="291">
        <f t="shared" si="27"/>
        <v>0.60903243245816641</v>
      </c>
      <c r="AC421" s="291">
        <f t="shared" si="27"/>
        <v>0.60916677096025851</v>
      </c>
      <c r="AD421" s="291">
        <f t="shared" si="27"/>
        <v>0.6137161076470059</v>
      </c>
      <c r="AE421" s="291">
        <f t="shared" si="27"/>
        <v>0.6056972997728175</v>
      </c>
      <c r="AF421" s="291">
        <f t="shared" si="27"/>
        <v>0.68589679743817267</v>
      </c>
      <c r="AG421" s="291">
        <f t="shared" si="27"/>
        <v>0.74381346457814312</v>
      </c>
      <c r="AH421" s="291">
        <f t="shared" si="27"/>
        <v>0.71671217436259049</v>
      </c>
      <c r="AI421" s="291">
        <f t="shared" si="27"/>
        <v>0.71001238289373791</v>
      </c>
      <c r="AJ421" s="327">
        <f t="shared" si="23"/>
        <v>0.71001238289373791</v>
      </c>
    </row>
    <row r="422" spans="2:36">
      <c r="B422" s="72" t="s">
        <v>731</v>
      </c>
      <c r="C422" s="72" t="s">
        <v>732</v>
      </c>
      <c r="D422" s="291">
        <f t="shared" si="22"/>
        <v>0</v>
      </c>
      <c r="E422" s="291">
        <f t="shared" si="27"/>
        <v>0</v>
      </c>
      <c r="F422" s="291">
        <f t="shared" si="27"/>
        <v>0</v>
      </c>
      <c r="G422" s="291">
        <f t="shared" si="27"/>
        <v>0</v>
      </c>
      <c r="H422" s="291">
        <f t="shared" si="27"/>
        <v>0</v>
      </c>
      <c r="I422" s="291">
        <f t="shared" si="27"/>
        <v>0</v>
      </c>
      <c r="J422" s="291">
        <f t="shared" si="27"/>
        <v>0</v>
      </c>
      <c r="K422" s="291">
        <f t="shared" si="27"/>
        <v>0</v>
      </c>
      <c r="L422" s="291">
        <f t="shared" si="27"/>
        <v>0</v>
      </c>
      <c r="M422" s="291">
        <f t="shared" si="27"/>
        <v>0</v>
      </c>
      <c r="N422" s="291">
        <f t="shared" si="27"/>
        <v>0</v>
      </c>
      <c r="O422" s="291">
        <f t="shared" si="27"/>
        <v>0</v>
      </c>
      <c r="P422" s="291">
        <f t="shared" si="27"/>
        <v>0</v>
      </c>
      <c r="Q422" s="291">
        <f t="shared" si="27"/>
        <v>0</v>
      </c>
      <c r="R422" s="291">
        <f t="shared" si="27"/>
        <v>0</v>
      </c>
      <c r="S422" s="291">
        <f t="shared" si="27"/>
        <v>0</v>
      </c>
      <c r="T422" s="291">
        <f t="shared" si="27"/>
        <v>0</v>
      </c>
      <c r="U422" s="291">
        <f t="shared" si="27"/>
        <v>0</v>
      </c>
      <c r="V422" s="291">
        <f t="shared" si="27"/>
        <v>0</v>
      </c>
      <c r="W422" s="291">
        <f t="shared" si="27"/>
        <v>0</v>
      </c>
      <c r="X422" s="291">
        <f t="shared" si="27"/>
        <v>0</v>
      </c>
      <c r="Y422" s="291">
        <f t="shared" si="27"/>
        <v>0</v>
      </c>
      <c r="Z422" s="291">
        <f t="shared" si="27"/>
        <v>0</v>
      </c>
      <c r="AA422" s="291">
        <f t="shared" si="27"/>
        <v>0</v>
      </c>
      <c r="AB422" s="291">
        <f t="shared" si="27"/>
        <v>0</v>
      </c>
      <c r="AC422" s="291">
        <f t="shared" si="27"/>
        <v>0</v>
      </c>
      <c r="AD422" s="291">
        <f t="shared" si="27"/>
        <v>0</v>
      </c>
      <c r="AE422" s="291">
        <f t="shared" si="27"/>
        <v>0</v>
      </c>
      <c r="AF422" s="291">
        <f t="shared" si="27"/>
        <v>0</v>
      </c>
      <c r="AG422" s="291">
        <f t="shared" si="27"/>
        <v>0</v>
      </c>
      <c r="AH422" s="291">
        <f t="shared" si="27"/>
        <v>0</v>
      </c>
      <c r="AI422" s="291">
        <f t="shared" si="27"/>
        <v>0</v>
      </c>
      <c r="AJ422" s="327">
        <f t="shared" si="23"/>
        <v>0</v>
      </c>
    </row>
    <row r="423" spans="2:36">
      <c r="B423" s="72" t="s">
        <v>733</v>
      </c>
      <c r="C423" s="72" t="s">
        <v>734</v>
      </c>
      <c r="D423" s="291">
        <f t="shared" si="22"/>
        <v>0.43241417220716682</v>
      </c>
      <c r="E423" s="291">
        <f t="shared" si="27"/>
        <v>0.4578287738838252</v>
      </c>
      <c r="F423" s="291">
        <f t="shared" si="27"/>
        <v>0.50356790160418274</v>
      </c>
      <c r="G423" s="291">
        <f t="shared" si="27"/>
        <v>0.55731146021315747</v>
      </c>
      <c r="H423" s="291">
        <f t="shared" si="27"/>
        <v>0.57855413945299394</v>
      </c>
      <c r="I423" s="291">
        <f t="shared" si="27"/>
        <v>0.51696476997652951</v>
      </c>
      <c r="J423" s="291">
        <f t="shared" si="27"/>
        <v>0.48651078590688546</v>
      </c>
      <c r="K423" s="291">
        <f t="shared" si="27"/>
        <v>0.46064525622590174</v>
      </c>
      <c r="L423" s="291">
        <f t="shared" si="27"/>
        <v>0.41184395965864423</v>
      </c>
      <c r="M423" s="291">
        <f t="shared" si="27"/>
        <v>0.40829482170449055</v>
      </c>
      <c r="N423" s="291">
        <f t="shared" si="27"/>
        <v>0.36958834170597882</v>
      </c>
      <c r="O423" s="291">
        <f t="shared" si="27"/>
        <v>0.48687232629605232</v>
      </c>
      <c r="P423" s="291">
        <f t="shared" si="27"/>
        <v>0.47074781332553484</v>
      </c>
      <c r="Q423" s="291">
        <f t="shared" si="27"/>
        <v>0.43172032287607848</v>
      </c>
      <c r="R423" s="291">
        <f t="shared" si="27"/>
        <v>0.45253380977270641</v>
      </c>
      <c r="S423" s="291">
        <f t="shared" si="27"/>
        <v>0.41754257393476252</v>
      </c>
      <c r="T423" s="291">
        <f t="shared" si="27"/>
        <v>0.39977143206915744</v>
      </c>
      <c r="U423" s="291">
        <f t="shared" si="27"/>
        <v>0.38244229020707948</v>
      </c>
      <c r="V423" s="291">
        <f t="shared" si="27"/>
        <v>0.34455146213394</v>
      </c>
      <c r="W423" s="291">
        <f t="shared" si="27"/>
        <v>0.32619729543499304</v>
      </c>
      <c r="X423" s="291">
        <f t="shared" si="27"/>
        <v>0.32381620961071655</v>
      </c>
      <c r="Y423" s="291">
        <f t="shared" si="27"/>
        <v>0.33160336089551062</v>
      </c>
      <c r="Z423" s="291">
        <f t="shared" si="27"/>
        <v>0.31778114316679756</v>
      </c>
      <c r="AA423" s="291">
        <f t="shared" si="27"/>
        <v>0.31160787134539686</v>
      </c>
      <c r="AB423" s="291">
        <f t="shared" si="27"/>
        <v>0.30373597369621275</v>
      </c>
      <c r="AC423" s="291">
        <f t="shared" si="27"/>
        <v>0.32181440172342979</v>
      </c>
      <c r="AD423" s="291">
        <f t="shared" si="27"/>
        <v>0.36578859574035633</v>
      </c>
      <c r="AE423" s="291">
        <f t="shared" si="27"/>
        <v>0.34524279263210439</v>
      </c>
      <c r="AF423" s="291">
        <f t="shared" si="27"/>
        <v>0.37615089161835885</v>
      </c>
      <c r="AG423" s="291">
        <f t="shared" si="27"/>
        <v>0.36951610005892027</v>
      </c>
      <c r="AH423" s="291">
        <f t="shared" si="27"/>
        <v>0.41682275180712725</v>
      </c>
      <c r="AI423" s="291">
        <f t="shared" si="27"/>
        <v>0.41162954611053026</v>
      </c>
      <c r="AJ423" s="327">
        <f t="shared" si="23"/>
        <v>0.41162954611053026</v>
      </c>
    </row>
    <row r="424" spans="2:36">
      <c r="B424" s="72" t="s">
        <v>735</v>
      </c>
      <c r="C424" s="72" t="s">
        <v>736</v>
      </c>
      <c r="D424" s="291">
        <f t="shared" si="22"/>
        <v>0.57457937178573193</v>
      </c>
      <c r="E424" s="291">
        <f t="shared" si="27"/>
        <v>0.56869907612562165</v>
      </c>
      <c r="F424" s="291">
        <f t="shared" si="27"/>
        <v>0.54499803856459661</v>
      </c>
      <c r="G424" s="291">
        <f t="shared" si="27"/>
        <v>0.59966359908867384</v>
      </c>
      <c r="H424" s="291">
        <f t="shared" si="27"/>
        <v>0.59556713679984175</v>
      </c>
      <c r="I424" s="291">
        <f t="shared" si="27"/>
        <v>0.56391491810187244</v>
      </c>
      <c r="J424" s="291">
        <f t="shared" si="27"/>
        <v>0.59135033539948101</v>
      </c>
      <c r="K424" s="291">
        <f t="shared" si="27"/>
        <v>0.59448592423046331</v>
      </c>
      <c r="L424" s="291">
        <f t="shared" si="27"/>
        <v>0.54600514628843067</v>
      </c>
      <c r="M424" s="291">
        <f t="shared" si="27"/>
        <v>0.54132459986967807</v>
      </c>
      <c r="N424" s="291">
        <f t="shared" si="27"/>
        <v>0.52351232031968431</v>
      </c>
      <c r="O424" s="291">
        <f t="shared" si="27"/>
        <v>0.51110003321788178</v>
      </c>
      <c r="P424" s="291">
        <f t="shared" si="27"/>
        <v>0.52589037349261492</v>
      </c>
      <c r="Q424" s="291">
        <f t="shared" si="27"/>
        <v>0.5761954986113319</v>
      </c>
      <c r="R424" s="291">
        <f t="shared" si="27"/>
        <v>0.58227999100052641</v>
      </c>
      <c r="S424" s="291">
        <f t="shared" si="27"/>
        <v>0.59732385519375464</v>
      </c>
      <c r="T424" s="291">
        <f t="shared" si="27"/>
        <v>0.61541459936959342</v>
      </c>
      <c r="U424" s="291">
        <f t="shared" si="27"/>
        <v>0.52084584923937605</v>
      </c>
      <c r="V424" s="291">
        <f t="shared" si="27"/>
        <v>0.46941080159356446</v>
      </c>
      <c r="W424" s="291">
        <f t="shared" si="27"/>
        <v>0.46966184894543872</v>
      </c>
      <c r="X424" s="291">
        <f t="shared" si="27"/>
        <v>0.49407556162514465</v>
      </c>
      <c r="Y424" s="291">
        <f t="shared" si="27"/>
        <v>0.49739437257633196</v>
      </c>
      <c r="Z424" s="291">
        <f t="shared" si="27"/>
        <v>0.48303139349817642</v>
      </c>
      <c r="AA424" s="291">
        <f t="shared" si="27"/>
        <v>0.48283837172980548</v>
      </c>
      <c r="AB424" s="291">
        <f t="shared" si="27"/>
        <v>0.45673520679744356</v>
      </c>
      <c r="AC424" s="291">
        <f t="shared" si="27"/>
        <v>0.4301909247379811</v>
      </c>
      <c r="AD424" s="291">
        <f t="shared" si="27"/>
        <v>0.41597805415706302</v>
      </c>
      <c r="AE424" s="291">
        <f t="shared" si="27"/>
        <v>0.40873959734329229</v>
      </c>
      <c r="AF424" s="291">
        <f t="shared" si="27"/>
        <v>0.50610855699637625</v>
      </c>
      <c r="AG424" s="291">
        <f t="shared" si="27"/>
        <v>0.51734499173574222</v>
      </c>
      <c r="AH424" s="291">
        <f t="shared" si="27"/>
        <v>0.54243741752980768</v>
      </c>
      <c r="AI424" s="291">
        <f t="shared" si="27"/>
        <v>0.55459505830599876</v>
      </c>
      <c r="AJ424" s="327">
        <f t="shared" si="23"/>
        <v>0.55459505830599876</v>
      </c>
    </row>
    <row r="425" spans="2:36">
      <c r="B425" s="72" t="s">
        <v>737</v>
      </c>
      <c r="C425" s="72" t="s">
        <v>738</v>
      </c>
      <c r="D425" s="291">
        <f t="shared" si="22"/>
        <v>0.63431958804197686</v>
      </c>
      <c r="E425" s="291">
        <f t="shared" si="27"/>
        <v>0.77902331324164087</v>
      </c>
      <c r="F425" s="291">
        <f t="shared" si="27"/>
        <v>0.58363283064822757</v>
      </c>
      <c r="G425" s="291">
        <f t="shared" si="27"/>
        <v>0.57091874757694683</v>
      </c>
      <c r="H425" s="291">
        <f t="shared" si="27"/>
        <v>0.70838492521390106</v>
      </c>
      <c r="I425" s="291">
        <f t="shared" si="27"/>
        <v>0.70893302950768333</v>
      </c>
      <c r="J425" s="291">
        <f t="shared" si="27"/>
        <v>0.43752416674400862</v>
      </c>
      <c r="K425" s="291">
        <f t="shared" si="27"/>
        <v>0.39631014733593384</v>
      </c>
      <c r="L425" s="291">
        <f t="shared" si="27"/>
        <v>0.41440162230163913</v>
      </c>
      <c r="M425" s="291">
        <f t="shared" si="27"/>
        <v>0.49048092551012767</v>
      </c>
      <c r="N425" s="291">
        <f t="shared" si="27"/>
        <v>0.47044890347384677</v>
      </c>
      <c r="O425" s="291">
        <f t="shared" si="27"/>
        <v>0.5109408831778498</v>
      </c>
      <c r="P425" s="291">
        <f t="shared" si="27"/>
        <v>0.55218089350235333</v>
      </c>
      <c r="Q425" s="291">
        <f t="shared" si="27"/>
        <v>0.68317129224096074</v>
      </c>
      <c r="R425" s="291">
        <f t="shared" si="27"/>
        <v>0.65867053696565869</v>
      </c>
      <c r="S425" s="291">
        <f t="shared" si="27"/>
        <v>0.45088609847514766</v>
      </c>
      <c r="T425" s="291">
        <f t="shared" si="27"/>
        <v>0.4942911187201674</v>
      </c>
      <c r="U425" s="291">
        <f t="shared" si="27"/>
        <v>0.52825123811571273</v>
      </c>
      <c r="V425" s="291">
        <f t="shared" si="27"/>
        <v>0.5084781197421161</v>
      </c>
      <c r="W425" s="291">
        <f t="shared" si="27"/>
        <v>0.55808133267672499</v>
      </c>
      <c r="X425" s="291">
        <f t="shared" si="27"/>
        <v>0.67030795850992098</v>
      </c>
      <c r="Y425" s="291">
        <f t="shared" si="27"/>
        <v>0.74889982598642246</v>
      </c>
      <c r="Z425" s="291">
        <f t="shared" si="27"/>
        <v>0.72151142739962182</v>
      </c>
      <c r="AA425" s="291">
        <f t="shared" si="27"/>
        <v>0.60373792430553397</v>
      </c>
      <c r="AB425" s="291">
        <f t="shared" ref="E425:AI433" si="28">AB173/AB$250</f>
        <v>0.55219747149081355</v>
      </c>
      <c r="AC425" s="291">
        <f t="shared" si="28"/>
        <v>0.56538156783110272</v>
      </c>
      <c r="AD425" s="291">
        <f t="shared" si="28"/>
        <v>0.57075606003653867</v>
      </c>
      <c r="AE425" s="291">
        <f t="shared" si="28"/>
        <v>0.52223852224215284</v>
      </c>
      <c r="AF425" s="291">
        <f t="shared" si="28"/>
        <v>0.56092504485800498</v>
      </c>
      <c r="AG425" s="291">
        <f t="shared" si="28"/>
        <v>0.55621123497977487</v>
      </c>
      <c r="AH425" s="291">
        <f t="shared" si="28"/>
        <v>0.61131718464442253</v>
      </c>
      <c r="AI425" s="291">
        <f t="shared" si="28"/>
        <v>0.60112141735348046</v>
      </c>
      <c r="AJ425" s="327">
        <f t="shared" si="23"/>
        <v>0.60112141735348046</v>
      </c>
    </row>
    <row r="426" spans="2:36">
      <c r="B426" s="72" t="s">
        <v>739</v>
      </c>
      <c r="C426" s="72" t="s">
        <v>740</v>
      </c>
      <c r="D426" s="291">
        <f t="shared" si="22"/>
        <v>0</v>
      </c>
      <c r="E426" s="291">
        <f t="shared" si="28"/>
        <v>0</v>
      </c>
      <c r="F426" s="291">
        <f t="shared" si="28"/>
        <v>0</v>
      </c>
      <c r="G426" s="291">
        <f t="shared" si="28"/>
        <v>0</v>
      </c>
      <c r="H426" s="291">
        <f t="shared" si="28"/>
        <v>0</v>
      </c>
      <c r="I426" s="291">
        <f t="shared" si="28"/>
        <v>0</v>
      </c>
      <c r="J426" s="291">
        <f t="shared" si="28"/>
        <v>0.98581414252809563</v>
      </c>
      <c r="K426" s="291">
        <f t="shared" si="28"/>
        <v>0.86259217897058782</v>
      </c>
      <c r="L426" s="291">
        <f t="shared" si="28"/>
        <v>0.77681350046943576</v>
      </c>
      <c r="M426" s="291">
        <f t="shared" si="28"/>
        <v>0.82426523750664271</v>
      </c>
      <c r="N426" s="291">
        <f t="shared" si="28"/>
        <v>0.74046392489558766</v>
      </c>
      <c r="O426" s="291">
        <f t="shared" si="28"/>
        <v>0.73699173467837387</v>
      </c>
      <c r="P426" s="291">
        <f t="shared" si="28"/>
        <v>0.73736404471280526</v>
      </c>
      <c r="Q426" s="291">
        <f t="shared" si="28"/>
        <v>0.86405082467181771</v>
      </c>
      <c r="R426" s="291">
        <f t="shared" si="28"/>
        <v>0.8557674779887674</v>
      </c>
      <c r="S426" s="291">
        <f t="shared" si="28"/>
        <v>0.82580653508507462</v>
      </c>
      <c r="T426" s="291">
        <f t="shared" si="28"/>
        <v>0.83476594828064621</v>
      </c>
      <c r="U426" s="291">
        <f t="shared" si="28"/>
        <v>0.79359865774776961</v>
      </c>
      <c r="V426" s="291">
        <f t="shared" si="28"/>
        <v>0.78558250695979337</v>
      </c>
      <c r="W426" s="291">
        <f t="shared" si="28"/>
        <v>0.7765613411311173</v>
      </c>
      <c r="X426" s="291">
        <f t="shared" si="28"/>
        <v>0.84305872938305937</v>
      </c>
      <c r="Y426" s="291">
        <f t="shared" si="28"/>
        <v>0.88958850197333761</v>
      </c>
      <c r="Z426" s="291">
        <f t="shared" si="28"/>
        <v>0.83963560879764476</v>
      </c>
      <c r="AA426" s="291">
        <f t="shared" si="28"/>
        <v>0.7364355526188926</v>
      </c>
      <c r="AB426" s="291">
        <f t="shared" si="28"/>
        <v>0.65393994807355793</v>
      </c>
      <c r="AC426" s="291">
        <f t="shared" si="28"/>
        <v>0.6469142057220425</v>
      </c>
      <c r="AD426" s="291">
        <f t="shared" si="28"/>
        <v>0.63686765808915591</v>
      </c>
      <c r="AE426" s="291">
        <f t="shared" si="28"/>
        <v>0.5714033507414068</v>
      </c>
      <c r="AF426" s="291">
        <f t="shared" si="28"/>
        <v>0.63241193222359871</v>
      </c>
      <c r="AG426" s="291">
        <f t="shared" si="28"/>
        <v>0.76447770851336905</v>
      </c>
      <c r="AH426" s="291">
        <f t="shared" si="28"/>
        <v>0.78535641930999656</v>
      </c>
      <c r="AI426" s="291">
        <f t="shared" si="28"/>
        <v>0.74469912361592905</v>
      </c>
      <c r="AJ426" s="327">
        <f t="shared" si="23"/>
        <v>0.74469912361592905</v>
      </c>
    </row>
    <row r="427" spans="2:36">
      <c r="B427" s="72" t="s">
        <v>741</v>
      </c>
      <c r="C427" s="72" t="s">
        <v>742</v>
      </c>
      <c r="D427" s="291">
        <f t="shared" si="22"/>
        <v>0</v>
      </c>
      <c r="E427" s="291">
        <f t="shared" si="28"/>
        <v>0</v>
      </c>
      <c r="F427" s="291">
        <f t="shared" si="28"/>
        <v>0</v>
      </c>
      <c r="G427" s="291">
        <f t="shared" si="28"/>
        <v>0</v>
      </c>
      <c r="H427" s="291">
        <f t="shared" si="28"/>
        <v>0</v>
      </c>
      <c r="I427" s="291">
        <f t="shared" si="28"/>
        <v>0</v>
      </c>
      <c r="J427" s="291">
        <f t="shared" si="28"/>
        <v>0</v>
      </c>
      <c r="K427" s="291">
        <f t="shared" si="28"/>
        <v>0</v>
      </c>
      <c r="L427" s="291">
        <f t="shared" si="28"/>
        <v>0</v>
      </c>
      <c r="M427" s="291">
        <f t="shared" si="28"/>
        <v>0</v>
      </c>
      <c r="N427" s="291">
        <f t="shared" si="28"/>
        <v>0.2704590533290574</v>
      </c>
      <c r="O427" s="291">
        <f t="shared" si="28"/>
        <v>0.26262293614452903</v>
      </c>
      <c r="P427" s="291">
        <f t="shared" si="28"/>
        <v>0.26957902245149801</v>
      </c>
      <c r="Q427" s="291">
        <f t="shared" si="28"/>
        <v>0.31741820413635513</v>
      </c>
      <c r="R427" s="291">
        <f t="shared" si="28"/>
        <v>0.31821351385723684</v>
      </c>
      <c r="S427" s="291">
        <f t="shared" si="28"/>
        <v>0.31311168507093884</v>
      </c>
      <c r="T427" s="291">
        <f t="shared" si="28"/>
        <v>0.31746019038893258</v>
      </c>
      <c r="U427" s="291">
        <f t="shared" si="28"/>
        <v>0.33604918707608111</v>
      </c>
      <c r="V427" s="291">
        <f t="shared" si="28"/>
        <v>0.29309438533928284</v>
      </c>
      <c r="W427" s="291">
        <f t="shared" si="28"/>
        <v>0.21614648825260513</v>
      </c>
      <c r="X427" s="291">
        <f t="shared" si="28"/>
        <v>0.250213590903891</v>
      </c>
      <c r="Y427" s="291">
        <f t="shared" si="28"/>
        <v>0.28269528744180838</v>
      </c>
      <c r="Z427" s="291">
        <f t="shared" si="28"/>
        <v>0.27773982876333037</v>
      </c>
      <c r="AA427" s="291">
        <f t="shared" si="28"/>
        <v>0.27346854420290062</v>
      </c>
      <c r="AB427" s="291">
        <f t="shared" si="28"/>
        <v>0.29345757965085367</v>
      </c>
      <c r="AC427" s="291">
        <f t="shared" si="28"/>
        <v>0.30422839381119554</v>
      </c>
      <c r="AD427" s="291">
        <f t="shared" si="28"/>
        <v>0.32144926025374537</v>
      </c>
      <c r="AE427" s="291">
        <f t="shared" si="28"/>
        <v>0.34997424073094174</v>
      </c>
      <c r="AF427" s="291">
        <f t="shared" si="28"/>
        <v>0.47163487880385951</v>
      </c>
      <c r="AG427" s="291">
        <f t="shared" si="28"/>
        <v>0.51800050326572267</v>
      </c>
      <c r="AH427" s="291">
        <f t="shared" si="28"/>
        <v>0.51359916089196389</v>
      </c>
      <c r="AI427" s="291">
        <f t="shared" si="28"/>
        <v>0.5332497742754887</v>
      </c>
      <c r="AJ427" s="327">
        <f t="shared" si="23"/>
        <v>0.5332497742754887</v>
      </c>
    </row>
    <row r="428" spans="2:36">
      <c r="B428" s="72" t="s">
        <v>743</v>
      </c>
      <c r="C428" s="72" t="s">
        <v>333</v>
      </c>
      <c r="D428" s="291">
        <f t="shared" si="22"/>
        <v>0</v>
      </c>
      <c r="E428" s="291">
        <f t="shared" si="28"/>
        <v>0</v>
      </c>
      <c r="F428" s="291">
        <f t="shared" si="28"/>
        <v>0</v>
      </c>
      <c r="G428" s="291">
        <f t="shared" si="28"/>
        <v>0</v>
      </c>
      <c r="H428" s="291">
        <f t="shared" si="28"/>
        <v>0</v>
      </c>
      <c r="I428" s="291">
        <f t="shared" si="28"/>
        <v>0</v>
      </c>
      <c r="J428" s="291">
        <f t="shared" si="28"/>
        <v>0</v>
      </c>
      <c r="K428" s="291">
        <f t="shared" si="28"/>
        <v>0</v>
      </c>
      <c r="L428" s="291">
        <f t="shared" si="28"/>
        <v>0</v>
      </c>
      <c r="M428" s="291">
        <f t="shared" si="28"/>
        <v>0</v>
      </c>
      <c r="N428" s="291">
        <f t="shared" si="28"/>
        <v>0</v>
      </c>
      <c r="O428" s="291">
        <f t="shared" si="28"/>
        <v>0</v>
      </c>
      <c r="P428" s="291">
        <f t="shared" si="28"/>
        <v>0</v>
      </c>
      <c r="Q428" s="291">
        <f t="shared" si="28"/>
        <v>0</v>
      </c>
      <c r="R428" s="291">
        <f t="shared" si="28"/>
        <v>0</v>
      </c>
      <c r="S428" s="291">
        <f t="shared" si="28"/>
        <v>0</v>
      </c>
      <c r="T428" s="291">
        <f t="shared" si="28"/>
        <v>0</v>
      </c>
      <c r="U428" s="291">
        <f t="shared" si="28"/>
        <v>0</v>
      </c>
      <c r="V428" s="291">
        <f t="shared" si="28"/>
        <v>0</v>
      </c>
      <c r="W428" s="291">
        <f t="shared" si="28"/>
        <v>0</v>
      </c>
      <c r="X428" s="291">
        <f t="shared" si="28"/>
        <v>0</v>
      </c>
      <c r="Y428" s="291">
        <f t="shared" si="28"/>
        <v>0</v>
      </c>
      <c r="Z428" s="291">
        <f t="shared" si="28"/>
        <v>0</v>
      </c>
      <c r="AA428" s="291">
        <f t="shared" si="28"/>
        <v>0</v>
      </c>
      <c r="AB428" s="291">
        <f t="shared" si="28"/>
        <v>0</v>
      </c>
      <c r="AC428" s="291">
        <f t="shared" si="28"/>
        <v>0</v>
      </c>
      <c r="AD428" s="291">
        <f t="shared" si="28"/>
        <v>0</v>
      </c>
      <c r="AE428" s="291">
        <f t="shared" si="28"/>
        <v>0</v>
      </c>
      <c r="AF428" s="291">
        <f t="shared" si="28"/>
        <v>0</v>
      </c>
      <c r="AG428" s="291">
        <f t="shared" si="28"/>
        <v>0</v>
      </c>
      <c r="AH428" s="291">
        <f t="shared" si="28"/>
        <v>0</v>
      </c>
      <c r="AI428" s="291">
        <f t="shared" si="28"/>
        <v>0</v>
      </c>
      <c r="AJ428" s="327">
        <f t="shared" si="23"/>
        <v>0</v>
      </c>
    </row>
    <row r="429" spans="2:36">
      <c r="B429" s="72" t="s">
        <v>744</v>
      </c>
      <c r="C429" s="72" t="s">
        <v>745</v>
      </c>
      <c r="D429" s="291">
        <f t="shared" si="22"/>
        <v>0</v>
      </c>
      <c r="E429" s="291">
        <f t="shared" si="28"/>
        <v>1.2602969734150478</v>
      </c>
      <c r="F429" s="291">
        <f t="shared" si="28"/>
        <v>1.3765090433540186</v>
      </c>
      <c r="G429" s="291">
        <f t="shared" si="28"/>
        <v>1.5174329009786423</v>
      </c>
      <c r="H429" s="291">
        <f t="shared" si="28"/>
        <v>1.2016697460378705</v>
      </c>
      <c r="I429" s="291">
        <f t="shared" si="28"/>
        <v>1.1596725364774063</v>
      </c>
      <c r="J429" s="291">
        <f t="shared" si="28"/>
        <v>1.1888907794019887</v>
      </c>
      <c r="K429" s="291">
        <f t="shared" si="28"/>
        <v>1.0204584439144324</v>
      </c>
      <c r="L429" s="291">
        <f t="shared" si="28"/>
        <v>0.89015681493733156</v>
      </c>
      <c r="M429" s="291">
        <f t="shared" si="28"/>
        <v>0.9663601107721933</v>
      </c>
      <c r="N429" s="291">
        <f t="shared" si="28"/>
        <v>0.6116573101295445</v>
      </c>
      <c r="O429" s="291">
        <f t="shared" si="28"/>
        <v>0.58936124662548706</v>
      </c>
      <c r="P429" s="291">
        <f t="shared" si="28"/>
        <v>0.34930825255711839</v>
      </c>
      <c r="Q429" s="291">
        <f t="shared" si="28"/>
        <v>0.23931111807374075</v>
      </c>
      <c r="R429" s="291">
        <f t="shared" si="28"/>
        <v>0.27247917122664861</v>
      </c>
      <c r="S429" s="291">
        <f t="shared" si="28"/>
        <v>0.3785256167775638</v>
      </c>
      <c r="T429" s="291">
        <f t="shared" si="28"/>
        <v>0.34104349864008549</v>
      </c>
      <c r="U429" s="291">
        <f t="shared" si="28"/>
        <v>0.27209225472706922</v>
      </c>
      <c r="V429" s="291">
        <f t="shared" si="28"/>
        <v>0.24067868274606039</v>
      </c>
      <c r="W429" s="291">
        <f t="shared" si="28"/>
        <v>0.21905924336878829</v>
      </c>
      <c r="X429" s="291">
        <f t="shared" si="28"/>
        <v>0.25009133860926674</v>
      </c>
      <c r="Y429" s="291">
        <f t="shared" si="28"/>
        <v>0.28260820544127163</v>
      </c>
      <c r="Z429" s="291">
        <f t="shared" si="28"/>
        <v>0.28044670237047115</v>
      </c>
      <c r="AA429" s="291">
        <f t="shared" si="28"/>
        <v>0.26361986060775877</v>
      </c>
      <c r="AB429" s="291">
        <f t="shared" si="28"/>
        <v>0.26148903664645312</v>
      </c>
      <c r="AC429" s="291">
        <f t="shared" si="28"/>
        <v>0.29926596858039495</v>
      </c>
      <c r="AD429" s="291">
        <f t="shared" si="28"/>
        <v>0.36203637832840319</v>
      </c>
      <c r="AE429" s="291">
        <f t="shared" si="28"/>
        <v>0.35388280313633719</v>
      </c>
      <c r="AF429" s="291">
        <f t="shared" si="28"/>
        <v>0.45563763292335691</v>
      </c>
      <c r="AG429" s="291">
        <f t="shared" si="28"/>
        <v>0.43236903947385652</v>
      </c>
      <c r="AH429" s="291">
        <f t="shared" si="28"/>
        <v>0.54645937882601059</v>
      </c>
      <c r="AI429" s="291">
        <f t="shared" si="28"/>
        <v>0.60271695319099927</v>
      </c>
      <c r="AJ429" s="327">
        <f t="shared" si="23"/>
        <v>0.60271695319099927</v>
      </c>
    </row>
    <row r="430" spans="2:36">
      <c r="B430" s="72" t="s">
        <v>746</v>
      </c>
      <c r="C430" s="72" t="s">
        <v>747</v>
      </c>
      <c r="D430" s="291">
        <f t="shared" si="22"/>
        <v>0</v>
      </c>
      <c r="E430" s="291">
        <f t="shared" si="28"/>
        <v>0</v>
      </c>
      <c r="F430" s="291">
        <f t="shared" si="28"/>
        <v>0</v>
      </c>
      <c r="G430" s="291">
        <f t="shared" si="28"/>
        <v>0</v>
      </c>
      <c r="H430" s="291">
        <f t="shared" si="28"/>
        <v>0</v>
      </c>
      <c r="I430" s="291">
        <f t="shared" si="28"/>
        <v>0</v>
      </c>
      <c r="J430" s="291">
        <f t="shared" si="28"/>
        <v>0</v>
      </c>
      <c r="K430" s="291">
        <f t="shared" si="28"/>
        <v>0</v>
      </c>
      <c r="L430" s="291">
        <f t="shared" si="28"/>
        <v>0</v>
      </c>
      <c r="M430" s="291">
        <f t="shared" si="28"/>
        <v>0</v>
      </c>
      <c r="N430" s="291">
        <f t="shared" si="28"/>
        <v>0</v>
      </c>
      <c r="O430" s="291">
        <f t="shared" si="28"/>
        <v>0</v>
      </c>
      <c r="P430" s="291">
        <f t="shared" si="28"/>
        <v>0</v>
      </c>
      <c r="Q430" s="291">
        <f t="shared" si="28"/>
        <v>0</v>
      </c>
      <c r="R430" s="291">
        <f t="shared" si="28"/>
        <v>0</v>
      </c>
      <c r="S430" s="291">
        <f t="shared" si="28"/>
        <v>0</v>
      </c>
      <c r="T430" s="291">
        <f t="shared" si="28"/>
        <v>0</v>
      </c>
      <c r="U430" s="291">
        <f t="shared" si="28"/>
        <v>0</v>
      </c>
      <c r="V430" s="291">
        <f t="shared" si="28"/>
        <v>0</v>
      </c>
      <c r="W430" s="291">
        <f t="shared" si="28"/>
        <v>0</v>
      </c>
      <c r="X430" s="291">
        <f t="shared" si="28"/>
        <v>0.25650822162511472</v>
      </c>
      <c r="Y430" s="291">
        <f t="shared" si="28"/>
        <v>0.31187114848072028</v>
      </c>
      <c r="Z430" s="291">
        <f t="shared" si="28"/>
        <v>0.3198368821665894</v>
      </c>
      <c r="AA430" s="291">
        <f t="shared" si="28"/>
        <v>0.36527348139325483</v>
      </c>
      <c r="AB430" s="291">
        <f t="shared" si="28"/>
        <v>0.37328143084728466</v>
      </c>
      <c r="AC430" s="291">
        <f t="shared" si="28"/>
        <v>0.37794019161209391</v>
      </c>
      <c r="AD430" s="291">
        <f t="shared" si="28"/>
        <v>0.36126031026465805</v>
      </c>
      <c r="AE430" s="291">
        <f t="shared" si="28"/>
        <v>0.36953847548608482</v>
      </c>
      <c r="AF430" s="291">
        <f t="shared" si="28"/>
        <v>0.43985046319356053</v>
      </c>
      <c r="AG430" s="291">
        <f t="shared" si="28"/>
        <v>0.49919965924732967</v>
      </c>
      <c r="AH430" s="291">
        <f t="shared" si="28"/>
        <v>0.48864606744522032</v>
      </c>
      <c r="AI430" s="291">
        <f t="shared" si="28"/>
        <v>0.48352947390665285</v>
      </c>
      <c r="AJ430" s="327">
        <f t="shared" si="23"/>
        <v>0.48352947390665285</v>
      </c>
    </row>
    <row r="431" spans="2:36">
      <c r="B431" s="72" t="s">
        <v>748</v>
      </c>
      <c r="C431" s="72" t="s">
        <v>749</v>
      </c>
      <c r="D431" s="291">
        <f t="shared" si="22"/>
        <v>0.74455657210155957</v>
      </c>
      <c r="E431" s="291">
        <f t="shared" si="28"/>
        <v>0.64546652283697903</v>
      </c>
      <c r="F431" s="291">
        <f t="shared" si="28"/>
        <v>0.63655107842806802</v>
      </c>
      <c r="G431" s="291">
        <f t="shared" si="28"/>
        <v>0.6321236211700384</v>
      </c>
      <c r="H431" s="291">
        <f t="shared" si="28"/>
        <v>0.60372949309953039</v>
      </c>
      <c r="I431" s="291">
        <f t="shared" si="28"/>
        <v>0.56118258164839074</v>
      </c>
      <c r="J431" s="291">
        <f t="shared" si="28"/>
        <v>0.57925912667502022</v>
      </c>
      <c r="K431" s="291">
        <f t="shared" si="28"/>
        <v>0.5582339463918421</v>
      </c>
      <c r="L431" s="291">
        <f t="shared" si="28"/>
        <v>0.51742758817887069</v>
      </c>
      <c r="M431" s="291">
        <f t="shared" si="28"/>
        <v>0.52709901615230736</v>
      </c>
      <c r="N431" s="291">
        <f t="shared" si="28"/>
        <v>0.49012456244333474</v>
      </c>
      <c r="O431" s="291">
        <f t="shared" si="28"/>
        <v>0.46809513861622087</v>
      </c>
      <c r="P431" s="291">
        <f t="shared" si="28"/>
        <v>0.48409710883819623</v>
      </c>
      <c r="Q431" s="291">
        <f t="shared" si="28"/>
        <v>0.5240585339284094</v>
      </c>
      <c r="R431" s="291">
        <f t="shared" si="28"/>
        <v>0.51904631664746115</v>
      </c>
      <c r="S431" s="291">
        <f t="shared" si="28"/>
        <v>0.56889945993015389</v>
      </c>
      <c r="T431" s="291">
        <f t="shared" si="28"/>
        <v>0.55970863263988835</v>
      </c>
      <c r="U431" s="291">
        <f t="shared" si="28"/>
        <v>0.49315186572211239</v>
      </c>
      <c r="V431" s="291">
        <f t="shared" si="28"/>
        <v>0.5267183046111692</v>
      </c>
      <c r="W431" s="291">
        <f t="shared" si="28"/>
        <v>0.51892386595841233</v>
      </c>
      <c r="X431" s="291">
        <f t="shared" si="28"/>
        <v>0.51112934782546626</v>
      </c>
      <c r="Y431" s="291">
        <f t="shared" si="28"/>
        <v>0.50515030273005368</v>
      </c>
      <c r="Z431" s="291">
        <f t="shared" si="28"/>
        <v>0.4943006958091305</v>
      </c>
      <c r="AA431" s="291">
        <f t="shared" si="28"/>
        <v>0.50467053578867171</v>
      </c>
      <c r="AB431" s="291">
        <f t="shared" si="28"/>
        <v>0.48368059774219296</v>
      </c>
      <c r="AC431" s="291">
        <f t="shared" si="28"/>
        <v>0.47573511221939463</v>
      </c>
      <c r="AD431" s="291">
        <f t="shared" si="28"/>
        <v>0.47252538874896061</v>
      </c>
      <c r="AE431" s="291">
        <f t="shared" si="28"/>
        <v>0.45809591434573071</v>
      </c>
      <c r="AF431" s="291">
        <f t="shared" si="28"/>
        <v>0.54130264375002801</v>
      </c>
      <c r="AG431" s="291">
        <f t="shared" si="28"/>
        <v>0.60741391262582367</v>
      </c>
      <c r="AH431" s="291">
        <f t="shared" si="28"/>
        <v>0.58157938412989263</v>
      </c>
      <c r="AI431" s="291">
        <f t="shared" si="28"/>
        <v>0.56316408658852601</v>
      </c>
      <c r="AJ431" s="327">
        <f t="shared" si="23"/>
        <v>0.56316408658852601</v>
      </c>
    </row>
    <row r="432" spans="2:36">
      <c r="B432" s="72" t="s">
        <v>750</v>
      </c>
      <c r="C432" s="72" t="s">
        <v>751</v>
      </c>
      <c r="D432" s="291">
        <f t="shared" si="22"/>
        <v>1.2160162323434602</v>
      </c>
      <c r="E432" s="291">
        <f t="shared" si="28"/>
        <v>1.2044055517382708</v>
      </c>
      <c r="F432" s="291">
        <f t="shared" si="28"/>
        <v>1.4180420455255838</v>
      </c>
      <c r="G432" s="291">
        <f t="shared" si="28"/>
        <v>1.6459594133141253</v>
      </c>
      <c r="H432" s="291">
        <f t="shared" si="28"/>
        <v>1.9979148266122317</v>
      </c>
      <c r="I432" s="291">
        <f t="shared" si="28"/>
        <v>2.5604475109055977</v>
      </c>
      <c r="J432" s="291">
        <f t="shared" si="28"/>
        <v>2.6093173412098536</v>
      </c>
      <c r="K432" s="291">
        <f t="shared" si="28"/>
        <v>0.86952184026890589</v>
      </c>
      <c r="L432" s="291">
        <f t="shared" si="28"/>
        <v>0.61768738008135449</v>
      </c>
      <c r="M432" s="291">
        <f t="shared" si="28"/>
        <v>0.6495922311905532</v>
      </c>
      <c r="N432" s="291">
        <f t="shared" si="28"/>
        <v>0.58600198048901775</v>
      </c>
      <c r="O432" s="291">
        <f t="shared" si="28"/>
        <v>0.5788990726319776</v>
      </c>
      <c r="P432" s="291">
        <f t="shared" si="28"/>
        <v>0.43271309542738901</v>
      </c>
      <c r="Q432" s="291">
        <f t="shared" si="28"/>
        <v>0.46654043484869362</v>
      </c>
      <c r="R432" s="291">
        <f t="shared" si="28"/>
        <v>0.44986418837037623</v>
      </c>
      <c r="S432" s="291">
        <f t="shared" si="28"/>
        <v>0.42872259462305717</v>
      </c>
      <c r="T432" s="291">
        <f t="shared" si="28"/>
        <v>0.56134240394248358</v>
      </c>
      <c r="U432" s="291">
        <f t="shared" si="28"/>
        <v>0.56771747609722012</v>
      </c>
      <c r="V432" s="291">
        <f t="shared" si="28"/>
        <v>0.5560301637388908</v>
      </c>
      <c r="W432" s="291">
        <f t="shared" si="28"/>
        <v>0.53816974900020942</v>
      </c>
      <c r="X432" s="291">
        <f t="shared" si="28"/>
        <v>0.5461461253050256</v>
      </c>
      <c r="Y432" s="291">
        <f t="shared" si="28"/>
        <v>0.48829458854615315</v>
      </c>
      <c r="Z432" s="291">
        <f t="shared" si="28"/>
        <v>0.4365632276531235</v>
      </c>
      <c r="AA432" s="291">
        <f t="shared" si="28"/>
        <v>0.40268669834583076</v>
      </c>
      <c r="AB432" s="291">
        <f t="shared" si="28"/>
        <v>0.40053320132032783</v>
      </c>
      <c r="AC432" s="291">
        <f t="shared" si="28"/>
        <v>0.40898857615654882</v>
      </c>
      <c r="AD432" s="291">
        <f t="shared" si="28"/>
        <v>0.40275725306737575</v>
      </c>
      <c r="AE432" s="291">
        <f t="shared" si="28"/>
        <v>0.36907715923058293</v>
      </c>
      <c r="AF432" s="291">
        <f t="shared" si="28"/>
        <v>0.44937263430566143</v>
      </c>
      <c r="AG432" s="291">
        <f t="shared" si="28"/>
        <v>0.4750477893736092</v>
      </c>
      <c r="AH432" s="291">
        <f t="shared" si="28"/>
        <v>0.42082190651636719</v>
      </c>
      <c r="AI432" s="291">
        <f t="shared" si="28"/>
        <v>0.50083951450768971</v>
      </c>
      <c r="AJ432" s="327">
        <f t="shared" si="23"/>
        <v>0.50083951450768971</v>
      </c>
    </row>
    <row r="433" spans="2:36">
      <c r="B433" s="72" t="s">
        <v>752</v>
      </c>
      <c r="C433" s="72" t="s">
        <v>753</v>
      </c>
      <c r="D433" s="291">
        <f t="shared" si="22"/>
        <v>0</v>
      </c>
      <c r="E433" s="291">
        <f t="shared" si="28"/>
        <v>0</v>
      </c>
      <c r="F433" s="291">
        <f t="shared" si="28"/>
        <v>0</v>
      </c>
      <c r="G433" s="291">
        <f t="shared" si="28"/>
        <v>0</v>
      </c>
      <c r="H433" s="291">
        <f t="shared" si="28"/>
        <v>0</v>
      </c>
      <c r="I433" s="291">
        <f t="shared" si="28"/>
        <v>0</v>
      </c>
      <c r="J433" s="291">
        <f t="shared" si="28"/>
        <v>0</v>
      </c>
      <c r="K433" s="291">
        <f t="shared" si="28"/>
        <v>0</v>
      </c>
      <c r="L433" s="291">
        <f t="shared" si="28"/>
        <v>0</v>
      </c>
      <c r="M433" s="291">
        <f t="shared" si="28"/>
        <v>0</v>
      </c>
      <c r="N433" s="291">
        <f t="shared" si="28"/>
        <v>0</v>
      </c>
      <c r="O433" s="291">
        <f t="shared" si="28"/>
        <v>0</v>
      </c>
      <c r="P433" s="291">
        <f t="shared" si="28"/>
        <v>0</v>
      </c>
      <c r="Q433" s="291">
        <f t="shared" si="28"/>
        <v>0</v>
      </c>
      <c r="R433" s="291">
        <f t="shared" si="28"/>
        <v>0</v>
      </c>
      <c r="S433" s="291">
        <f t="shared" si="28"/>
        <v>0</v>
      </c>
      <c r="T433" s="291">
        <f t="shared" si="28"/>
        <v>0</v>
      </c>
      <c r="U433" s="291">
        <f t="shared" si="28"/>
        <v>0</v>
      </c>
      <c r="V433" s="291">
        <f t="shared" si="28"/>
        <v>0</v>
      </c>
      <c r="W433" s="291">
        <f t="shared" si="28"/>
        <v>0</v>
      </c>
      <c r="X433" s="291">
        <f t="shared" si="28"/>
        <v>0</v>
      </c>
      <c r="Y433" s="291">
        <f t="shared" si="28"/>
        <v>0</v>
      </c>
      <c r="Z433" s="291">
        <f t="shared" si="28"/>
        <v>0</v>
      </c>
      <c r="AA433" s="291">
        <f t="shared" si="28"/>
        <v>0</v>
      </c>
      <c r="AB433" s="291">
        <f t="shared" si="28"/>
        <v>0</v>
      </c>
      <c r="AC433" s="291">
        <f t="shared" si="28"/>
        <v>0</v>
      </c>
      <c r="AD433" s="291">
        <f t="shared" si="28"/>
        <v>0</v>
      </c>
      <c r="AE433" s="291">
        <f t="shared" si="28"/>
        <v>0</v>
      </c>
      <c r="AF433" s="291">
        <f t="shared" si="28"/>
        <v>0</v>
      </c>
      <c r="AG433" s="291">
        <f t="shared" si="28"/>
        <v>0</v>
      </c>
      <c r="AH433" s="291">
        <f t="shared" si="28"/>
        <v>0</v>
      </c>
      <c r="AI433" s="291">
        <f t="shared" ref="E433:AI442" si="29">AI181/AI$250</f>
        <v>0</v>
      </c>
      <c r="AJ433" s="327">
        <f t="shared" si="23"/>
        <v>0</v>
      </c>
    </row>
    <row r="434" spans="2:36">
      <c r="B434" s="72" t="s">
        <v>754</v>
      </c>
      <c r="C434" s="72" t="s">
        <v>755</v>
      </c>
      <c r="D434" s="291">
        <f t="shared" si="22"/>
        <v>0.79115965172845293</v>
      </c>
      <c r="E434" s="291">
        <f t="shared" si="29"/>
        <v>0.73239953250743739</v>
      </c>
      <c r="F434" s="291">
        <f t="shared" si="29"/>
        <v>0.72773514982095089</v>
      </c>
      <c r="G434" s="291">
        <f t="shared" si="29"/>
        <v>0.86582251604378224</v>
      </c>
      <c r="H434" s="291">
        <f t="shared" si="29"/>
        <v>0.7968751700936525</v>
      </c>
      <c r="I434" s="291">
        <f t="shared" si="29"/>
        <v>0.64698165459058954</v>
      </c>
      <c r="J434" s="291">
        <f t="shared" si="29"/>
        <v>0.58955679982379916</v>
      </c>
      <c r="K434" s="291">
        <f t="shared" si="29"/>
        <v>0.61425912300384444</v>
      </c>
      <c r="L434" s="291">
        <f t="shared" si="29"/>
        <v>0.57905468225075207</v>
      </c>
      <c r="M434" s="291">
        <f t="shared" si="29"/>
        <v>0.58722662923690883</v>
      </c>
      <c r="N434" s="291">
        <f t="shared" si="29"/>
        <v>0.53127421734755897</v>
      </c>
      <c r="O434" s="291">
        <f t="shared" si="29"/>
        <v>0.49320132102282027</v>
      </c>
      <c r="P434" s="291">
        <f t="shared" si="29"/>
        <v>0.50872116719997018</v>
      </c>
      <c r="Q434" s="291">
        <f t="shared" si="29"/>
        <v>0.59242201460412491</v>
      </c>
      <c r="R434" s="291">
        <f t="shared" si="29"/>
        <v>0.60867571092371742</v>
      </c>
      <c r="S434" s="291">
        <f t="shared" si="29"/>
        <v>0.59334025642250177</v>
      </c>
      <c r="T434" s="291">
        <f t="shared" si="29"/>
        <v>0.56960722280123555</v>
      </c>
      <c r="U434" s="291">
        <f t="shared" si="29"/>
        <v>0.53752262684902197</v>
      </c>
      <c r="V434" s="291">
        <f t="shared" si="29"/>
        <v>0.46707426634499422</v>
      </c>
      <c r="W434" s="291">
        <f t="shared" si="29"/>
        <v>0.44903911526439905</v>
      </c>
      <c r="X434" s="291">
        <f t="shared" si="29"/>
        <v>0.53795536676478206</v>
      </c>
      <c r="Y434" s="291">
        <f t="shared" si="29"/>
        <v>0.50328163362470868</v>
      </c>
      <c r="Z434" s="291">
        <f t="shared" si="29"/>
        <v>0.42949364666584622</v>
      </c>
      <c r="AA434" s="291">
        <f t="shared" si="29"/>
        <v>0.53261870910743414</v>
      </c>
      <c r="AB434" s="291">
        <f t="shared" si="29"/>
        <v>0.55809203144881669</v>
      </c>
      <c r="AC434" s="291">
        <f t="shared" si="29"/>
        <v>0.5798483971788867</v>
      </c>
      <c r="AD434" s="291">
        <f t="shared" si="29"/>
        <v>0.57767878361610814</v>
      </c>
      <c r="AE434" s="291">
        <f t="shared" si="29"/>
        <v>0.52552940648570934</v>
      </c>
      <c r="AF434" s="291">
        <f t="shared" si="29"/>
        <v>0.53889252037448521</v>
      </c>
      <c r="AG434" s="291">
        <f t="shared" si="29"/>
        <v>0.62846229051165525</v>
      </c>
      <c r="AH434" s="291">
        <f t="shared" si="29"/>
        <v>0.73041696709742332</v>
      </c>
      <c r="AI434" s="291">
        <f t="shared" si="29"/>
        <v>0.71313304688278745</v>
      </c>
      <c r="AJ434" s="327">
        <f t="shared" si="23"/>
        <v>0.71313304688278745</v>
      </c>
    </row>
    <row r="435" spans="2:36">
      <c r="B435" s="72" t="s">
        <v>756</v>
      </c>
      <c r="C435" s="72" t="s">
        <v>757</v>
      </c>
      <c r="D435" s="291">
        <f t="shared" si="22"/>
        <v>0.41431379352080883</v>
      </c>
      <c r="E435" s="291">
        <f t="shared" si="29"/>
        <v>0.46431119524878173</v>
      </c>
      <c r="F435" s="291">
        <f t="shared" si="29"/>
        <v>0.5043977048741366</v>
      </c>
      <c r="G435" s="291">
        <f t="shared" si="29"/>
        <v>0.58023452873533898</v>
      </c>
      <c r="H435" s="291">
        <f t="shared" si="29"/>
        <v>0.60794734257994243</v>
      </c>
      <c r="I435" s="291">
        <f t="shared" si="29"/>
        <v>0.56926514364132963</v>
      </c>
      <c r="J435" s="291">
        <f t="shared" si="29"/>
        <v>0.5014783448446517</v>
      </c>
      <c r="K435" s="291">
        <f t="shared" si="29"/>
        <v>0.43553704819164157</v>
      </c>
      <c r="L435" s="291">
        <f t="shared" si="29"/>
        <v>0.41212954583700484</v>
      </c>
      <c r="M435" s="291">
        <f t="shared" si="29"/>
        <v>0.40462203860668489</v>
      </c>
      <c r="N435" s="291">
        <f t="shared" si="29"/>
        <v>0.34060861509628482</v>
      </c>
      <c r="O435" s="291">
        <f t="shared" si="29"/>
        <v>0.32781544185104222</v>
      </c>
      <c r="P435" s="291">
        <f t="shared" si="29"/>
        <v>0.26520962468864678</v>
      </c>
      <c r="Q435" s="291">
        <f t="shared" si="29"/>
        <v>0.31261108066963966</v>
      </c>
      <c r="R435" s="291">
        <f t="shared" si="29"/>
        <v>0.30980081559077005</v>
      </c>
      <c r="S435" s="291">
        <f t="shared" si="29"/>
        <v>0.30528302418872888</v>
      </c>
      <c r="T435" s="291">
        <f t="shared" si="29"/>
        <v>0.29597987645180235</v>
      </c>
      <c r="U435" s="291">
        <f t="shared" si="29"/>
        <v>0.28951312860544304</v>
      </c>
      <c r="V435" s="291">
        <f t="shared" si="29"/>
        <v>0.26637457447235963</v>
      </c>
      <c r="W435" s="291">
        <f t="shared" si="29"/>
        <v>0.26379840502969076</v>
      </c>
      <c r="X435" s="291">
        <f t="shared" si="29"/>
        <v>0.29119369722556399</v>
      </c>
      <c r="Y435" s="291">
        <f t="shared" si="29"/>
        <v>0.31688400226718583</v>
      </c>
      <c r="Z435" s="291">
        <f t="shared" si="29"/>
        <v>0.30084704204538937</v>
      </c>
      <c r="AA435" s="291">
        <f t="shared" si="29"/>
        <v>0.26662826667351963</v>
      </c>
      <c r="AB435" s="291">
        <f t="shared" si="29"/>
        <v>0.25717728840193654</v>
      </c>
      <c r="AC435" s="291">
        <f t="shared" si="29"/>
        <v>0.27011739905925941</v>
      </c>
      <c r="AD435" s="291">
        <f t="shared" si="29"/>
        <v>0.2821491172128644</v>
      </c>
      <c r="AE435" s="291">
        <f t="shared" si="29"/>
        <v>0.26845210959789956</v>
      </c>
      <c r="AF435" s="291">
        <f t="shared" si="29"/>
        <v>0.32682171888929978</v>
      </c>
      <c r="AG435" s="291">
        <f t="shared" si="29"/>
        <v>0.36869786528462861</v>
      </c>
      <c r="AH435" s="291">
        <f t="shared" si="29"/>
        <v>0.4339736707484213</v>
      </c>
      <c r="AI435" s="291">
        <f t="shared" si="29"/>
        <v>0.4518636757942518</v>
      </c>
      <c r="AJ435" s="327">
        <f t="shared" si="23"/>
        <v>0.4518636757942518</v>
      </c>
    </row>
    <row r="436" spans="2:36">
      <c r="B436" s="72" t="s">
        <v>758</v>
      </c>
      <c r="C436" s="72" t="s">
        <v>759</v>
      </c>
      <c r="D436" s="291">
        <f t="shared" si="22"/>
        <v>1.1276653818958309</v>
      </c>
      <c r="E436" s="291">
        <f t="shared" si="29"/>
        <v>0.99250050343384388</v>
      </c>
      <c r="F436" s="291">
        <f t="shared" si="29"/>
        <v>1.0392311240111194</v>
      </c>
      <c r="G436" s="291">
        <f t="shared" si="29"/>
        <v>1.0770009028066778</v>
      </c>
      <c r="H436" s="291">
        <f t="shared" si="29"/>
        <v>1.0678218324836444</v>
      </c>
      <c r="I436" s="291">
        <f t="shared" si="29"/>
        <v>1.018869712845591</v>
      </c>
      <c r="J436" s="291">
        <f t="shared" si="29"/>
        <v>1.1717396320441826</v>
      </c>
      <c r="K436" s="291">
        <f t="shared" si="29"/>
        <v>1.194030369380656</v>
      </c>
      <c r="L436" s="291">
        <f t="shared" si="29"/>
        <v>1.0665602176561717</v>
      </c>
      <c r="M436" s="291">
        <f t="shared" si="29"/>
        <v>1.0205359593148604</v>
      </c>
      <c r="N436" s="291">
        <f t="shared" si="29"/>
        <v>1.0324500376026273</v>
      </c>
      <c r="O436" s="291">
        <f t="shared" si="29"/>
        <v>0.98056172301053601</v>
      </c>
      <c r="P436" s="291">
        <f t="shared" si="29"/>
        <v>1.0348827056638317</v>
      </c>
      <c r="Q436" s="291">
        <f t="shared" si="29"/>
        <v>1.1324244423372904</v>
      </c>
      <c r="R436" s="291">
        <f t="shared" si="29"/>
        <v>1.137736287506772</v>
      </c>
      <c r="S436" s="291">
        <f t="shared" si="29"/>
        <v>1.243199690406446</v>
      </c>
      <c r="T436" s="291">
        <f t="shared" si="29"/>
        <v>1.1874191126647771</v>
      </c>
      <c r="U436" s="291">
        <f t="shared" si="29"/>
        <v>0.98890088421551814</v>
      </c>
      <c r="V436" s="291">
        <f t="shared" si="29"/>
        <v>0.94195534019970184</v>
      </c>
      <c r="W436" s="291">
        <f t="shared" si="29"/>
        <v>0.91520558192317869</v>
      </c>
      <c r="X436" s="291">
        <f t="shared" si="29"/>
        <v>0.85455825316524869</v>
      </c>
      <c r="Y436" s="291">
        <f t="shared" si="29"/>
        <v>0.89901885394495951</v>
      </c>
      <c r="Z436" s="291">
        <f t="shared" si="29"/>
        <v>0.90232455907906051</v>
      </c>
      <c r="AA436" s="291">
        <f t="shared" si="29"/>
        <v>0.99992061253000741</v>
      </c>
      <c r="AB436" s="291">
        <f t="shared" si="29"/>
        <v>0.97470927101422045</v>
      </c>
      <c r="AC436" s="291">
        <f t="shared" si="29"/>
        <v>0.96349051411290587</v>
      </c>
      <c r="AD436" s="291">
        <f t="shared" si="29"/>
        <v>0.94444184020269761</v>
      </c>
      <c r="AE436" s="291">
        <f t="shared" si="29"/>
        <v>0.90879984362219146</v>
      </c>
      <c r="AF436" s="291">
        <f t="shared" si="29"/>
        <v>1.0312472713029111</v>
      </c>
      <c r="AG436" s="291">
        <f t="shared" si="29"/>
        <v>1.143941363377502</v>
      </c>
      <c r="AH436" s="291">
        <f t="shared" si="29"/>
        <v>1.0897764795669729</v>
      </c>
      <c r="AI436" s="291">
        <f t="shared" si="29"/>
        <v>1.069366214879351</v>
      </c>
      <c r="AJ436" s="327">
        <f t="shared" si="23"/>
        <v>1.069366214879351</v>
      </c>
    </row>
    <row r="437" spans="2:36">
      <c r="B437" s="72" t="s">
        <v>760</v>
      </c>
      <c r="C437" s="72" t="s">
        <v>761</v>
      </c>
      <c r="D437" s="291">
        <f t="shared" si="22"/>
        <v>0</v>
      </c>
      <c r="E437" s="291">
        <f t="shared" si="29"/>
        <v>0</v>
      </c>
      <c r="F437" s="291">
        <f t="shared" si="29"/>
        <v>0</v>
      </c>
      <c r="G437" s="291">
        <f t="shared" si="29"/>
        <v>0</v>
      </c>
      <c r="H437" s="291">
        <f t="shared" si="29"/>
        <v>0</v>
      </c>
      <c r="I437" s="291">
        <f t="shared" si="29"/>
        <v>0</v>
      </c>
      <c r="J437" s="291">
        <f t="shared" si="29"/>
        <v>0</v>
      </c>
      <c r="K437" s="291">
        <f t="shared" si="29"/>
        <v>0</v>
      </c>
      <c r="L437" s="291">
        <f t="shared" si="29"/>
        <v>0</v>
      </c>
      <c r="M437" s="291">
        <f t="shared" si="29"/>
        <v>0</v>
      </c>
      <c r="N437" s="291">
        <f t="shared" si="29"/>
        <v>0</v>
      </c>
      <c r="O437" s="291">
        <f t="shared" si="29"/>
        <v>0</v>
      </c>
      <c r="P437" s="291">
        <f t="shared" si="29"/>
        <v>0</v>
      </c>
      <c r="Q437" s="291">
        <f t="shared" si="29"/>
        <v>0</v>
      </c>
      <c r="R437" s="291">
        <f t="shared" si="29"/>
        <v>0</v>
      </c>
      <c r="S437" s="291">
        <f t="shared" si="29"/>
        <v>0</v>
      </c>
      <c r="T437" s="291">
        <f t="shared" si="29"/>
        <v>0</v>
      </c>
      <c r="U437" s="291">
        <f t="shared" si="29"/>
        <v>0</v>
      </c>
      <c r="V437" s="291">
        <f t="shared" si="29"/>
        <v>0</v>
      </c>
      <c r="W437" s="291">
        <f t="shared" si="29"/>
        <v>0</v>
      </c>
      <c r="X437" s="291">
        <f t="shared" si="29"/>
        <v>0</v>
      </c>
      <c r="Y437" s="291">
        <f t="shared" si="29"/>
        <v>0</v>
      </c>
      <c r="Z437" s="291">
        <f t="shared" si="29"/>
        <v>0</v>
      </c>
      <c r="AA437" s="291">
        <f t="shared" si="29"/>
        <v>0</v>
      </c>
      <c r="AB437" s="291">
        <f t="shared" si="29"/>
        <v>0</v>
      </c>
      <c r="AC437" s="291">
        <f t="shared" si="29"/>
        <v>0</v>
      </c>
      <c r="AD437" s="291">
        <f t="shared" si="29"/>
        <v>0</v>
      </c>
      <c r="AE437" s="291">
        <f t="shared" si="29"/>
        <v>0</v>
      </c>
      <c r="AF437" s="291">
        <f t="shared" si="29"/>
        <v>0</v>
      </c>
      <c r="AG437" s="291">
        <f t="shared" si="29"/>
        <v>0</v>
      </c>
      <c r="AH437" s="291">
        <f t="shared" si="29"/>
        <v>0</v>
      </c>
      <c r="AI437" s="291">
        <f t="shared" si="29"/>
        <v>0</v>
      </c>
      <c r="AJ437" s="327">
        <f t="shared" si="23"/>
        <v>0</v>
      </c>
    </row>
    <row r="438" spans="2:36">
      <c r="B438" s="72" t="s">
        <v>762</v>
      </c>
      <c r="C438" s="72" t="s">
        <v>763</v>
      </c>
      <c r="D438" s="291">
        <f t="shared" si="22"/>
        <v>0.74918327917148375</v>
      </c>
      <c r="E438" s="291">
        <f t="shared" si="29"/>
        <v>0.78990395146907977</v>
      </c>
      <c r="F438" s="291">
        <f t="shared" si="29"/>
        <v>0.80100747270663908</v>
      </c>
      <c r="G438" s="291">
        <f t="shared" si="29"/>
        <v>0.85707863066965817</v>
      </c>
      <c r="H438" s="291">
        <f t="shared" si="29"/>
        <v>0.79349186594289745</v>
      </c>
      <c r="I438" s="291">
        <f t="shared" si="29"/>
        <v>0.87789928233282</v>
      </c>
      <c r="J438" s="291">
        <f t="shared" si="29"/>
        <v>0.90194920275050816</v>
      </c>
      <c r="K438" s="291">
        <f t="shared" si="29"/>
        <v>1.0074826253844054</v>
      </c>
      <c r="L438" s="291">
        <f t="shared" si="29"/>
        <v>0.96435631017506274</v>
      </c>
      <c r="M438" s="291">
        <f t="shared" si="29"/>
        <v>0.94356114622858855</v>
      </c>
      <c r="N438" s="291">
        <f t="shared" si="29"/>
        <v>0.84027204942924616</v>
      </c>
      <c r="O438" s="291">
        <f t="shared" si="29"/>
        <v>0.7490194342793095</v>
      </c>
      <c r="P438" s="291">
        <f t="shared" si="29"/>
        <v>0.69696903265671184</v>
      </c>
      <c r="Q438" s="291">
        <f t="shared" si="29"/>
        <v>0.84468320909805994</v>
      </c>
      <c r="R438" s="291">
        <f t="shared" si="29"/>
        <v>0.91217245182131279</v>
      </c>
      <c r="S438" s="291">
        <f t="shared" si="29"/>
        <v>0.95746394816631797</v>
      </c>
      <c r="T438" s="291">
        <f t="shared" si="29"/>
        <v>1.017502552814765</v>
      </c>
      <c r="U438" s="291">
        <f t="shared" si="29"/>
        <v>0.88042126524772168</v>
      </c>
      <c r="V438" s="291">
        <f t="shared" si="29"/>
        <v>0.71412155808453781</v>
      </c>
      <c r="W438" s="291">
        <f t="shared" si="29"/>
        <v>0.70513450792482335</v>
      </c>
      <c r="X438" s="291">
        <f t="shared" si="29"/>
        <v>0.65781724309020218</v>
      </c>
      <c r="Y438" s="291">
        <f t="shared" si="29"/>
        <v>0.6832537942410073</v>
      </c>
      <c r="Z438" s="291">
        <f t="shared" si="29"/>
        <v>0.76966897371123688</v>
      </c>
      <c r="AA438" s="291">
        <f t="shared" si="29"/>
        <v>0.87404417877181229</v>
      </c>
      <c r="AB438" s="291">
        <f t="shared" si="29"/>
        <v>0.87675442805993753</v>
      </c>
      <c r="AC438" s="291">
        <f t="shared" si="29"/>
        <v>0.93455738899462582</v>
      </c>
      <c r="AD438" s="291">
        <f t="shared" si="29"/>
        <v>0.83613108081952925</v>
      </c>
      <c r="AE438" s="291">
        <f t="shared" si="29"/>
        <v>0.85764200621218711</v>
      </c>
      <c r="AF438" s="291">
        <f t="shared" si="29"/>
        <v>0.87740478376033981</v>
      </c>
      <c r="AG438" s="291">
        <f t="shared" si="29"/>
        <v>0.89936300872793951</v>
      </c>
      <c r="AH438" s="291">
        <f t="shared" si="29"/>
        <v>1.0631680225484275</v>
      </c>
      <c r="AI438" s="291">
        <f t="shared" si="29"/>
        <v>1.1016857534139346</v>
      </c>
      <c r="AJ438" s="327">
        <f t="shared" si="23"/>
        <v>1.1016857534139346</v>
      </c>
    </row>
    <row r="439" spans="2:36">
      <c r="B439" s="72" t="s">
        <v>764</v>
      </c>
      <c r="C439" s="72" t="s">
        <v>765</v>
      </c>
      <c r="D439" s="291">
        <f t="shared" si="22"/>
        <v>0.33777446697956848</v>
      </c>
      <c r="E439" s="291">
        <f t="shared" si="29"/>
        <v>0.38413380773576561</v>
      </c>
      <c r="F439" s="291">
        <f t="shared" si="29"/>
        <v>0.41140354851182648</v>
      </c>
      <c r="G439" s="291">
        <f t="shared" si="29"/>
        <v>0.48190501677771297</v>
      </c>
      <c r="H439" s="291">
        <f t="shared" si="29"/>
        <v>0.60401830159600312</v>
      </c>
      <c r="I439" s="291">
        <f t="shared" si="29"/>
        <v>0.53082083603717445</v>
      </c>
      <c r="J439" s="291">
        <f t="shared" si="29"/>
        <v>0.48816967607942163</v>
      </c>
      <c r="K439" s="291">
        <f t="shared" si="29"/>
        <v>0.55863720344643353</v>
      </c>
      <c r="L439" s="291">
        <f t="shared" si="29"/>
        <v>0.37672788198552759</v>
      </c>
      <c r="M439" s="291">
        <f t="shared" si="29"/>
        <v>0.14953538808868475</v>
      </c>
      <c r="N439" s="291">
        <f t="shared" si="29"/>
        <v>0.12764278611722518</v>
      </c>
      <c r="O439" s="291">
        <f t="shared" si="29"/>
        <v>0.17861833365201762</v>
      </c>
      <c r="P439" s="291">
        <f t="shared" si="29"/>
        <v>0.20806676814383007</v>
      </c>
      <c r="Q439" s="291">
        <f t="shared" si="29"/>
        <v>0.23279751071240354</v>
      </c>
      <c r="R439" s="291">
        <f t="shared" si="29"/>
        <v>0.47822699474817515</v>
      </c>
      <c r="S439" s="291">
        <f t="shared" si="29"/>
        <v>0.45594241546522929</v>
      </c>
      <c r="T439" s="291">
        <f t="shared" si="29"/>
        <v>0.44343849432227123</v>
      </c>
      <c r="U439" s="291">
        <f t="shared" si="29"/>
        <v>0.4105124345230125</v>
      </c>
      <c r="V439" s="291">
        <f t="shared" si="29"/>
        <v>0.40122803118310219</v>
      </c>
      <c r="W439" s="291">
        <f t="shared" si="29"/>
        <v>0.39173421832590288</v>
      </c>
      <c r="X439" s="291">
        <f t="shared" si="29"/>
        <v>0.42509169908282474</v>
      </c>
      <c r="Y439" s="291">
        <f t="shared" si="29"/>
        <v>0.44886038827331187</v>
      </c>
      <c r="Z439" s="291">
        <f t="shared" si="29"/>
        <v>0.41258267083835332</v>
      </c>
      <c r="AA439" s="291">
        <f t="shared" si="29"/>
        <v>0.36102395202277604</v>
      </c>
      <c r="AB439" s="291">
        <f t="shared" si="29"/>
        <v>0.32802796472126394</v>
      </c>
      <c r="AC439" s="291">
        <f t="shared" si="29"/>
        <v>0.33253626788900797</v>
      </c>
      <c r="AD439" s="291">
        <f t="shared" si="29"/>
        <v>0.3326349543711527</v>
      </c>
      <c r="AE439" s="291">
        <f t="shared" si="29"/>
        <v>0.30192001185712958</v>
      </c>
      <c r="AF439" s="291">
        <f t="shared" si="29"/>
        <v>0.34207365105075954</v>
      </c>
      <c r="AG439" s="291">
        <f t="shared" si="29"/>
        <v>0.39118372722641853</v>
      </c>
      <c r="AH439" s="291">
        <f t="shared" si="29"/>
        <v>0.39398292891397468</v>
      </c>
      <c r="AI439" s="291">
        <f t="shared" si="29"/>
        <v>0.38034572860705473</v>
      </c>
      <c r="AJ439" s="327">
        <f t="shared" si="23"/>
        <v>0.38034572860705473</v>
      </c>
    </row>
    <row r="440" spans="2:36">
      <c r="B440" s="72" t="s">
        <v>766</v>
      </c>
      <c r="C440" s="72" t="s">
        <v>767</v>
      </c>
      <c r="D440" s="291">
        <f t="shared" si="22"/>
        <v>0.82691239497778712</v>
      </c>
      <c r="E440" s="291">
        <f t="shared" si="29"/>
        <v>0.73850309412116677</v>
      </c>
      <c r="F440" s="291">
        <f t="shared" si="29"/>
        <v>0.72334173411628133</v>
      </c>
      <c r="G440" s="291">
        <f t="shared" si="29"/>
        <v>0.74145592597892918</v>
      </c>
      <c r="H440" s="291">
        <f t="shared" si="29"/>
        <v>0.78710502122438331</v>
      </c>
      <c r="I440" s="291">
        <f t="shared" si="29"/>
        <v>0.70538583225346463</v>
      </c>
      <c r="J440" s="291">
        <f t="shared" si="29"/>
        <v>0.74207626336341981</v>
      </c>
      <c r="K440" s="291">
        <f t="shared" si="29"/>
        <v>0.74041889590221543</v>
      </c>
      <c r="L440" s="291">
        <f t="shared" si="29"/>
        <v>0.61131116434082955</v>
      </c>
      <c r="M440" s="291">
        <f t="shared" si="29"/>
        <v>0.58651910092734594</v>
      </c>
      <c r="N440" s="291">
        <f t="shared" si="29"/>
        <v>0.57882984424468664</v>
      </c>
      <c r="O440" s="291">
        <f t="shared" si="29"/>
        <v>0.5018460742570745</v>
      </c>
      <c r="P440" s="291">
        <f t="shared" si="29"/>
        <v>0.52510800311772554</v>
      </c>
      <c r="Q440" s="291">
        <f t="shared" si="29"/>
        <v>0.40339316392835006</v>
      </c>
      <c r="R440" s="291">
        <f t="shared" si="29"/>
        <v>0.36424957632749222</v>
      </c>
      <c r="S440" s="291">
        <f t="shared" si="29"/>
        <v>0.40240714046859005</v>
      </c>
      <c r="T440" s="291">
        <f t="shared" si="29"/>
        <v>0.40875894937410717</v>
      </c>
      <c r="U440" s="291">
        <f t="shared" si="29"/>
        <v>0.34887864976405841</v>
      </c>
      <c r="V440" s="291">
        <f t="shared" si="29"/>
        <v>0.34130493962931552</v>
      </c>
      <c r="W440" s="291">
        <f t="shared" si="29"/>
        <v>0.33277473617936421</v>
      </c>
      <c r="X440" s="291">
        <f t="shared" si="29"/>
        <v>0.32302718109727391</v>
      </c>
      <c r="Y440" s="291">
        <f t="shared" si="29"/>
        <v>0.34030798229672748</v>
      </c>
      <c r="Z440" s="291">
        <f t="shared" si="29"/>
        <v>0.34786612105538456</v>
      </c>
      <c r="AA440" s="291">
        <f t="shared" si="29"/>
        <v>0.36606889773647877</v>
      </c>
      <c r="AB440" s="291">
        <f t="shared" si="29"/>
        <v>0.3591873256939021</v>
      </c>
      <c r="AC440" s="291">
        <f t="shared" si="29"/>
        <v>0.37150732838245443</v>
      </c>
      <c r="AD440" s="291">
        <f t="shared" si="29"/>
        <v>0.36485344018074145</v>
      </c>
      <c r="AE440" s="291">
        <f t="shared" si="29"/>
        <v>0.36082785444257698</v>
      </c>
      <c r="AF440" s="291">
        <f t="shared" si="29"/>
        <v>0.43870678427235382</v>
      </c>
      <c r="AG440" s="291">
        <f t="shared" si="29"/>
        <v>0.49785739211667468</v>
      </c>
      <c r="AH440" s="291">
        <f t="shared" si="29"/>
        <v>0.47174845659538167</v>
      </c>
      <c r="AI440" s="291">
        <f t="shared" si="29"/>
        <v>0.47039182597650214</v>
      </c>
      <c r="AJ440" s="327">
        <f t="shared" si="23"/>
        <v>0.47039182597650214</v>
      </c>
    </row>
    <row r="441" spans="2:36">
      <c r="B441" s="72" t="s">
        <v>768</v>
      </c>
      <c r="C441" s="72" t="s">
        <v>769</v>
      </c>
      <c r="D441" s="291">
        <f t="shared" si="22"/>
        <v>0.94059019480931527</v>
      </c>
      <c r="E441" s="291">
        <f t="shared" si="29"/>
        <v>1.0491608734782663</v>
      </c>
      <c r="F441" s="291">
        <f t="shared" si="29"/>
        <v>0.93539837671956516</v>
      </c>
      <c r="G441" s="291">
        <f t="shared" si="29"/>
        <v>0.75785314085783451</v>
      </c>
      <c r="H441" s="291">
        <f t="shared" si="29"/>
        <v>0.69951022936218699</v>
      </c>
      <c r="I441" s="291">
        <f t="shared" si="29"/>
        <v>0.62938025362754979</v>
      </c>
      <c r="J441" s="291">
        <f t="shared" si="29"/>
        <v>0.36976448231203773</v>
      </c>
      <c r="K441" s="291">
        <f t="shared" si="29"/>
        <v>0.36772846302178647</v>
      </c>
      <c r="L441" s="291">
        <f t="shared" si="29"/>
        <v>0.28186355428841992</v>
      </c>
      <c r="M441" s="291">
        <f t="shared" si="29"/>
        <v>0.27800940045170713</v>
      </c>
      <c r="N441" s="291">
        <f t="shared" si="29"/>
        <v>0.26263894950060507</v>
      </c>
      <c r="O441" s="291">
        <f t="shared" si="29"/>
        <v>0.22776242849027611</v>
      </c>
      <c r="P441" s="291">
        <f t="shared" si="29"/>
        <v>0.25736735828780805</v>
      </c>
      <c r="Q441" s="291">
        <f t="shared" si="29"/>
        <v>0.18700012941399324</v>
      </c>
      <c r="R441" s="291">
        <f t="shared" si="29"/>
        <v>0.19981877007515694</v>
      </c>
      <c r="S441" s="291">
        <f t="shared" si="29"/>
        <v>0.21816985823176008</v>
      </c>
      <c r="T441" s="291">
        <f t="shared" si="29"/>
        <v>0.26110064006631334</v>
      </c>
      <c r="U441" s="291">
        <f t="shared" si="29"/>
        <v>0.2464739630992355</v>
      </c>
      <c r="V441" s="291">
        <f t="shared" si="29"/>
        <v>0.20606306864391818</v>
      </c>
      <c r="W441" s="291">
        <f t="shared" si="29"/>
        <v>0.21997907826776908</v>
      </c>
      <c r="X441" s="291">
        <f t="shared" si="29"/>
        <v>0.29639459139588276</v>
      </c>
      <c r="Y441" s="291">
        <f t="shared" si="29"/>
        <v>0.31302170187998679</v>
      </c>
      <c r="Z441" s="291">
        <f t="shared" si="29"/>
        <v>0.35824620769775123</v>
      </c>
      <c r="AA441" s="291">
        <f t="shared" si="29"/>
        <v>0.32730074319563124</v>
      </c>
      <c r="AB441" s="291">
        <f t="shared" si="29"/>
        <v>0.33765531960186118</v>
      </c>
      <c r="AC441" s="291">
        <f t="shared" si="29"/>
        <v>0.39667468269939826</v>
      </c>
      <c r="AD441" s="291">
        <f t="shared" si="29"/>
        <v>0.4697180049343212</v>
      </c>
      <c r="AE441" s="291">
        <f t="shared" si="29"/>
        <v>0.4373711095085106</v>
      </c>
      <c r="AF441" s="291">
        <f t="shared" si="29"/>
        <v>0.54396360647041075</v>
      </c>
      <c r="AG441" s="291">
        <f t="shared" si="29"/>
        <v>0.47578224005403613</v>
      </c>
      <c r="AH441" s="291">
        <f t="shared" si="29"/>
        <v>0.59390773122770946</v>
      </c>
      <c r="AI441" s="291">
        <f t="shared" si="29"/>
        <v>0.54149787922798487</v>
      </c>
      <c r="AJ441" s="327">
        <f t="shared" si="23"/>
        <v>0.54149787922798487</v>
      </c>
    </row>
    <row r="442" spans="2:36">
      <c r="B442" s="72" t="s">
        <v>770</v>
      </c>
      <c r="C442" s="72" t="s">
        <v>771</v>
      </c>
      <c r="D442" s="291">
        <f t="shared" si="22"/>
        <v>0</v>
      </c>
      <c r="E442" s="291">
        <f t="shared" si="29"/>
        <v>0</v>
      </c>
      <c r="F442" s="291">
        <f t="shared" si="29"/>
        <v>0</v>
      </c>
      <c r="G442" s="291">
        <f t="shared" si="29"/>
        <v>0</v>
      </c>
      <c r="H442" s="291">
        <f t="shared" si="29"/>
        <v>0</v>
      </c>
      <c r="I442" s="291">
        <f t="shared" si="29"/>
        <v>0</v>
      </c>
      <c r="J442" s="291">
        <f t="shared" si="29"/>
        <v>0</v>
      </c>
      <c r="K442" s="291">
        <f t="shared" ref="E442:AI450" si="30">K190/K$250</f>
        <v>0</v>
      </c>
      <c r="L442" s="291">
        <f t="shared" si="30"/>
        <v>0</v>
      </c>
      <c r="M442" s="291">
        <f t="shared" si="30"/>
        <v>0</v>
      </c>
      <c r="N442" s="291">
        <f t="shared" si="30"/>
        <v>0</v>
      </c>
      <c r="O442" s="291">
        <f t="shared" si="30"/>
        <v>0</v>
      </c>
      <c r="P442" s="291">
        <f t="shared" si="30"/>
        <v>0</v>
      </c>
      <c r="Q442" s="291">
        <f t="shared" si="30"/>
        <v>0</v>
      </c>
      <c r="R442" s="291">
        <f t="shared" si="30"/>
        <v>0</v>
      </c>
      <c r="S442" s="291">
        <f t="shared" si="30"/>
        <v>0</v>
      </c>
      <c r="T442" s="291">
        <f t="shared" si="30"/>
        <v>0</v>
      </c>
      <c r="U442" s="291">
        <f t="shared" si="30"/>
        <v>0</v>
      </c>
      <c r="V442" s="291">
        <f t="shared" si="30"/>
        <v>0</v>
      </c>
      <c r="W442" s="291">
        <f t="shared" si="30"/>
        <v>0</v>
      </c>
      <c r="X442" s="291">
        <f t="shared" si="30"/>
        <v>0</v>
      </c>
      <c r="Y442" s="291">
        <f t="shared" si="30"/>
        <v>0</v>
      </c>
      <c r="Z442" s="291">
        <f t="shared" si="30"/>
        <v>0</v>
      </c>
      <c r="AA442" s="291">
        <f t="shared" si="30"/>
        <v>0</v>
      </c>
      <c r="AB442" s="291">
        <f t="shared" si="30"/>
        <v>0</v>
      </c>
      <c r="AC442" s="291">
        <f t="shared" si="30"/>
        <v>0</v>
      </c>
      <c r="AD442" s="291">
        <f t="shared" si="30"/>
        <v>0</v>
      </c>
      <c r="AE442" s="291">
        <f t="shared" si="30"/>
        <v>0</v>
      </c>
      <c r="AF442" s="291">
        <f t="shared" si="30"/>
        <v>0</v>
      </c>
      <c r="AG442" s="291">
        <f t="shared" si="30"/>
        <v>0</v>
      </c>
      <c r="AH442" s="291">
        <f t="shared" si="30"/>
        <v>0</v>
      </c>
      <c r="AI442" s="291">
        <f t="shared" si="30"/>
        <v>0</v>
      </c>
      <c r="AJ442" s="327">
        <f t="shared" si="23"/>
        <v>0</v>
      </c>
    </row>
    <row r="443" spans="2:36">
      <c r="B443" s="72" t="s">
        <v>772</v>
      </c>
      <c r="C443" s="72" t="s">
        <v>773</v>
      </c>
      <c r="D443" s="291">
        <f t="shared" si="22"/>
        <v>1.4198664338769245</v>
      </c>
      <c r="E443" s="291">
        <f t="shared" si="30"/>
        <v>1.4324313537069382</v>
      </c>
      <c r="F443" s="291">
        <f t="shared" si="30"/>
        <v>1.5074247113676535</v>
      </c>
      <c r="G443" s="291">
        <f t="shared" si="30"/>
        <v>1.5581015807012999</v>
      </c>
      <c r="H443" s="291">
        <f t="shared" si="30"/>
        <v>1.6114967199657182</v>
      </c>
      <c r="I443" s="291">
        <f t="shared" si="30"/>
        <v>1.5752673232812684</v>
      </c>
      <c r="J443" s="291">
        <f t="shared" si="30"/>
        <v>1.5400160198433981</v>
      </c>
      <c r="K443" s="291">
        <f t="shared" si="30"/>
        <v>1.5426498555482564</v>
      </c>
      <c r="L443" s="291">
        <f t="shared" si="30"/>
        <v>1.4458687167677451</v>
      </c>
      <c r="M443" s="291">
        <f t="shared" si="30"/>
        <v>1.4604891001642233</v>
      </c>
      <c r="N443" s="291">
        <f t="shared" si="30"/>
        <v>1.430596495996052</v>
      </c>
      <c r="O443" s="291">
        <f t="shared" si="30"/>
        <v>1.3348062533159606</v>
      </c>
      <c r="P443" s="291">
        <f t="shared" si="30"/>
        <v>1.338988877021202</v>
      </c>
      <c r="Q443" s="291">
        <f t="shared" si="30"/>
        <v>1.3648200840788649</v>
      </c>
      <c r="R443" s="291">
        <f t="shared" si="30"/>
        <v>1.3206169859544852</v>
      </c>
      <c r="S443" s="291">
        <f t="shared" si="30"/>
        <v>1.4317516803294386</v>
      </c>
      <c r="T443" s="291">
        <f t="shared" si="30"/>
        <v>1.4018970355989102</v>
      </c>
      <c r="U443" s="291">
        <f t="shared" si="30"/>
        <v>1.2358741950807497</v>
      </c>
      <c r="V443" s="291">
        <f t="shared" si="30"/>
        <v>1.1643210591383217</v>
      </c>
      <c r="W443" s="291">
        <f t="shared" si="30"/>
        <v>1.1328039733143886</v>
      </c>
      <c r="X443" s="291">
        <f t="shared" si="30"/>
        <v>1.0777512633487671</v>
      </c>
      <c r="Y443" s="291">
        <f t="shared" si="30"/>
        <v>1.1316904400286893</v>
      </c>
      <c r="Z443" s="291">
        <f t="shared" si="30"/>
        <v>1.2131626705831833</v>
      </c>
      <c r="AA443" s="291">
        <f t="shared" si="30"/>
        <v>1.230057554293998</v>
      </c>
      <c r="AB443" s="291">
        <f t="shared" si="30"/>
        <v>1.1513502024878675</v>
      </c>
      <c r="AC443" s="291">
        <f t="shared" si="30"/>
        <v>1.1938432342693901</v>
      </c>
      <c r="AD443" s="291">
        <f t="shared" si="30"/>
        <v>1.1751908384097178</v>
      </c>
      <c r="AE443" s="291">
        <f t="shared" si="30"/>
        <v>1.1594165883089476</v>
      </c>
      <c r="AF443" s="291">
        <f t="shared" si="30"/>
        <v>1.2969631738924898</v>
      </c>
      <c r="AG443" s="291">
        <f t="shared" si="30"/>
        <v>1.3938323704562554</v>
      </c>
      <c r="AH443" s="291">
        <f t="shared" si="30"/>
        <v>1.4607517217537325</v>
      </c>
      <c r="AI443" s="291">
        <f t="shared" si="30"/>
        <v>1.4833916479055471</v>
      </c>
      <c r="AJ443" s="327">
        <f t="shared" si="23"/>
        <v>1.4833916479055471</v>
      </c>
    </row>
    <row r="444" spans="2:36">
      <c r="B444" s="72" t="s">
        <v>774</v>
      </c>
      <c r="C444" s="72" t="s">
        <v>775</v>
      </c>
      <c r="D444" s="291">
        <f t="shared" si="22"/>
        <v>0.93918326130087859</v>
      </c>
      <c r="E444" s="291">
        <f t="shared" si="30"/>
        <v>1.0110036816738583</v>
      </c>
      <c r="F444" s="291">
        <f t="shared" si="30"/>
        <v>1.0100093781237733</v>
      </c>
      <c r="G444" s="291">
        <f t="shared" si="30"/>
        <v>0.9931014158249144</v>
      </c>
      <c r="H444" s="291">
        <f t="shared" si="30"/>
        <v>1.0309601345310746</v>
      </c>
      <c r="I444" s="291">
        <f t="shared" si="30"/>
        <v>1.0043848306368119</v>
      </c>
      <c r="J444" s="291">
        <f t="shared" si="30"/>
        <v>0.61017407239355326</v>
      </c>
      <c r="K444" s="291">
        <f t="shared" si="30"/>
        <v>0.57381149352582483</v>
      </c>
      <c r="L444" s="291">
        <f t="shared" si="30"/>
        <v>0.50246599192637098</v>
      </c>
      <c r="M444" s="291">
        <f t="shared" si="30"/>
        <v>0.50909184147484998</v>
      </c>
      <c r="N444" s="291">
        <f t="shared" si="30"/>
        <v>0.5440126970959116</v>
      </c>
      <c r="O444" s="291">
        <f t="shared" si="30"/>
        <v>0.47139993345106196</v>
      </c>
      <c r="P444" s="291">
        <f t="shared" si="30"/>
        <v>0.46359289294026468</v>
      </c>
      <c r="Q444" s="291">
        <f t="shared" si="30"/>
        <v>0.49893649451291466</v>
      </c>
      <c r="R444" s="291">
        <f t="shared" si="30"/>
        <v>0.47939119863643637</v>
      </c>
      <c r="S444" s="291">
        <f t="shared" si="30"/>
        <v>0.45958661387464467</v>
      </c>
      <c r="T444" s="291">
        <f t="shared" si="30"/>
        <v>0.49069461614151322</v>
      </c>
      <c r="U444" s="291">
        <f t="shared" si="30"/>
        <v>0.45313821646202407</v>
      </c>
      <c r="V444" s="291">
        <f t="shared" si="30"/>
        <v>0.37693475672260401</v>
      </c>
      <c r="W444" s="291">
        <f t="shared" si="30"/>
        <v>0.41992507029885118</v>
      </c>
      <c r="X444" s="291">
        <f t="shared" si="30"/>
        <v>0.54113407149153403</v>
      </c>
      <c r="Y444" s="291">
        <f t="shared" si="30"/>
        <v>0.52731815389749892</v>
      </c>
      <c r="Z444" s="291">
        <f t="shared" si="30"/>
        <v>0.48757689530324083</v>
      </c>
      <c r="AA444" s="291">
        <f t="shared" si="30"/>
        <v>0.45991633033897078</v>
      </c>
      <c r="AB444" s="291">
        <f t="shared" si="30"/>
        <v>0.44767981082690189</v>
      </c>
      <c r="AC444" s="291">
        <f t="shared" si="30"/>
        <v>0.52251299825752628</v>
      </c>
      <c r="AD444" s="291">
        <f t="shared" si="30"/>
        <v>0.57248516405132777</v>
      </c>
      <c r="AE444" s="291">
        <f t="shared" si="30"/>
        <v>0.53019314791999894</v>
      </c>
      <c r="AF444" s="291">
        <f t="shared" si="30"/>
        <v>0.7174313949061536</v>
      </c>
      <c r="AG444" s="291">
        <f t="shared" si="30"/>
        <v>0.63110200562423169</v>
      </c>
      <c r="AH444" s="291">
        <f t="shared" si="30"/>
        <v>0.74442288965829273</v>
      </c>
      <c r="AI444" s="291">
        <f t="shared" si="30"/>
        <v>0.80309827376122223</v>
      </c>
      <c r="AJ444" s="327">
        <f t="shared" si="23"/>
        <v>0.80309827376122223</v>
      </c>
    </row>
    <row r="445" spans="2:36">
      <c r="B445" s="72" t="s">
        <v>776</v>
      </c>
      <c r="C445" s="72" t="s">
        <v>777</v>
      </c>
      <c r="D445" s="291">
        <f t="shared" si="22"/>
        <v>0.43786631119367736</v>
      </c>
      <c r="E445" s="291">
        <f t="shared" si="30"/>
        <v>0.49969003216501445</v>
      </c>
      <c r="F445" s="291">
        <f t="shared" si="30"/>
        <v>0.54925408798187347</v>
      </c>
      <c r="G445" s="291">
        <f t="shared" si="30"/>
        <v>0.52476454061190436</v>
      </c>
      <c r="H445" s="291">
        <f t="shared" si="30"/>
        <v>0.59083318703038235</v>
      </c>
      <c r="I445" s="291">
        <f t="shared" si="30"/>
        <v>0.53761731157207959</v>
      </c>
      <c r="J445" s="291">
        <f t="shared" si="30"/>
        <v>0.44182941420521754</v>
      </c>
      <c r="K445" s="291">
        <f t="shared" si="30"/>
        <v>0.36947726225692035</v>
      </c>
      <c r="L445" s="291">
        <f t="shared" si="30"/>
        <v>0.34226107854941601</v>
      </c>
      <c r="M445" s="291">
        <f t="shared" si="30"/>
        <v>0.34497200650753501</v>
      </c>
      <c r="N445" s="291">
        <f t="shared" si="30"/>
        <v>0.28155026084838952</v>
      </c>
      <c r="O445" s="291">
        <f t="shared" si="30"/>
        <v>0.28829814230215162</v>
      </c>
      <c r="P445" s="291">
        <f t="shared" si="30"/>
        <v>0.27813399018554186</v>
      </c>
      <c r="Q445" s="291">
        <f t="shared" si="30"/>
        <v>0.3291006452719839</v>
      </c>
      <c r="R445" s="291">
        <f t="shared" si="30"/>
        <v>0.30867251889572783</v>
      </c>
      <c r="S445" s="291">
        <f t="shared" si="30"/>
        <v>0.32373315256857671</v>
      </c>
      <c r="T445" s="291">
        <f t="shared" si="30"/>
        <v>0.32049397747441927</v>
      </c>
      <c r="U445" s="291">
        <f t="shared" si="30"/>
        <v>0.29549363747970886</v>
      </c>
      <c r="V445" s="291">
        <f t="shared" si="30"/>
        <v>0.27555486613474722</v>
      </c>
      <c r="W445" s="291">
        <f t="shared" si="30"/>
        <v>0.26851819507222729</v>
      </c>
      <c r="X445" s="291">
        <f t="shared" si="30"/>
        <v>0.32482957320403505</v>
      </c>
      <c r="Y445" s="291">
        <f t="shared" si="30"/>
        <v>0.32486341306505945</v>
      </c>
      <c r="Z445" s="291">
        <f t="shared" si="30"/>
        <v>0.29696827980016388</v>
      </c>
      <c r="AA445" s="291">
        <f t="shared" si="30"/>
        <v>0.28713210400784867</v>
      </c>
      <c r="AB445" s="291">
        <f t="shared" si="30"/>
        <v>0.27659413765013707</v>
      </c>
      <c r="AC445" s="291">
        <f t="shared" si="30"/>
        <v>0.27847282968804093</v>
      </c>
      <c r="AD445" s="291">
        <f t="shared" si="30"/>
        <v>0.29614769362981597</v>
      </c>
      <c r="AE445" s="291">
        <f t="shared" si="30"/>
        <v>0.27337193819780359</v>
      </c>
      <c r="AF445" s="291">
        <f t="shared" si="30"/>
        <v>0.32525531543166936</v>
      </c>
      <c r="AG445" s="291">
        <f t="shared" si="30"/>
        <v>0.3562907285460073</v>
      </c>
      <c r="AH445" s="291">
        <f t="shared" si="30"/>
        <v>0.3729430812712024</v>
      </c>
      <c r="AI445" s="291">
        <f t="shared" si="30"/>
        <v>0.39578008489854594</v>
      </c>
      <c r="AJ445" s="327">
        <f t="shared" si="23"/>
        <v>0.39578008489854594</v>
      </c>
    </row>
    <row r="446" spans="2:36">
      <c r="B446" s="72" t="s">
        <v>778</v>
      </c>
      <c r="C446" s="72" t="s">
        <v>779</v>
      </c>
      <c r="D446" s="291">
        <f t="shared" si="22"/>
        <v>0</v>
      </c>
      <c r="E446" s="291">
        <f t="shared" si="30"/>
        <v>0</v>
      </c>
      <c r="F446" s="291">
        <f t="shared" si="30"/>
        <v>0</v>
      </c>
      <c r="G446" s="291">
        <f t="shared" si="30"/>
        <v>0</v>
      </c>
      <c r="H446" s="291">
        <f t="shared" si="30"/>
        <v>0</v>
      </c>
      <c r="I446" s="291">
        <f t="shared" si="30"/>
        <v>0</v>
      </c>
      <c r="J446" s="291">
        <f t="shared" si="30"/>
        <v>0</v>
      </c>
      <c r="K446" s="291">
        <f t="shared" si="30"/>
        <v>0</v>
      </c>
      <c r="L446" s="291">
        <f t="shared" si="30"/>
        <v>0</v>
      </c>
      <c r="M446" s="291">
        <f t="shared" si="30"/>
        <v>0</v>
      </c>
      <c r="N446" s="291">
        <f t="shared" si="30"/>
        <v>0</v>
      </c>
      <c r="O446" s="291">
        <f t="shared" si="30"/>
        <v>0.44918146977773982</v>
      </c>
      <c r="P446" s="291">
        <f t="shared" si="30"/>
        <v>0.45821172590335962</v>
      </c>
      <c r="Q446" s="291">
        <f t="shared" si="30"/>
        <v>0.54716849788492894</v>
      </c>
      <c r="R446" s="291">
        <f t="shared" si="30"/>
        <v>0.54159160812371177</v>
      </c>
      <c r="S446" s="291">
        <f t="shared" si="30"/>
        <v>0.5246090523793201</v>
      </c>
      <c r="T446" s="291">
        <f t="shared" si="30"/>
        <v>0.53663161849878638</v>
      </c>
      <c r="U446" s="291">
        <f t="shared" si="30"/>
        <v>0.51843541574964336</v>
      </c>
      <c r="V446" s="291">
        <f t="shared" si="30"/>
        <v>0.50564905856739584</v>
      </c>
      <c r="W446" s="291">
        <f t="shared" si="30"/>
        <v>0.51579342215304658</v>
      </c>
      <c r="X446" s="291">
        <f t="shared" si="30"/>
        <v>0.58335058262650608</v>
      </c>
      <c r="Y446" s="291">
        <f t="shared" si="30"/>
        <v>0.62470415428455528</v>
      </c>
      <c r="Z446" s="291">
        <f t="shared" si="30"/>
        <v>0.58539297883926134</v>
      </c>
      <c r="AA446" s="291">
        <f t="shared" si="30"/>
        <v>0.53655804506200322</v>
      </c>
      <c r="AB446" s="291">
        <f t="shared" si="30"/>
        <v>0.48914988377921892</v>
      </c>
      <c r="AC446" s="291">
        <f t="shared" si="30"/>
        <v>0.48921728384485469</v>
      </c>
      <c r="AD446" s="291">
        <f t="shared" si="30"/>
        <v>0.49648448475004603</v>
      </c>
      <c r="AE446" s="291">
        <f t="shared" si="30"/>
        <v>0.43909573579341726</v>
      </c>
      <c r="AF446" s="291">
        <f t="shared" si="30"/>
        <v>0.49890420292162052</v>
      </c>
      <c r="AG446" s="291">
        <f t="shared" si="30"/>
        <v>0.57455634927568922</v>
      </c>
      <c r="AH446" s="291">
        <f t="shared" si="30"/>
        <v>0.58015128485720968</v>
      </c>
      <c r="AI446" s="291">
        <f t="shared" si="30"/>
        <v>0.53320558942126417</v>
      </c>
      <c r="AJ446" s="327">
        <f t="shared" si="23"/>
        <v>0.53320558942126417</v>
      </c>
    </row>
    <row r="447" spans="2:36">
      <c r="B447" s="72" t="s">
        <v>780</v>
      </c>
      <c r="C447" s="72" t="s">
        <v>781</v>
      </c>
      <c r="D447" s="291">
        <f t="shared" si="22"/>
        <v>0.5417230358061349</v>
      </c>
      <c r="E447" s="291">
        <f t="shared" si="30"/>
        <v>0.58294240766344629</v>
      </c>
      <c r="F447" s="291">
        <f t="shared" si="30"/>
        <v>0.65474004781615902</v>
      </c>
      <c r="G447" s="291">
        <f t="shared" si="30"/>
        <v>0.76893430691085563</v>
      </c>
      <c r="H447" s="291">
        <f t="shared" si="30"/>
        <v>0.85141732259849556</v>
      </c>
      <c r="I447" s="291">
        <f t="shared" si="30"/>
        <v>0.84047635853565383</v>
      </c>
      <c r="J447" s="291">
        <f t="shared" si="30"/>
        <v>0.71391292011991692</v>
      </c>
      <c r="K447" s="291">
        <f t="shared" si="30"/>
        <v>0.62176095131438458</v>
      </c>
      <c r="L447" s="291">
        <f t="shared" si="30"/>
        <v>0.53633118345516373</v>
      </c>
      <c r="M447" s="291">
        <f t="shared" si="30"/>
        <v>0.53647181274518274</v>
      </c>
      <c r="N447" s="291">
        <f t="shared" si="30"/>
        <v>0.46179643968623291</v>
      </c>
      <c r="O447" s="291">
        <f t="shared" si="30"/>
        <v>0.4394766780012147</v>
      </c>
      <c r="P447" s="291">
        <f t="shared" si="30"/>
        <v>0.44836413363251887</v>
      </c>
      <c r="Q447" s="291">
        <f t="shared" si="30"/>
        <v>0.52816459243131897</v>
      </c>
      <c r="R447" s="291">
        <f t="shared" si="30"/>
        <v>0.52852886249482711</v>
      </c>
      <c r="S447" s="291">
        <f t="shared" si="30"/>
        <v>0.50027344858451928</v>
      </c>
      <c r="T447" s="291">
        <f t="shared" si="30"/>
        <v>0.57029168186047396</v>
      </c>
      <c r="U447" s="291">
        <f t="shared" si="30"/>
        <v>0.54734688042994262</v>
      </c>
      <c r="V447" s="291">
        <f t="shared" si="30"/>
        <v>0.53071406120952969</v>
      </c>
      <c r="W447" s="291">
        <f t="shared" si="30"/>
        <v>0.53388700237484932</v>
      </c>
      <c r="X447" s="291">
        <f t="shared" si="30"/>
        <v>0.56624244899494536</v>
      </c>
      <c r="Y447" s="291">
        <f t="shared" si="30"/>
        <v>0.59672580756373539</v>
      </c>
      <c r="Z447" s="291">
        <f t="shared" si="30"/>
        <v>0.57250860431370443</v>
      </c>
      <c r="AA447" s="291">
        <f t="shared" si="30"/>
        <v>0.50981639831320125</v>
      </c>
      <c r="AB447" s="291">
        <f t="shared" si="30"/>
        <v>0.45680717654032571</v>
      </c>
      <c r="AC447" s="291">
        <f t="shared" si="30"/>
        <v>0.45040255969573262</v>
      </c>
      <c r="AD447" s="291">
        <f t="shared" si="30"/>
        <v>0.44638733769989208</v>
      </c>
      <c r="AE447" s="291">
        <f t="shared" si="30"/>
        <v>0.39953448461718194</v>
      </c>
      <c r="AF447" s="291">
        <f t="shared" si="30"/>
        <v>0.44522123623841864</v>
      </c>
      <c r="AG447" s="291">
        <f t="shared" si="30"/>
        <v>0.5158120314531961</v>
      </c>
      <c r="AH447" s="291">
        <f t="shared" si="30"/>
        <v>0.52974605685974807</v>
      </c>
      <c r="AI447" s="291">
        <f t="shared" si="30"/>
        <v>0.43935013641076121</v>
      </c>
      <c r="AJ447" s="327">
        <f t="shared" si="23"/>
        <v>0.43935013641076121</v>
      </c>
    </row>
    <row r="448" spans="2:36">
      <c r="B448" s="72" t="s">
        <v>782</v>
      </c>
      <c r="C448" s="72" t="s">
        <v>783</v>
      </c>
      <c r="D448" s="291">
        <f t="shared" si="22"/>
        <v>0.7482777409876763</v>
      </c>
      <c r="E448" s="291">
        <f t="shared" si="30"/>
        <v>0.76438974294991868</v>
      </c>
      <c r="F448" s="291">
        <f t="shared" si="30"/>
        <v>0.77348963802936299</v>
      </c>
      <c r="G448" s="291">
        <f t="shared" si="30"/>
        <v>0.8856700060764594</v>
      </c>
      <c r="H448" s="291">
        <f t="shared" si="30"/>
        <v>0.96462350158630517</v>
      </c>
      <c r="I448" s="291">
        <f t="shared" si="30"/>
        <v>0.8623008928327055</v>
      </c>
      <c r="J448" s="291">
        <f t="shared" si="30"/>
        <v>0.76189306561640913</v>
      </c>
      <c r="K448" s="291">
        <f t="shared" si="30"/>
        <v>0.74940105688975966</v>
      </c>
      <c r="L448" s="291">
        <f t="shared" si="30"/>
        <v>0.73189499821938675</v>
      </c>
      <c r="M448" s="291">
        <f t="shared" si="30"/>
        <v>0.72969084254691174</v>
      </c>
      <c r="N448" s="291">
        <f t="shared" si="30"/>
        <v>0.58465813136918221</v>
      </c>
      <c r="O448" s="291">
        <f t="shared" si="30"/>
        <v>0.59452269283088954</v>
      </c>
      <c r="P448" s="291">
        <f t="shared" si="30"/>
        <v>0.5861794955517371</v>
      </c>
      <c r="Q448" s="291">
        <f t="shared" si="30"/>
        <v>0.64100705195551611</v>
      </c>
      <c r="R448" s="291">
        <f t="shared" si="30"/>
        <v>0.64596325255019893</v>
      </c>
      <c r="S448" s="291">
        <f t="shared" si="30"/>
        <v>0.53031769072130386</v>
      </c>
      <c r="T448" s="291">
        <f t="shared" si="30"/>
        <v>0.54409660090344414</v>
      </c>
      <c r="U448" s="291">
        <f t="shared" si="30"/>
        <v>0.51211597218585325</v>
      </c>
      <c r="V448" s="291">
        <f t="shared" si="30"/>
        <v>0.39217336230505362</v>
      </c>
      <c r="W448" s="291">
        <f t="shared" si="30"/>
        <v>0.35243840420279476</v>
      </c>
      <c r="X448" s="291">
        <f t="shared" si="30"/>
        <v>0.39315199746145196</v>
      </c>
      <c r="Y448" s="291">
        <f t="shared" si="30"/>
        <v>0.35925318776129578</v>
      </c>
      <c r="Z448" s="291">
        <f t="shared" si="30"/>
        <v>0.33056713866177884</v>
      </c>
      <c r="AA448" s="291">
        <f t="shared" si="30"/>
        <v>0.33590929972250266</v>
      </c>
      <c r="AB448" s="291">
        <f t="shared" si="30"/>
        <v>0.31910597966541893</v>
      </c>
      <c r="AC448" s="291">
        <f t="shared" si="30"/>
        <v>0.37255906139220391</v>
      </c>
      <c r="AD448" s="291">
        <f t="shared" si="30"/>
        <v>0.40264534465331003</v>
      </c>
      <c r="AE448" s="291">
        <f t="shared" si="30"/>
        <v>0.3688940255555116</v>
      </c>
      <c r="AF448" s="291">
        <f t="shared" si="30"/>
        <v>0.46204074425095087</v>
      </c>
      <c r="AG448" s="291">
        <f t="shared" si="30"/>
        <v>0.49733796747857145</v>
      </c>
      <c r="AH448" s="291">
        <f t="shared" si="30"/>
        <v>0.54818186443322858</v>
      </c>
      <c r="AI448" s="291">
        <f t="shared" si="30"/>
        <v>0.62952513281165912</v>
      </c>
      <c r="AJ448" s="327">
        <f t="shared" si="23"/>
        <v>0.62952513281165912</v>
      </c>
    </row>
    <row r="449" spans="2:36">
      <c r="B449" s="72" t="s">
        <v>784</v>
      </c>
      <c r="C449" s="72" t="s">
        <v>785</v>
      </c>
      <c r="D449" s="291">
        <f t="shared" si="22"/>
        <v>0.63091005340538697</v>
      </c>
      <c r="E449" s="291">
        <f t="shared" si="30"/>
        <v>0.76203678538903619</v>
      </c>
      <c r="F449" s="291">
        <f t="shared" si="30"/>
        <v>0.79474940593642562</v>
      </c>
      <c r="G449" s="291">
        <f t="shared" si="30"/>
        <v>0.92554668169930676</v>
      </c>
      <c r="H449" s="291">
        <f t="shared" si="30"/>
        <v>0.76687275675200606</v>
      </c>
      <c r="I449" s="291">
        <f t="shared" si="30"/>
        <v>0.52006000714735545</v>
      </c>
      <c r="J449" s="291">
        <f t="shared" si="30"/>
        <v>0.49333662767518643</v>
      </c>
      <c r="K449" s="291">
        <f t="shared" si="30"/>
        <v>0.42403021781354</v>
      </c>
      <c r="L449" s="291">
        <f t="shared" si="30"/>
        <v>0.36473705287650376</v>
      </c>
      <c r="M449" s="291">
        <f t="shared" si="30"/>
        <v>0.38569994181078038</v>
      </c>
      <c r="N449" s="291">
        <f t="shared" si="30"/>
        <v>0.38640921352633928</v>
      </c>
      <c r="O449" s="291">
        <f t="shared" si="30"/>
        <v>0.42387140514033778</v>
      </c>
      <c r="P449" s="291">
        <f t="shared" si="30"/>
        <v>0.41051777900254982</v>
      </c>
      <c r="Q449" s="291">
        <f t="shared" si="30"/>
        <v>0.47933363321511568</v>
      </c>
      <c r="R449" s="291">
        <f t="shared" si="30"/>
        <v>0.45029210897651833</v>
      </c>
      <c r="S449" s="291">
        <f t="shared" si="30"/>
        <v>0.46752033958935812</v>
      </c>
      <c r="T449" s="291">
        <f t="shared" si="30"/>
        <v>0.50178083431307863</v>
      </c>
      <c r="U449" s="291">
        <f t="shared" si="30"/>
        <v>0.4669211346582483</v>
      </c>
      <c r="V449" s="291">
        <f t="shared" si="30"/>
        <v>0.3975992553884411</v>
      </c>
      <c r="W449" s="291">
        <f t="shared" si="30"/>
        <v>0.3709120304630556</v>
      </c>
      <c r="X449" s="291">
        <f t="shared" si="30"/>
        <v>0.39971955089552624</v>
      </c>
      <c r="Y449" s="291">
        <f t="shared" si="30"/>
        <v>0.37232706068649929</v>
      </c>
      <c r="Z449" s="291">
        <f t="shared" si="30"/>
        <v>0.28955258446349913</v>
      </c>
      <c r="AA449" s="291">
        <f t="shared" si="30"/>
        <v>0.27231517121276849</v>
      </c>
      <c r="AB449" s="291">
        <f t="shared" si="30"/>
        <v>0.28925724826798643</v>
      </c>
      <c r="AC449" s="291">
        <f t="shared" si="30"/>
        <v>0.28083276982123589</v>
      </c>
      <c r="AD449" s="291">
        <f t="shared" si="30"/>
        <v>0.32673933363735502</v>
      </c>
      <c r="AE449" s="291">
        <f t="shared" si="30"/>
        <v>0.34262309358769605</v>
      </c>
      <c r="AF449" s="291">
        <f t="shared" si="30"/>
        <v>0.47990915727101979</v>
      </c>
      <c r="AG449" s="291">
        <f t="shared" si="30"/>
        <v>0.4839579519063289</v>
      </c>
      <c r="AH449" s="291">
        <f t="shared" si="30"/>
        <v>0.53989447308022831</v>
      </c>
      <c r="AI449" s="291">
        <f t="shared" si="30"/>
        <v>0.60259375933842207</v>
      </c>
      <c r="AJ449" s="327">
        <f t="shared" si="23"/>
        <v>0.60259375933842207</v>
      </c>
    </row>
    <row r="450" spans="2:36">
      <c r="B450" s="72" t="s">
        <v>786</v>
      </c>
      <c r="C450" s="72" t="s">
        <v>339</v>
      </c>
      <c r="D450" s="291">
        <f t="shared" si="22"/>
        <v>0.35778932085900428</v>
      </c>
      <c r="E450" s="291">
        <f t="shared" si="30"/>
        <v>0.41881961845324683</v>
      </c>
      <c r="F450" s="291">
        <f t="shared" si="30"/>
        <v>0.44855836671976251</v>
      </c>
      <c r="G450" s="291">
        <f t="shared" si="30"/>
        <v>0.42827855253011782</v>
      </c>
      <c r="H450" s="291">
        <f t="shared" si="30"/>
        <v>0.46014637476813436</v>
      </c>
      <c r="I450" s="291">
        <f t="shared" si="30"/>
        <v>0.41607307992743547</v>
      </c>
      <c r="J450" s="291">
        <f t="shared" si="30"/>
        <v>0.30557093018055592</v>
      </c>
      <c r="K450" s="291">
        <f t="shared" si="30"/>
        <v>0.32033414761933382</v>
      </c>
      <c r="L450" s="291">
        <f t="shared" si="30"/>
        <v>0.15698283373736535</v>
      </c>
      <c r="M450" s="291">
        <f t="shared" si="30"/>
        <v>0.29949453225043904</v>
      </c>
      <c r="N450" s="291">
        <f t="shared" si="30"/>
        <v>0.34535419216988944</v>
      </c>
      <c r="O450" s="291">
        <f t="shared" si="30"/>
        <v>0.42055712749261354</v>
      </c>
      <c r="P450" s="291">
        <f t="shared" si="30"/>
        <v>0.42843056403754354</v>
      </c>
      <c r="Q450" s="291">
        <f t="shared" si="30"/>
        <v>0.44908622438079249</v>
      </c>
      <c r="R450" s="291">
        <f t="shared" ref="E450:AI458" si="31">R198/R$250</f>
        <v>0.49530669711654507</v>
      </c>
      <c r="S450" s="291">
        <f t="shared" si="31"/>
        <v>0.51350766642951451</v>
      </c>
      <c r="T450" s="291">
        <f t="shared" si="31"/>
        <v>0.51830245310589484</v>
      </c>
      <c r="U450" s="291">
        <f t="shared" si="31"/>
        <v>0.48557022283383744</v>
      </c>
      <c r="V450" s="291">
        <f t="shared" si="31"/>
        <v>0.44966294365137655</v>
      </c>
      <c r="W450" s="291">
        <f t="shared" si="31"/>
        <v>0.40345507502632166</v>
      </c>
      <c r="X450" s="291">
        <f t="shared" si="31"/>
        <v>0.43544755623716608</v>
      </c>
      <c r="Y450" s="291">
        <f t="shared" si="31"/>
        <v>0.45873053769352817</v>
      </c>
      <c r="Z450" s="291">
        <f t="shared" si="31"/>
        <v>0.43386452244996704</v>
      </c>
      <c r="AA450" s="291">
        <f t="shared" si="31"/>
        <v>0.39681461053866685</v>
      </c>
      <c r="AB450" s="291">
        <f t="shared" si="31"/>
        <v>0.37753723252291405</v>
      </c>
      <c r="AC450" s="291">
        <f t="shared" si="31"/>
        <v>0.38991591597406583</v>
      </c>
      <c r="AD450" s="291">
        <f t="shared" si="31"/>
        <v>0.40844288106191445</v>
      </c>
      <c r="AE450" s="291">
        <f t="shared" si="31"/>
        <v>0.37951656344484785</v>
      </c>
      <c r="AF450" s="291">
        <f t="shared" si="31"/>
        <v>0.43074082958988802</v>
      </c>
      <c r="AG450" s="291">
        <f t="shared" si="31"/>
        <v>0.49110397272440703</v>
      </c>
      <c r="AH450" s="291">
        <f t="shared" si="31"/>
        <v>0.54302577306616373</v>
      </c>
      <c r="AI450" s="291">
        <f t="shared" si="31"/>
        <v>0.5370984282926029</v>
      </c>
      <c r="AJ450" s="327">
        <f t="shared" si="23"/>
        <v>0.5370984282926029</v>
      </c>
    </row>
    <row r="451" spans="2:36">
      <c r="B451" s="72" t="s">
        <v>787</v>
      </c>
      <c r="C451" s="72" t="s">
        <v>334</v>
      </c>
      <c r="D451" s="291">
        <f t="shared" si="22"/>
        <v>0.4441537763516582</v>
      </c>
      <c r="E451" s="291">
        <f t="shared" si="31"/>
        <v>0.48980326126969298</v>
      </c>
      <c r="F451" s="291">
        <f t="shared" si="31"/>
        <v>0.52746204660094287</v>
      </c>
      <c r="G451" s="291">
        <f t="shared" si="31"/>
        <v>0.50582363471313796</v>
      </c>
      <c r="H451" s="291">
        <f t="shared" si="31"/>
        <v>0.56236139584305056</v>
      </c>
      <c r="I451" s="291">
        <f t="shared" si="31"/>
        <v>0.58133671379834684</v>
      </c>
      <c r="J451" s="291">
        <f t="shared" si="31"/>
        <v>0.46246101731872452</v>
      </c>
      <c r="K451" s="291">
        <f t="shared" si="31"/>
        <v>0.41953386770248308</v>
      </c>
      <c r="L451" s="291">
        <f t="shared" si="31"/>
        <v>0.38763492163366359</v>
      </c>
      <c r="M451" s="291">
        <f t="shared" si="31"/>
        <v>0.41557569969946595</v>
      </c>
      <c r="N451" s="291">
        <f t="shared" si="31"/>
        <v>0.35931348610395453</v>
      </c>
      <c r="O451" s="291">
        <f t="shared" si="31"/>
        <v>0.35079121239787997</v>
      </c>
      <c r="P451" s="291">
        <f t="shared" si="31"/>
        <v>0.39600174528672427</v>
      </c>
      <c r="Q451" s="291">
        <f t="shared" si="31"/>
        <v>0.45272373565670232</v>
      </c>
      <c r="R451" s="291">
        <f t="shared" si="31"/>
        <v>0.49339895852469973</v>
      </c>
      <c r="S451" s="291">
        <f t="shared" si="31"/>
        <v>0.51361519370499475</v>
      </c>
      <c r="T451" s="291">
        <f t="shared" si="31"/>
        <v>0.53912354134674689</v>
      </c>
      <c r="U451" s="291">
        <f t="shared" si="31"/>
        <v>0.48119478159027546</v>
      </c>
      <c r="V451" s="291">
        <f t="shared" si="31"/>
        <v>0.40743402976198018</v>
      </c>
      <c r="W451" s="291">
        <f t="shared" si="31"/>
        <v>0.45320986149829878</v>
      </c>
      <c r="X451" s="291">
        <f t="shared" si="31"/>
        <v>0.45512803536453311</v>
      </c>
      <c r="Y451" s="291">
        <f t="shared" si="31"/>
        <v>0.43426210479923538</v>
      </c>
      <c r="Z451" s="291">
        <f t="shared" si="31"/>
        <v>0.42179298355656597</v>
      </c>
      <c r="AA451" s="291">
        <f t="shared" si="31"/>
        <v>0.36490992548529433</v>
      </c>
      <c r="AB451" s="291">
        <f t="shared" si="31"/>
        <v>0.32726828874328023</v>
      </c>
      <c r="AC451" s="291">
        <f t="shared" si="31"/>
        <v>0.34141428859353656</v>
      </c>
      <c r="AD451" s="291">
        <f t="shared" si="31"/>
        <v>0.37337155273730682</v>
      </c>
      <c r="AE451" s="291">
        <f t="shared" si="31"/>
        <v>0.37183190416048417</v>
      </c>
      <c r="AF451" s="291">
        <f t="shared" si="31"/>
        <v>0.43817090575881046</v>
      </c>
      <c r="AG451" s="291">
        <f t="shared" si="31"/>
        <v>0.48277765633286146</v>
      </c>
      <c r="AH451" s="291">
        <f t="shared" si="31"/>
        <v>0.52855054774999721</v>
      </c>
      <c r="AI451" s="291">
        <f t="shared" si="31"/>
        <v>0.5253979189532364</v>
      </c>
      <c r="AJ451" s="327">
        <f t="shared" si="23"/>
        <v>0.5253979189532364</v>
      </c>
    </row>
    <row r="452" spans="2:36">
      <c r="B452" s="72" t="s">
        <v>788</v>
      </c>
      <c r="C452" s="72" t="s">
        <v>789</v>
      </c>
      <c r="D452" s="291">
        <f t="shared" si="22"/>
        <v>0</v>
      </c>
      <c r="E452" s="291">
        <f t="shared" si="31"/>
        <v>0</v>
      </c>
      <c r="F452" s="291">
        <f t="shared" si="31"/>
        <v>0</v>
      </c>
      <c r="G452" s="291">
        <f t="shared" si="31"/>
        <v>0</v>
      </c>
      <c r="H452" s="291">
        <f t="shared" si="31"/>
        <v>0</v>
      </c>
      <c r="I452" s="291">
        <f t="shared" si="31"/>
        <v>0</v>
      </c>
      <c r="J452" s="291">
        <f t="shared" si="31"/>
        <v>0</v>
      </c>
      <c r="K452" s="291">
        <f t="shared" si="31"/>
        <v>0</v>
      </c>
      <c r="L452" s="291">
        <f t="shared" si="31"/>
        <v>0</v>
      </c>
      <c r="M452" s="291">
        <f t="shared" si="31"/>
        <v>0</v>
      </c>
      <c r="N452" s="291">
        <f t="shared" si="31"/>
        <v>0.26140951715062871</v>
      </c>
      <c r="O452" s="291">
        <f t="shared" si="31"/>
        <v>0.34452638053782031</v>
      </c>
      <c r="P452" s="291">
        <f t="shared" si="31"/>
        <v>0.35913621797742101</v>
      </c>
      <c r="Q452" s="291">
        <f t="shared" si="31"/>
        <v>0.40092315834110503</v>
      </c>
      <c r="R452" s="291">
        <f t="shared" si="31"/>
        <v>0.42375820956931298</v>
      </c>
      <c r="S452" s="291">
        <f t="shared" si="31"/>
        <v>0.4800351007114857</v>
      </c>
      <c r="T452" s="291">
        <f t="shared" si="31"/>
        <v>0.50325172020854081</v>
      </c>
      <c r="U452" s="291">
        <f t="shared" si="31"/>
        <v>0.44511049463316921</v>
      </c>
      <c r="V452" s="291">
        <f t="shared" si="31"/>
        <v>0.44649653312021675</v>
      </c>
      <c r="W452" s="291">
        <f t="shared" si="31"/>
        <v>0.41541303893345477</v>
      </c>
      <c r="X452" s="291">
        <f t="shared" si="31"/>
        <v>0.44021938145862288</v>
      </c>
      <c r="Y452" s="291">
        <f t="shared" si="31"/>
        <v>0.50385851441334739</v>
      </c>
      <c r="Z452" s="291">
        <f t="shared" si="31"/>
        <v>0.47657279581349105</v>
      </c>
      <c r="AA452" s="291">
        <f t="shared" si="31"/>
        <v>0.45245257590336085</v>
      </c>
      <c r="AB452" s="291">
        <f t="shared" si="31"/>
        <v>0.4394225589623259</v>
      </c>
      <c r="AC452" s="291">
        <f t="shared" si="31"/>
        <v>0.49944005007658193</v>
      </c>
      <c r="AD452" s="291">
        <f t="shared" si="31"/>
        <v>0.51547799124803673</v>
      </c>
      <c r="AE452" s="291">
        <f t="shared" si="31"/>
        <v>0.51588671036532174</v>
      </c>
      <c r="AF452" s="291">
        <f t="shared" si="31"/>
        <v>0.64405061259623542</v>
      </c>
      <c r="AG452" s="291">
        <f t="shared" si="31"/>
        <v>0.5848274953164716</v>
      </c>
      <c r="AH452" s="291">
        <f t="shared" si="31"/>
        <v>0.59823446572088512</v>
      </c>
      <c r="AI452" s="291">
        <f t="shared" si="31"/>
        <v>0.57838035884285044</v>
      </c>
      <c r="AJ452" s="327">
        <f t="shared" si="23"/>
        <v>0.57838035884285044</v>
      </c>
    </row>
    <row r="453" spans="2:36">
      <c r="B453" s="72" t="s">
        <v>790</v>
      </c>
      <c r="C453" s="72" t="s">
        <v>791</v>
      </c>
      <c r="D453" s="291">
        <f t="shared" si="22"/>
        <v>0.53522861869335492</v>
      </c>
      <c r="E453" s="291">
        <f t="shared" si="31"/>
        <v>0.53157887609091736</v>
      </c>
      <c r="F453" s="291">
        <f t="shared" si="31"/>
        <v>0.53214507341694506</v>
      </c>
      <c r="G453" s="291">
        <f t="shared" si="31"/>
        <v>0.51964907356513024</v>
      </c>
      <c r="H453" s="291">
        <f t="shared" si="31"/>
        <v>0.53419042407690243</v>
      </c>
      <c r="I453" s="291">
        <f t="shared" si="31"/>
        <v>0.54710293779022601</v>
      </c>
      <c r="J453" s="291">
        <f t="shared" si="31"/>
        <v>0.63547803854063523</v>
      </c>
      <c r="K453" s="291">
        <f t="shared" si="31"/>
        <v>0.63247545590327747</v>
      </c>
      <c r="L453" s="291">
        <f t="shared" si="31"/>
        <v>0.59486397754320108</v>
      </c>
      <c r="M453" s="291">
        <f t="shared" si="31"/>
        <v>0.60878259758070019</v>
      </c>
      <c r="N453" s="291">
        <f t="shared" si="31"/>
        <v>0.65073241955388372</v>
      </c>
      <c r="O453" s="291">
        <f t="shared" si="31"/>
        <v>0.66841985252570335</v>
      </c>
      <c r="P453" s="291">
        <f t="shared" si="31"/>
        <v>0.77216122849378421</v>
      </c>
      <c r="Q453" s="291">
        <f t="shared" si="31"/>
        <v>0.79180548397064876</v>
      </c>
      <c r="R453" s="291">
        <f t="shared" si="31"/>
        <v>0.79376862211873167</v>
      </c>
      <c r="S453" s="291">
        <f t="shared" si="31"/>
        <v>0.85182812021245102</v>
      </c>
      <c r="T453" s="291">
        <f t="shared" si="31"/>
        <v>0.85761169060479747</v>
      </c>
      <c r="U453" s="291">
        <f t="shared" si="31"/>
        <v>0.73924887020944452</v>
      </c>
      <c r="V453" s="291">
        <f t="shared" si="31"/>
        <v>0.72194421993410485</v>
      </c>
      <c r="W453" s="291">
        <f t="shared" si="31"/>
        <v>0.70299097388345078</v>
      </c>
      <c r="X453" s="291">
        <f t="shared" si="31"/>
        <v>0.66988392795892449</v>
      </c>
      <c r="Y453" s="291">
        <f t="shared" si="31"/>
        <v>0.6999792431610713</v>
      </c>
      <c r="Z453" s="291">
        <f t="shared" si="31"/>
        <v>0.70839705604448644</v>
      </c>
      <c r="AA453" s="291">
        <f t="shared" si="31"/>
        <v>0.76160257894567418</v>
      </c>
      <c r="AB453" s="291">
        <f t="shared" si="31"/>
        <v>0.76782268005369436</v>
      </c>
      <c r="AC453" s="291">
        <f t="shared" si="31"/>
        <v>0.73575063780204841</v>
      </c>
      <c r="AD453" s="291">
        <f t="shared" si="31"/>
        <v>0.71999928342060593</v>
      </c>
      <c r="AE453" s="291">
        <f t="shared" si="31"/>
        <v>0.69936897162907974</v>
      </c>
      <c r="AF453" s="291">
        <f t="shared" si="31"/>
        <v>0.79481456775432802</v>
      </c>
      <c r="AG453" s="291">
        <f t="shared" si="31"/>
        <v>0.86093547395840053</v>
      </c>
      <c r="AH453" s="291">
        <f t="shared" si="31"/>
        <v>0.81526166464151251</v>
      </c>
      <c r="AI453" s="291">
        <f t="shared" si="31"/>
        <v>0.80336072460177987</v>
      </c>
      <c r="AJ453" s="327">
        <f t="shared" si="23"/>
        <v>0.80336072460177987</v>
      </c>
    </row>
    <row r="454" spans="2:36">
      <c r="B454" s="72" t="s">
        <v>792</v>
      </c>
      <c r="C454" s="72" t="s">
        <v>793</v>
      </c>
      <c r="D454" s="291">
        <f t="shared" si="22"/>
        <v>0</v>
      </c>
      <c r="E454" s="291">
        <f t="shared" si="31"/>
        <v>0</v>
      </c>
      <c r="F454" s="291">
        <f t="shared" si="31"/>
        <v>0</v>
      </c>
      <c r="G454" s="291">
        <f t="shared" si="31"/>
        <v>0</v>
      </c>
      <c r="H454" s="291">
        <f t="shared" si="31"/>
        <v>0</v>
      </c>
      <c r="I454" s="291">
        <f t="shared" si="31"/>
        <v>0</v>
      </c>
      <c r="J454" s="291">
        <f t="shared" si="31"/>
        <v>0</v>
      </c>
      <c r="K454" s="291">
        <f t="shared" si="31"/>
        <v>0</v>
      </c>
      <c r="L454" s="291">
        <f t="shared" si="31"/>
        <v>0</v>
      </c>
      <c r="M454" s="291">
        <f t="shared" si="31"/>
        <v>0</v>
      </c>
      <c r="N454" s="291">
        <f t="shared" si="31"/>
        <v>0</v>
      </c>
      <c r="O454" s="291">
        <f t="shared" si="31"/>
        <v>0</v>
      </c>
      <c r="P454" s="291">
        <f t="shared" si="31"/>
        <v>0</v>
      </c>
      <c r="Q454" s="291">
        <f t="shared" si="31"/>
        <v>0</v>
      </c>
      <c r="R454" s="291">
        <f t="shared" si="31"/>
        <v>0</v>
      </c>
      <c r="S454" s="291">
        <f t="shared" si="31"/>
        <v>0</v>
      </c>
      <c r="T454" s="291">
        <f t="shared" si="31"/>
        <v>0</v>
      </c>
      <c r="U454" s="291">
        <f t="shared" si="31"/>
        <v>0</v>
      </c>
      <c r="V454" s="291">
        <f t="shared" si="31"/>
        <v>0</v>
      </c>
      <c r="W454" s="291">
        <f t="shared" si="31"/>
        <v>0</v>
      </c>
      <c r="X454" s="291">
        <f t="shared" si="31"/>
        <v>0</v>
      </c>
      <c r="Y454" s="291">
        <f t="shared" si="31"/>
        <v>0</v>
      </c>
      <c r="Z454" s="291">
        <f t="shared" si="31"/>
        <v>0</v>
      </c>
      <c r="AA454" s="291">
        <f t="shared" si="31"/>
        <v>0</v>
      </c>
      <c r="AB454" s="291">
        <f t="shared" si="31"/>
        <v>0</v>
      </c>
      <c r="AC454" s="291">
        <f t="shared" si="31"/>
        <v>0</v>
      </c>
      <c r="AD454" s="291">
        <f t="shared" si="31"/>
        <v>0</v>
      </c>
      <c r="AE454" s="291">
        <f t="shared" si="31"/>
        <v>0</v>
      </c>
      <c r="AF454" s="291">
        <f t="shared" si="31"/>
        <v>0</v>
      </c>
      <c r="AG454" s="291">
        <f t="shared" si="31"/>
        <v>0</v>
      </c>
      <c r="AH454" s="291">
        <f t="shared" si="31"/>
        <v>0</v>
      </c>
      <c r="AI454" s="291">
        <f t="shared" si="31"/>
        <v>0</v>
      </c>
      <c r="AJ454" s="327">
        <f t="shared" si="23"/>
        <v>0</v>
      </c>
    </row>
    <row r="455" spans="2:36">
      <c r="B455" s="72" t="s">
        <v>794</v>
      </c>
      <c r="C455" s="72" t="s">
        <v>795</v>
      </c>
      <c r="D455" s="291">
        <f t="shared" si="22"/>
        <v>0</v>
      </c>
      <c r="E455" s="291">
        <f t="shared" si="31"/>
        <v>0</v>
      </c>
      <c r="F455" s="291">
        <f t="shared" si="31"/>
        <v>0</v>
      </c>
      <c r="G455" s="291">
        <f t="shared" si="31"/>
        <v>0</v>
      </c>
      <c r="H455" s="291">
        <f t="shared" si="31"/>
        <v>0</v>
      </c>
      <c r="I455" s="291">
        <f t="shared" si="31"/>
        <v>0</v>
      </c>
      <c r="J455" s="291">
        <f t="shared" si="31"/>
        <v>0</v>
      </c>
      <c r="K455" s="291">
        <f t="shared" si="31"/>
        <v>0</v>
      </c>
      <c r="L455" s="291">
        <f t="shared" si="31"/>
        <v>0</v>
      </c>
      <c r="M455" s="291">
        <f t="shared" si="31"/>
        <v>0</v>
      </c>
      <c r="N455" s="291">
        <f t="shared" si="31"/>
        <v>0</v>
      </c>
      <c r="O455" s="291">
        <f t="shared" si="31"/>
        <v>0</v>
      </c>
      <c r="P455" s="291">
        <f t="shared" si="31"/>
        <v>0</v>
      </c>
      <c r="Q455" s="291">
        <f t="shared" si="31"/>
        <v>0</v>
      </c>
      <c r="R455" s="291">
        <f t="shared" si="31"/>
        <v>0</v>
      </c>
      <c r="S455" s="291">
        <f t="shared" si="31"/>
        <v>0</v>
      </c>
      <c r="T455" s="291">
        <f t="shared" si="31"/>
        <v>0</v>
      </c>
      <c r="U455" s="291">
        <f t="shared" si="31"/>
        <v>0</v>
      </c>
      <c r="V455" s="291">
        <f t="shared" si="31"/>
        <v>0</v>
      </c>
      <c r="W455" s="291">
        <f t="shared" si="31"/>
        <v>0</v>
      </c>
      <c r="X455" s="291">
        <f t="shared" si="31"/>
        <v>0.54301566831837988</v>
      </c>
      <c r="Y455" s="291">
        <f t="shared" si="31"/>
        <v>0.54134344782841393</v>
      </c>
      <c r="Z455" s="291">
        <f t="shared" si="31"/>
        <v>0.52644706169219035</v>
      </c>
      <c r="AA455" s="291">
        <f t="shared" si="31"/>
        <v>0.5443845402387395</v>
      </c>
      <c r="AB455" s="291">
        <f t="shared" si="31"/>
        <v>0.53281957006381708</v>
      </c>
      <c r="AC455" s="291">
        <f t="shared" si="31"/>
        <v>0.65202095500048229</v>
      </c>
      <c r="AD455" s="291">
        <f t="shared" si="31"/>
        <v>0.75005613124026882</v>
      </c>
      <c r="AE455" s="291">
        <f t="shared" si="31"/>
        <v>0.7261218327011757</v>
      </c>
      <c r="AF455" s="291">
        <f t="shared" si="31"/>
        <v>0.94194935240740219</v>
      </c>
      <c r="AG455" s="291">
        <f t="shared" si="31"/>
        <v>0.82008941060070484</v>
      </c>
      <c r="AH455" s="291">
        <f t="shared" si="31"/>
        <v>0.91209504532030028</v>
      </c>
      <c r="AI455" s="291">
        <f t="shared" si="31"/>
        <v>0.95668789252539388</v>
      </c>
      <c r="AJ455" s="327">
        <f t="shared" si="23"/>
        <v>0.95668789252539388</v>
      </c>
    </row>
    <row r="456" spans="2:36">
      <c r="B456" s="72" t="s">
        <v>796</v>
      </c>
      <c r="C456" s="72" t="s">
        <v>797</v>
      </c>
      <c r="D456" s="291">
        <f t="shared" si="22"/>
        <v>0</v>
      </c>
      <c r="E456" s="291">
        <f t="shared" si="31"/>
        <v>0</v>
      </c>
      <c r="F456" s="291">
        <f t="shared" si="31"/>
        <v>0</v>
      </c>
      <c r="G456" s="291">
        <f t="shared" si="31"/>
        <v>0</v>
      </c>
      <c r="H456" s="291">
        <f t="shared" si="31"/>
        <v>0</v>
      </c>
      <c r="I456" s="291">
        <f t="shared" si="31"/>
        <v>0</v>
      </c>
      <c r="J456" s="291">
        <f t="shared" si="31"/>
        <v>0</v>
      </c>
      <c r="K456" s="291">
        <f t="shared" si="31"/>
        <v>0.34393647257854659</v>
      </c>
      <c r="L456" s="291">
        <f t="shared" si="31"/>
        <v>0.3172399967885341</v>
      </c>
      <c r="M456" s="291">
        <f t="shared" si="31"/>
        <v>0.34987496616331121</v>
      </c>
      <c r="N456" s="291">
        <f t="shared" si="31"/>
        <v>0.29312492891381486</v>
      </c>
      <c r="O456" s="291">
        <f t="shared" si="31"/>
        <v>0.24004620272010907</v>
      </c>
      <c r="P456" s="291">
        <f t="shared" si="31"/>
        <v>0.22240939248678493</v>
      </c>
      <c r="Q456" s="291">
        <f t="shared" si="31"/>
        <v>0.26185796772875802</v>
      </c>
      <c r="R456" s="291">
        <f t="shared" si="31"/>
        <v>0.27731227553191973</v>
      </c>
      <c r="S456" s="291">
        <f t="shared" si="31"/>
        <v>0.28762696451268066</v>
      </c>
      <c r="T456" s="291">
        <f t="shared" si="31"/>
        <v>0.27243157265702267</v>
      </c>
      <c r="U456" s="291">
        <f t="shared" si="31"/>
        <v>0.27338704072725922</v>
      </c>
      <c r="V456" s="291">
        <f t="shared" si="31"/>
        <v>0.32800175316780095</v>
      </c>
      <c r="W456" s="291">
        <f t="shared" si="31"/>
        <v>0.28087479119339548</v>
      </c>
      <c r="X456" s="291">
        <f t="shared" si="31"/>
        <v>0.30302168368698462</v>
      </c>
      <c r="Y456" s="291">
        <f t="shared" si="31"/>
        <v>0.31353906640188101</v>
      </c>
      <c r="Z456" s="291">
        <f t="shared" si="31"/>
        <v>0.31857997632998053</v>
      </c>
      <c r="AA456" s="291">
        <f t="shared" si="31"/>
        <v>0.34057020448232406</v>
      </c>
      <c r="AB456" s="291">
        <f t="shared" si="31"/>
        <v>0.34430235015920918</v>
      </c>
      <c r="AC456" s="291">
        <f t="shared" si="31"/>
        <v>0.42223885860766186</v>
      </c>
      <c r="AD456" s="291">
        <f t="shared" si="31"/>
        <v>0.44260957781646193</v>
      </c>
      <c r="AE456" s="291">
        <f t="shared" si="31"/>
        <v>0.48035196185606638</v>
      </c>
      <c r="AF456" s="291">
        <f t="shared" si="31"/>
        <v>0.5298363475674156</v>
      </c>
      <c r="AG456" s="291">
        <f t="shared" si="31"/>
        <v>0.50852653440762619</v>
      </c>
      <c r="AH456" s="291">
        <f t="shared" si="31"/>
        <v>0.5055730922251449</v>
      </c>
      <c r="AI456" s="291">
        <f t="shared" si="31"/>
        <v>0.50712992524750355</v>
      </c>
      <c r="AJ456" s="327">
        <f t="shared" si="23"/>
        <v>0.50712992524750355</v>
      </c>
    </row>
    <row r="457" spans="2:36">
      <c r="B457" s="72" t="s">
        <v>798</v>
      </c>
      <c r="C457" s="72" t="s">
        <v>799</v>
      </c>
      <c r="D457" s="291">
        <f t="shared" si="22"/>
        <v>0</v>
      </c>
      <c r="E457" s="291">
        <f t="shared" si="31"/>
        <v>0</v>
      </c>
      <c r="F457" s="291">
        <f t="shared" si="31"/>
        <v>0</v>
      </c>
      <c r="G457" s="291">
        <f t="shared" si="31"/>
        <v>0</v>
      </c>
      <c r="H457" s="291">
        <f t="shared" si="31"/>
        <v>0</v>
      </c>
      <c r="I457" s="291">
        <f t="shared" si="31"/>
        <v>0</v>
      </c>
      <c r="J457" s="291">
        <f t="shared" si="31"/>
        <v>0</v>
      </c>
      <c r="K457" s="291">
        <f t="shared" si="31"/>
        <v>0</v>
      </c>
      <c r="L457" s="291">
        <f t="shared" si="31"/>
        <v>0</v>
      </c>
      <c r="M457" s="291">
        <f t="shared" si="31"/>
        <v>0.44479620800067221</v>
      </c>
      <c r="N457" s="291">
        <f t="shared" si="31"/>
        <v>0.4004978234106476</v>
      </c>
      <c r="O457" s="291">
        <f t="shared" si="31"/>
        <v>0.39368631844021823</v>
      </c>
      <c r="P457" s="291">
        <f t="shared" si="31"/>
        <v>0.40411387684510947</v>
      </c>
      <c r="Q457" s="291">
        <f t="shared" si="31"/>
        <v>0.47582745827169787</v>
      </c>
      <c r="R457" s="291">
        <f t="shared" si="31"/>
        <v>0.47701967156438541</v>
      </c>
      <c r="S457" s="291">
        <f t="shared" si="31"/>
        <v>0.46937174782213997</v>
      </c>
      <c r="T457" s="291">
        <f t="shared" si="31"/>
        <v>0.47868553664537</v>
      </c>
      <c r="U457" s="291">
        <f t="shared" si="31"/>
        <v>0.46172513309798968</v>
      </c>
      <c r="V457" s="291">
        <f t="shared" si="31"/>
        <v>0.3142057069426672</v>
      </c>
      <c r="W457" s="291">
        <f t="shared" si="31"/>
        <v>0.21309619441236388</v>
      </c>
      <c r="X457" s="291">
        <f t="shared" si="31"/>
        <v>0.2699744614628537</v>
      </c>
      <c r="Y457" s="291">
        <f t="shared" si="31"/>
        <v>0.3163508467041834</v>
      </c>
      <c r="Z457" s="291">
        <f t="shared" si="31"/>
        <v>0.31445641094402443</v>
      </c>
      <c r="AA457" s="291">
        <f t="shared" si="31"/>
        <v>0.3073661016529779</v>
      </c>
      <c r="AB457" s="291">
        <f t="shared" si="31"/>
        <v>0.34610414236783882</v>
      </c>
      <c r="AC457" s="291">
        <f t="shared" si="31"/>
        <v>0.38928452985719142</v>
      </c>
      <c r="AD457" s="291">
        <f t="shared" si="31"/>
        <v>0.40253520120925429</v>
      </c>
      <c r="AE457" s="291">
        <f t="shared" si="31"/>
        <v>0.42303842289245053</v>
      </c>
      <c r="AF457" s="291">
        <f t="shared" si="31"/>
        <v>0.48228511130834206</v>
      </c>
      <c r="AG457" s="291">
        <f t="shared" si="31"/>
        <v>0.4446011581577341</v>
      </c>
      <c r="AH457" s="291">
        <f t="shared" si="31"/>
        <v>0.5120125491287788</v>
      </c>
      <c r="AI457" s="291">
        <f t="shared" si="31"/>
        <v>0.56272166843202498</v>
      </c>
      <c r="AJ457" s="327">
        <f t="shared" si="23"/>
        <v>0.56272166843202498</v>
      </c>
    </row>
    <row r="458" spans="2:36">
      <c r="B458" s="72" t="s">
        <v>800</v>
      </c>
      <c r="C458" s="72" t="s">
        <v>801</v>
      </c>
      <c r="D458" s="291">
        <f t="shared" si="22"/>
        <v>0.5476761710786483</v>
      </c>
      <c r="E458" s="291">
        <f t="shared" si="31"/>
        <v>0.60477365867661337</v>
      </c>
      <c r="F458" s="291">
        <f t="shared" si="31"/>
        <v>0.63626741273905196</v>
      </c>
      <c r="G458" s="291">
        <f t="shared" si="31"/>
        <v>0.68966183036283402</v>
      </c>
      <c r="H458" s="291">
        <f t="shared" si="31"/>
        <v>0.84180301818516967</v>
      </c>
      <c r="I458" s="291">
        <f t="shared" si="31"/>
        <v>0.85332872326544773</v>
      </c>
      <c r="J458" s="291">
        <f t="shared" si="31"/>
        <v>0.77635567840911834</v>
      </c>
      <c r="K458" s="291">
        <f t="shared" si="31"/>
        <v>0.73349649732245759</v>
      </c>
      <c r="L458" s="291">
        <f t="shared" si="31"/>
        <v>0.67358267624953616</v>
      </c>
      <c r="M458" s="291">
        <f t="shared" si="31"/>
        <v>0.68543042397168963</v>
      </c>
      <c r="N458" s="291">
        <f t="shared" si="31"/>
        <v>0.63741015225347741</v>
      </c>
      <c r="O458" s="291">
        <f t="shared" si="31"/>
        <v>0.46414536394334427</v>
      </c>
      <c r="P458" s="291">
        <f t="shared" si="31"/>
        <v>0.45187042600687816</v>
      </c>
      <c r="Q458" s="291">
        <f t="shared" si="31"/>
        <v>0.54352896693195862</v>
      </c>
      <c r="R458" s="291">
        <f t="shared" si="31"/>
        <v>0.40306737401856735</v>
      </c>
      <c r="S458" s="291">
        <f t="shared" si="31"/>
        <v>0.48201060338665946</v>
      </c>
      <c r="T458" s="291">
        <f t="shared" si="31"/>
        <v>0.4541168265194423</v>
      </c>
      <c r="U458" s="291">
        <f t="shared" si="31"/>
        <v>0.50465739059426551</v>
      </c>
      <c r="V458" s="291">
        <f t="shared" si="31"/>
        <v>0.47817294838005614</v>
      </c>
      <c r="W458" s="291">
        <f t="shared" si="31"/>
        <v>0.40513715450431076</v>
      </c>
      <c r="X458" s="291">
        <f t="shared" si="31"/>
        <v>0.38342392500580935</v>
      </c>
      <c r="Y458" s="291">
        <f t="shared" ref="E458:AI467" si="32">Y206/Y$250</f>
        <v>0.35526222929870133</v>
      </c>
      <c r="Z458" s="291">
        <f t="shared" si="32"/>
        <v>0.29582700294214193</v>
      </c>
      <c r="AA458" s="291">
        <f t="shared" si="32"/>
        <v>0.28255637265067329</v>
      </c>
      <c r="AB458" s="291">
        <f t="shared" si="32"/>
        <v>0.26275913849786392</v>
      </c>
      <c r="AC458" s="291">
        <f t="shared" si="32"/>
        <v>0.28855461647078801</v>
      </c>
      <c r="AD458" s="291">
        <f t="shared" si="32"/>
        <v>0.31098495238135415</v>
      </c>
      <c r="AE458" s="291">
        <f t="shared" si="32"/>
        <v>0.30159774771885456</v>
      </c>
      <c r="AF458" s="291">
        <f t="shared" si="32"/>
        <v>0.36111448450687345</v>
      </c>
      <c r="AG458" s="291">
        <f t="shared" si="32"/>
        <v>0.4354998503746797</v>
      </c>
      <c r="AH458" s="291">
        <f t="shared" si="32"/>
        <v>0.43225111571295899</v>
      </c>
      <c r="AI458" s="291">
        <f t="shared" si="32"/>
        <v>0.41502006489663984</v>
      </c>
      <c r="AJ458" s="327">
        <f t="shared" si="23"/>
        <v>0.41502006489663984</v>
      </c>
    </row>
    <row r="459" spans="2:36">
      <c r="B459" s="72" t="s">
        <v>802</v>
      </c>
      <c r="C459" s="72" t="s">
        <v>803</v>
      </c>
      <c r="D459" s="291">
        <f t="shared" si="22"/>
        <v>0</v>
      </c>
      <c r="E459" s="291">
        <f t="shared" si="32"/>
        <v>0</v>
      </c>
      <c r="F459" s="291">
        <f t="shared" si="32"/>
        <v>0.56639843387802624</v>
      </c>
      <c r="G459" s="291">
        <f t="shared" si="32"/>
        <v>0.56856865529658562</v>
      </c>
      <c r="H459" s="291">
        <f t="shared" si="32"/>
        <v>0.59704708955683394</v>
      </c>
      <c r="I459" s="291">
        <f t="shared" si="32"/>
        <v>0.49239058497084365</v>
      </c>
      <c r="J459" s="291">
        <f t="shared" si="32"/>
        <v>0.41730713737643393</v>
      </c>
      <c r="K459" s="291">
        <f t="shared" si="32"/>
        <v>0.39131478997200192</v>
      </c>
      <c r="L459" s="291">
        <f t="shared" si="32"/>
        <v>0.40857231705607477</v>
      </c>
      <c r="M459" s="291">
        <f t="shared" si="32"/>
        <v>0.36877074981000657</v>
      </c>
      <c r="N459" s="291">
        <f t="shared" si="32"/>
        <v>0.33799057227866092</v>
      </c>
      <c r="O459" s="291">
        <f t="shared" si="32"/>
        <v>0.32717196423560579</v>
      </c>
      <c r="P459" s="291">
        <f t="shared" si="32"/>
        <v>0.33534257606198958</v>
      </c>
      <c r="Q459" s="291">
        <f t="shared" si="32"/>
        <v>0.36871386566766079</v>
      </c>
      <c r="R459" s="291">
        <f t="shared" si="32"/>
        <v>0.60647118515179776</v>
      </c>
      <c r="S459" s="291">
        <f t="shared" si="32"/>
        <v>0.54536125386899048</v>
      </c>
      <c r="T459" s="291">
        <f t="shared" si="32"/>
        <v>0.56159228900355307</v>
      </c>
      <c r="U459" s="291">
        <f t="shared" si="32"/>
        <v>0.60113456976168544</v>
      </c>
      <c r="V459" s="291">
        <f t="shared" si="32"/>
        <v>0.5320343004027096</v>
      </c>
      <c r="W459" s="291">
        <f t="shared" si="32"/>
        <v>0.49839781908255232</v>
      </c>
      <c r="X459" s="291">
        <f t="shared" si="32"/>
        <v>0.53266861677784905</v>
      </c>
      <c r="Y459" s="291">
        <f t="shared" si="32"/>
        <v>0.51401458080439577</v>
      </c>
      <c r="Z459" s="291">
        <f t="shared" si="32"/>
        <v>0.49003986412205586</v>
      </c>
      <c r="AA459" s="291">
        <f t="shared" si="32"/>
        <v>0.48445170166157819</v>
      </c>
      <c r="AB459" s="291">
        <f t="shared" si="32"/>
        <v>0.50393969198275446</v>
      </c>
      <c r="AC459" s="291">
        <f t="shared" si="32"/>
        <v>0.51611593920237797</v>
      </c>
      <c r="AD459" s="291">
        <f t="shared" si="32"/>
        <v>0.53989174332557621</v>
      </c>
      <c r="AE459" s="291">
        <f t="shared" si="32"/>
        <v>0.49922338615160039</v>
      </c>
      <c r="AF459" s="291">
        <f t="shared" si="32"/>
        <v>0.59634029841746661</v>
      </c>
      <c r="AG459" s="291">
        <f t="shared" si="32"/>
        <v>0.65788675194684565</v>
      </c>
      <c r="AH459" s="291">
        <f t="shared" si="32"/>
        <v>0.76560739495897556</v>
      </c>
      <c r="AI459" s="291">
        <f t="shared" si="32"/>
        <v>0.71133028052724623</v>
      </c>
      <c r="AJ459" s="327">
        <f t="shared" si="23"/>
        <v>0.71133028052724623</v>
      </c>
    </row>
    <row r="460" spans="2:36">
      <c r="B460" s="72" t="s">
        <v>804</v>
      </c>
      <c r="C460" s="72" t="s">
        <v>805</v>
      </c>
      <c r="D460" s="291">
        <f t="shared" ref="D460:D513" si="33">D208/D$250</f>
        <v>0</v>
      </c>
      <c r="E460" s="291">
        <f t="shared" si="32"/>
        <v>0</v>
      </c>
      <c r="F460" s="291">
        <f t="shared" si="32"/>
        <v>0</v>
      </c>
      <c r="G460" s="291">
        <f t="shared" si="32"/>
        <v>0</v>
      </c>
      <c r="H460" s="291">
        <f t="shared" si="32"/>
        <v>0</v>
      </c>
      <c r="I460" s="291">
        <f t="shared" si="32"/>
        <v>0</v>
      </c>
      <c r="J460" s="291">
        <f t="shared" si="32"/>
        <v>0</v>
      </c>
      <c r="K460" s="291">
        <f t="shared" si="32"/>
        <v>0</v>
      </c>
      <c r="L460" s="291">
        <f t="shared" si="32"/>
        <v>0</v>
      </c>
      <c r="M460" s="291">
        <f t="shared" si="32"/>
        <v>0</v>
      </c>
      <c r="N460" s="291">
        <f t="shared" si="32"/>
        <v>0</v>
      </c>
      <c r="O460" s="291">
        <f t="shared" si="32"/>
        <v>0</v>
      </c>
      <c r="P460" s="291">
        <f t="shared" si="32"/>
        <v>0</v>
      </c>
      <c r="Q460" s="291">
        <f t="shared" si="32"/>
        <v>0</v>
      </c>
      <c r="R460" s="291">
        <f t="shared" si="32"/>
        <v>0</v>
      </c>
      <c r="S460" s="291">
        <f t="shared" si="32"/>
        <v>0</v>
      </c>
      <c r="T460" s="291">
        <f t="shared" si="32"/>
        <v>0</v>
      </c>
      <c r="U460" s="291">
        <f t="shared" si="32"/>
        <v>0</v>
      </c>
      <c r="V460" s="291">
        <f t="shared" si="32"/>
        <v>0</v>
      </c>
      <c r="W460" s="291">
        <f t="shared" si="32"/>
        <v>0</v>
      </c>
      <c r="X460" s="291">
        <f t="shared" si="32"/>
        <v>0</v>
      </c>
      <c r="Y460" s="291">
        <f t="shared" si="32"/>
        <v>0</v>
      </c>
      <c r="Z460" s="291">
        <f t="shared" si="32"/>
        <v>0</v>
      </c>
      <c r="AA460" s="291">
        <f t="shared" si="32"/>
        <v>0</v>
      </c>
      <c r="AB460" s="291">
        <f t="shared" si="32"/>
        <v>0</v>
      </c>
      <c r="AC460" s="291">
        <f t="shared" si="32"/>
        <v>0</v>
      </c>
      <c r="AD460" s="291">
        <f t="shared" si="32"/>
        <v>0</v>
      </c>
      <c r="AE460" s="291">
        <f t="shared" si="32"/>
        <v>0</v>
      </c>
      <c r="AF460" s="291">
        <f t="shared" si="32"/>
        <v>0</v>
      </c>
      <c r="AG460" s="291">
        <f t="shared" si="32"/>
        <v>0</v>
      </c>
      <c r="AH460" s="291">
        <f t="shared" si="32"/>
        <v>0</v>
      </c>
      <c r="AI460" s="291">
        <f t="shared" si="32"/>
        <v>0</v>
      </c>
      <c r="AJ460" s="327">
        <f t="shared" ref="AJ460:AJ507" si="34">AJ208/AJ$250</f>
        <v>0</v>
      </c>
    </row>
    <row r="461" spans="2:36">
      <c r="B461" s="72" t="s">
        <v>806</v>
      </c>
      <c r="C461" s="72" t="s">
        <v>807</v>
      </c>
      <c r="D461" s="291">
        <f t="shared" si="33"/>
        <v>0</v>
      </c>
      <c r="E461" s="291">
        <f t="shared" ref="E461:S461" si="35">E209/E$250</f>
        <v>0</v>
      </c>
      <c r="F461" s="291">
        <f t="shared" si="35"/>
        <v>0</v>
      </c>
      <c r="G461" s="291">
        <f t="shared" si="35"/>
        <v>0</v>
      </c>
      <c r="H461" s="291">
        <f t="shared" si="35"/>
        <v>0</v>
      </c>
      <c r="I461" s="291">
        <f t="shared" si="35"/>
        <v>0</v>
      </c>
      <c r="J461" s="291">
        <f t="shared" si="35"/>
        <v>0</v>
      </c>
      <c r="K461" s="291">
        <f t="shared" si="35"/>
        <v>0</v>
      </c>
      <c r="L461" s="291">
        <f t="shared" si="35"/>
        <v>0</v>
      </c>
      <c r="M461" s="291">
        <f t="shared" si="35"/>
        <v>0</v>
      </c>
      <c r="N461" s="291">
        <f t="shared" si="35"/>
        <v>0</v>
      </c>
      <c r="O461" s="291">
        <f t="shared" si="35"/>
        <v>0</v>
      </c>
      <c r="P461" s="291">
        <f t="shared" si="35"/>
        <v>0</v>
      </c>
      <c r="Q461" s="291">
        <f t="shared" si="35"/>
        <v>0</v>
      </c>
      <c r="R461" s="291">
        <f t="shared" si="35"/>
        <v>0</v>
      </c>
      <c r="S461" s="291">
        <f t="shared" si="35"/>
        <v>0</v>
      </c>
      <c r="T461" s="291">
        <f t="shared" si="32"/>
        <v>0</v>
      </c>
      <c r="U461" s="291">
        <f t="shared" si="32"/>
        <v>0</v>
      </c>
      <c r="V461" s="291">
        <f t="shared" si="32"/>
        <v>0</v>
      </c>
      <c r="W461" s="291">
        <f t="shared" si="32"/>
        <v>0</v>
      </c>
      <c r="X461" s="291">
        <f t="shared" si="32"/>
        <v>0</v>
      </c>
      <c r="Y461" s="291">
        <f t="shared" si="32"/>
        <v>0.49985054795478417</v>
      </c>
      <c r="Z461" s="291">
        <f t="shared" si="32"/>
        <v>0.54869062890567377</v>
      </c>
      <c r="AA461" s="291">
        <f t="shared" si="32"/>
        <v>0.48898397429744578</v>
      </c>
      <c r="AB461" s="291">
        <f t="shared" si="32"/>
        <v>0.44778790276493741</v>
      </c>
      <c r="AC461" s="291">
        <f t="shared" si="32"/>
        <v>0.45512514983924424</v>
      </c>
      <c r="AD461" s="291">
        <f t="shared" si="32"/>
        <v>0.42793620305262403</v>
      </c>
      <c r="AE461" s="291">
        <f t="shared" si="32"/>
        <v>0.42342612479524916</v>
      </c>
      <c r="AF461" s="291">
        <f t="shared" si="32"/>
        <v>0.52132593345244749</v>
      </c>
      <c r="AG461" s="291">
        <f t="shared" si="32"/>
        <v>0.61685022926367383</v>
      </c>
      <c r="AH461" s="291">
        <f t="shared" si="32"/>
        <v>0.6002113256042233</v>
      </c>
      <c r="AI461" s="291">
        <f t="shared" si="32"/>
        <v>0.64790328647559259</v>
      </c>
      <c r="AJ461" s="327">
        <f t="shared" si="34"/>
        <v>0.64790328647559259</v>
      </c>
    </row>
    <row r="462" spans="2:36">
      <c r="B462" s="72" t="s">
        <v>808</v>
      </c>
      <c r="C462" s="72" t="s">
        <v>809</v>
      </c>
      <c r="D462" s="291">
        <f t="shared" si="33"/>
        <v>0.90043571922139898</v>
      </c>
      <c r="E462" s="291">
        <f t="shared" si="32"/>
        <v>0.99969437480339995</v>
      </c>
      <c r="F462" s="291">
        <f t="shared" si="32"/>
        <v>1.0011410446865856</v>
      </c>
      <c r="G462" s="291">
        <f t="shared" si="32"/>
        <v>1.0042466588625372</v>
      </c>
      <c r="H462" s="291">
        <f t="shared" si="32"/>
        <v>1.0451963038724739</v>
      </c>
      <c r="I462" s="291">
        <f t="shared" si="32"/>
        <v>0.93169076519964045</v>
      </c>
      <c r="J462" s="291">
        <f t="shared" si="32"/>
        <v>0.62817634533766586</v>
      </c>
      <c r="K462" s="291">
        <f t="shared" si="32"/>
        <v>0.5489317981681473</v>
      </c>
      <c r="L462" s="291">
        <f t="shared" si="32"/>
        <v>0.45146717991415952</v>
      </c>
      <c r="M462" s="291">
        <f t="shared" si="32"/>
        <v>0.49385028235530132</v>
      </c>
      <c r="N462" s="291">
        <f t="shared" si="32"/>
        <v>0.47794118717745382</v>
      </c>
      <c r="O462" s="291">
        <f t="shared" si="32"/>
        <v>0.46655948394032282</v>
      </c>
      <c r="P462" s="291">
        <f t="shared" si="32"/>
        <v>0.44940261831690886</v>
      </c>
      <c r="Q462" s="291">
        <f t="shared" si="32"/>
        <v>0.49551149172445186</v>
      </c>
      <c r="R462" s="291">
        <f t="shared" si="32"/>
        <v>0.48291445209675526</v>
      </c>
      <c r="S462" s="291">
        <f t="shared" si="32"/>
        <v>0.48154548643181672</v>
      </c>
      <c r="T462" s="291">
        <f t="shared" si="32"/>
        <v>0.51265508850222552</v>
      </c>
      <c r="U462" s="291">
        <f t="shared" si="32"/>
        <v>0.4937002424334242</v>
      </c>
      <c r="V462" s="291">
        <f t="shared" si="32"/>
        <v>0.40720387742801689</v>
      </c>
      <c r="W462" s="291">
        <f t="shared" si="32"/>
        <v>0.45191810456621972</v>
      </c>
      <c r="X462" s="291">
        <f t="shared" si="32"/>
        <v>0.54188407776872571</v>
      </c>
      <c r="Y462" s="291">
        <f t="shared" si="32"/>
        <v>0.54596442892361974</v>
      </c>
      <c r="Z462" s="291">
        <f t="shared" si="32"/>
        <v>0.53011116909849254</v>
      </c>
      <c r="AA462" s="291">
        <f t="shared" si="32"/>
        <v>0.49341085348629993</v>
      </c>
      <c r="AB462" s="291">
        <f t="shared" si="32"/>
        <v>0.48054991155657945</v>
      </c>
      <c r="AC462" s="291">
        <f t="shared" si="32"/>
        <v>0.55614360274425345</v>
      </c>
      <c r="AD462" s="291">
        <f t="shared" si="32"/>
        <v>0.59136063363078772</v>
      </c>
      <c r="AE462" s="291">
        <f t="shared" si="32"/>
        <v>0.54350606159037151</v>
      </c>
      <c r="AF462" s="291">
        <f t="shared" si="32"/>
        <v>0.6814120556299158</v>
      </c>
      <c r="AG462" s="291">
        <f t="shared" si="32"/>
        <v>0.6187875579378157</v>
      </c>
      <c r="AH462" s="291">
        <f t="shared" si="32"/>
        <v>0.70329754841853953</v>
      </c>
      <c r="AI462" s="291">
        <f t="shared" si="32"/>
        <v>0.77308024378034224</v>
      </c>
      <c r="AJ462" s="327">
        <f t="shared" si="34"/>
        <v>0.77308024378034224</v>
      </c>
    </row>
    <row r="463" spans="2:36">
      <c r="B463" s="72" t="s">
        <v>810</v>
      </c>
      <c r="C463" s="72" t="s">
        <v>811</v>
      </c>
      <c r="D463" s="291">
        <f t="shared" si="33"/>
        <v>0.76860416982038715</v>
      </c>
      <c r="E463" s="291">
        <f t="shared" si="32"/>
        <v>0.68872331718342028</v>
      </c>
      <c r="F463" s="291">
        <f t="shared" si="32"/>
        <v>0.66952545706332389</v>
      </c>
      <c r="G463" s="291">
        <f t="shared" si="32"/>
        <v>0.68925722864772954</v>
      </c>
      <c r="H463" s="291">
        <f t="shared" si="32"/>
        <v>0.70593002970642704</v>
      </c>
      <c r="I463" s="291">
        <f t="shared" si="32"/>
        <v>0.73278569262714588</v>
      </c>
      <c r="J463" s="291">
        <f t="shared" si="32"/>
        <v>0.85093641463768321</v>
      </c>
      <c r="K463" s="291">
        <f t="shared" si="32"/>
        <v>0.82157547589724012</v>
      </c>
      <c r="L463" s="291">
        <f t="shared" si="32"/>
        <v>0.70641768480610179</v>
      </c>
      <c r="M463" s="291">
        <f t="shared" si="32"/>
        <v>0.67839745050539424</v>
      </c>
      <c r="N463" s="291">
        <f t="shared" si="32"/>
        <v>0.68025699559748809</v>
      </c>
      <c r="O463" s="291">
        <f t="shared" si="32"/>
        <v>0.61722638743497182</v>
      </c>
      <c r="P463" s="291">
        <f t="shared" si="32"/>
        <v>0.63287261107421033</v>
      </c>
      <c r="Q463" s="291">
        <f t="shared" si="32"/>
        <v>0.67208796676648352</v>
      </c>
      <c r="R463" s="291">
        <f t="shared" si="32"/>
        <v>0.44296152534704553</v>
      </c>
      <c r="S463" s="291">
        <f t="shared" si="32"/>
        <v>0.49840275929718775</v>
      </c>
      <c r="T463" s="291">
        <f t="shared" si="32"/>
        <v>0.50425408603096744</v>
      </c>
      <c r="U463" s="291">
        <f t="shared" si="32"/>
        <v>0.4260157370584351</v>
      </c>
      <c r="V463" s="291">
        <f t="shared" si="32"/>
        <v>0.41577857526558309</v>
      </c>
      <c r="W463" s="291">
        <f t="shared" si="32"/>
        <v>0.398836386042146</v>
      </c>
      <c r="X463" s="291">
        <f t="shared" si="32"/>
        <v>0.37759987682782253</v>
      </c>
      <c r="Y463" s="291">
        <f t="shared" si="32"/>
        <v>0.39255700598799215</v>
      </c>
      <c r="Z463" s="291">
        <f t="shared" si="32"/>
        <v>0.40245094494069122</v>
      </c>
      <c r="AA463" s="291">
        <f t="shared" si="32"/>
        <v>0.42717471097626242</v>
      </c>
      <c r="AB463" s="291">
        <f t="shared" si="32"/>
        <v>0.41504545579406837</v>
      </c>
      <c r="AC463" s="291">
        <f t="shared" si="32"/>
        <v>0.41249320596040223</v>
      </c>
      <c r="AD463" s="291">
        <f t="shared" si="32"/>
        <v>0.42061291626675268</v>
      </c>
      <c r="AE463" s="291">
        <f t="shared" si="32"/>
        <v>0.42102746038917777</v>
      </c>
      <c r="AF463" s="291">
        <f t="shared" si="32"/>
        <v>0.50697329395225121</v>
      </c>
      <c r="AG463" s="291">
        <f t="shared" si="32"/>
        <v>0.54442904184983987</v>
      </c>
      <c r="AH463" s="291">
        <f t="shared" si="32"/>
        <v>0.52310487487320056</v>
      </c>
      <c r="AI463" s="291">
        <f t="shared" si="32"/>
        <v>0.51974058762126785</v>
      </c>
      <c r="AJ463" s="327">
        <f t="shared" si="34"/>
        <v>0.51974058762126785</v>
      </c>
    </row>
    <row r="464" spans="2:36">
      <c r="B464" s="72" t="s">
        <v>812</v>
      </c>
      <c r="C464" s="72" t="s">
        <v>813</v>
      </c>
      <c r="D464" s="291">
        <f t="shared" si="33"/>
        <v>0</v>
      </c>
      <c r="E464" s="291">
        <f t="shared" si="32"/>
        <v>0</v>
      </c>
      <c r="F464" s="291">
        <f t="shared" si="32"/>
        <v>0</v>
      </c>
      <c r="G464" s="291">
        <f t="shared" si="32"/>
        <v>0</v>
      </c>
      <c r="H464" s="291">
        <f t="shared" si="32"/>
        <v>0</v>
      </c>
      <c r="I464" s="291">
        <f t="shared" si="32"/>
        <v>0</v>
      </c>
      <c r="J464" s="291">
        <f t="shared" si="32"/>
        <v>0</v>
      </c>
      <c r="K464" s="291">
        <f t="shared" si="32"/>
        <v>0</v>
      </c>
      <c r="L464" s="291">
        <f t="shared" si="32"/>
        <v>0</v>
      </c>
      <c r="M464" s="291">
        <f t="shared" si="32"/>
        <v>0</v>
      </c>
      <c r="N464" s="291">
        <f t="shared" si="32"/>
        <v>0</v>
      </c>
      <c r="O464" s="291">
        <f t="shared" si="32"/>
        <v>0</v>
      </c>
      <c r="P464" s="291">
        <f t="shared" si="32"/>
        <v>0</v>
      </c>
      <c r="Q464" s="291">
        <f t="shared" si="32"/>
        <v>0</v>
      </c>
      <c r="R464" s="291">
        <f t="shared" si="32"/>
        <v>0</v>
      </c>
      <c r="S464" s="291">
        <f t="shared" si="32"/>
        <v>0</v>
      </c>
      <c r="T464" s="291">
        <f t="shared" si="32"/>
        <v>0</v>
      </c>
      <c r="U464" s="291">
        <f t="shared" si="32"/>
        <v>0.46936111890981758</v>
      </c>
      <c r="V464" s="291">
        <f t="shared" si="32"/>
        <v>0.33912212868753644</v>
      </c>
      <c r="W464" s="291">
        <f t="shared" si="32"/>
        <v>0.4145595255884314</v>
      </c>
      <c r="X464" s="291">
        <f t="shared" si="32"/>
        <v>0.14581031524083177</v>
      </c>
      <c r="Y464" s="291">
        <f t="shared" si="32"/>
        <v>0.27047348598362991</v>
      </c>
      <c r="Z464" s="291">
        <f t="shared" si="32"/>
        <v>0.32501076166474913</v>
      </c>
      <c r="AA464" s="291">
        <f t="shared" si="32"/>
        <v>0.36082396810659045</v>
      </c>
      <c r="AB464" s="291">
        <f t="shared" si="32"/>
        <v>0.35091952319628</v>
      </c>
      <c r="AC464" s="291">
        <f t="shared" si="32"/>
        <v>0.34424866222728678</v>
      </c>
      <c r="AD464" s="291">
        <f t="shared" si="32"/>
        <v>0.36212083118211619</v>
      </c>
      <c r="AE464" s="291">
        <f t="shared" si="32"/>
        <v>0.40435903337882373</v>
      </c>
      <c r="AF464" s="291">
        <f t="shared" si="32"/>
        <v>0.47097595066002435</v>
      </c>
      <c r="AG464" s="291">
        <f t="shared" si="32"/>
        <v>0.48257404418380778</v>
      </c>
      <c r="AH464" s="291">
        <f t="shared" si="32"/>
        <v>0.44943404924404923</v>
      </c>
      <c r="AI464" s="291">
        <f t="shared" si="32"/>
        <v>0.48503963336916672</v>
      </c>
      <c r="AJ464" s="327">
        <f t="shared" si="34"/>
        <v>0.48503963336916672</v>
      </c>
    </row>
    <row r="465" spans="2:36">
      <c r="B465" s="72" t="s">
        <v>814</v>
      </c>
      <c r="C465" s="72" t="s">
        <v>815</v>
      </c>
      <c r="D465" s="291">
        <f t="shared" si="33"/>
        <v>0.36818097396554333</v>
      </c>
      <c r="E465" s="291">
        <f t="shared" si="32"/>
        <v>0.43494673872376843</v>
      </c>
      <c r="F465" s="291">
        <f t="shared" si="32"/>
        <v>0.45232321787698537</v>
      </c>
      <c r="G465" s="291">
        <f t="shared" si="32"/>
        <v>0.49919478552543456</v>
      </c>
      <c r="H465" s="291">
        <f t="shared" si="32"/>
        <v>0.53672390508109269</v>
      </c>
      <c r="I465" s="291">
        <f t="shared" si="32"/>
        <v>0.52788878874393363</v>
      </c>
      <c r="J465" s="291">
        <f t="shared" si="32"/>
        <v>0.55097429198844494</v>
      </c>
      <c r="K465" s="291">
        <f t="shared" si="32"/>
        <v>0.53884213356270627</v>
      </c>
      <c r="L465" s="291">
        <f t="shared" si="32"/>
        <v>0.50311643770316783</v>
      </c>
      <c r="M465" s="291">
        <f t="shared" si="32"/>
        <v>0.49806293018759801</v>
      </c>
      <c r="N465" s="291">
        <f t="shared" si="32"/>
        <v>0.4762471506844147</v>
      </c>
      <c r="O465" s="291">
        <f t="shared" si="32"/>
        <v>0.44655263164346171</v>
      </c>
      <c r="P465" s="291">
        <f t="shared" si="32"/>
        <v>0.4679313563349049</v>
      </c>
      <c r="Q465" s="291">
        <f t="shared" si="32"/>
        <v>0.54776140236621451</v>
      </c>
      <c r="R465" s="291">
        <f t="shared" si="32"/>
        <v>0.54766847495513304</v>
      </c>
      <c r="S465" s="291">
        <f t="shared" si="32"/>
        <v>0.54295179397416127</v>
      </c>
      <c r="T465" s="291">
        <f t="shared" si="32"/>
        <v>0.50914896724842817</v>
      </c>
      <c r="U465" s="291">
        <f t="shared" si="32"/>
        <v>0.48069122162347055</v>
      </c>
      <c r="V465" s="291">
        <f t="shared" si="32"/>
        <v>0.46003294121505045</v>
      </c>
      <c r="W465" s="291">
        <f t="shared" si="32"/>
        <v>0.46131451557871245</v>
      </c>
      <c r="X465" s="291">
        <f t="shared" si="32"/>
        <v>0.46906670325496241</v>
      </c>
      <c r="Y465" s="291">
        <f t="shared" si="32"/>
        <v>0.50666529168749475</v>
      </c>
      <c r="Z465" s="291">
        <f t="shared" si="32"/>
        <v>0.52951359131534304</v>
      </c>
      <c r="AA465" s="291">
        <f t="shared" si="32"/>
        <v>0.50123642328078755</v>
      </c>
      <c r="AB465" s="291">
        <f t="shared" si="32"/>
        <v>0.44959418093374953</v>
      </c>
      <c r="AC465" s="291">
        <f t="shared" si="32"/>
        <v>0.53117675805541087</v>
      </c>
      <c r="AD465" s="291">
        <f t="shared" si="32"/>
        <v>0.52453306091809537</v>
      </c>
      <c r="AE465" s="291">
        <f t="shared" si="32"/>
        <v>0.41548849437157326</v>
      </c>
      <c r="AF465" s="291">
        <f t="shared" si="32"/>
        <v>0.41850989746193185</v>
      </c>
      <c r="AG465" s="291">
        <f t="shared" si="32"/>
        <v>0.41834983345616727</v>
      </c>
      <c r="AH465" s="291">
        <f t="shared" si="32"/>
        <v>0.44597193487863324</v>
      </c>
      <c r="AI465" s="291">
        <f t="shared" si="32"/>
        <v>0.40765147213551411</v>
      </c>
      <c r="AJ465" s="327">
        <f t="shared" si="34"/>
        <v>0.40765147213551411</v>
      </c>
    </row>
    <row r="466" spans="2:36">
      <c r="B466" s="72" t="s">
        <v>816</v>
      </c>
      <c r="C466" s="72" t="s">
        <v>817</v>
      </c>
      <c r="D466" s="291">
        <f t="shared" si="33"/>
        <v>0.78073162870660617</v>
      </c>
      <c r="E466" s="291">
        <f t="shared" si="32"/>
        <v>0.79802817071556764</v>
      </c>
      <c r="F466" s="291">
        <f t="shared" si="32"/>
        <v>0.94776344526925582</v>
      </c>
      <c r="G466" s="291">
        <f t="shared" si="32"/>
        <v>0.81250891170023121</v>
      </c>
      <c r="H466" s="291">
        <f t="shared" si="32"/>
        <v>0.92937477488703024</v>
      </c>
      <c r="I466" s="291">
        <f t="shared" si="32"/>
        <v>0.75733021759980967</v>
      </c>
      <c r="J466" s="291">
        <f t="shared" si="32"/>
        <v>0.36226925594969384</v>
      </c>
      <c r="K466" s="291">
        <f t="shared" si="32"/>
        <v>0.41154029452727575</v>
      </c>
      <c r="L466" s="291">
        <f t="shared" si="32"/>
        <v>0.57587510317993829</v>
      </c>
      <c r="M466" s="291">
        <f t="shared" si="32"/>
        <v>0.51220244989151575</v>
      </c>
      <c r="N466" s="291">
        <f t="shared" si="32"/>
        <v>0.2953883396312561</v>
      </c>
      <c r="O466" s="291">
        <f t="shared" si="32"/>
        <v>0.3281494727762066</v>
      </c>
      <c r="P466" s="291">
        <f t="shared" si="32"/>
        <v>0.34303019666444134</v>
      </c>
      <c r="Q466" s="291">
        <f t="shared" si="32"/>
        <v>0.43515233799600933</v>
      </c>
      <c r="R466" s="291">
        <f t="shared" si="32"/>
        <v>0.5080763951656655</v>
      </c>
      <c r="S466" s="291">
        <f t="shared" si="32"/>
        <v>0.49681840321060389</v>
      </c>
      <c r="T466" s="291">
        <f t="shared" si="32"/>
        <v>0.50864980801755366</v>
      </c>
      <c r="U466" s="291">
        <f t="shared" si="32"/>
        <v>0.52097812023238776</v>
      </c>
      <c r="V466" s="291">
        <f t="shared" si="32"/>
        <v>0.39886827497410138</v>
      </c>
      <c r="W466" s="291">
        <f t="shared" si="32"/>
        <v>0.43115478036779126</v>
      </c>
      <c r="X466" s="291">
        <f t="shared" si="32"/>
        <v>0.42374602345959744</v>
      </c>
      <c r="Y466" s="291">
        <f t="shared" si="32"/>
        <v>0.47392058163229883</v>
      </c>
      <c r="Z466" s="291">
        <f t="shared" si="32"/>
        <v>0.40754478221532575</v>
      </c>
      <c r="AA466" s="291">
        <f t="shared" si="32"/>
        <v>0.34775949871073131</v>
      </c>
      <c r="AB466" s="291">
        <f t="shared" si="32"/>
        <v>0.31432673393708943</v>
      </c>
      <c r="AC466" s="291">
        <f t="shared" si="32"/>
        <v>0.32136839004725698</v>
      </c>
      <c r="AD466" s="291">
        <f t="shared" si="32"/>
        <v>0.33360412394789984</v>
      </c>
      <c r="AE466" s="291">
        <f t="shared" si="32"/>
        <v>0.3185661614373822</v>
      </c>
      <c r="AF466" s="291">
        <f t="shared" si="32"/>
        <v>0.37452695576565265</v>
      </c>
      <c r="AG466" s="291">
        <f t="shared" si="32"/>
        <v>0.396106924900827</v>
      </c>
      <c r="AH466" s="291">
        <f t="shared" si="32"/>
        <v>0.38588725364881477</v>
      </c>
      <c r="AI466" s="291">
        <f t="shared" si="32"/>
        <v>0.3921775819455236</v>
      </c>
      <c r="AJ466" s="327">
        <f t="shared" si="34"/>
        <v>0.3921775819455236</v>
      </c>
    </row>
    <row r="467" spans="2:36">
      <c r="B467" s="72" t="s">
        <v>396</v>
      </c>
      <c r="C467" s="72" t="s">
        <v>818</v>
      </c>
      <c r="D467" s="291">
        <f t="shared" si="33"/>
        <v>0.59193303100705086</v>
      </c>
      <c r="E467" s="291">
        <f t="shared" si="32"/>
        <v>0.66133031681931087</v>
      </c>
      <c r="F467" s="291">
        <f t="shared" si="32"/>
        <v>0.74892019006276167</v>
      </c>
      <c r="G467" s="291">
        <f t="shared" si="32"/>
        <v>0.8332258663446479</v>
      </c>
      <c r="H467" s="291">
        <f t="shared" si="32"/>
        <v>0.92475704007626569</v>
      </c>
      <c r="I467" s="291">
        <f t="shared" si="32"/>
        <v>0.88420834478849042</v>
      </c>
      <c r="J467" s="291">
        <f t="shared" si="32"/>
        <v>0.71942872486690668</v>
      </c>
      <c r="K467" s="291">
        <f t="shared" si="32"/>
        <v>0.62174645578485166</v>
      </c>
      <c r="L467" s="291">
        <f t="shared" si="32"/>
        <v>0.58722961355026781</v>
      </c>
      <c r="M467" s="291">
        <f t="shared" si="32"/>
        <v>0.64926257221522521</v>
      </c>
      <c r="N467" s="291">
        <f t="shared" si="32"/>
        <v>0.59856794340964203</v>
      </c>
      <c r="O467" s="291">
        <f t="shared" si="32"/>
        <v>0.6351654816170067</v>
      </c>
      <c r="P467" s="291">
        <f t="shared" ref="E467:AI475" si="36">P215/P$250</f>
        <v>0.65625525949687002</v>
      </c>
      <c r="Q467" s="291">
        <f t="shared" si="36"/>
        <v>0.81903407356923441</v>
      </c>
      <c r="R467" s="291">
        <f t="shared" si="36"/>
        <v>0.82511220600960211</v>
      </c>
      <c r="S467" s="291">
        <f t="shared" si="36"/>
        <v>0.84561297806716085</v>
      </c>
      <c r="T467" s="291">
        <f t="shared" si="36"/>
        <v>0.91532092903698759</v>
      </c>
      <c r="U467" s="291">
        <f t="shared" si="36"/>
        <v>0.87988517623784657</v>
      </c>
      <c r="V467" s="291">
        <f t="shared" si="36"/>
        <v>0.79128725621737028</v>
      </c>
      <c r="W467" s="291">
        <f t="shared" si="36"/>
        <v>0.66683139691541471</v>
      </c>
      <c r="X467" s="291">
        <f t="shared" si="36"/>
        <v>0.73288095165919043</v>
      </c>
      <c r="Y467" s="291">
        <f t="shared" si="36"/>
        <v>0.73490342003533682</v>
      </c>
      <c r="Z467" s="291">
        <f t="shared" si="36"/>
        <v>0.66139406902629438</v>
      </c>
      <c r="AA467" s="291">
        <f t="shared" si="36"/>
        <v>0.57396578688205513</v>
      </c>
      <c r="AB467" s="291">
        <f t="shared" si="36"/>
        <v>0.54110925185820169</v>
      </c>
      <c r="AC467" s="291">
        <f t="shared" si="36"/>
        <v>0.55165449887891249</v>
      </c>
      <c r="AD467" s="291">
        <f t="shared" si="36"/>
        <v>0.55456968836593179</v>
      </c>
      <c r="AE467" s="291">
        <f t="shared" si="36"/>
        <v>0.53583387743021582</v>
      </c>
      <c r="AF467" s="291">
        <f t="shared" si="36"/>
        <v>0.55093007401025074</v>
      </c>
      <c r="AG467" s="291">
        <f t="shared" si="36"/>
        <v>0.67452212954235735</v>
      </c>
      <c r="AH467" s="291">
        <f t="shared" si="36"/>
        <v>0.70770295674649275</v>
      </c>
      <c r="AI467" s="291">
        <f t="shared" si="36"/>
        <v>0.69595158042275396</v>
      </c>
      <c r="AJ467" s="327">
        <f t="shared" si="34"/>
        <v>0.69595158042275396</v>
      </c>
    </row>
    <row r="468" spans="2:36">
      <c r="B468" s="72" t="s">
        <v>819</v>
      </c>
      <c r="C468" s="72" t="s">
        <v>820</v>
      </c>
      <c r="D468" s="291">
        <f t="shared" si="33"/>
        <v>0</v>
      </c>
      <c r="E468" s="291">
        <f t="shared" si="36"/>
        <v>0</v>
      </c>
      <c r="F468" s="291">
        <f t="shared" si="36"/>
        <v>0</v>
      </c>
      <c r="G468" s="291">
        <f t="shared" si="36"/>
        <v>0</v>
      </c>
      <c r="H468" s="291">
        <f t="shared" si="36"/>
        <v>0</v>
      </c>
      <c r="I468" s="291">
        <f t="shared" si="36"/>
        <v>0</v>
      </c>
      <c r="J468" s="291">
        <f t="shared" si="36"/>
        <v>0</v>
      </c>
      <c r="K468" s="291">
        <f t="shared" si="36"/>
        <v>0</v>
      </c>
      <c r="L468" s="291">
        <f t="shared" si="36"/>
        <v>0</v>
      </c>
      <c r="M468" s="291">
        <f t="shared" si="36"/>
        <v>0</v>
      </c>
      <c r="N468" s="291">
        <f t="shared" si="36"/>
        <v>0</v>
      </c>
      <c r="O468" s="291">
        <f t="shared" si="36"/>
        <v>0</v>
      </c>
      <c r="P468" s="291">
        <f t="shared" si="36"/>
        <v>0</v>
      </c>
      <c r="Q468" s="291">
        <f t="shared" si="36"/>
        <v>0</v>
      </c>
      <c r="R468" s="291">
        <f t="shared" si="36"/>
        <v>0</v>
      </c>
      <c r="S468" s="291">
        <f t="shared" si="36"/>
        <v>0</v>
      </c>
      <c r="T468" s="291">
        <f t="shared" si="36"/>
        <v>0</v>
      </c>
      <c r="U468" s="291">
        <f t="shared" si="36"/>
        <v>0</v>
      </c>
      <c r="V468" s="291">
        <f t="shared" si="36"/>
        <v>0</v>
      </c>
      <c r="W468" s="291">
        <f t="shared" si="36"/>
        <v>0</v>
      </c>
      <c r="X468" s="291">
        <f t="shared" si="36"/>
        <v>0</v>
      </c>
      <c r="Y468" s="291">
        <f t="shared" si="36"/>
        <v>0</v>
      </c>
      <c r="Z468" s="291">
        <f t="shared" si="36"/>
        <v>0</v>
      </c>
      <c r="AA468" s="291">
        <f t="shared" si="36"/>
        <v>0</v>
      </c>
      <c r="AB468" s="291">
        <f t="shared" si="36"/>
        <v>0</v>
      </c>
      <c r="AC468" s="291">
        <f t="shared" si="36"/>
        <v>0</v>
      </c>
      <c r="AD468" s="291">
        <f t="shared" si="36"/>
        <v>0</v>
      </c>
      <c r="AE468" s="291">
        <f t="shared" si="36"/>
        <v>0</v>
      </c>
      <c r="AF468" s="291">
        <f t="shared" si="36"/>
        <v>0</v>
      </c>
      <c r="AG468" s="291">
        <f t="shared" si="36"/>
        <v>0</v>
      </c>
      <c r="AH468" s="291">
        <f t="shared" si="36"/>
        <v>0</v>
      </c>
      <c r="AI468" s="291">
        <f t="shared" si="36"/>
        <v>0</v>
      </c>
      <c r="AJ468" s="327">
        <f t="shared" si="34"/>
        <v>0</v>
      </c>
    </row>
    <row r="469" spans="2:36">
      <c r="B469" s="72" t="s">
        <v>821</v>
      </c>
      <c r="C469" s="72" t="s">
        <v>822</v>
      </c>
      <c r="D469" s="291">
        <f t="shared" si="33"/>
        <v>0</v>
      </c>
      <c r="E469" s="291">
        <f t="shared" si="36"/>
        <v>0</v>
      </c>
      <c r="F469" s="291">
        <f t="shared" si="36"/>
        <v>0</v>
      </c>
      <c r="G469" s="291">
        <f t="shared" si="36"/>
        <v>0</v>
      </c>
      <c r="H469" s="291">
        <f t="shared" si="36"/>
        <v>0.27224108528335139</v>
      </c>
      <c r="I469" s="291">
        <f t="shared" si="36"/>
        <v>0.26100419913223172</v>
      </c>
      <c r="J469" s="291">
        <f t="shared" si="36"/>
        <v>0.28663265875610611</v>
      </c>
      <c r="K469" s="291">
        <f t="shared" si="36"/>
        <v>0.28677019620055888</v>
      </c>
      <c r="L469" s="291">
        <f t="shared" si="36"/>
        <v>0.25835090404712896</v>
      </c>
      <c r="M469" s="291">
        <f t="shared" si="36"/>
        <v>0.25082090293892201</v>
      </c>
      <c r="N469" s="291">
        <f t="shared" si="36"/>
        <v>0.26454463921200611</v>
      </c>
      <c r="O469" s="291">
        <f t="shared" si="36"/>
        <v>0.32837261659570599</v>
      </c>
      <c r="P469" s="291">
        <f t="shared" si="36"/>
        <v>0.37187569484033384</v>
      </c>
      <c r="Q469" s="291">
        <f t="shared" si="36"/>
        <v>0.44177556978413912</v>
      </c>
      <c r="R469" s="291">
        <f t="shared" si="36"/>
        <v>0.48972084010761646</v>
      </c>
      <c r="S469" s="291">
        <f t="shared" si="36"/>
        <v>0.56002977658499398</v>
      </c>
      <c r="T469" s="291">
        <f t="shared" si="36"/>
        <v>0.56150382160049517</v>
      </c>
      <c r="U469" s="291">
        <f t="shared" si="36"/>
        <v>0.49585222404216645</v>
      </c>
      <c r="V469" s="291">
        <f t="shared" si="36"/>
        <v>0.492421725322639</v>
      </c>
      <c r="W469" s="291">
        <f t="shared" si="36"/>
        <v>0.50510371615562732</v>
      </c>
      <c r="X469" s="291">
        <f t="shared" si="36"/>
        <v>0.50328138201359118</v>
      </c>
      <c r="Y469" s="291">
        <f t="shared" si="36"/>
        <v>0.51748982510099273</v>
      </c>
      <c r="Z469" s="291">
        <f t="shared" si="36"/>
        <v>0.5280017377574221</v>
      </c>
      <c r="AA469" s="291">
        <f t="shared" si="36"/>
        <v>0.59863875563139601</v>
      </c>
      <c r="AB469" s="291">
        <f t="shared" si="36"/>
        <v>0.6139026125542697</v>
      </c>
      <c r="AC469" s="291">
        <f t="shared" si="36"/>
        <v>0.608500930942243</v>
      </c>
      <c r="AD469" s="291">
        <f t="shared" si="36"/>
        <v>0.60393454623232845</v>
      </c>
      <c r="AE469" s="291">
        <f t="shared" si="36"/>
        <v>0.57843100131875336</v>
      </c>
      <c r="AF469" s="291">
        <f t="shared" si="36"/>
        <v>0.65209704148759406</v>
      </c>
      <c r="AG469" s="291">
        <f t="shared" si="36"/>
        <v>0.69498638428231951</v>
      </c>
      <c r="AH469" s="291">
        <f t="shared" si="36"/>
        <v>0.67479087583428532</v>
      </c>
      <c r="AI469" s="291">
        <f t="shared" si="36"/>
        <v>0.67407901748933974</v>
      </c>
      <c r="AJ469" s="327">
        <f t="shared" si="34"/>
        <v>0.67407901748933974</v>
      </c>
    </row>
    <row r="470" spans="2:36">
      <c r="B470" s="72" t="s">
        <v>823</v>
      </c>
      <c r="C470" s="72" t="s">
        <v>824</v>
      </c>
      <c r="D470" s="291">
        <f t="shared" si="33"/>
        <v>0</v>
      </c>
      <c r="E470" s="291">
        <f t="shared" si="36"/>
        <v>0</v>
      </c>
      <c r="F470" s="291">
        <f t="shared" si="36"/>
        <v>0</v>
      </c>
      <c r="G470" s="291">
        <f t="shared" si="36"/>
        <v>0</v>
      </c>
      <c r="H470" s="291">
        <f t="shared" si="36"/>
        <v>0</v>
      </c>
      <c r="I470" s="291">
        <f t="shared" si="36"/>
        <v>0</v>
      </c>
      <c r="J470" s="291">
        <f t="shared" si="36"/>
        <v>0</v>
      </c>
      <c r="K470" s="291">
        <f t="shared" si="36"/>
        <v>0</v>
      </c>
      <c r="L470" s="291">
        <f t="shared" si="36"/>
        <v>0</v>
      </c>
      <c r="M470" s="291">
        <f t="shared" si="36"/>
        <v>0</v>
      </c>
      <c r="N470" s="291">
        <f t="shared" si="36"/>
        <v>0.69605531336463844</v>
      </c>
      <c r="O470" s="291">
        <f t="shared" si="36"/>
        <v>0.52682339945887324</v>
      </c>
      <c r="P470" s="291">
        <f t="shared" si="36"/>
        <v>0.53330877464436399</v>
      </c>
      <c r="Q470" s="291">
        <f t="shared" si="36"/>
        <v>0.59695865397226056</v>
      </c>
      <c r="R470" s="291">
        <f t="shared" si="36"/>
        <v>0.62060455425959793</v>
      </c>
      <c r="S470" s="291">
        <f t="shared" si="36"/>
        <v>0.79886056552128903</v>
      </c>
      <c r="T470" s="291">
        <f t="shared" si="36"/>
        <v>0.76823509955125391</v>
      </c>
      <c r="U470" s="291">
        <f t="shared" si="36"/>
        <v>0.66638683903452822</v>
      </c>
      <c r="V470" s="291">
        <f t="shared" si="36"/>
        <v>0.6545424040660015</v>
      </c>
      <c r="W470" s="291">
        <f t="shared" si="36"/>
        <v>0.63751169947265851</v>
      </c>
      <c r="X470" s="291">
        <f t="shared" si="36"/>
        <v>0.59461775741634015</v>
      </c>
      <c r="Y470" s="291">
        <f t="shared" si="36"/>
        <v>0.6184942862017786</v>
      </c>
      <c r="Z470" s="291">
        <f t="shared" si="36"/>
        <v>0.62394289279000137</v>
      </c>
      <c r="AA470" s="291">
        <f t="shared" si="36"/>
        <v>0.68005891788888539</v>
      </c>
      <c r="AB470" s="291">
        <f t="shared" si="36"/>
        <v>0.65699148892024328</v>
      </c>
      <c r="AC470" s="291">
        <f t="shared" si="36"/>
        <v>0.65753759607403595</v>
      </c>
      <c r="AD470" s="291">
        <f t="shared" si="36"/>
        <v>0.66121761232376663</v>
      </c>
      <c r="AE470" s="291">
        <f t="shared" si="36"/>
        <v>0.66702887891621487</v>
      </c>
      <c r="AF470" s="291">
        <f t="shared" si="36"/>
        <v>0.77659164749232834</v>
      </c>
      <c r="AG470" s="291">
        <f t="shared" si="36"/>
        <v>0.87621224543733933</v>
      </c>
      <c r="AH470" s="291">
        <f t="shared" si="36"/>
        <v>0.84138995723400423</v>
      </c>
      <c r="AI470" s="291">
        <f t="shared" si="36"/>
        <v>0.81808703353938994</v>
      </c>
      <c r="AJ470" s="327">
        <f t="shared" si="34"/>
        <v>0.81808703353938994</v>
      </c>
    </row>
    <row r="471" spans="2:36">
      <c r="B471" s="72" t="s">
        <v>825</v>
      </c>
      <c r="C471" s="72" t="s">
        <v>826</v>
      </c>
      <c r="D471" s="291">
        <f t="shared" si="33"/>
        <v>0</v>
      </c>
      <c r="E471" s="291">
        <f t="shared" si="36"/>
        <v>0</v>
      </c>
      <c r="F471" s="291">
        <f t="shared" si="36"/>
        <v>0</v>
      </c>
      <c r="G471" s="291">
        <f t="shared" si="36"/>
        <v>0</v>
      </c>
      <c r="H471" s="291">
        <f t="shared" si="36"/>
        <v>0</v>
      </c>
      <c r="I471" s="291">
        <f t="shared" si="36"/>
        <v>0</v>
      </c>
      <c r="J471" s="291">
        <f t="shared" si="36"/>
        <v>0</v>
      </c>
      <c r="K471" s="291">
        <f t="shared" si="36"/>
        <v>0</v>
      </c>
      <c r="L471" s="291">
        <f t="shared" si="36"/>
        <v>0</v>
      </c>
      <c r="M471" s="291">
        <f t="shared" si="36"/>
        <v>0</v>
      </c>
      <c r="N471" s="291">
        <f t="shared" si="36"/>
        <v>0.53264069650734824</v>
      </c>
      <c r="O471" s="291">
        <f t="shared" si="36"/>
        <v>0.5039023247364478</v>
      </c>
      <c r="P471" s="291">
        <f t="shared" si="36"/>
        <v>0.51341161059652241</v>
      </c>
      <c r="Q471" s="291">
        <f t="shared" si="36"/>
        <v>0.60936168055061735</v>
      </c>
      <c r="R471" s="291">
        <f t="shared" si="36"/>
        <v>0.60918260067939622</v>
      </c>
      <c r="S471" s="291">
        <f t="shared" si="36"/>
        <v>0.59260233463509837</v>
      </c>
      <c r="T471" s="291">
        <f t="shared" si="36"/>
        <v>0.63088606396515723</v>
      </c>
      <c r="U471" s="291">
        <f t="shared" si="36"/>
        <v>0.60757279536289743</v>
      </c>
      <c r="V471" s="291">
        <f t="shared" si="36"/>
        <v>0.47543991823593923</v>
      </c>
      <c r="W471" s="291">
        <f t="shared" si="36"/>
        <v>0.48775727845576633</v>
      </c>
      <c r="X471" s="291">
        <f t="shared" si="36"/>
        <v>0.55133641137118083</v>
      </c>
      <c r="Y471" s="291">
        <f t="shared" si="36"/>
        <v>0.575211631409559</v>
      </c>
      <c r="Z471" s="291">
        <f t="shared" si="36"/>
        <v>0.47643600192816427</v>
      </c>
      <c r="AA471" s="291">
        <f t="shared" si="36"/>
        <v>0.38362258475418565</v>
      </c>
      <c r="AB471" s="291">
        <f t="shared" si="36"/>
        <v>0.36229429789064332</v>
      </c>
      <c r="AC471" s="291">
        <f t="shared" si="36"/>
        <v>0.36746988296012323</v>
      </c>
      <c r="AD471" s="291">
        <f t="shared" si="36"/>
        <v>0.36802053579907013</v>
      </c>
      <c r="AE471" s="291">
        <f t="shared" si="36"/>
        <v>0.37070198212459787</v>
      </c>
      <c r="AF471" s="291">
        <f t="shared" si="36"/>
        <v>0.40189001761168797</v>
      </c>
      <c r="AG471" s="291">
        <f t="shared" si="36"/>
        <v>0.43530411455274615</v>
      </c>
      <c r="AH471" s="291">
        <f t="shared" si="36"/>
        <v>0.45631372658457586</v>
      </c>
      <c r="AI471" s="291">
        <f t="shared" si="36"/>
        <v>0.47418527116124309</v>
      </c>
      <c r="AJ471" s="327">
        <f t="shared" si="34"/>
        <v>0.47418527116124309</v>
      </c>
    </row>
    <row r="472" spans="2:36">
      <c r="B472" s="72" t="s">
        <v>827</v>
      </c>
      <c r="C472" s="72" t="s">
        <v>828</v>
      </c>
      <c r="D472" s="291">
        <f t="shared" si="33"/>
        <v>0</v>
      </c>
      <c r="E472" s="291">
        <f t="shared" si="36"/>
        <v>0</v>
      </c>
      <c r="F472" s="291">
        <f t="shared" si="36"/>
        <v>0</v>
      </c>
      <c r="G472" s="291">
        <f t="shared" si="36"/>
        <v>0</v>
      </c>
      <c r="H472" s="291">
        <f t="shared" si="36"/>
        <v>0</v>
      </c>
      <c r="I472" s="291">
        <f t="shared" si="36"/>
        <v>0</v>
      </c>
      <c r="J472" s="291">
        <f t="shared" si="36"/>
        <v>0</v>
      </c>
      <c r="K472" s="291">
        <f t="shared" si="36"/>
        <v>0</v>
      </c>
      <c r="L472" s="291">
        <f t="shared" si="36"/>
        <v>0</v>
      </c>
      <c r="M472" s="291">
        <f t="shared" si="36"/>
        <v>0</v>
      </c>
      <c r="N472" s="291">
        <f t="shared" si="36"/>
        <v>0</v>
      </c>
      <c r="O472" s="291">
        <f t="shared" si="36"/>
        <v>0</v>
      </c>
      <c r="P472" s="291">
        <f t="shared" si="36"/>
        <v>0</v>
      </c>
      <c r="Q472" s="291">
        <f t="shared" si="36"/>
        <v>0</v>
      </c>
      <c r="R472" s="291">
        <f t="shared" si="36"/>
        <v>0</v>
      </c>
      <c r="S472" s="291">
        <f t="shared" si="36"/>
        <v>0</v>
      </c>
      <c r="T472" s="291">
        <f t="shared" si="36"/>
        <v>0</v>
      </c>
      <c r="U472" s="291">
        <f t="shared" si="36"/>
        <v>0</v>
      </c>
      <c r="V472" s="291">
        <f t="shared" si="36"/>
        <v>0</v>
      </c>
      <c r="W472" s="291">
        <f t="shared" si="36"/>
        <v>0</v>
      </c>
      <c r="X472" s="291">
        <f t="shared" si="36"/>
        <v>0</v>
      </c>
      <c r="Y472" s="291">
        <f t="shared" si="36"/>
        <v>0</v>
      </c>
      <c r="Z472" s="291">
        <f t="shared" si="36"/>
        <v>0</v>
      </c>
      <c r="AA472" s="291">
        <f t="shared" si="36"/>
        <v>0</v>
      </c>
      <c r="AB472" s="291">
        <f t="shared" si="36"/>
        <v>0</v>
      </c>
      <c r="AC472" s="291">
        <f t="shared" si="36"/>
        <v>0</v>
      </c>
      <c r="AD472" s="291">
        <f t="shared" si="36"/>
        <v>0</v>
      </c>
      <c r="AE472" s="291">
        <f t="shared" si="36"/>
        <v>0</v>
      </c>
      <c r="AF472" s="291">
        <f t="shared" si="36"/>
        <v>0</v>
      </c>
      <c r="AG472" s="291">
        <f t="shared" si="36"/>
        <v>0</v>
      </c>
      <c r="AH472" s="291">
        <f t="shared" si="36"/>
        <v>0</v>
      </c>
      <c r="AI472" s="291">
        <f t="shared" si="36"/>
        <v>0</v>
      </c>
      <c r="AJ472" s="327">
        <f t="shared" si="34"/>
        <v>0</v>
      </c>
    </row>
    <row r="473" spans="2:36">
      <c r="B473" s="72" t="s">
        <v>829</v>
      </c>
      <c r="C473" s="72" t="s">
        <v>830</v>
      </c>
      <c r="D473" s="291">
        <f t="shared" si="33"/>
        <v>0.60699813536648173</v>
      </c>
      <c r="E473" s="291">
        <f t="shared" si="36"/>
        <v>0.64484579521361596</v>
      </c>
      <c r="F473" s="291">
        <f t="shared" si="36"/>
        <v>0.63943850510508993</v>
      </c>
      <c r="G473" s="291">
        <f t="shared" si="36"/>
        <v>0.76439738509794874</v>
      </c>
      <c r="H473" s="291">
        <f t="shared" si="36"/>
        <v>0.78466361178065225</v>
      </c>
      <c r="I473" s="291">
        <f t="shared" si="36"/>
        <v>0.61245336833972308</v>
      </c>
      <c r="J473" s="291">
        <f t="shared" si="36"/>
        <v>0.61449407915863763</v>
      </c>
      <c r="K473" s="291">
        <f t="shared" si="36"/>
        <v>0.67048490425348717</v>
      </c>
      <c r="L473" s="291">
        <f t="shared" si="36"/>
        <v>0.61283621748246531</v>
      </c>
      <c r="M473" s="291">
        <f t="shared" si="36"/>
        <v>0.66076151130594363</v>
      </c>
      <c r="N473" s="291">
        <f t="shared" si="36"/>
        <v>0.50881942501055633</v>
      </c>
      <c r="O473" s="291">
        <f t="shared" si="36"/>
        <v>0.52249612550885105</v>
      </c>
      <c r="P473" s="291">
        <f t="shared" si="36"/>
        <v>0.56282823791670111</v>
      </c>
      <c r="Q473" s="291">
        <f t="shared" si="36"/>
        <v>0.63192174504420673</v>
      </c>
      <c r="R473" s="291">
        <f t="shared" si="36"/>
        <v>0.61514475130846424</v>
      </c>
      <c r="S473" s="291">
        <f t="shared" si="36"/>
        <v>0.62552123241479718</v>
      </c>
      <c r="T473" s="291">
        <f t="shared" si="36"/>
        <v>0.56696621971675232</v>
      </c>
      <c r="U473" s="291">
        <f t="shared" si="36"/>
        <v>0.54018159809978039</v>
      </c>
      <c r="V473" s="291">
        <f t="shared" si="36"/>
        <v>0.46558066870625814</v>
      </c>
      <c r="W473" s="291">
        <f t="shared" si="36"/>
        <v>0.45000048469215442</v>
      </c>
      <c r="X473" s="291">
        <f t="shared" si="36"/>
        <v>0.46296043698537542</v>
      </c>
      <c r="Y473" s="291">
        <f t="shared" si="36"/>
        <v>0.41912083429008218</v>
      </c>
      <c r="Z473" s="291">
        <f t="shared" si="36"/>
        <v>0.35775076804710743</v>
      </c>
      <c r="AA473" s="291">
        <f t="shared" si="36"/>
        <v>0.46330142033247657</v>
      </c>
      <c r="AB473" s="291">
        <f t="shared" si="36"/>
        <v>0.50715555928540312</v>
      </c>
      <c r="AC473" s="291">
        <f t="shared" si="36"/>
        <v>0.52638937069043668</v>
      </c>
      <c r="AD473" s="291">
        <f t="shared" si="36"/>
        <v>0.51115319885376054</v>
      </c>
      <c r="AE473" s="291">
        <f t="shared" si="36"/>
        <v>0.46129898227602922</v>
      </c>
      <c r="AF473" s="291">
        <f t="shared" si="36"/>
        <v>0.44989206374364332</v>
      </c>
      <c r="AG473" s="291">
        <f t="shared" si="36"/>
        <v>0.54268181017080697</v>
      </c>
      <c r="AH473" s="291">
        <f t="shared" si="36"/>
        <v>0.67331031216728399</v>
      </c>
      <c r="AI473" s="291">
        <f t="shared" si="36"/>
        <v>0.67255306469883658</v>
      </c>
      <c r="AJ473" s="327">
        <f t="shared" si="34"/>
        <v>0.67255306469883658</v>
      </c>
    </row>
    <row r="474" spans="2:36">
      <c r="B474" s="72" t="s">
        <v>831</v>
      </c>
      <c r="C474" s="72" t="s">
        <v>832</v>
      </c>
      <c r="D474" s="291">
        <f t="shared" si="33"/>
        <v>0</v>
      </c>
      <c r="E474" s="291">
        <f t="shared" si="36"/>
        <v>0</v>
      </c>
      <c r="F474" s="291">
        <f t="shared" si="36"/>
        <v>0</v>
      </c>
      <c r="G474" s="291">
        <f t="shared" si="36"/>
        <v>0</v>
      </c>
      <c r="H474" s="291">
        <f t="shared" si="36"/>
        <v>0</v>
      </c>
      <c r="I474" s="291">
        <f t="shared" si="36"/>
        <v>0</v>
      </c>
      <c r="J474" s="291">
        <f t="shared" si="36"/>
        <v>0</v>
      </c>
      <c r="K474" s="291">
        <f t="shared" si="36"/>
        <v>0</v>
      </c>
      <c r="L474" s="291">
        <f t="shared" si="36"/>
        <v>0</v>
      </c>
      <c r="M474" s="291">
        <f t="shared" si="36"/>
        <v>0</v>
      </c>
      <c r="N474" s="291">
        <f t="shared" si="36"/>
        <v>0</v>
      </c>
      <c r="O474" s="291">
        <f t="shared" si="36"/>
        <v>0</v>
      </c>
      <c r="P474" s="291">
        <f t="shared" si="36"/>
        <v>0</v>
      </c>
      <c r="Q474" s="291">
        <f t="shared" si="36"/>
        <v>0</v>
      </c>
      <c r="R474" s="291">
        <f t="shared" si="36"/>
        <v>0</v>
      </c>
      <c r="S474" s="291">
        <f t="shared" si="36"/>
        <v>0</v>
      </c>
      <c r="T474" s="291">
        <f t="shared" si="36"/>
        <v>0</v>
      </c>
      <c r="U474" s="291">
        <f t="shared" si="36"/>
        <v>0</v>
      </c>
      <c r="V474" s="291">
        <f t="shared" si="36"/>
        <v>0</v>
      </c>
      <c r="W474" s="291">
        <f t="shared" si="36"/>
        <v>0</v>
      </c>
      <c r="X474" s="291">
        <f t="shared" si="36"/>
        <v>0</v>
      </c>
      <c r="Y474" s="291">
        <f t="shared" si="36"/>
        <v>0</v>
      </c>
      <c r="Z474" s="291">
        <f t="shared" si="36"/>
        <v>0</v>
      </c>
      <c r="AA474" s="291">
        <f t="shared" si="36"/>
        <v>0</v>
      </c>
      <c r="AB474" s="291">
        <f t="shared" si="36"/>
        <v>0</v>
      </c>
      <c r="AC474" s="291">
        <f t="shared" si="36"/>
        <v>0</v>
      </c>
      <c r="AD474" s="291">
        <f t="shared" si="36"/>
        <v>0</v>
      </c>
      <c r="AE474" s="291">
        <f t="shared" si="36"/>
        <v>0</v>
      </c>
      <c r="AF474" s="291">
        <f t="shared" si="36"/>
        <v>0</v>
      </c>
      <c r="AG474" s="291">
        <f t="shared" si="36"/>
        <v>0</v>
      </c>
      <c r="AH474" s="291">
        <f t="shared" si="36"/>
        <v>0</v>
      </c>
      <c r="AI474" s="291">
        <f t="shared" si="36"/>
        <v>0</v>
      </c>
      <c r="AJ474" s="327">
        <f t="shared" si="34"/>
        <v>0</v>
      </c>
    </row>
    <row r="475" spans="2:36">
      <c r="B475" s="72" t="s">
        <v>833</v>
      </c>
      <c r="C475" s="72" t="s">
        <v>834</v>
      </c>
      <c r="D475" s="291">
        <f t="shared" si="33"/>
        <v>0.76872710814610179</v>
      </c>
      <c r="E475" s="291">
        <f t="shared" si="36"/>
        <v>0.69633726410642316</v>
      </c>
      <c r="F475" s="291">
        <f t="shared" si="36"/>
        <v>0.71185072760328327</v>
      </c>
      <c r="G475" s="291">
        <f t="shared" si="36"/>
        <v>0.6665195167840372</v>
      </c>
      <c r="H475" s="291">
        <f t="shared" si="36"/>
        <v>0.71825971968266134</v>
      </c>
      <c r="I475" s="291">
        <f t="shared" si="36"/>
        <v>0.72209521464387283</v>
      </c>
      <c r="J475" s="291">
        <f t="shared" si="36"/>
        <v>0.82297461033107155</v>
      </c>
      <c r="K475" s="291">
        <f t="shared" si="36"/>
        <v>0.84197642252566829</v>
      </c>
      <c r="L475" s="291">
        <f t="shared" si="36"/>
        <v>0.81734470745753385</v>
      </c>
      <c r="M475" s="291">
        <f t="shared" si="36"/>
        <v>0.87085760848888571</v>
      </c>
      <c r="N475" s="291">
        <f t="shared" si="36"/>
        <v>0.92853225316697641</v>
      </c>
      <c r="O475" s="291">
        <f t="shared" si="36"/>
        <v>0.92108539508147147</v>
      </c>
      <c r="P475" s="291">
        <f t="shared" si="36"/>
        <v>0.96619839990706602</v>
      </c>
      <c r="Q475" s="291">
        <f t="shared" si="36"/>
        <v>0.92422255003275389</v>
      </c>
      <c r="R475" s="291">
        <f t="shared" si="36"/>
        <v>0.87989481796443669</v>
      </c>
      <c r="S475" s="291">
        <f t="shared" si="36"/>
        <v>0.9368391416868932</v>
      </c>
      <c r="T475" s="291">
        <f t="shared" si="36"/>
        <v>0.94254961629141887</v>
      </c>
      <c r="U475" s="291">
        <f t="shared" si="36"/>
        <v>0.78654055984898263</v>
      </c>
      <c r="V475" s="291">
        <f t="shared" si="36"/>
        <v>0.74945260629850508</v>
      </c>
      <c r="W475" s="291">
        <f t="shared" ref="E475:AI483" si="37">W223/W$250</f>
        <v>0.73929376454987561</v>
      </c>
      <c r="X475" s="291">
        <f t="shared" si="37"/>
        <v>0.70282628578950945</v>
      </c>
      <c r="Y475" s="291">
        <f t="shared" si="37"/>
        <v>0.73383493264948452</v>
      </c>
      <c r="Z475" s="291">
        <f t="shared" si="37"/>
        <v>0.73370986634756641</v>
      </c>
      <c r="AA475" s="291">
        <f t="shared" si="37"/>
        <v>0.81208869528387351</v>
      </c>
      <c r="AB475" s="291">
        <f t="shared" si="37"/>
        <v>0.81401575890927258</v>
      </c>
      <c r="AC475" s="291">
        <f t="shared" si="37"/>
        <v>0.82238578515470084</v>
      </c>
      <c r="AD475" s="291">
        <f t="shared" si="37"/>
        <v>0.80031918204337404</v>
      </c>
      <c r="AE475" s="291">
        <f t="shared" si="37"/>
        <v>0.77210700127192056</v>
      </c>
      <c r="AF475" s="291">
        <f t="shared" si="37"/>
        <v>0.881641475776199</v>
      </c>
      <c r="AG475" s="291">
        <f t="shared" si="37"/>
        <v>0.96451004735091095</v>
      </c>
      <c r="AH475" s="291">
        <f t="shared" si="37"/>
        <v>0.92414752821848734</v>
      </c>
      <c r="AI475" s="291">
        <f t="shared" si="37"/>
        <v>0.91048214219537771</v>
      </c>
      <c r="AJ475" s="327">
        <f t="shared" si="34"/>
        <v>0.91048214219537771</v>
      </c>
    </row>
    <row r="476" spans="2:36">
      <c r="B476" s="72" t="s">
        <v>835</v>
      </c>
      <c r="C476" s="72" t="s">
        <v>836</v>
      </c>
      <c r="D476" s="291">
        <f t="shared" si="33"/>
        <v>0.32000577001161695</v>
      </c>
      <c r="E476" s="291">
        <f t="shared" si="37"/>
        <v>0.34489065412204978</v>
      </c>
      <c r="F476" s="291">
        <f t="shared" si="37"/>
        <v>0.3830318370027464</v>
      </c>
      <c r="G476" s="291">
        <f t="shared" si="37"/>
        <v>0.43265918923262398</v>
      </c>
      <c r="H476" s="291">
        <f t="shared" si="37"/>
        <v>0.5245093009183297</v>
      </c>
      <c r="I476" s="291">
        <f t="shared" si="37"/>
        <v>0.48389834666278259</v>
      </c>
      <c r="J476" s="291">
        <f t="shared" si="37"/>
        <v>0.4205643175712509</v>
      </c>
      <c r="K476" s="291">
        <f t="shared" si="37"/>
        <v>0.36722877138300347</v>
      </c>
      <c r="L476" s="291">
        <f t="shared" si="37"/>
        <v>0.32345359276945224</v>
      </c>
      <c r="M476" s="291">
        <f t="shared" si="37"/>
        <v>0.32076139224246086</v>
      </c>
      <c r="N476" s="291">
        <f t="shared" si="37"/>
        <v>0.29664873943812042</v>
      </c>
      <c r="O476" s="291">
        <f t="shared" si="37"/>
        <v>0.30093150529570378</v>
      </c>
      <c r="P476" s="291">
        <f t="shared" si="37"/>
        <v>0.301763673041199</v>
      </c>
      <c r="Q476" s="291">
        <f t="shared" si="37"/>
        <v>0.34214985323038694</v>
      </c>
      <c r="R476" s="291">
        <f t="shared" si="37"/>
        <v>0.35443099431905661</v>
      </c>
      <c r="S476" s="291">
        <f t="shared" si="37"/>
        <v>0.35195838884817265</v>
      </c>
      <c r="T476" s="291">
        <f t="shared" si="37"/>
        <v>0.35948412752559084</v>
      </c>
      <c r="U476" s="291">
        <f t="shared" si="37"/>
        <v>0.34654025709365782</v>
      </c>
      <c r="V476" s="291">
        <f t="shared" si="37"/>
        <v>0.33255746633659655</v>
      </c>
      <c r="W476" s="291">
        <f t="shared" si="37"/>
        <v>0.31528459498687644</v>
      </c>
      <c r="X476" s="291">
        <f t="shared" si="37"/>
        <v>0.33321336208023256</v>
      </c>
      <c r="Y476" s="291">
        <f t="shared" si="37"/>
        <v>0.34039340635834997</v>
      </c>
      <c r="Z476" s="291">
        <f t="shared" si="37"/>
        <v>0.33557608811344847</v>
      </c>
      <c r="AA476" s="291">
        <f t="shared" si="37"/>
        <v>0.30793341545043401</v>
      </c>
      <c r="AB476" s="291">
        <f t="shared" si="37"/>
        <v>0.28082732781657399</v>
      </c>
      <c r="AC476" s="291">
        <f t="shared" si="37"/>
        <v>0.30254801820369576</v>
      </c>
      <c r="AD476" s="291">
        <f t="shared" si="37"/>
        <v>0.31590864770988331</v>
      </c>
      <c r="AE476" s="291">
        <f t="shared" si="37"/>
        <v>0.29410997974072484</v>
      </c>
      <c r="AF476" s="291">
        <f t="shared" si="37"/>
        <v>0.36891066776080711</v>
      </c>
      <c r="AG476" s="291">
        <f t="shared" si="37"/>
        <v>0.42311613580351126</v>
      </c>
      <c r="AH476" s="291">
        <f t="shared" si="37"/>
        <v>0.4587037329460758</v>
      </c>
      <c r="AI476" s="291">
        <f t="shared" si="37"/>
        <v>0.46398272504521276</v>
      </c>
      <c r="AJ476" s="327">
        <f t="shared" si="34"/>
        <v>0.46398272504521276</v>
      </c>
    </row>
    <row r="477" spans="2:36">
      <c r="B477" s="72" t="s">
        <v>837</v>
      </c>
      <c r="C477" s="72" t="s">
        <v>838</v>
      </c>
      <c r="D477" s="291">
        <f t="shared" si="33"/>
        <v>0.36290552401471943</v>
      </c>
      <c r="E477" s="291">
        <f t="shared" si="37"/>
        <v>0.43907563684514</v>
      </c>
      <c r="F477" s="291">
        <f t="shared" si="37"/>
        <v>0.50624578964061751</v>
      </c>
      <c r="G477" s="291">
        <f t="shared" si="37"/>
        <v>0.55609616377443694</v>
      </c>
      <c r="H477" s="291">
        <f t="shared" si="37"/>
        <v>0.64436935388397509</v>
      </c>
      <c r="I477" s="291">
        <f t="shared" si="37"/>
        <v>0.6604568526113177</v>
      </c>
      <c r="J477" s="291">
        <f t="shared" si="37"/>
        <v>0.60423411837675356</v>
      </c>
      <c r="K477" s="291">
        <f t="shared" si="37"/>
        <v>0.54381901838353142</v>
      </c>
      <c r="L477" s="291">
        <f t="shared" si="37"/>
        <v>0.50454283842769199</v>
      </c>
      <c r="M477" s="291">
        <f t="shared" si="37"/>
        <v>0.53723506520929454</v>
      </c>
      <c r="N477" s="291">
        <f t="shared" si="37"/>
        <v>0.49968227234010176</v>
      </c>
      <c r="O477" s="291">
        <f t="shared" si="37"/>
        <v>0.4872573770276899</v>
      </c>
      <c r="P477" s="291">
        <f t="shared" si="37"/>
        <v>0.505989128214269</v>
      </c>
      <c r="Q477" s="291">
        <f t="shared" si="37"/>
        <v>0.58870708114984904</v>
      </c>
      <c r="R477" s="291">
        <f t="shared" si="37"/>
        <v>0.60438960420694421</v>
      </c>
      <c r="S477" s="291">
        <f t="shared" si="37"/>
        <v>0.57156854114230427</v>
      </c>
      <c r="T477" s="291">
        <f t="shared" si="37"/>
        <v>0.56747040167170526</v>
      </c>
      <c r="U477" s="291">
        <f t="shared" si="37"/>
        <v>0.56241282860187414</v>
      </c>
      <c r="V477" s="291">
        <f t="shared" si="37"/>
        <v>0.55756237048613577</v>
      </c>
      <c r="W477" s="291">
        <f t="shared" si="37"/>
        <v>0.56120946960468199</v>
      </c>
      <c r="X477" s="291">
        <f t="shared" si="37"/>
        <v>0.76575279846635147</v>
      </c>
      <c r="Y477" s="291">
        <f t="shared" si="37"/>
        <v>0.83068872959277695</v>
      </c>
      <c r="Z477" s="291">
        <f t="shared" si="37"/>
        <v>0.80655586027216353</v>
      </c>
      <c r="AA477" s="291">
        <f t="shared" si="37"/>
        <v>0.6957829299404289</v>
      </c>
      <c r="AB477" s="291">
        <f t="shared" si="37"/>
        <v>0.63154927258387517</v>
      </c>
      <c r="AC477" s="291">
        <f t="shared" si="37"/>
        <v>0.60056040487733242</v>
      </c>
      <c r="AD477" s="291">
        <f t="shared" si="37"/>
        <v>0.65356440395342175</v>
      </c>
      <c r="AE477" s="291">
        <f t="shared" si="37"/>
        <v>0.60517260126355588</v>
      </c>
      <c r="AF477" s="291">
        <f t="shared" si="37"/>
        <v>0.65523574978470955</v>
      </c>
      <c r="AG477" s="291">
        <f t="shared" si="37"/>
        <v>0.75265379373489572</v>
      </c>
      <c r="AH477" s="291">
        <f t="shared" si="37"/>
        <v>0.74927242398742333</v>
      </c>
      <c r="AI477" s="291">
        <f t="shared" si="37"/>
        <v>0.69691894308153202</v>
      </c>
      <c r="AJ477" s="327">
        <f t="shared" si="34"/>
        <v>0.69691894308153202</v>
      </c>
    </row>
    <row r="478" spans="2:36">
      <c r="B478" s="72" t="s">
        <v>839</v>
      </c>
      <c r="C478" s="72" t="s">
        <v>840</v>
      </c>
      <c r="D478" s="291">
        <f t="shared" si="33"/>
        <v>0.47570240948395043</v>
      </c>
      <c r="E478" s="291">
        <f t="shared" si="37"/>
        <v>0.54449949154781507</v>
      </c>
      <c r="F478" s="291">
        <f t="shared" si="37"/>
        <v>0.61674036136790245</v>
      </c>
      <c r="G478" s="291">
        <f t="shared" si="37"/>
        <v>0.69544316370765535</v>
      </c>
      <c r="H478" s="291">
        <f t="shared" si="37"/>
        <v>0.78261034537771412</v>
      </c>
      <c r="I478" s="291">
        <f t="shared" si="37"/>
        <v>0.78090433425129036</v>
      </c>
      <c r="J478" s="291">
        <f t="shared" si="37"/>
        <v>0.68683164624865178</v>
      </c>
      <c r="K478" s="291">
        <f t="shared" si="37"/>
        <v>0.61588883752512735</v>
      </c>
      <c r="L478" s="291">
        <f t="shared" si="37"/>
        <v>0.53640183912171002</v>
      </c>
      <c r="M478" s="291">
        <f t="shared" si="37"/>
        <v>0.56657520431363406</v>
      </c>
      <c r="N478" s="291">
        <f t="shared" si="37"/>
        <v>0.50051405457595044</v>
      </c>
      <c r="O478" s="291">
        <f t="shared" si="37"/>
        <v>0.50146346365324346</v>
      </c>
      <c r="P478" s="291">
        <f t="shared" si="37"/>
        <v>0.50407385740921518</v>
      </c>
      <c r="Q478" s="291">
        <f t="shared" si="37"/>
        <v>0.57543544077438336</v>
      </c>
      <c r="R478" s="291">
        <f t="shared" si="37"/>
        <v>0.57603448967610171</v>
      </c>
      <c r="S478" s="291">
        <f t="shared" si="37"/>
        <v>0.5693327198728676</v>
      </c>
      <c r="T478" s="291">
        <f t="shared" si="37"/>
        <v>0.54214369165367127</v>
      </c>
      <c r="U478" s="291">
        <f t="shared" si="37"/>
        <v>0.54429436348584004</v>
      </c>
      <c r="V478" s="291">
        <f t="shared" si="37"/>
        <v>0.53449706569488264</v>
      </c>
      <c r="W478" s="291">
        <f t="shared" si="37"/>
        <v>0.54863243746321477</v>
      </c>
      <c r="X478" s="291">
        <f t="shared" si="37"/>
        <v>0.62567432121764099</v>
      </c>
      <c r="Y478" s="291">
        <f t="shared" si="37"/>
        <v>0.63515390187124765</v>
      </c>
      <c r="Z478" s="291">
        <f t="shared" si="37"/>
        <v>0.61115228182911407</v>
      </c>
      <c r="AA478" s="291">
        <f t="shared" si="37"/>
        <v>0.55677062751887374</v>
      </c>
      <c r="AB478" s="291">
        <f t="shared" si="37"/>
        <v>0.49579938947294711</v>
      </c>
      <c r="AC478" s="291">
        <f t="shared" si="37"/>
        <v>0.51842320865690539</v>
      </c>
      <c r="AD478" s="291">
        <f t="shared" si="37"/>
        <v>0.51591867900785671</v>
      </c>
      <c r="AE478" s="291">
        <f t="shared" si="37"/>
        <v>0.4912083202109383</v>
      </c>
      <c r="AF478" s="291">
        <f t="shared" si="37"/>
        <v>0.5109445716549168</v>
      </c>
      <c r="AG478" s="291">
        <f t="shared" si="37"/>
        <v>0.58599920837584596</v>
      </c>
      <c r="AH478" s="291">
        <f t="shared" si="37"/>
        <v>0.59730851140470487</v>
      </c>
      <c r="AI478" s="291">
        <f t="shared" si="37"/>
        <v>0.56344675414905976</v>
      </c>
      <c r="AJ478" s="327">
        <f t="shared" si="34"/>
        <v>0.56344675414905976</v>
      </c>
    </row>
    <row r="479" spans="2:36">
      <c r="B479" s="72" t="s">
        <v>841</v>
      </c>
      <c r="C479" s="72" t="s">
        <v>842</v>
      </c>
      <c r="D479" s="291">
        <f t="shared" si="33"/>
        <v>0</v>
      </c>
      <c r="E479" s="291">
        <f t="shared" si="37"/>
        <v>0</v>
      </c>
      <c r="F479" s="291">
        <f t="shared" si="37"/>
        <v>0</v>
      </c>
      <c r="G479" s="291">
        <f t="shared" si="37"/>
        <v>0</v>
      </c>
      <c r="H479" s="291">
        <f t="shared" si="37"/>
        <v>0</v>
      </c>
      <c r="I479" s="291">
        <f t="shared" si="37"/>
        <v>0</v>
      </c>
      <c r="J479" s="291">
        <f t="shared" si="37"/>
        <v>0</v>
      </c>
      <c r="K479" s="291">
        <f t="shared" si="37"/>
        <v>0</v>
      </c>
      <c r="L479" s="291">
        <f t="shared" si="37"/>
        <v>0</v>
      </c>
      <c r="M479" s="291">
        <f t="shared" si="37"/>
        <v>0</v>
      </c>
      <c r="N479" s="291">
        <f t="shared" si="37"/>
        <v>0</v>
      </c>
      <c r="O479" s="291">
        <f t="shared" si="37"/>
        <v>0</v>
      </c>
      <c r="P479" s="291">
        <f t="shared" si="37"/>
        <v>0</v>
      </c>
      <c r="Q479" s="291">
        <f t="shared" si="37"/>
        <v>0</v>
      </c>
      <c r="R479" s="291">
        <f t="shared" si="37"/>
        <v>0</v>
      </c>
      <c r="S479" s="291">
        <f t="shared" si="37"/>
        <v>0</v>
      </c>
      <c r="T479" s="291">
        <f t="shared" si="37"/>
        <v>0</v>
      </c>
      <c r="U479" s="291">
        <f t="shared" si="37"/>
        <v>0</v>
      </c>
      <c r="V479" s="291">
        <f t="shared" si="37"/>
        <v>0</v>
      </c>
      <c r="W479" s="291">
        <f t="shared" si="37"/>
        <v>0</v>
      </c>
      <c r="X479" s="291">
        <f t="shared" si="37"/>
        <v>0</v>
      </c>
      <c r="Y479" s="291">
        <f t="shared" si="37"/>
        <v>0</v>
      </c>
      <c r="Z479" s="291">
        <f t="shared" si="37"/>
        <v>0</v>
      </c>
      <c r="AA479" s="291">
        <f t="shared" si="37"/>
        <v>0</v>
      </c>
      <c r="AB479" s="291">
        <f t="shared" si="37"/>
        <v>0</v>
      </c>
      <c r="AC479" s="291">
        <f t="shared" si="37"/>
        <v>0</v>
      </c>
      <c r="AD479" s="291">
        <f t="shared" si="37"/>
        <v>0</v>
      </c>
      <c r="AE479" s="291">
        <f t="shared" si="37"/>
        <v>0</v>
      </c>
      <c r="AF479" s="291">
        <f t="shared" si="37"/>
        <v>0</v>
      </c>
      <c r="AG479" s="291">
        <f t="shared" si="37"/>
        <v>0</v>
      </c>
      <c r="AH479" s="291">
        <f t="shared" si="37"/>
        <v>0</v>
      </c>
      <c r="AI479" s="291">
        <f t="shared" si="37"/>
        <v>0</v>
      </c>
      <c r="AJ479" s="327">
        <f t="shared" si="34"/>
        <v>0</v>
      </c>
    </row>
    <row r="480" spans="2:36">
      <c r="B480" s="72" t="s">
        <v>843</v>
      </c>
      <c r="C480" s="72" t="s">
        <v>844</v>
      </c>
      <c r="D480" s="291">
        <f t="shared" si="33"/>
        <v>0.33794439812793253</v>
      </c>
      <c r="E480" s="291">
        <f t="shared" si="37"/>
        <v>0.41006083124199105</v>
      </c>
      <c r="F480" s="291">
        <f t="shared" si="37"/>
        <v>0.47872431442302971</v>
      </c>
      <c r="G480" s="291">
        <f t="shared" si="37"/>
        <v>0.55136578510827283</v>
      </c>
      <c r="H480" s="291">
        <f t="shared" si="37"/>
        <v>0.62433430904280129</v>
      </c>
      <c r="I480" s="291">
        <f t="shared" si="37"/>
        <v>0.62834955906506973</v>
      </c>
      <c r="J480" s="291">
        <f t="shared" si="37"/>
        <v>0.56537563020628234</v>
      </c>
      <c r="K480" s="291">
        <f t="shared" si="37"/>
        <v>0.51213037776137826</v>
      </c>
      <c r="L480" s="291">
        <f t="shared" si="37"/>
        <v>0.44655302459627166</v>
      </c>
      <c r="M480" s="291">
        <f t="shared" si="37"/>
        <v>0.47556134850437271</v>
      </c>
      <c r="N480" s="291">
        <f t="shared" si="37"/>
        <v>0.43321625994285207</v>
      </c>
      <c r="O480" s="291">
        <f t="shared" si="37"/>
        <v>0.43713196288325395</v>
      </c>
      <c r="P480" s="291">
        <f t="shared" si="37"/>
        <v>0.43323761345037043</v>
      </c>
      <c r="Q480" s="291">
        <f t="shared" si="37"/>
        <v>0.50383782381736297</v>
      </c>
      <c r="R480" s="291">
        <f t="shared" si="37"/>
        <v>0.51075747454362808</v>
      </c>
      <c r="S480" s="291">
        <f t="shared" si="37"/>
        <v>0.52192324338294704</v>
      </c>
      <c r="T480" s="291">
        <f t="shared" si="37"/>
        <v>0.54080530208523281</v>
      </c>
      <c r="U480" s="291">
        <f t="shared" si="37"/>
        <v>0.46947215736286296</v>
      </c>
      <c r="V480" s="291">
        <f t="shared" si="37"/>
        <v>0.46475948484222507</v>
      </c>
      <c r="W480" s="291">
        <f t="shared" si="37"/>
        <v>0.46365753544806287</v>
      </c>
      <c r="X480" s="291">
        <f t="shared" si="37"/>
        <v>0.59975564046719176</v>
      </c>
      <c r="Y480" s="291">
        <f t="shared" si="37"/>
        <v>0.66744018164802976</v>
      </c>
      <c r="Z480" s="291">
        <f t="shared" si="37"/>
        <v>0.63620917757168349</v>
      </c>
      <c r="AA480" s="291">
        <f t="shared" si="37"/>
        <v>0.54294447726664485</v>
      </c>
      <c r="AB480" s="291">
        <f t="shared" si="37"/>
        <v>0.49617740217833062</v>
      </c>
      <c r="AC480" s="291">
        <f t="shared" si="37"/>
        <v>0.49520130656233885</v>
      </c>
      <c r="AD480" s="291">
        <f t="shared" si="37"/>
        <v>0.49467151040013918</v>
      </c>
      <c r="AE480" s="291">
        <f t="shared" si="37"/>
        <v>0.46575671645369771</v>
      </c>
      <c r="AF480" s="291">
        <f t="shared" si="37"/>
        <v>0.49521286967722794</v>
      </c>
      <c r="AG480" s="291">
        <f t="shared" si="37"/>
        <v>0.55965109338052732</v>
      </c>
      <c r="AH480" s="291">
        <f t="shared" si="37"/>
        <v>0.5741983159506947</v>
      </c>
      <c r="AI480" s="291">
        <f t="shared" si="37"/>
        <v>0.53623742679530917</v>
      </c>
      <c r="AJ480" s="327">
        <f t="shared" si="34"/>
        <v>0.53623742679530917</v>
      </c>
    </row>
    <row r="481" spans="2:36">
      <c r="B481" s="72" t="s">
        <v>845</v>
      </c>
      <c r="C481" s="72" t="s">
        <v>846</v>
      </c>
      <c r="D481" s="291">
        <f t="shared" si="33"/>
        <v>0.69302883479459465</v>
      </c>
      <c r="E481" s="291">
        <f t="shared" si="37"/>
        <v>0.83862372837887478</v>
      </c>
      <c r="F481" s="291">
        <f t="shared" si="37"/>
        <v>0.82244308571095448</v>
      </c>
      <c r="G481" s="291">
        <f t="shared" si="37"/>
        <v>0.80529169752928853</v>
      </c>
      <c r="H481" s="291">
        <f t="shared" si="37"/>
        <v>1.0959341890055934</v>
      </c>
      <c r="I481" s="291">
        <f t="shared" si="37"/>
        <v>1.4204239223815542</v>
      </c>
      <c r="J481" s="291">
        <f t="shared" si="37"/>
        <v>1.4618022191477837</v>
      </c>
      <c r="K481" s="291">
        <f t="shared" si="37"/>
        <v>1.4080053346818264</v>
      </c>
      <c r="L481" s="291">
        <f t="shared" si="37"/>
        <v>0.91788402866346985</v>
      </c>
      <c r="M481" s="291">
        <f t="shared" si="37"/>
        <v>0.84192005623389576</v>
      </c>
      <c r="N481" s="291">
        <f t="shared" si="37"/>
        <v>0.61846386510550921</v>
      </c>
      <c r="O481" s="291">
        <f t="shared" si="37"/>
        <v>0.49957446161438296</v>
      </c>
      <c r="P481" s="291">
        <f t="shared" si="37"/>
        <v>0.28128634311046269</v>
      </c>
      <c r="Q481" s="291">
        <f t="shared" si="37"/>
        <v>0.3864585546530741</v>
      </c>
      <c r="R481" s="291">
        <f t="shared" si="37"/>
        <v>0.53198259048387486</v>
      </c>
      <c r="S481" s="291">
        <f t="shared" si="37"/>
        <v>0.51115703005417357</v>
      </c>
      <c r="T481" s="291">
        <f t="shared" si="37"/>
        <v>0.31278573986737956</v>
      </c>
      <c r="U481" s="291">
        <f t="shared" si="37"/>
        <v>0.34611574448427251</v>
      </c>
      <c r="V481" s="291">
        <f t="shared" si="37"/>
        <v>0.30679971153481445</v>
      </c>
      <c r="W481" s="291">
        <f t="shared" si="37"/>
        <v>0.28185322062167123</v>
      </c>
      <c r="X481" s="291">
        <f t="shared" si="37"/>
        <v>0.32049872321902484</v>
      </c>
      <c r="Y481" s="291">
        <f t="shared" si="37"/>
        <v>0.33867611083086258</v>
      </c>
      <c r="Z481" s="291">
        <f t="shared" si="37"/>
        <v>0.34061828001602545</v>
      </c>
      <c r="AA481" s="291">
        <f t="shared" si="37"/>
        <v>0.33368337984285862</v>
      </c>
      <c r="AB481" s="291">
        <f t="shared" si="37"/>
        <v>0.33921661059244806</v>
      </c>
      <c r="AC481" s="291">
        <f t="shared" si="37"/>
        <v>0.38215183745343562</v>
      </c>
      <c r="AD481" s="291">
        <f t="shared" si="37"/>
        <v>0.44179994962569702</v>
      </c>
      <c r="AE481" s="291">
        <f t="shared" si="37"/>
        <v>0.45045689281009349</v>
      </c>
      <c r="AF481" s="291">
        <f t="shared" si="37"/>
        <v>0.52517002098290078</v>
      </c>
      <c r="AG481" s="291">
        <f t="shared" si="37"/>
        <v>0.55917067548207011</v>
      </c>
      <c r="AH481" s="291">
        <f t="shared" si="37"/>
        <v>0.65095690454086397</v>
      </c>
      <c r="AI481" s="291">
        <f t="shared" si="37"/>
        <v>0.56370608752815188</v>
      </c>
      <c r="AJ481" s="327">
        <f t="shared" si="34"/>
        <v>0.56370608752815188</v>
      </c>
    </row>
    <row r="482" spans="2:36">
      <c r="B482" s="72" t="s">
        <v>847</v>
      </c>
      <c r="C482" s="72" t="s">
        <v>848</v>
      </c>
      <c r="D482" s="291">
        <f t="shared" si="33"/>
        <v>0.67312774464619007</v>
      </c>
      <c r="E482" s="291">
        <f t="shared" si="37"/>
        <v>0.78067772623708098</v>
      </c>
      <c r="F482" s="291">
        <f t="shared" si="37"/>
        <v>0.87675852129117493</v>
      </c>
      <c r="G482" s="291">
        <f t="shared" si="37"/>
        <v>0.95363207877133205</v>
      </c>
      <c r="H482" s="291">
        <f t="shared" si="37"/>
        <v>1.056670779225771</v>
      </c>
      <c r="I482" s="291">
        <f t="shared" si="37"/>
        <v>1.0632474328032531</v>
      </c>
      <c r="J482" s="291">
        <f t="shared" si="37"/>
        <v>0.94994487729323029</v>
      </c>
      <c r="K482" s="291">
        <f t="shared" si="37"/>
        <v>1.0275908331001178</v>
      </c>
      <c r="L482" s="291">
        <f t="shared" si="37"/>
        <v>0.97030287266598525</v>
      </c>
      <c r="M482" s="291">
        <f t="shared" si="37"/>
        <v>0.37728135214031827</v>
      </c>
      <c r="N482" s="291">
        <f t="shared" si="37"/>
        <v>0.23490982282031017</v>
      </c>
      <c r="O482" s="291">
        <f t="shared" si="37"/>
        <v>0.2376707408593384</v>
      </c>
      <c r="P482" s="291">
        <f t="shared" si="37"/>
        <v>0.21351733589178296</v>
      </c>
      <c r="Q482" s="291">
        <f t="shared" si="37"/>
        <v>0.28169047840552924</v>
      </c>
      <c r="R482" s="291">
        <f t="shared" si="37"/>
        <v>0.36604206705416253</v>
      </c>
      <c r="S482" s="291">
        <f t="shared" si="37"/>
        <v>0.391098685913574</v>
      </c>
      <c r="T482" s="291">
        <f t="shared" si="37"/>
        <v>0.47594336437116297</v>
      </c>
      <c r="U482" s="291">
        <f t="shared" si="37"/>
        <v>0.45959569443528481</v>
      </c>
      <c r="V482" s="291">
        <f t="shared" si="37"/>
        <v>0.44167937270993729</v>
      </c>
      <c r="W482" s="291">
        <f t="shared" si="37"/>
        <v>0.41646110181743884</v>
      </c>
      <c r="X482" s="291">
        <f t="shared" si="37"/>
        <v>0.45095992914239813</v>
      </c>
      <c r="Y482" s="291">
        <f t="shared" si="37"/>
        <v>0.38502183983171351</v>
      </c>
      <c r="Z482" s="291">
        <f t="shared" si="37"/>
        <v>0.48956093324772593</v>
      </c>
      <c r="AA482" s="291">
        <f t="shared" si="37"/>
        <v>0.47931078567285434</v>
      </c>
      <c r="AB482" s="291">
        <f t="shared" si="37"/>
        <v>0.45248994185851393</v>
      </c>
      <c r="AC482" s="291">
        <f t="shared" si="37"/>
        <v>0.506806834769299</v>
      </c>
      <c r="AD482" s="291">
        <f t="shared" si="37"/>
        <v>0.693585375363725</v>
      </c>
      <c r="AE482" s="291">
        <f t="shared" si="37"/>
        <v>0.64099162663176723</v>
      </c>
      <c r="AF482" s="291">
        <f t="shared" si="37"/>
        <v>0.78191493293529934</v>
      </c>
      <c r="AG482" s="291">
        <f t="shared" si="37"/>
        <v>0.96340519112539502</v>
      </c>
      <c r="AH482" s="291">
        <f t="shared" si="37"/>
        <v>1.023584810351075</v>
      </c>
      <c r="AI482" s="291">
        <f t="shared" si="37"/>
        <v>0</v>
      </c>
      <c r="AJ482" s="327">
        <f t="shared" si="34"/>
        <v>0</v>
      </c>
    </row>
    <row r="483" spans="2:36">
      <c r="B483" s="72" t="s">
        <v>849</v>
      </c>
      <c r="C483" s="72" t="s">
        <v>850</v>
      </c>
      <c r="D483" s="291">
        <f t="shared" si="33"/>
        <v>0.71250409887211563</v>
      </c>
      <c r="E483" s="291">
        <f t="shared" si="37"/>
        <v>0.68453965139916106</v>
      </c>
      <c r="F483" s="291">
        <f t="shared" si="37"/>
        <v>0.67937363069745105</v>
      </c>
      <c r="G483" s="291">
        <f t="shared" si="37"/>
        <v>0.7560152837960481</v>
      </c>
      <c r="H483" s="291">
        <f t="shared" si="37"/>
        <v>0.70756989019691829</v>
      </c>
      <c r="I483" s="291">
        <f t="shared" si="37"/>
        <v>0.48344781706878309</v>
      </c>
      <c r="J483" s="291">
        <f t="shared" si="37"/>
        <v>0.44890265917347427</v>
      </c>
      <c r="K483" s="291">
        <f t="shared" si="37"/>
        <v>0.43082797999999367</v>
      </c>
      <c r="L483" s="291">
        <f t="shared" si="37"/>
        <v>0.41602386908361977</v>
      </c>
      <c r="M483" s="291">
        <f t="shared" si="37"/>
        <v>0.37476751243350165</v>
      </c>
      <c r="N483" s="291">
        <f t="shared" si="37"/>
        <v>0.42307404806402066</v>
      </c>
      <c r="O483" s="291">
        <f t="shared" si="37"/>
        <v>0.40898955124683034</v>
      </c>
      <c r="P483" s="291">
        <f t="shared" si="37"/>
        <v>0.42711069980769178</v>
      </c>
      <c r="Q483" s="291">
        <f t="shared" si="37"/>
        <v>0.49801751359204222</v>
      </c>
      <c r="R483" s="291">
        <f t="shared" si="37"/>
        <v>0.49057976532931952</v>
      </c>
      <c r="S483" s="291">
        <f t="shared" si="37"/>
        <v>0.52747806589899371</v>
      </c>
      <c r="T483" s="291">
        <f t="shared" si="37"/>
        <v>0.47959544683135918</v>
      </c>
      <c r="U483" s="291">
        <f t="shared" si="37"/>
        <v>0.46779452885817907</v>
      </c>
      <c r="V483" s="291">
        <f t="shared" si="37"/>
        <v>0.40172779372162759</v>
      </c>
      <c r="W483" s="291">
        <f t="shared" si="37"/>
        <v>0.3821187202480299</v>
      </c>
      <c r="X483" s="291">
        <f t="shared" si="37"/>
        <v>0.39716262898432159</v>
      </c>
      <c r="Y483" s="291">
        <f t="shared" si="37"/>
        <v>0.36249937735745785</v>
      </c>
      <c r="Z483" s="291">
        <f t="shared" si="37"/>
        <v>0.30492214699965131</v>
      </c>
      <c r="AA483" s="291">
        <f t="shared" si="37"/>
        <v>0.3977091925957148</v>
      </c>
      <c r="AB483" s="291">
        <f t="shared" si="37"/>
        <v>0.44341953444908971</v>
      </c>
      <c r="AC483" s="291">
        <f t="shared" si="37"/>
        <v>0.44768002238888382</v>
      </c>
      <c r="AD483" s="291">
        <f t="shared" ref="E483:AI492" si="38">AD231/AD$250</f>
        <v>0.47987220450728679</v>
      </c>
      <c r="AE483" s="291">
        <f t="shared" si="38"/>
        <v>0.41725694600553592</v>
      </c>
      <c r="AF483" s="291">
        <f t="shared" si="38"/>
        <v>0.42565648568964021</v>
      </c>
      <c r="AG483" s="291">
        <f t="shared" si="38"/>
        <v>0.47217282957834533</v>
      </c>
      <c r="AH483" s="291">
        <f t="shared" si="38"/>
        <v>0.57670681954756642</v>
      </c>
      <c r="AI483" s="291">
        <f t="shared" si="38"/>
        <v>0.56175712619280749</v>
      </c>
      <c r="AJ483" s="327">
        <f t="shared" si="34"/>
        <v>0.56175712619280749</v>
      </c>
    </row>
    <row r="484" spans="2:36">
      <c r="B484" s="72" t="s">
        <v>851</v>
      </c>
      <c r="C484" s="72" t="s">
        <v>386</v>
      </c>
      <c r="D484" s="291">
        <f t="shared" si="33"/>
        <v>1.3092199496365013</v>
      </c>
      <c r="E484" s="291">
        <f t="shared" si="38"/>
        <v>1.2431357525701845</v>
      </c>
      <c r="F484" s="291">
        <f t="shared" si="38"/>
        <v>1.1600333631110813</v>
      </c>
      <c r="G484" s="291">
        <f t="shared" si="38"/>
        <v>1.14431139631973</v>
      </c>
      <c r="H484" s="291">
        <f t="shared" si="38"/>
        <v>1.2429476333740106</v>
      </c>
      <c r="I484" s="291">
        <f t="shared" si="38"/>
        <v>1.2469325848619242</v>
      </c>
      <c r="J484" s="291">
        <f t="shared" si="38"/>
        <v>1.3582149155640213</v>
      </c>
      <c r="K484" s="291">
        <f t="shared" si="38"/>
        <v>1.3624188441857752</v>
      </c>
      <c r="L484" s="291">
        <f t="shared" si="38"/>
        <v>1.296108377759017</v>
      </c>
      <c r="M484" s="291">
        <f t="shared" si="38"/>
        <v>1.3470349030706561</v>
      </c>
      <c r="N484" s="291">
        <f t="shared" si="38"/>
        <v>1.3643771439968759</v>
      </c>
      <c r="O484" s="291">
        <f t="shared" si="38"/>
        <v>1.3761531205897111</v>
      </c>
      <c r="P484" s="291">
        <f t="shared" si="38"/>
        <v>1.3975724835211774</v>
      </c>
      <c r="Q484" s="291">
        <f t="shared" si="38"/>
        <v>1.2281001047576205</v>
      </c>
      <c r="R484" s="291">
        <f t="shared" si="38"/>
        <v>1.2264082810177921</v>
      </c>
      <c r="S484" s="291">
        <f t="shared" si="38"/>
        <v>1.2995056948422645</v>
      </c>
      <c r="T484" s="291">
        <f t="shared" si="38"/>
        <v>1.3784412138629443</v>
      </c>
      <c r="U484" s="291">
        <f t="shared" si="38"/>
        <v>1.1721809693873497</v>
      </c>
      <c r="V484" s="291">
        <f t="shared" si="38"/>
        <v>1.1031335678334939</v>
      </c>
      <c r="W484" s="291">
        <f t="shared" si="38"/>
        <v>1.0652596888961785</v>
      </c>
      <c r="X484" s="291">
        <f t="shared" si="38"/>
        <v>1.036091645013423</v>
      </c>
      <c r="Y484" s="291">
        <f t="shared" si="38"/>
        <v>1.0033576007852401</v>
      </c>
      <c r="Z484" s="291">
        <f t="shared" si="38"/>
        <v>1.020971614616677</v>
      </c>
      <c r="AA484" s="291">
        <f t="shared" si="38"/>
        <v>1.1033914458653997</v>
      </c>
      <c r="AB484" s="291">
        <f t="shared" si="38"/>
        <v>1.0698667547751648</v>
      </c>
      <c r="AC484" s="291">
        <f t="shared" si="38"/>
        <v>1.0849577449384631</v>
      </c>
      <c r="AD484" s="291">
        <f t="shared" si="38"/>
        <v>1.067645219360926</v>
      </c>
      <c r="AE484" s="291">
        <f t="shared" si="38"/>
        <v>1.0180434407774392</v>
      </c>
      <c r="AF484" s="291">
        <f t="shared" si="38"/>
        <v>1.1125010078127666</v>
      </c>
      <c r="AG484" s="291">
        <f t="shared" si="38"/>
        <v>1.1399744472065454</v>
      </c>
      <c r="AH484" s="291">
        <f t="shared" si="38"/>
        <v>1.2249594563943247</v>
      </c>
      <c r="AI484" s="291">
        <f t="shared" si="38"/>
        <v>1.2575133582661229</v>
      </c>
      <c r="AJ484" s="327">
        <f t="shared" si="34"/>
        <v>1.2575133582661229</v>
      </c>
    </row>
    <row r="485" spans="2:36">
      <c r="B485" s="72" t="s">
        <v>852</v>
      </c>
      <c r="C485" s="72" t="s">
        <v>853</v>
      </c>
      <c r="D485" s="291">
        <f t="shared" si="33"/>
        <v>1.0865295382609939</v>
      </c>
      <c r="E485" s="291">
        <f t="shared" si="38"/>
        <v>1.0168929696629192</v>
      </c>
      <c r="F485" s="291">
        <f t="shared" si="38"/>
        <v>1.131045252208924</v>
      </c>
      <c r="G485" s="291">
        <f t="shared" si="38"/>
        <v>1.2234536445085771</v>
      </c>
      <c r="H485" s="291">
        <f t="shared" si="38"/>
        <v>1.2355822719208649</v>
      </c>
      <c r="I485" s="291">
        <f t="shared" si="38"/>
        <v>1.1833076769012523</v>
      </c>
      <c r="J485" s="291">
        <f t="shared" si="38"/>
        <v>1.4097638712906873</v>
      </c>
      <c r="K485" s="291">
        <f t="shared" si="38"/>
        <v>1.4797287796709571</v>
      </c>
      <c r="L485" s="291">
        <f t="shared" si="38"/>
        <v>1.3399709988171822</v>
      </c>
      <c r="M485" s="291">
        <f t="shared" si="38"/>
        <v>1.2561239904268433</v>
      </c>
      <c r="N485" s="291">
        <f t="shared" si="38"/>
        <v>1.3234793776774807</v>
      </c>
      <c r="O485" s="291">
        <f t="shared" si="38"/>
        <v>1.2780529268881642</v>
      </c>
      <c r="P485" s="291">
        <f t="shared" si="38"/>
        <v>1.2891220787150477</v>
      </c>
      <c r="Q485" s="291">
        <f t="shared" si="38"/>
        <v>1.4279412436509724</v>
      </c>
      <c r="R485" s="291">
        <f t="shared" si="38"/>
        <v>1.5057676510860509</v>
      </c>
      <c r="S485" s="291">
        <f t="shared" si="38"/>
        <v>1.6570112002410258</v>
      </c>
      <c r="T485" s="291">
        <f t="shared" si="38"/>
        <v>1.5678373198026339</v>
      </c>
      <c r="U485" s="291">
        <f t="shared" si="38"/>
        <v>1.2562312427478082</v>
      </c>
      <c r="V485" s="291">
        <f t="shared" si="38"/>
        <v>1.2128466579701513</v>
      </c>
      <c r="W485" s="291">
        <f t="shared" si="38"/>
        <v>1.1803418437818554</v>
      </c>
      <c r="X485" s="291">
        <f t="shared" si="38"/>
        <v>1.1392242583553942</v>
      </c>
      <c r="Y485" s="291">
        <f t="shared" si="38"/>
        <v>1.2083647307438485</v>
      </c>
      <c r="Z485" s="291">
        <f t="shared" si="38"/>
        <v>1.2079999067890697</v>
      </c>
      <c r="AA485" s="291">
        <f t="shared" si="38"/>
        <v>1.2605515723658594</v>
      </c>
      <c r="AB485" s="291">
        <f t="shared" si="38"/>
        <v>1.2179853635602791</v>
      </c>
      <c r="AC485" s="291">
        <f t="shared" si="38"/>
        <v>1.2100136455989174</v>
      </c>
      <c r="AD485" s="291">
        <f t="shared" si="38"/>
        <v>1.1471638137992848</v>
      </c>
      <c r="AE485" s="291">
        <f t="shared" si="38"/>
        <v>1.0327951708659506</v>
      </c>
      <c r="AF485" s="291">
        <f t="shared" si="38"/>
        <v>1.1950556366825187</v>
      </c>
      <c r="AG485" s="291">
        <f t="shared" si="38"/>
        <v>1.3659150026102691</v>
      </c>
      <c r="AH485" s="291">
        <f t="shared" si="38"/>
        <v>1.4110003621180873</v>
      </c>
      <c r="AI485" s="291">
        <f t="shared" si="38"/>
        <v>1.4857025280735199</v>
      </c>
      <c r="AJ485" s="327">
        <f t="shared" si="34"/>
        <v>1.4857025280735199</v>
      </c>
    </row>
    <row r="486" spans="2:36">
      <c r="B486" s="72" t="s">
        <v>854</v>
      </c>
      <c r="C486" s="72" t="s">
        <v>855</v>
      </c>
      <c r="D486" s="291">
        <f t="shared" si="33"/>
        <v>0.80744581481308586</v>
      </c>
      <c r="E486" s="291">
        <f t="shared" si="38"/>
        <v>0.90948243581417609</v>
      </c>
      <c r="F486" s="291">
        <f t="shared" si="38"/>
        <v>1.0017897808523708</v>
      </c>
      <c r="G486" s="291">
        <f t="shared" si="38"/>
        <v>1.1644529421821452</v>
      </c>
      <c r="H486" s="291">
        <f t="shared" si="38"/>
        <v>1.3160706994944464</v>
      </c>
      <c r="I486" s="291">
        <f t="shared" si="38"/>
        <v>1.1381784939191582</v>
      </c>
      <c r="J486" s="291">
        <f t="shared" si="38"/>
        <v>0.8214489552447003</v>
      </c>
      <c r="K486" s="291">
        <f t="shared" si="38"/>
        <v>0.5863118723039592</v>
      </c>
      <c r="L486" s="291">
        <f t="shared" si="38"/>
        <v>0.41668253523907112</v>
      </c>
      <c r="M486" s="291">
        <f t="shared" si="38"/>
        <v>0.43199199271095717</v>
      </c>
      <c r="N486" s="291">
        <f t="shared" si="38"/>
        <v>0.42911963403469194</v>
      </c>
      <c r="O486" s="291">
        <f t="shared" si="38"/>
        <v>0.39721777184833951</v>
      </c>
      <c r="P486" s="291">
        <f t="shared" si="38"/>
        <v>0.34705339969626525</v>
      </c>
      <c r="Q486" s="291">
        <f t="shared" si="38"/>
        <v>0.3878784933672591</v>
      </c>
      <c r="R486" s="291">
        <f t="shared" si="38"/>
        <v>0.25700997046449331</v>
      </c>
      <c r="S486" s="291">
        <f t="shared" si="38"/>
        <v>0.25780912565543457</v>
      </c>
      <c r="T486" s="291">
        <f t="shared" si="38"/>
        <v>0.29699204168549581</v>
      </c>
      <c r="U486" s="291">
        <f t="shared" si="38"/>
        <v>0.28987340298080932</v>
      </c>
      <c r="V486" s="291">
        <f t="shared" si="38"/>
        <v>0.27424888894038801</v>
      </c>
      <c r="W486" s="291">
        <f t="shared" si="38"/>
        <v>0.29622769277219407</v>
      </c>
      <c r="X486" s="291">
        <f t="shared" si="38"/>
        <v>0.37699773036381368</v>
      </c>
      <c r="Y486" s="291">
        <f t="shared" si="38"/>
        <v>0.40811699829405412</v>
      </c>
      <c r="Z486" s="291">
        <f t="shared" si="38"/>
        <v>0.37197664144974646</v>
      </c>
      <c r="AA486" s="291">
        <f t="shared" si="38"/>
        <v>0.3292947795326272</v>
      </c>
      <c r="AB486" s="291">
        <f t="shared" si="38"/>
        <v>0.31110416479653835</v>
      </c>
      <c r="AC486" s="291">
        <f t="shared" si="38"/>
        <v>0.32655415462627446</v>
      </c>
      <c r="AD486" s="291">
        <f t="shared" si="38"/>
        <v>0.3486712157644854</v>
      </c>
      <c r="AE486" s="291">
        <f t="shared" si="38"/>
        <v>0.34738388469439085</v>
      </c>
      <c r="AF486" s="291">
        <f t="shared" si="38"/>
        <v>0.45681490259080398</v>
      </c>
      <c r="AG486" s="291">
        <f t="shared" si="38"/>
        <v>0.50805728785758586</v>
      </c>
      <c r="AH486" s="291">
        <f t="shared" si="38"/>
        <v>0.5365546266338771</v>
      </c>
      <c r="AI486" s="291">
        <f t="shared" si="38"/>
        <v>0</v>
      </c>
      <c r="AJ486" s="327">
        <f t="shared" si="34"/>
        <v>0</v>
      </c>
    </row>
    <row r="487" spans="2:36">
      <c r="B487" s="72" t="s">
        <v>856</v>
      </c>
      <c r="C487" s="72" t="s">
        <v>857</v>
      </c>
      <c r="D487" s="291">
        <f t="shared" si="33"/>
        <v>0</v>
      </c>
      <c r="E487" s="291">
        <f t="shared" si="38"/>
        <v>0</v>
      </c>
      <c r="F487" s="291">
        <f t="shared" si="38"/>
        <v>0</v>
      </c>
      <c r="G487" s="291">
        <f t="shared" si="38"/>
        <v>0</v>
      </c>
      <c r="H487" s="291">
        <f t="shared" si="38"/>
        <v>0</v>
      </c>
      <c r="I487" s="291">
        <f t="shared" si="38"/>
        <v>0</v>
      </c>
      <c r="J487" s="291">
        <f t="shared" si="38"/>
        <v>0</v>
      </c>
      <c r="K487" s="291">
        <f t="shared" si="38"/>
        <v>0</v>
      </c>
      <c r="L487" s="291">
        <f t="shared" si="38"/>
        <v>0</v>
      </c>
      <c r="M487" s="291">
        <f t="shared" si="38"/>
        <v>0</v>
      </c>
      <c r="N487" s="291">
        <f t="shared" si="38"/>
        <v>0.21353218199465601</v>
      </c>
      <c r="O487" s="291">
        <f t="shared" si="38"/>
        <v>0.20990051302420262</v>
      </c>
      <c r="P487" s="291">
        <f t="shared" si="38"/>
        <v>0.21617180496886301</v>
      </c>
      <c r="Q487" s="291">
        <f t="shared" si="38"/>
        <v>0.25369516266937386</v>
      </c>
      <c r="R487" s="291">
        <f t="shared" si="38"/>
        <v>0.25433092753981595</v>
      </c>
      <c r="S487" s="291">
        <f t="shared" si="38"/>
        <v>0.2502563613203998</v>
      </c>
      <c r="T487" s="291">
        <f t="shared" si="38"/>
        <v>0.2531217863884106</v>
      </c>
      <c r="U487" s="291">
        <f t="shared" si="38"/>
        <v>0.20760920834990737</v>
      </c>
      <c r="V487" s="291">
        <f t="shared" si="38"/>
        <v>0.27105398270831932</v>
      </c>
      <c r="W487" s="291">
        <f t="shared" si="38"/>
        <v>0.21461961738319899</v>
      </c>
      <c r="X487" s="291">
        <f t="shared" si="38"/>
        <v>0.16856548453855977</v>
      </c>
      <c r="Y487" s="291">
        <f t="shared" si="38"/>
        <v>0.20038806229677858</v>
      </c>
      <c r="Z487" s="291">
        <f t="shared" si="38"/>
        <v>0.19582927898938463</v>
      </c>
      <c r="AA487" s="291">
        <f t="shared" si="38"/>
        <v>0.19914665742003732</v>
      </c>
      <c r="AB487" s="291">
        <f t="shared" si="38"/>
        <v>0.21137724465570878</v>
      </c>
      <c r="AC487" s="291">
        <f t="shared" si="38"/>
        <v>0.2064824176501803</v>
      </c>
      <c r="AD487" s="291">
        <f t="shared" si="38"/>
        <v>0.29086870584455937</v>
      </c>
      <c r="AE487" s="291">
        <f t="shared" si="38"/>
        <v>0.27285125608094718</v>
      </c>
      <c r="AF487" s="291">
        <f t="shared" si="38"/>
        <v>0.3297489179754674</v>
      </c>
      <c r="AG487" s="291">
        <f t="shared" si="38"/>
        <v>0.35182102259053116</v>
      </c>
      <c r="AH487" s="291">
        <f t="shared" si="38"/>
        <v>0.37207626112615677</v>
      </c>
      <c r="AI487" s="291">
        <f t="shared" si="38"/>
        <v>0.36736206447510678</v>
      </c>
      <c r="AJ487" s="327">
        <f t="shared" si="34"/>
        <v>0.36736206447510678</v>
      </c>
    </row>
    <row r="488" spans="2:36">
      <c r="B488" s="72" t="s">
        <v>858</v>
      </c>
      <c r="C488" s="72" t="s">
        <v>859</v>
      </c>
      <c r="D488" s="291">
        <f t="shared" si="33"/>
        <v>0</v>
      </c>
      <c r="E488" s="291">
        <f t="shared" si="38"/>
        <v>0</v>
      </c>
      <c r="F488" s="291">
        <f t="shared" si="38"/>
        <v>0</v>
      </c>
      <c r="G488" s="291">
        <f t="shared" si="38"/>
        <v>0</v>
      </c>
      <c r="H488" s="291">
        <f t="shared" si="38"/>
        <v>0</v>
      </c>
      <c r="I488" s="291">
        <f t="shared" si="38"/>
        <v>0</v>
      </c>
      <c r="J488" s="291">
        <f t="shared" si="38"/>
        <v>0</v>
      </c>
      <c r="K488" s="291">
        <f t="shared" si="38"/>
        <v>0</v>
      </c>
      <c r="L488" s="291">
        <f t="shared" si="38"/>
        <v>0.39160738122612199</v>
      </c>
      <c r="M488" s="291">
        <f t="shared" si="38"/>
        <v>0.33137963555356043</v>
      </c>
      <c r="N488" s="291">
        <f t="shared" si="38"/>
        <v>0.25530407765710944</v>
      </c>
      <c r="O488" s="291">
        <f t="shared" si="38"/>
        <v>0.27567850029191343</v>
      </c>
      <c r="P488" s="291">
        <f t="shared" si="38"/>
        <v>0.24707813105230853</v>
      </c>
      <c r="Q488" s="291">
        <f t="shared" si="38"/>
        <v>0.25696944198531324</v>
      </c>
      <c r="R488" s="291">
        <f t="shared" si="38"/>
        <v>0.25871069644840522</v>
      </c>
      <c r="S488" s="291">
        <f t="shared" si="38"/>
        <v>0.27417649997655896</v>
      </c>
      <c r="T488" s="291">
        <f t="shared" si="38"/>
        <v>0.32223570999494988</v>
      </c>
      <c r="U488" s="291">
        <f t="shared" si="38"/>
        <v>0.34776366595693703</v>
      </c>
      <c r="V488" s="291">
        <f t="shared" si="38"/>
        <v>0.39152287984087181</v>
      </c>
      <c r="W488" s="291">
        <f t="shared" si="38"/>
        <v>0.3866053264575704</v>
      </c>
      <c r="X488" s="291">
        <f t="shared" si="38"/>
        <v>0.41560381796413987</v>
      </c>
      <c r="Y488" s="291">
        <f t="shared" si="38"/>
        <v>0.41692744296101447</v>
      </c>
      <c r="Z488" s="291">
        <f t="shared" si="38"/>
        <v>0.38205442127871064</v>
      </c>
      <c r="AA488" s="291">
        <f t="shared" si="38"/>
        <v>0.33960006369960699</v>
      </c>
      <c r="AB488" s="291">
        <f t="shared" si="38"/>
        <v>0.30445378681751251</v>
      </c>
      <c r="AC488" s="291">
        <f t="shared" si="38"/>
        <v>0.30297260905217743</v>
      </c>
      <c r="AD488" s="291">
        <f t="shared" si="38"/>
        <v>0.27920332823746924</v>
      </c>
      <c r="AE488" s="291">
        <f t="shared" si="38"/>
        <v>0.265783237909827</v>
      </c>
      <c r="AF488" s="291">
        <f t="shared" si="38"/>
        <v>0.32161601184831262</v>
      </c>
      <c r="AG488" s="291">
        <f t="shared" si="38"/>
        <v>0.35964175110456603</v>
      </c>
      <c r="AH488" s="291">
        <f t="shared" si="38"/>
        <v>0.35807925923559586</v>
      </c>
      <c r="AI488" s="291">
        <f t="shared" si="38"/>
        <v>0.32146401906811606</v>
      </c>
      <c r="AJ488" s="327">
        <f t="shared" si="34"/>
        <v>0.32146401906811606</v>
      </c>
    </row>
    <row r="489" spans="2:36">
      <c r="B489" s="72" t="s">
        <v>860</v>
      </c>
      <c r="C489" s="72" t="s">
        <v>861</v>
      </c>
      <c r="D489" s="291">
        <f t="shared" si="33"/>
        <v>0.55877707255032305</v>
      </c>
      <c r="E489" s="291">
        <f t="shared" si="38"/>
        <v>0.5900032142970193</v>
      </c>
      <c r="F489" s="291">
        <f t="shared" si="38"/>
        <v>0.6297984258822199</v>
      </c>
      <c r="G489" s="291">
        <f t="shared" si="38"/>
        <v>0.71316219104714074</v>
      </c>
      <c r="H489" s="291">
        <f t="shared" si="38"/>
        <v>0.76693820697171311</v>
      </c>
      <c r="I489" s="291">
        <f t="shared" si="38"/>
        <v>0.6679183573274049</v>
      </c>
      <c r="J489" s="291">
        <f t="shared" si="38"/>
        <v>0.59356561063990387</v>
      </c>
      <c r="K489" s="291">
        <f t="shared" si="38"/>
        <v>0.54110488345154861</v>
      </c>
      <c r="L489" s="291">
        <f t="shared" si="38"/>
        <v>0.50373519570989767</v>
      </c>
      <c r="M489" s="291">
        <f t="shared" si="38"/>
        <v>0.53299530824905872</v>
      </c>
      <c r="N489" s="291">
        <f t="shared" si="38"/>
        <v>0.48476284011167631</v>
      </c>
      <c r="O489" s="291">
        <f t="shared" si="38"/>
        <v>0.48675776296267864</v>
      </c>
      <c r="P489" s="291">
        <f t="shared" si="38"/>
        <v>0.49617282693170595</v>
      </c>
      <c r="Q489" s="291">
        <f t="shared" si="38"/>
        <v>0.58482488049693737</v>
      </c>
      <c r="R489" s="291">
        <f t="shared" si="38"/>
        <v>0.59785982121411085</v>
      </c>
      <c r="S489" s="291">
        <f t="shared" si="38"/>
        <v>0.60035884200865619</v>
      </c>
      <c r="T489" s="291">
        <f t="shared" si="38"/>
        <v>0.6102032940887695</v>
      </c>
      <c r="U489" s="291">
        <f t="shared" si="38"/>
        <v>0.48464843949712505</v>
      </c>
      <c r="V489" s="291">
        <f t="shared" si="38"/>
        <v>0.38542509506762834</v>
      </c>
      <c r="W489" s="291">
        <f t="shared" si="38"/>
        <v>0.40356643244272672</v>
      </c>
      <c r="X489" s="291">
        <f t="shared" si="38"/>
        <v>0.41410159633009724</v>
      </c>
      <c r="Y489" s="291">
        <f t="shared" si="38"/>
        <v>0.39802122605593826</v>
      </c>
      <c r="Z489" s="291">
        <f t="shared" si="38"/>
        <v>0.3916322456219139</v>
      </c>
      <c r="AA489" s="291">
        <f t="shared" si="38"/>
        <v>0.36185358436741843</v>
      </c>
      <c r="AB489" s="291">
        <f t="shared" si="38"/>
        <v>0.33821080924615571</v>
      </c>
      <c r="AC489" s="291">
        <f t="shared" si="38"/>
        <v>0.34246464184446607</v>
      </c>
      <c r="AD489" s="291">
        <f t="shared" si="38"/>
        <v>0.37143030967190976</v>
      </c>
      <c r="AE489" s="291">
        <f t="shared" si="38"/>
        <v>0.36636177462865099</v>
      </c>
      <c r="AF489" s="291">
        <f t="shared" si="38"/>
        <v>0.41661287097798472</v>
      </c>
      <c r="AG489" s="291">
        <f t="shared" si="38"/>
        <v>0.47430394223935018</v>
      </c>
      <c r="AH489" s="291">
        <f t="shared" si="38"/>
        <v>0.52874614762444805</v>
      </c>
      <c r="AI489" s="291">
        <f t="shared" si="38"/>
        <v>0.52528796387875976</v>
      </c>
      <c r="AJ489" s="327">
        <f t="shared" si="34"/>
        <v>0.52528796387875976</v>
      </c>
    </row>
    <row r="490" spans="2:36">
      <c r="B490" s="72" t="s">
        <v>862</v>
      </c>
      <c r="C490" s="72" t="s">
        <v>863</v>
      </c>
      <c r="D490" s="291">
        <f t="shared" si="33"/>
        <v>0</v>
      </c>
      <c r="E490" s="291">
        <f t="shared" si="38"/>
        <v>0</v>
      </c>
      <c r="F490" s="291">
        <f t="shared" si="38"/>
        <v>0</v>
      </c>
      <c r="G490" s="291">
        <f t="shared" si="38"/>
        <v>0</v>
      </c>
      <c r="H490" s="291">
        <f t="shared" si="38"/>
        <v>0</v>
      </c>
      <c r="I490" s="291">
        <f t="shared" si="38"/>
        <v>0</v>
      </c>
      <c r="J490" s="291">
        <f t="shared" si="38"/>
        <v>0</v>
      </c>
      <c r="K490" s="291">
        <f t="shared" si="38"/>
        <v>0</v>
      </c>
      <c r="L490" s="291">
        <f t="shared" si="38"/>
        <v>0</v>
      </c>
      <c r="M490" s="291">
        <f t="shared" si="38"/>
        <v>0</v>
      </c>
      <c r="N490" s="291">
        <f t="shared" si="38"/>
        <v>0</v>
      </c>
      <c r="O490" s="291">
        <f t="shared" si="38"/>
        <v>0</v>
      </c>
      <c r="P490" s="291">
        <f t="shared" si="38"/>
        <v>0</v>
      </c>
      <c r="Q490" s="291">
        <f t="shared" si="38"/>
        <v>0</v>
      </c>
      <c r="R490" s="291">
        <f t="shared" si="38"/>
        <v>0</v>
      </c>
      <c r="S490" s="291">
        <f t="shared" si="38"/>
        <v>0</v>
      </c>
      <c r="T490" s="291">
        <f t="shared" si="38"/>
        <v>0</v>
      </c>
      <c r="U490" s="291">
        <f t="shared" si="38"/>
        <v>0</v>
      </c>
      <c r="V490" s="291">
        <f t="shared" si="38"/>
        <v>0</v>
      </c>
      <c r="W490" s="291">
        <f t="shared" si="38"/>
        <v>0</v>
      </c>
      <c r="X490" s="291">
        <f t="shared" si="38"/>
        <v>0.38003353743087426</v>
      </c>
      <c r="Y490" s="291">
        <f t="shared" si="38"/>
        <v>0.3969858230148352</v>
      </c>
      <c r="Z490" s="291">
        <f t="shared" si="38"/>
        <v>0.37473337456728228</v>
      </c>
      <c r="AA490" s="291">
        <f t="shared" si="38"/>
        <v>0.34551244738594633</v>
      </c>
      <c r="AB490" s="291">
        <f t="shared" si="38"/>
        <v>0.30276172489688929</v>
      </c>
      <c r="AC490" s="291">
        <f t="shared" si="38"/>
        <v>0.40559467516665493</v>
      </c>
      <c r="AD490" s="291">
        <f t="shared" si="38"/>
        <v>0.39851313254876847</v>
      </c>
      <c r="AE490" s="291">
        <f t="shared" si="38"/>
        <v>0.36574466920532217</v>
      </c>
      <c r="AF490" s="291">
        <f t="shared" si="38"/>
        <v>0.42666577586659604</v>
      </c>
      <c r="AG490" s="291">
        <f t="shared" si="38"/>
        <v>0.51536635998798574</v>
      </c>
      <c r="AH490" s="291">
        <f t="shared" si="38"/>
        <v>0.51953379798385924</v>
      </c>
      <c r="AI490" s="291">
        <f t="shared" si="38"/>
        <v>0.51895215418557394</v>
      </c>
      <c r="AJ490" s="327">
        <f t="shared" si="34"/>
        <v>0.51895215418557394</v>
      </c>
    </row>
    <row r="491" spans="2:36">
      <c r="B491" s="72" t="s">
        <v>864</v>
      </c>
      <c r="C491" s="72" t="s">
        <v>865</v>
      </c>
      <c r="D491" s="291">
        <f t="shared" si="33"/>
        <v>0.64966817840977598</v>
      </c>
      <c r="E491" s="291">
        <f t="shared" si="38"/>
        <v>0.59079716638896385</v>
      </c>
      <c r="F491" s="291">
        <f t="shared" si="38"/>
        <v>0.56030356035468132</v>
      </c>
      <c r="G491" s="291">
        <f t="shared" si="38"/>
        <v>0.60313512322482421</v>
      </c>
      <c r="H491" s="291">
        <f t="shared" si="38"/>
        <v>0.58384565892695572</v>
      </c>
      <c r="I491" s="291">
        <f t="shared" si="38"/>
        <v>0.57497300303925025</v>
      </c>
      <c r="J491" s="291">
        <f t="shared" si="38"/>
        <v>0.66677687200804447</v>
      </c>
      <c r="K491" s="291">
        <f t="shared" si="38"/>
        <v>0.66502646078556615</v>
      </c>
      <c r="L491" s="291">
        <f t="shared" si="38"/>
        <v>0.59494258301505398</v>
      </c>
      <c r="M491" s="291">
        <f t="shared" si="38"/>
        <v>0.56838949352762158</v>
      </c>
      <c r="N491" s="291">
        <f t="shared" si="38"/>
        <v>0.58701372502507876</v>
      </c>
      <c r="O491" s="291">
        <f t="shared" si="38"/>
        <v>0.55083880323929391</v>
      </c>
      <c r="P491" s="291">
        <f t="shared" si="38"/>
        <v>0.58860218260410635</v>
      </c>
      <c r="Q491" s="291">
        <f t="shared" si="38"/>
        <v>0.57458332994639005</v>
      </c>
      <c r="R491" s="291">
        <f t="shared" si="38"/>
        <v>0.38421697144560774</v>
      </c>
      <c r="S491" s="291">
        <f t="shared" si="38"/>
        <v>0.44726908201793258</v>
      </c>
      <c r="T491" s="291">
        <f t="shared" si="38"/>
        <v>0.4571673985230098</v>
      </c>
      <c r="U491" s="291">
        <f t="shared" si="38"/>
        <v>0.38617940170584913</v>
      </c>
      <c r="V491" s="291">
        <f t="shared" si="38"/>
        <v>0.40184367577589786</v>
      </c>
      <c r="W491" s="291">
        <f t="shared" si="38"/>
        <v>0.38839404805029604</v>
      </c>
      <c r="X491" s="291">
        <f t="shared" si="38"/>
        <v>0.34524919976178386</v>
      </c>
      <c r="Y491" s="291">
        <f t="shared" si="38"/>
        <v>0.37685586463800236</v>
      </c>
      <c r="Z491" s="291">
        <f t="shared" si="38"/>
        <v>0.39726439132541158</v>
      </c>
      <c r="AA491" s="291">
        <f t="shared" si="38"/>
        <v>0.37828404758998924</v>
      </c>
      <c r="AB491" s="291">
        <f t="shared" si="38"/>
        <v>0.37674750480897479</v>
      </c>
      <c r="AC491" s="291">
        <f t="shared" si="38"/>
        <v>0.39399464369519127</v>
      </c>
      <c r="AD491" s="291">
        <f t="shared" si="38"/>
        <v>0.38276445383209728</v>
      </c>
      <c r="AE491" s="291">
        <f t="shared" si="38"/>
        <v>0.3724107862925774</v>
      </c>
      <c r="AF491" s="291">
        <f t="shared" si="38"/>
        <v>0.48152118984656928</v>
      </c>
      <c r="AG491" s="291">
        <f t="shared" si="38"/>
        <v>0.53537929623668046</v>
      </c>
      <c r="AH491" s="291">
        <f t="shared" si="38"/>
        <v>0.51621361367838214</v>
      </c>
      <c r="AI491" s="291">
        <f t="shared" si="38"/>
        <v>0.511991310800469</v>
      </c>
      <c r="AJ491" s="327">
        <f t="shared" si="34"/>
        <v>0.511991310800469</v>
      </c>
    </row>
    <row r="492" spans="2:36">
      <c r="B492" s="72" t="s">
        <v>866</v>
      </c>
      <c r="C492" s="72" t="s">
        <v>867</v>
      </c>
      <c r="D492" s="291">
        <f t="shared" si="33"/>
        <v>0</v>
      </c>
      <c r="E492" s="291">
        <f t="shared" si="38"/>
        <v>0.48752377915545403</v>
      </c>
      <c r="F492" s="291">
        <f t="shared" ref="E492:AI500" si="39">F240/F$250</f>
        <v>0.49710529040375145</v>
      </c>
      <c r="G492" s="291">
        <f t="shared" si="39"/>
        <v>0.52219826563923566</v>
      </c>
      <c r="H492" s="291">
        <f t="shared" si="39"/>
        <v>0.59031973821877992</v>
      </c>
      <c r="I492" s="291">
        <f t="shared" si="39"/>
        <v>0.50710526334347406</v>
      </c>
      <c r="J492" s="291">
        <f t="shared" si="39"/>
        <v>0.47733708594978108</v>
      </c>
      <c r="K492" s="291">
        <f t="shared" si="39"/>
        <v>0.47259426050974751</v>
      </c>
      <c r="L492" s="291">
        <f t="shared" si="39"/>
        <v>0.54366201253549762</v>
      </c>
      <c r="M492" s="291">
        <f t="shared" si="39"/>
        <v>0.54708454787919192</v>
      </c>
      <c r="N492" s="291">
        <f t="shared" si="39"/>
        <v>0.51050882734778669</v>
      </c>
      <c r="O492" s="291">
        <f t="shared" si="39"/>
        <v>0.52886664318772791</v>
      </c>
      <c r="P492" s="291">
        <f t="shared" si="39"/>
        <v>0.53113131240587286</v>
      </c>
      <c r="Q492" s="291">
        <f t="shared" si="39"/>
        <v>0.58846393911714123</v>
      </c>
      <c r="R492" s="291">
        <f t="shared" si="39"/>
        <v>0.75720640089980185</v>
      </c>
      <c r="S492" s="291">
        <f t="shared" si="39"/>
        <v>0.71899908950067237</v>
      </c>
      <c r="T492" s="291">
        <f t="shared" si="39"/>
        <v>0.77470065778119279</v>
      </c>
      <c r="U492" s="291">
        <f t="shared" si="39"/>
        <v>0.70794005482458522</v>
      </c>
      <c r="V492" s="291">
        <f t="shared" si="39"/>
        <v>0.58845590249129331</v>
      </c>
      <c r="W492" s="291">
        <f t="shared" si="39"/>
        <v>0.58301819099415952</v>
      </c>
      <c r="X492" s="291">
        <f t="shared" si="39"/>
        <v>0.5869399052381562</v>
      </c>
      <c r="Y492" s="291">
        <f t="shared" si="39"/>
        <v>0.52334167515475638</v>
      </c>
      <c r="Z492" s="291">
        <f t="shared" si="39"/>
        <v>0.51972902942584764</v>
      </c>
      <c r="AA492" s="291">
        <f t="shared" si="39"/>
        <v>0.51277676197133992</v>
      </c>
      <c r="AB492" s="291">
        <f t="shared" si="39"/>
        <v>0.51629761735052648</v>
      </c>
      <c r="AC492" s="291">
        <f t="shared" si="39"/>
        <v>0.53740907894437939</v>
      </c>
      <c r="AD492" s="291">
        <f t="shared" si="39"/>
        <v>0.5925900200235511</v>
      </c>
      <c r="AE492" s="291">
        <f t="shared" si="39"/>
        <v>0.54623690580943884</v>
      </c>
      <c r="AF492" s="291">
        <f t="shared" si="39"/>
        <v>0.65650672868859905</v>
      </c>
      <c r="AG492" s="291">
        <f t="shared" si="39"/>
        <v>0.67340935365217391</v>
      </c>
      <c r="AH492" s="291">
        <f t="shared" si="39"/>
        <v>0.75464830709094177</v>
      </c>
      <c r="AI492" s="291">
        <f t="shared" si="39"/>
        <v>0.77601867568990845</v>
      </c>
      <c r="AJ492" s="327">
        <f t="shared" si="34"/>
        <v>0.77601867568990845</v>
      </c>
    </row>
    <row r="493" spans="2:36">
      <c r="B493" s="72" t="s">
        <v>868</v>
      </c>
      <c r="C493" s="72" t="s">
        <v>869</v>
      </c>
      <c r="D493" s="291">
        <f t="shared" si="33"/>
        <v>0.68793334192736466</v>
      </c>
      <c r="E493" s="291">
        <f t="shared" si="39"/>
        <v>0.75016639670929885</v>
      </c>
      <c r="F493" s="291">
        <f t="shared" si="39"/>
        <v>0.90085983072567133</v>
      </c>
      <c r="G493" s="291">
        <f t="shared" si="39"/>
        <v>1.0581660582901564</v>
      </c>
      <c r="H493" s="291">
        <f t="shared" si="39"/>
        <v>1.2164261955282722</v>
      </c>
      <c r="I493" s="291">
        <f t="shared" si="39"/>
        <v>1.1814454583758573</v>
      </c>
      <c r="J493" s="291">
        <f t="shared" si="39"/>
        <v>0.67213063109402238</v>
      </c>
      <c r="K493" s="291">
        <f t="shared" si="39"/>
        <v>0.60006517576676976</v>
      </c>
      <c r="L493" s="291">
        <f t="shared" si="39"/>
        <v>0.50590709000184453</v>
      </c>
      <c r="M493" s="291">
        <f t="shared" si="39"/>
        <v>0.4968752841174402</v>
      </c>
      <c r="N493" s="291">
        <f t="shared" si="39"/>
        <v>0.49119820471164793</v>
      </c>
      <c r="O493" s="291">
        <f t="shared" si="39"/>
        <v>0.47936287530062011</v>
      </c>
      <c r="P493" s="291">
        <f t="shared" si="39"/>
        <v>0.48823497550399453</v>
      </c>
      <c r="Q493" s="291">
        <f t="shared" si="39"/>
        <v>0.46703640753529718</v>
      </c>
      <c r="R493" s="291">
        <f t="shared" si="39"/>
        <v>0.46968844848476876</v>
      </c>
      <c r="S493" s="291">
        <f t="shared" si="39"/>
        <v>0.45854819968426908</v>
      </c>
      <c r="T493" s="291">
        <f t="shared" si="39"/>
        <v>0.47388705043001272</v>
      </c>
      <c r="U493" s="291">
        <f t="shared" si="39"/>
        <v>0.43418682209078641</v>
      </c>
      <c r="V493" s="291">
        <f t="shared" si="39"/>
        <v>0.40740183968987059</v>
      </c>
      <c r="W493" s="291">
        <f t="shared" si="39"/>
        <v>0.43863113396763909</v>
      </c>
      <c r="X493" s="291">
        <f t="shared" si="39"/>
        <v>0.53156806747102592</v>
      </c>
      <c r="Y493" s="291">
        <f t="shared" si="39"/>
        <v>0.5764711704867409</v>
      </c>
      <c r="Z493" s="291">
        <f t="shared" si="39"/>
        <v>0.51409274948969441</v>
      </c>
      <c r="AA493" s="291">
        <f t="shared" si="39"/>
        <v>0.49340529563790364</v>
      </c>
      <c r="AB493" s="291">
        <f t="shared" si="39"/>
        <v>0.4608025365504555</v>
      </c>
      <c r="AC493" s="291">
        <f t="shared" si="39"/>
        <v>0.52717657480542124</v>
      </c>
      <c r="AD493" s="291">
        <f t="shared" si="39"/>
        <v>0.51868696531985903</v>
      </c>
      <c r="AE493" s="291">
        <f t="shared" si="39"/>
        <v>0.50624858302293774</v>
      </c>
      <c r="AF493" s="291">
        <f t="shared" si="39"/>
        <v>0.67097186434423528</v>
      </c>
      <c r="AG493" s="291">
        <f t="shared" si="39"/>
        <v>0.56188779128967059</v>
      </c>
      <c r="AH493" s="291">
        <f t="shared" si="39"/>
        <v>0.59250758149213889</v>
      </c>
      <c r="AI493" s="291">
        <f t="shared" si="39"/>
        <v>0.60831912219020901</v>
      </c>
      <c r="AJ493" s="327">
        <f t="shared" si="34"/>
        <v>0.60831912219020901</v>
      </c>
    </row>
    <row r="494" spans="2:36">
      <c r="B494" s="72" t="s">
        <v>870</v>
      </c>
      <c r="C494" s="72" t="s">
        <v>871</v>
      </c>
      <c r="D494" s="291">
        <f t="shared" si="33"/>
        <v>0.61628461187700356</v>
      </c>
      <c r="E494" s="291">
        <f t="shared" si="39"/>
        <v>0.58461064258021622</v>
      </c>
      <c r="F494" s="291">
        <f t="shared" si="39"/>
        <v>0.60719749901948938</v>
      </c>
      <c r="G494" s="291">
        <f t="shared" si="39"/>
        <v>0.65060080814922028</v>
      </c>
      <c r="H494" s="291">
        <f t="shared" si="39"/>
        <v>0.66260348130226643</v>
      </c>
      <c r="I494" s="291">
        <f t="shared" si="39"/>
        <v>0.62572876334850724</v>
      </c>
      <c r="J494" s="291">
        <f t="shared" si="39"/>
        <v>0.57631619322697525</v>
      </c>
      <c r="K494" s="291">
        <f t="shared" si="39"/>
        <v>0.49450061081104385</v>
      </c>
      <c r="L494" s="291">
        <f t="shared" si="39"/>
        <v>0.44466859101582717</v>
      </c>
      <c r="M494" s="291">
        <f t="shared" si="39"/>
        <v>0.44304220349026413</v>
      </c>
      <c r="N494" s="291">
        <f t="shared" si="39"/>
        <v>0.4274148582869372</v>
      </c>
      <c r="O494" s="291">
        <f t="shared" si="39"/>
        <v>0.41440779525654459</v>
      </c>
      <c r="P494" s="291">
        <f t="shared" si="39"/>
        <v>0.44244623860722021</v>
      </c>
      <c r="Q494" s="291">
        <f t="shared" si="39"/>
        <v>0.46428501652105847</v>
      </c>
      <c r="R494" s="291">
        <f t="shared" si="39"/>
        <v>0.46473978258395438</v>
      </c>
      <c r="S494" s="291">
        <f t="shared" si="39"/>
        <v>0.49342473125072472</v>
      </c>
      <c r="T494" s="291">
        <f t="shared" si="39"/>
        <v>0.49725461114690783</v>
      </c>
      <c r="U494" s="291">
        <f t="shared" si="39"/>
        <v>0.47181680745716387</v>
      </c>
      <c r="V494" s="291">
        <f t="shared" si="39"/>
        <v>0.45351173408927731</v>
      </c>
      <c r="W494" s="291">
        <f t="shared" si="39"/>
        <v>0.44905726211086533</v>
      </c>
      <c r="X494" s="291">
        <f t="shared" si="39"/>
        <v>0.43277439063132928</v>
      </c>
      <c r="Y494" s="291">
        <f t="shared" si="39"/>
        <v>0.44243123413621788</v>
      </c>
      <c r="Z494" s="291">
        <f t="shared" si="39"/>
        <v>0.43052865967591231</v>
      </c>
      <c r="AA494" s="291">
        <f t="shared" si="39"/>
        <v>0.42639789678478335</v>
      </c>
      <c r="AB494" s="291">
        <f t="shared" si="39"/>
        <v>0.40167304161763029</v>
      </c>
      <c r="AC494" s="291">
        <f t="shared" si="39"/>
        <v>0.38746637258381827</v>
      </c>
      <c r="AD494" s="291">
        <f t="shared" si="39"/>
        <v>0.37905576727547513</v>
      </c>
      <c r="AE494" s="291">
        <f t="shared" si="39"/>
        <v>0.35099252466313724</v>
      </c>
      <c r="AF494" s="291">
        <f t="shared" si="39"/>
        <v>0.40875603252937309</v>
      </c>
      <c r="AG494" s="291">
        <f t="shared" si="39"/>
        <v>0.44189924272243125</v>
      </c>
      <c r="AH494" s="291">
        <f t="shared" si="39"/>
        <v>0.4334006068350772</v>
      </c>
      <c r="AI494" s="291">
        <f t="shared" si="39"/>
        <v>0.41969722279038146</v>
      </c>
      <c r="AJ494" s="327">
        <f t="shared" si="34"/>
        <v>0.41969722279038146</v>
      </c>
    </row>
    <row r="495" spans="2:36">
      <c r="B495" s="72" t="s">
        <v>872</v>
      </c>
      <c r="C495" s="72" t="s">
        <v>873</v>
      </c>
      <c r="D495" s="291">
        <f t="shared" si="33"/>
        <v>0.62912140380763415</v>
      </c>
      <c r="E495" s="291">
        <f t="shared" si="39"/>
        <v>0.64328310247025755</v>
      </c>
      <c r="F495" s="291">
        <f t="shared" si="39"/>
        <v>0.60442603743410728</v>
      </c>
      <c r="G495" s="291">
        <f t="shared" si="39"/>
        <v>0.60114397592315416</v>
      </c>
      <c r="H495" s="291">
        <f t="shared" si="39"/>
        <v>0.59695089060008</v>
      </c>
      <c r="I495" s="291">
        <f t="shared" si="39"/>
        <v>0.62848647263608715</v>
      </c>
      <c r="J495" s="291">
        <f t="shared" si="39"/>
        <v>0.5599697993543683</v>
      </c>
      <c r="K495" s="291">
        <f t="shared" si="39"/>
        <v>0.5012804011862253</v>
      </c>
      <c r="L495" s="291">
        <f t="shared" si="39"/>
        <v>0.44226716345957456</v>
      </c>
      <c r="M495" s="291">
        <f t="shared" si="39"/>
        <v>0.52700526123676572</v>
      </c>
      <c r="N495" s="291">
        <f t="shared" si="39"/>
        <v>0.58022682409146997</v>
      </c>
      <c r="O495" s="291">
        <f t="shared" si="39"/>
        <v>0.544980834048442</v>
      </c>
      <c r="P495" s="291">
        <f t="shared" si="39"/>
        <v>0.52458197225827585</v>
      </c>
      <c r="Q495" s="291">
        <f t="shared" si="39"/>
        <v>0.62634157664298939</v>
      </c>
      <c r="R495" s="291">
        <f t="shared" si="39"/>
        <v>0.46290998845056447</v>
      </c>
      <c r="S495" s="291">
        <f t="shared" si="39"/>
        <v>0.52894874606593423</v>
      </c>
      <c r="T495" s="291">
        <f t="shared" si="39"/>
        <v>0.52313395049253941</v>
      </c>
      <c r="U495" s="291">
        <f t="shared" si="39"/>
        <v>0.48057225032283807</v>
      </c>
      <c r="V495" s="291">
        <f t="shared" si="39"/>
        <v>0.47076839897306094</v>
      </c>
      <c r="W495" s="291">
        <f t="shared" si="39"/>
        <v>0.45685387313842485</v>
      </c>
      <c r="X495" s="291">
        <f t="shared" si="39"/>
        <v>0.47004669095842638</v>
      </c>
      <c r="Y495" s="291">
        <f t="shared" si="39"/>
        <v>0.38722021795621603</v>
      </c>
      <c r="Z495" s="291">
        <f t="shared" si="39"/>
        <v>0.43209030161378653</v>
      </c>
      <c r="AA495" s="291">
        <f t="shared" si="39"/>
        <v>0.49245521994024505</v>
      </c>
      <c r="AB495" s="291">
        <f t="shared" si="39"/>
        <v>0.49196541768602975</v>
      </c>
      <c r="AC495" s="291">
        <f t="shared" si="39"/>
        <v>0.53447628417677151</v>
      </c>
      <c r="AD495" s="291">
        <f t="shared" si="39"/>
        <v>0.51441703733381383</v>
      </c>
      <c r="AE495" s="291">
        <f t="shared" si="39"/>
        <v>0.51365017472896157</v>
      </c>
      <c r="AF495" s="291">
        <f t="shared" si="39"/>
        <v>0.57157174943892131</v>
      </c>
      <c r="AG495" s="291">
        <f t="shared" si="39"/>
        <v>0.57589926516774248</v>
      </c>
      <c r="AH495" s="291">
        <f t="shared" si="39"/>
        <v>0.61840980938916479</v>
      </c>
      <c r="AI495" s="291">
        <f t="shared" si="39"/>
        <v>0.56179719925174221</v>
      </c>
      <c r="AJ495" s="327">
        <f t="shared" si="34"/>
        <v>0.56179719925174221</v>
      </c>
    </row>
    <row r="496" spans="2:36">
      <c r="B496" s="72" t="s">
        <v>874</v>
      </c>
      <c r="C496" s="72" t="s">
        <v>875</v>
      </c>
      <c r="D496" s="291">
        <f t="shared" si="33"/>
        <v>0</v>
      </c>
      <c r="E496" s="291">
        <f t="shared" si="39"/>
        <v>0</v>
      </c>
      <c r="F496" s="291">
        <f t="shared" si="39"/>
        <v>0</v>
      </c>
      <c r="G496" s="291">
        <f t="shared" si="39"/>
        <v>0</v>
      </c>
      <c r="H496" s="291">
        <f t="shared" si="39"/>
        <v>0</v>
      </c>
      <c r="I496" s="291">
        <f t="shared" si="39"/>
        <v>0</v>
      </c>
      <c r="J496" s="291">
        <f t="shared" si="39"/>
        <v>0</v>
      </c>
      <c r="K496" s="291">
        <f t="shared" si="39"/>
        <v>0.25854656197623477</v>
      </c>
      <c r="L496" s="291">
        <f t="shared" si="39"/>
        <v>0.25394897662713073</v>
      </c>
      <c r="M496" s="291">
        <f t="shared" si="39"/>
        <v>0.27424205935492618</v>
      </c>
      <c r="N496" s="291">
        <f t="shared" si="39"/>
        <v>0.18374230325016203</v>
      </c>
      <c r="O496" s="291">
        <f t="shared" si="39"/>
        <v>0.18043791682481422</v>
      </c>
      <c r="P496" s="291">
        <f t="shared" si="39"/>
        <v>0.20627117708769527</v>
      </c>
      <c r="Q496" s="291">
        <f t="shared" si="39"/>
        <v>0.22963561479441921</v>
      </c>
      <c r="R496" s="291">
        <f t="shared" si="39"/>
        <v>0.21589709827822268</v>
      </c>
      <c r="S496" s="291">
        <f t="shared" si="39"/>
        <v>0.21243577470761707</v>
      </c>
      <c r="T496" s="291">
        <f t="shared" si="39"/>
        <v>0.18968952558564772</v>
      </c>
      <c r="U496" s="291">
        <f t="shared" si="39"/>
        <v>0.2082485249322496</v>
      </c>
      <c r="V496" s="291">
        <f t="shared" si="39"/>
        <v>0.19852385709296619</v>
      </c>
      <c r="W496" s="291">
        <f t="shared" si="39"/>
        <v>0.15988343418940962</v>
      </c>
      <c r="X496" s="291">
        <f t="shared" si="39"/>
        <v>0.19297203241669236</v>
      </c>
      <c r="Y496" s="291">
        <f t="shared" si="39"/>
        <v>0.23475745948952911</v>
      </c>
      <c r="Z496" s="291">
        <f t="shared" si="39"/>
        <v>0.27892290697091093</v>
      </c>
      <c r="AA496" s="291">
        <f t="shared" si="39"/>
        <v>0.31859931864338592</v>
      </c>
      <c r="AB496" s="291">
        <f t="shared" si="39"/>
        <v>0.3050408228429235</v>
      </c>
      <c r="AC496" s="291">
        <f t="shared" si="39"/>
        <v>0.309907578065095</v>
      </c>
      <c r="AD496" s="291">
        <f t="shared" si="39"/>
        <v>0.34377134998750214</v>
      </c>
      <c r="AE496" s="291">
        <f t="shared" si="39"/>
        <v>0.33137042541317729</v>
      </c>
      <c r="AF496" s="291">
        <f t="shared" si="39"/>
        <v>0.46423243131347081</v>
      </c>
      <c r="AG496" s="291">
        <f t="shared" si="39"/>
        <v>0.52748771470546862</v>
      </c>
      <c r="AH496" s="291">
        <f t="shared" si="39"/>
        <v>0.52599300699307783</v>
      </c>
      <c r="AI496" s="291">
        <f t="shared" si="39"/>
        <v>0.53294352974922055</v>
      </c>
      <c r="AJ496" s="327">
        <f t="shared" si="34"/>
        <v>0.53294352974922055</v>
      </c>
    </row>
    <row r="497" spans="2:36">
      <c r="B497" s="72" t="s">
        <v>876</v>
      </c>
      <c r="C497" s="72" t="s">
        <v>877</v>
      </c>
      <c r="D497" s="291">
        <f t="shared" si="33"/>
        <v>0</v>
      </c>
      <c r="E497" s="291">
        <f t="shared" si="39"/>
        <v>0</v>
      </c>
      <c r="F497" s="291">
        <f t="shared" si="39"/>
        <v>0</v>
      </c>
      <c r="G497" s="291">
        <f t="shared" si="39"/>
        <v>0</v>
      </c>
      <c r="H497" s="291">
        <f t="shared" si="39"/>
        <v>0</v>
      </c>
      <c r="I497" s="291">
        <f t="shared" si="39"/>
        <v>0</v>
      </c>
      <c r="J497" s="291">
        <f t="shared" si="39"/>
        <v>0</v>
      </c>
      <c r="K497" s="291">
        <f t="shared" si="39"/>
        <v>0</v>
      </c>
      <c r="L497" s="291">
        <f t="shared" si="39"/>
        <v>0</v>
      </c>
      <c r="M497" s="291">
        <f t="shared" si="39"/>
        <v>0</v>
      </c>
      <c r="N497" s="291">
        <f t="shared" si="39"/>
        <v>0</v>
      </c>
      <c r="O497" s="291">
        <f t="shared" si="39"/>
        <v>0</v>
      </c>
      <c r="P497" s="291">
        <f t="shared" si="39"/>
        <v>0</v>
      </c>
      <c r="Q497" s="291">
        <f t="shared" si="39"/>
        <v>0</v>
      </c>
      <c r="R497" s="291">
        <f t="shared" si="39"/>
        <v>0</v>
      </c>
      <c r="S497" s="291">
        <f t="shared" si="39"/>
        <v>0</v>
      </c>
      <c r="T497" s="291">
        <f t="shared" si="39"/>
        <v>0</v>
      </c>
      <c r="U497" s="291">
        <f t="shared" si="39"/>
        <v>0</v>
      </c>
      <c r="V497" s="291">
        <f t="shared" si="39"/>
        <v>0</v>
      </c>
      <c r="W497" s="291">
        <f t="shared" si="39"/>
        <v>0</v>
      </c>
      <c r="X497" s="291">
        <f t="shared" si="39"/>
        <v>0</v>
      </c>
      <c r="Y497" s="291">
        <f t="shared" si="39"/>
        <v>0</v>
      </c>
      <c r="Z497" s="291">
        <f t="shared" si="39"/>
        <v>0</v>
      </c>
      <c r="AA497" s="291">
        <f t="shared" si="39"/>
        <v>0</v>
      </c>
      <c r="AB497" s="291">
        <f t="shared" si="39"/>
        <v>0</v>
      </c>
      <c r="AC497" s="291">
        <f t="shared" si="39"/>
        <v>0</v>
      </c>
      <c r="AD497" s="291">
        <f t="shared" si="39"/>
        <v>0</v>
      </c>
      <c r="AE497" s="291">
        <f t="shared" si="39"/>
        <v>0</v>
      </c>
      <c r="AF497" s="291">
        <f t="shared" si="39"/>
        <v>0</v>
      </c>
      <c r="AG497" s="291">
        <f t="shared" si="39"/>
        <v>0</v>
      </c>
      <c r="AH497" s="291">
        <f t="shared" si="39"/>
        <v>0</v>
      </c>
      <c r="AI497" s="291">
        <f t="shared" si="39"/>
        <v>0</v>
      </c>
      <c r="AJ497" s="327">
        <f t="shared" si="34"/>
        <v>0</v>
      </c>
    </row>
    <row r="498" spans="2:36">
      <c r="B498" s="72" t="s">
        <v>878</v>
      </c>
      <c r="C498" s="72" t="s">
        <v>879</v>
      </c>
      <c r="D498" s="291">
        <f t="shared" si="33"/>
        <v>0</v>
      </c>
      <c r="E498" s="291">
        <f t="shared" si="39"/>
        <v>0</v>
      </c>
      <c r="F498" s="291">
        <f t="shared" si="39"/>
        <v>0</v>
      </c>
      <c r="G498" s="291">
        <f t="shared" si="39"/>
        <v>0</v>
      </c>
      <c r="H498" s="291">
        <f t="shared" si="39"/>
        <v>0</v>
      </c>
      <c r="I498" s="291">
        <f t="shared" si="39"/>
        <v>0</v>
      </c>
      <c r="J498" s="291">
        <f t="shared" si="39"/>
        <v>0</v>
      </c>
      <c r="K498" s="291">
        <f t="shared" si="39"/>
        <v>0</v>
      </c>
      <c r="L498" s="291">
        <f t="shared" si="39"/>
        <v>0</v>
      </c>
      <c r="M498" s="291">
        <f t="shared" si="39"/>
        <v>0</v>
      </c>
      <c r="N498" s="291">
        <f t="shared" si="39"/>
        <v>0</v>
      </c>
      <c r="O498" s="291">
        <f t="shared" si="39"/>
        <v>0</v>
      </c>
      <c r="P498" s="291">
        <f t="shared" si="39"/>
        <v>0</v>
      </c>
      <c r="Q498" s="291">
        <f t="shared" si="39"/>
        <v>0</v>
      </c>
      <c r="R498" s="291">
        <f t="shared" si="39"/>
        <v>0</v>
      </c>
      <c r="S498" s="291">
        <f t="shared" si="39"/>
        <v>0</v>
      </c>
      <c r="T498" s="291">
        <f t="shared" si="39"/>
        <v>0</v>
      </c>
      <c r="U498" s="291">
        <f t="shared" si="39"/>
        <v>0</v>
      </c>
      <c r="V498" s="291">
        <f t="shared" si="39"/>
        <v>0</v>
      </c>
      <c r="W498" s="291">
        <f t="shared" si="39"/>
        <v>0</v>
      </c>
      <c r="X498" s="291">
        <f t="shared" si="39"/>
        <v>0</v>
      </c>
      <c r="Y498" s="291">
        <f t="shared" si="39"/>
        <v>0</v>
      </c>
      <c r="Z498" s="291">
        <f t="shared" si="39"/>
        <v>0</v>
      </c>
      <c r="AA498" s="291">
        <f t="shared" si="39"/>
        <v>0</v>
      </c>
      <c r="AB498" s="291">
        <f t="shared" si="39"/>
        <v>0</v>
      </c>
      <c r="AC498" s="291">
        <f t="shared" si="39"/>
        <v>0</v>
      </c>
      <c r="AD498" s="291">
        <f t="shared" si="39"/>
        <v>0</v>
      </c>
      <c r="AE498" s="291">
        <f t="shared" si="39"/>
        <v>0</v>
      </c>
      <c r="AF498" s="291">
        <f t="shared" si="39"/>
        <v>0</v>
      </c>
      <c r="AG498" s="291">
        <f t="shared" si="39"/>
        <v>0</v>
      </c>
      <c r="AH498" s="291">
        <f t="shared" si="39"/>
        <v>0</v>
      </c>
      <c r="AI498" s="291">
        <f t="shared" si="39"/>
        <v>0</v>
      </c>
      <c r="AJ498" s="327">
        <f t="shared" si="34"/>
        <v>0</v>
      </c>
    </row>
    <row r="499" spans="2:36">
      <c r="B499" s="72" t="s">
        <v>880</v>
      </c>
      <c r="C499" s="72" t="s">
        <v>881</v>
      </c>
      <c r="D499" s="291">
        <f t="shared" si="33"/>
        <v>0</v>
      </c>
      <c r="E499" s="291">
        <f t="shared" si="39"/>
        <v>0</v>
      </c>
      <c r="F499" s="291">
        <f t="shared" si="39"/>
        <v>0.57730230882124922</v>
      </c>
      <c r="G499" s="291">
        <f t="shared" si="39"/>
        <v>0.61364996514073666</v>
      </c>
      <c r="H499" s="291">
        <f t="shared" si="39"/>
        <v>1.0827511155614626</v>
      </c>
      <c r="I499" s="291">
        <f t="shared" si="39"/>
        <v>1.067418849518605</v>
      </c>
      <c r="J499" s="291">
        <f t="shared" si="39"/>
        <v>1.0033076799351641</v>
      </c>
      <c r="K499" s="291">
        <f t="shared" si="39"/>
        <v>1.3131056309884619</v>
      </c>
      <c r="L499" s="291">
        <f t="shared" si="39"/>
        <v>1.0882413596489215</v>
      </c>
      <c r="M499" s="291">
        <f t="shared" si="39"/>
        <v>0.84035560031999534</v>
      </c>
      <c r="N499" s="291">
        <f t="shared" si="39"/>
        <v>0.55111608130065703</v>
      </c>
      <c r="O499" s="291">
        <f t="shared" si="39"/>
        <v>0.38156627025384682</v>
      </c>
      <c r="P499" s="291">
        <f t="shared" si="39"/>
        <v>0.30820607375000436</v>
      </c>
      <c r="Q499" s="291">
        <f t="shared" si="39"/>
        <v>0.36476332993470634</v>
      </c>
      <c r="R499" s="291">
        <f t="shared" si="39"/>
        <v>0.40998207075576637</v>
      </c>
      <c r="S499" s="291">
        <f t="shared" si="39"/>
        <v>0.49957811623194309</v>
      </c>
      <c r="T499" s="291">
        <f t="shared" si="39"/>
        <v>0.47810691860389026</v>
      </c>
      <c r="U499" s="291">
        <f t="shared" si="39"/>
        <v>0.44567080491469596</v>
      </c>
      <c r="V499" s="291">
        <f t="shared" si="39"/>
        <v>0.42836910106281578</v>
      </c>
      <c r="W499" s="291">
        <f t="shared" si="39"/>
        <v>0.36027359259410163</v>
      </c>
      <c r="X499" s="291">
        <f t="shared" si="39"/>
        <v>0.38732585877954873</v>
      </c>
      <c r="Y499" s="291">
        <f t="shared" si="39"/>
        <v>0.36223156929624833</v>
      </c>
      <c r="Z499" s="291">
        <f t="shared" si="39"/>
        <v>0.33256203831998948</v>
      </c>
      <c r="AA499" s="291">
        <f t="shared" si="39"/>
        <v>0.282068466592589</v>
      </c>
      <c r="AB499" s="291">
        <f t="shared" si="39"/>
        <v>0.29080327731536243</v>
      </c>
      <c r="AC499" s="291">
        <f t="shared" si="39"/>
        <v>0.30830467918886062</v>
      </c>
      <c r="AD499" s="291">
        <f t="shared" si="39"/>
        <v>0.2917568257698977</v>
      </c>
      <c r="AE499" s="291">
        <f t="shared" si="39"/>
        <v>0.27923499699598159</v>
      </c>
      <c r="AF499" s="291">
        <f t="shared" si="39"/>
        <v>0.3287089667629125</v>
      </c>
      <c r="AG499" s="291">
        <f t="shared" si="39"/>
        <v>0.38550802438351328</v>
      </c>
      <c r="AH499" s="291">
        <f t="shared" si="39"/>
        <v>0.39369679357828974</v>
      </c>
      <c r="AI499" s="291">
        <f t="shared" si="39"/>
        <v>0.33080982003260312</v>
      </c>
      <c r="AJ499" s="327">
        <f t="shared" si="34"/>
        <v>0.33080982003260312</v>
      </c>
    </row>
    <row r="500" spans="2:36">
      <c r="B500" s="72" t="s">
        <v>882</v>
      </c>
      <c r="C500" s="72" t="s">
        <v>883</v>
      </c>
      <c r="D500" s="291">
        <f t="shared" si="33"/>
        <v>0</v>
      </c>
      <c r="E500" s="291">
        <f t="shared" si="39"/>
        <v>0</v>
      </c>
      <c r="F500" s="291">
        <f t="shared" si="39"/>
        <v>0</v>
      </c>
      <c r="G500" s="291">
        <f t="shared" si="39"/>
        <v>0</v>
      </c>
      <c r="H500" s="291">
        <f t="shared" si="39"/>
        <v>0</v>
      </c>
      <c r="I500" s="291">
        <f t="shared" si="39"/>
        <v>0</v>
      </c>
      <c r="J500" s="291">
        <f t="shared" si="39"/>
        <v>0</v>
      </c>
      <c r="K500" s="291">
        <f t="shared" si="39"/>
        <v>0.26001249622865985</v>
      </c>
      <c r="L500" s="291">
        <f t="shared" si="39"/>
        <v>0.25538884301175124</v>
      </c>
      <c r="M500" s="291">
        <f t="shared" ref="E500:AI508" si="40">M248/M$250</f>
        <v>0.27579698557317123</v>
      </c>
      <c r="N500" s="291">
        <f t="shared" si="40"/>
        <v>0.24825537016312627</v>
      </c>
      <c r="O500" s="291">
        <f t="shared" si="40"/>
        <v>0.24410617250670422</v>
      </c>
      <c r="P500" s="291">
        <f t="shared" si="40"/>
        <v>0.25057180582941052</v>
      </c>
      <c r="Q500" s="291">
        <f t="shared" si="40"/>
        <v>0.29503798882611254</v>
      </c>
      <c r="R500" s="291">
        <f t="shared" si="40"/>
        <v>0.29577722361634851</v>
      </c>
      <c r="S500" s="291">
        <f t="shared" si="40"/>
        <v>0.29119889482824801</v>
      </c>
      <c r="T500" s="291">
        <f t="shared" si="40"/>
        <v>0.29721973313169991</v>
      </c>
      <c r="U500" s="291">
        <f t="shared" si="40"/>
        <v>0.32575485024166906</v>
      </c>
      <c r="V500" s="291">
        <f t="shared" si="40"/>
        <v>0.26623597232677287</v>
      </c>
      <c r="W500" s="291">
        <f t="shared" si="40"/>
        <v>0.20066339074736875</v>
      </c>
      <c r="X500" s="291">
        <f t="shared" si="40"/>
        <v>0.20145105846276914</v>
      </c>
      <c r="Y500" s="291">
        <f t="shared" si="40"/>
        <v>0.23396627623423941</v>
      </c>
      <c r="Z500" s="291">
        <f t="shared" si="40"/>
        <v>0.23407202443672245</v>
      </c>
      <c r="AA500" s="291">
        <f t="shared" si="40"/>
        <v>0.22279704307964693</v>
      </c>
      <c r="AB500" s="291">
        <f t="shared" si="40"/>
        <v>0.22603715261292615</v>
      </c>
      <c r="AC500" s="291">
        <f t="shared" si="40"/>
        <v>0.28316121906545849</v>
      </c>
      <c r="AD500" s="291">
        <f t="shared" si="40"/>
        <v>0.32041085649202861</v>
      </c>
      <c r="AE500" s="291">
        <f t="shared" si="40"/>
        <v>0.34169900159823441</v>
      </c>
      <c r="AF500" s="291">
        <f t="shared" si="40"/>
        <v>0.44482184344198772</v>
      </c>
      <c r="AG500" s="291">
        <f t="shared" si="40"/>
        <v>0.39081441660709348</v>
      </c>
      <c r="AH500" s="291">
        <f t="shared" si="40"/>
        <v>0.43377142285532089</v>
      </c>
      <c r="AI500" s="291">
        <f t="shared" si="40"/>
        <v>0.45812669998921657</v>
      </c>
      <c r="AJ500" s="327">
        <f t="shared" si="34"/>
        <v>0.45812669998921657</v>
      </c>
    </row>
    <row r="501" spans="2:36">
      <c r="B501" s="72" t="s">
        <v>884</v>
      </c>
      <c r="C501" s="72" t="s">
        <v>885</v>
      </c>
      <c r="D501" s="291">
        <f t="shared" si="33"/>
        <v>0.63382963333781173</v>
      </c>
      <c r="E501" s="291">
        <f t="shared" si="40"/>
        <v>0.7114927175191893</v>
      </c>
      <c r="F501" s="291">
        <f t="shared" si="40"/>
        <v>0.77200514159873213</v>
      </c>
      <c r="G501" s="291">
        <f t="shared" si="40"/>
        <v>0.81289980014667074</v>
      </c>
      <c r="H501" s="291">
        <f t="shared" si="40"/>
        <v>0.83166670164767598</v>
      </c>
      <c r="I501" s="291">
        <f t="shared" si="40"/>
        <v>0.82042451225914237</v>
      </c>
      <c r="J501" s="291">
        <f t="shared" si="40"/>
        <v>0.68272948263781941</v>
      </c>
      <c r="K501" s="291">
        <f t="shared" si="40"/>
        <v>0.60272291058006622</v>
      </c>
      <c r="L501" s="291">
        <f t="shared" si="40"/>
        <v>0.53331516480766306</v>
      </c>
      <c r="M501" s="291">
        <f t="shared" si="40"/>
        <v>0.54981079670056388</v>
      </c>
      <c r="N501" s="291">
        <f t="shared" si="40"/>
        <v>0.48631808273257882</v>
      </c>
      <c r="O501" s="291">
        <f t="shared" si="40"/>
        <v>0.46427790891290766</v>
      </c>
      <c r="P501" s="291">
        <f t="shared" si="40"/>
        <v>0.45899522718651858</v>
      </c>
      <c r="Q501" s="291">
        <f t="shared" si="40"/>
        <v>0.52880070057725936</v>
      </c>
      <c r="R501" s="291">
        <f t="shared" si="40"/>
        <v>0.5090449295974544</v>
      </c>
      <c r="S501" s="291">
        <f t="shared" si="40"/>
        <v>0.49833283542954881</v>
      </c>
      <c r="T501" s="291">
        <f t="shared" si="40"/>
        <v>0.52392661654032113</v>
      </c>
      <c r="U501" s="291">
        <f t="shared" si="40"/>
        <v>0.4901758235684171</v>
      </c>
      <c r="V501" s="291">
        <f t="shared" si="40"/>
        <v>0.45037270775152893</v>
      </c>
      <c r="W501" s="291">
        <f t="shared" si="40"/>
        <v>0.48722147803353943</v>
      </c>
      <c r="X501" s="291">
        <f t="shared" si="40"/>
        <v>0.58324596546236918</v>
      </c>
      <c r="Y501" s="291">
        <f t="shared" si="40"/>
        <v>0.59409135089116327</v>
      </c>
      <c r="Z501" s="291">
        <f t="shared" si="40"/>
        <v>0.58175194373759542</v>
      </c>
      <c r="AA501" s="291">
        <f t="shared" si="40"/>
        <v>0.53311447110878851</v>
      </c>
      <c r="AB501" s="291">
        <f t="shared" si="40"/>
        <v>0.5083044128205112</v>
      </c>
      <c r="AC501" s="291">
        <f t="shared" si="40"/>
        <v>0.5739677056696123</v>
      </c>
      <c r="AD501" s="291">
        <f t="shared" si="40"/>
        <v>0.62334047910927703</v>
      </c>
      <c r="AE501" s="291">
        <f t="shared" si="40"/>
        <v>0.60982846696774584</v>
      </c>
      <c r="AF501" s="291">
        <f t="shared" si="40"/>
        <v>0.76032580947503248</v>
      </c>
      <c r="AG501" s="291">
        <f t="shared" si="40"/>
        <v>0.76260530818792904</v>
      </c>
      <c r="AH501" s="291">
        <f t="shared" si="40"/>
        <v>0.82269849422881403</v>
      </c>
      <c r="AI501" s="291">
        <f t="shared" si="40"/>
        <v>0.87065342996716222</v>
      </c>
      <c r="AJ501" s="327">
        <f t="shared" si="34"/>
        <v>0.87065342996716222</v>
      </c>
    </row>
    <row r="502" spans="2:36">
      <c r="B502" s="72" t="s">
        <v>886</v>
      </c>
      <c r="C502" s="72" t="s">
        <v>887</v>
      </c>
      <c r="D502" s="291">
        <f t="shared" si="33"/>
        <v>1</v>
      </c>
      <c r="E502" s="291">
        <f t="shared" si="40"/>
        <v>1</v>
      </c>
      <c r="F502" s="291">
        <f t="shared" si="40"/>
        <v>1</v>
      </c>
      <c r="G502" s="291">
        <f t="shared" si="40"/>
        <v>1</v>
      </c>
      <c r="H502" s="291">
        <f t="shared" si="40"/>
        <v>1</v>
      </c>
      <c r="I502" s="291">
        <f t="shared" si="40"/>
        <v>1</v>
      </c>
      <c r="J502" s="291">
        <f t="shared" si="40"/>
        <v>1</v>
      </c>
      <c r="K502" s="291">
        <f t="shared" si="40"/>
        <v>1</v>
      </c>
      <c r="L502" s="291">
        <f t="shared" si="40"/>
        <v>1</v>
      </c>
      <c r="M502" s="291">
        <f t="shared" si="40"/>
        <v>1</v>
      </c>
      <c r="N502" s="291">
        <f t="shared" si="40"/>
        <v>1</v>
      </c>
      <c r="O502" s="291">
        <f t="shared" si="40"/>
        <v>1</v>
      </c>
      <c r="P502" s="291">
        <f t="shared" si="40"/>
        <v>1</v>
      </c>
      <c r="Q502" s="291">
        <f t="shared" si="40"/>
        <v>1</v>
      </c>
      <c r="R502" s="291">
        <f t="shared" si="40"/>
        <v>1</v>
      </c>
      <c r="S502" s="291">
        <f t="shared" si="40"/>
        <v>1</v>
      </c>
      <c r="T502" s="291">
        <f t="shared" si="40"/>
        <v>1</v>
      </c>
      <c r="U502" s="291">
        <f t="shared" si="40"/>
        <v>1</v>
      </c>
      <c r="V502" s="291">
        <f t="shared" si="40"/>
        <v>1</v>
      </c>
      <c r="W502" s="291">
        <f t="shared" si="40"/>
        <v>1</v>
      </c>
      <c r="X502" s="291">
        <f t="shared" si="40"/>
        <v>1</v>
      </c>
      <c r="Y502" s="291">
        <f t="shared" si="40"/>
        <v>1</v>
      </c>
      <c r="Z502" s="291">
        <f t="shared" si="40"/>
        <v>1</v>
      </c>
      <c r="AA502" s="291">
        <f t="shared" si="40"/>
        <v>1</v>
      </c>
      <c r="AB502" s="291">
        <f t="shared" si="40"/>
        <v>1</v>
      </c>
      <c r="AC502" s="291">
        <f t="shared" si="40"/>
        <v>1</v>
      </c>
      <c r="AD502" s="291">
        <f t="shared" si="40"/>
        <v>1</v>
      </c>
      <c r="AE502" s="291">
        <f t="shared" si="40"/>
        <v>1</v>
      </c>
      <c r="AF502" s="291">
        <f t="shared" si="40"/>
        <v>1</v>
      </c>
      <c r="AG502" s="291">
        <f t="shared" si="40"/>
        <v>1</v>
      </c>
      <c r="AH502" s="291">
        <f t="shared" si="40"/>
        <v>1</v>
      </c>
      <c r="AI502" s="291">
        <f t="shared" si="40"/>
        <v>1</v>
      </c>
      <c r="AJ502" s="327">
        <f t="shared" si="34"/>
        <v>1</v>
      </c>
    </row>
    <row r="503" spans="2:36">
      <c r="B503" s="72" t="s">
        <v>888</v>
      </c>
      <c r="C503" s="72" t="s">
        <v>889</v>
      </c>
      <c r="D503" s="291">
        <f t="shared" si="33"/>
        <v>0.86946411887371633</v>
      </c>
      <c r="E503" s="291">
        <f t="shared" si="40"/>
        <v>0.98734110249479834</v>
      </c>
      <c r="F503" s="291">
        <f t="shared" si="40"/>
        <v>1.1218587294103202</v>
      </c>
      <c r="G503" s="291">
        <f t="shared" si="40"/>
        <v>1.2741094382058265</v>
      </c>
      <c r="H503" s="291">
        <f t="shared" si="40"/>
        <v>1.4403023692399231</v>
      </c>
      <c r="I503" s="291">
        <f t="shared" si="40"/>
        <v>1.4534611134070978</v>
      </c>
      <c r="J503" s="291">
        <f t="shared" si="40"/>
        <v>1.2579314170849665</v>
      </c>
      <c r="K503" s="291">
        <f t="shared" si="40"/>
        <v>1.1024256441378091</v>
      </c>
      <c r="L503" s="291">
        <f t="shared" si="40"/>
        <v>0.98596687828242402</v>
      </c>
      <c r="M503" s="291">
        <f t="shared" si="40"/>
        <v>1.0365737195389024</v>
      </c>
      <c r="N503" s="291">
        <f t="shared" si="40"/>
        <v>0.92092110332535626</v>
      </c>
      <c r="O503" s="291">
        <f t="shared" si="40"/>
        <v>0.90175051961783292</v>
      </c>
      <c r="P503" s="291">
        <f t="shared" si="40"/>
        <v>0.89411281054597036</v>
      </c>
      <c r="Q503" s="291">
        <f t="shared" si="40"/>
        <v>1.0393921552372773</v>
      </c>
      <c r="R503" s="291">
        <f t="shared" si="40"/>
        <v>1.0236193346746914</v>
      </c>
      <c r="S503" s="291">
        <f t="shared" si="40"/>
        <v>0.98683140990413065</v>
      </c>
      <c r="T503" s="291">
        <f t="shared" si="40"/>
        <v>0.99825570155963161</v>
      </c>
      <c r="U503" s="291">
        <f t="shared" si="40"/>
        <v>0.96110613232713471</v>
      </c>
      <c r="V503" s="291">
        <f t="shared" si="40"/>
        <v>0.93564053984674023</v>
      </c>
      <c r="W503" s="291">
        <f t="shared" si="40"/>
        <v>0.94707016527981702</v>
      </c>
      <c r="X503" s="291">
        <f t="shared" si="40"/>
        <v>1.0391708935166821</v>
      </c>
      <c r="Y503" s="291">
        <f t="shared" si="40"/>
        <v>1.1085340880535099</v>
      </c>
      <c r="Z503" s="291">
        <f t="shared" si="40"/>
        <v>1.0630510558247941</v>
      </c>
      <c r="AA503" s="291">
        <f t="shared" si="40"/>
        <v>0.95577226197470222</v>
      </c>
      <c r="AB503" s="291">
        <f t="shared" si="40"/>
        <v>0.86350294983061138</v>
      </c>
      <c r="AC503" s="291">
        <f t="shared" si="40"/>
        <v>0.86454141117488781</v>
      </c>
      <c r="AD503" s="291">
        <f t="shared" si="40"/>
        <v>0.86623032860219051</v>
      </c>
      <c r="AE503" s="291">
        <f t="shared" si="40"/>
        <v>0.77437401326180977</v>
      </c>
      <c r="AF503" s="291">
        <f t="shared" si="40"/>
        <v>0.83578688864792106</v>
      </c>
      <c r="AG503" s="291">
        <f t="shared" si="40"/>
        <v>0.9732470625205869</v>
      </c>
      <c r="AH503" s="291">
        <f t="shared" si="40"/>
        <v>0.9740802709729468</v>
      </c>
      <c r="AI503" s="291">
        <f t="shared" si="40"/>
        <v>0.91338024315781963</v>
      </c>
      <c r="AJ503" s="327">
        <f t="shared" si="34"/>
        <v>0.91338024315781963</v>
      </c>
    </row>
    <row r="504" spans="2:36">
      <c r="B504" s="72" t="s">
        <v>890</v>
      </c>
      <c r="C504" s="72" t="s">
        <v>891</v>
      </c>
      <c r="D504" s="291">
        <f t="shared" si="33"/>
        <v>0.81316967746259439</v>
      </c>
      <c r="E504" s="291">
        <f t="shared" si="40"/>
        <v>0.90373774811908514</v>
      </c>
      <c r="F504" s="291">
        <f t="shared" si="40"/>
        <v>0.89106088622145374</v>
      </c>
      <c r="G504" s="291">
        <f t="shared" si="40"/>
        <v>0.60310143888139556</v>
      </c>
      <c r="H504" s="291">
        <f t="shared" si="40"/>
        <v>0.63185174709531744</v>
      </c>
      <c r="I504" s="291">
        <f t="shared" si="40"/>
        <v>0.59492256948600586</v>
      </c>
      <c r="J504" s="291">
        <f t="shared" si="40"/>
        <v>0.57515051373389969</v>
      </c>
      <c r="K504" s="291">
        <f t="shared" si="40"/>
        <v>0.56815934087405695</v>
      </c>
      <c r="L504" s="291">
        <f t="shared" si="40"/>
        <v>0.53943811275631537</v>
      </c>
      <c r="M504" s="291">
        <f t="shared" si="40"/>
        <v>0.55542137512921141</v>
      </c>
      <c r="N504" s="291">
        <f t="shared" si="40"/>
        <v>0.52231119333532083</v>
      </c>
      <c r="O504" s="291">
        <f t="shared" si="40"/>
        <v>0.57571275521682186</v>
      </c>
      <c r="P504" s="291">
        <f t="shared" si="40"/>
        <v>0.59525924662795293</v>
      </c>
      <c r="Q504" s="291">
        <f t="shared" si="40"/>
        <v>0.76839312888801092</v>
      </c>
      <c r="R504" s="291">
        <f t="shared" si="40"/>
        <v>0.80522665306619778</v>
      </c>
      <c r="S504" s="291">
        <f t="shared" si="40"/>
        <v>0.85009119925927124</v>
      </c>
      <c r="T504" s="291">
        <f t="shared" si="40"/>
        <v>0.85083408769373969</v>
      </c>
      <c r="U504" s="291">
        <f t="shared" si="40"/>
        <v>0.86505440177923765</v>
      </c>
      <c r="V504" s="291">
        <f t="shared" si="40"/>
        <v>0.84150595990684374</v>
      </c>
      <c r="W504" s="291">
        <f t="shared" si="40"/>
        <v>0.80879921077233574</v>
      </c>
      <c r="X504" s="291">
        <f t="shared" si="40"/>
        <v>0.84288689105007586</v>
      </c>
      <c r="Y504" s="291">
        <f t="shared" si="40"/>
        <v>0.83726544685975535</v>
      </c>
      <c r="Z504" s="291">
        <f t="shared" si="40"/>
        <v>0.55750211983914133</v>
      </c>
      <c r="AA504" s="291">
        <f t="shared" si="40"/>
        <v>0.43111529220235523</v>
      </c>
      <c r="AB504" s="291">
        <f t="shared" si="40"/>
        <v>0.4099327376558547</v>
      </c>
      <c r="AC504" s="291">
        <f t="shared" si="40"/>
        <v>0.4689649245533335</v>
      </c>
      <c r="AD504" s="291">
        <f t="shared" si="40"/>
        <v>0.49309850274311462</v>
      </c>
      <c r="AE504" s="291">
        <f t="shared" si="40"/>
        <v>0.48076277517257043</v>
      </c>
      <c r="AF504" s="291">
        <f t="shared" si="40"/>
        <v>0.61440778166364918</v>
      </c>
      <c r="AG504" s="291">
        <f t="shared" si="40"/>
        <v>0.69246416460496751</v>
      </c>
      <c r="AH504" s="291">
        <f t="shared" si="40"/>
        <v>0.81672457648740426</v>
      </c>
      <c r="AI504" s="291">
        <f t="shared" si="40"/>
        <v>0.8399715626144082</v>
      </c>
      <c r="AJ504" s="327">
        <f t="shared" si="34"/>
        <v>0.8399715626144082</v>
      </c>
    </row>
    <row r="505" spans="2:36">
      <c r="B505" s="72" t="s">
        <v>892</v>
      </c>
      <c r="C505" s="72" t="s">
        <v>893</v>
      </c>
      <c r="D505" s="291">
        <f t="shared" si="33"/>
        <v>0</v>
      </c>
      <c r="E505" s="291">
        <f t="shared" si="40"/>
        <v>0</v>
      </c>
      <c r="F505" s="291">
        <f t="shared" si="40"/>
        <v>0</v>
      </c>
      <c r="G505" s="291">
        <f t="shared" si="40"/>
        <v>0</v>
      </c>
      <c r="H505" s="291">
        <f t="shared" si="40"/>
        <v>0</v>
      </c>
      <c r="I505" s="291">
        <f t="shared" si="40"/>
        <v>0</v>
      </c>
      <c r="J505" s="291">
        <f t="shared" si="40"/>
        <v>0</v>
      </c>
      <c r="K505" s="291">
        <f t="shared" si="40"/>
        <v>0</v>
      </c>
      <c r="L505" s="291">
        <f t="shared" si="40"/>
        <v>0</v>
      </c>
      <c r="M505" s="291">
        <f t="shared" si="40"/>
        <v>0</v>
      </c>
      <c r="N505" s="291">
        <f t="shared" si="40"/>
        <v>0.41485868473590121</v>
      </c>
      <c r="O505" s="291">
        <f t="shared" si="40"/>
        <v>0.40780293603958723</v>
      </c>
      <c r="P505" s="291">
        <f t="shared" si="40"/>
        <v>0.41860440092548351</v>
      </c>
      <c r="Q505" s="291">
        <f t="shared" si="40"/>
        <v>0.4928894539931884</v>
      </c>
      <c r="R505" s="291">
        <f t="shared" si="40"/>
        <v>0.49412441710349775</v>
      </c>
      <c r="S505" s="291">
        <f t="shared" si="40"/>
        <v>0.48620225774247855</v>
      </c>
      <c r="T505" s="291">
        <f t="shared" si="40"/>
        <v>0.49649560954821903</v>
      </c>
      <c r="U505" s="291">
        <f t="shared" si="40"/>
        <v>0.47122692116267695</v>
      </c>
      <c r="V505" s="291">
        <f t="shared" si="40"/>
        <v>0.44092372672676194</v>
      </c>
      <c r="W505" s="291">
        <f t="shared" si="40"/>
        <v>0.48051563096038735</v>
      </c>
      <c r="X505" s="291">
        <f t="shared" si="40"/>
        <v>0.4005895804099468</v>
      </c>
      <c r="Y505" s="291">
        <f t="shared" si="40"/>
        <v>0.33226467258281883</v>
      </c>
      <c r="Z505" s="291">
        <f t="shared" si="40"/>
        <v>0.25617439302319767</v>
      </c>
      <c r="AA505" s="291">
        <f t="shared" si="40"/>
        <v>0.22645578657300153</v>
      </c>
      <c r="AB505" s="291">
        <f t="shared" si="40"/>
        <v>0.21933192160401557</v>
      </c>
      <c r="AC505" s="291">
        <f t="shared" si="40"/>
        <v>0.23624156858215686</v>
      </c>
      <c r="AD505" s="291">
        <f t="shared" si="40"/>
        <v>0.25438330651736868</v>
      </c>
      <c r="AE505" s="291">
        <f t="shared" si="40"/>
        <v>0.26440487072585828</v>
      </c>
      <c r="AF505" s="291">
        <f t="shared" si="40"/>
        <v>0.32050790433174353</v>
      </c>
      <c r="AG505" s="291">
        <f t="shared" si="40"/>
        <v>0.40057198895651858</v>
      </c>
      <c r="AH505" s="291">
        <f t="shared" si="40"/>
        <v>0.43976807530174417</v>
      </c>
      <c r="AI505" s="291">
        <f t="shared" si="40"/>
        <v>0.42953051511819451</v>
      </c>
      <c r="AJ505" s="327">
        <f t="shared" si="34"/>
        <v>0.42953051511819451</v>
      </c>
    </row>
    <row r="506" spans="2:36">
      <c r="B506" s="72" t="s">
        <v>894</v>
      </c>
      <c r="C506" s="72" t="s">
        <v>895</v>
      </c>
      <c r="D506" s="291">
        <f t="shared" si="33"/>
        <v>0.6457749361391053</v>
      </c>
      <c r="E506" s="291">
        <f t="shared" si="40"/>
        <v>0.560199067450602</v>
      </c>
      <c r="F506" s="291">
        <f t="shared" si="40"/>
        <v>0.53867238768513281</v>
      </c>
      <c r="G506" s="291">
        <f t="shared" si="40"/>
        <v>0.58008499709573136</v>
      </c>
      <c r="H506" s="291">
        <f t="shared" si="40"/>
        <v>0.70990767615886463</v>
      </c>
      <c r="I506" s="291">
        <f t="shared" si="40"/>
        <v>0.62818464514247774</v>
      </c>
      <c r="J506" s="291">
        <f t="shared" si="40"/>
        <v>0.51093553321905238</v>
      </c>
      <c r="K506" s="291">
        <f t="shared" si="40"/>
        <v>0.49382439343541373</v>
      </c>
      <c r="L506" s="291">
        <f t="shared" si="40"/>
        <v>0.49300871416802933</v>
      </c>
      <c r="M506" s="291">
        <f t="shared" si="40"/>
        <v>0.47850916272337429</v>
      </c>
      <c r="N506" s="291">
        <f t="shared" si="40"/>
        <v>0.40197737326393979</v>
      </c>
      <c r="O506" s="291">
        <f t="shared" si="40"/>
        <v>0.44009106112788005</v>
      </c>
      <c r="P506" s="291">
        <f t="shared" si="40"/>
        <v>0.4326046543571534</v>
      </c>
      <c r="Q506" s="291">
        <f t="shared" si="40"/>
        <v>0.46836355992224593</v>
      </c>
      <c r="R506" s="291">
        <f t="shared" si="40"/>
        <v>0.48323024813986515</v>
      </c>
      <c r="S506" s="291">
        <f t="shared" si="40"/>
        <v>0.48080924342716114</v>
      </c>
      <c r="T506" s="291">
        <f t="shared" si="40"/>
        <v>0.48955223600365855</v>
      </c>
      <c r="U506" s="291">
        <f t="shared" si="40"/>
        <v>0.46002201147769445</v>
      </c>
      <c r="V506" s="291">
        <f t="shared" si="40"/>
        <v>0.4340240974788549</v>
      </c>
      <c r="W506" s="291">
        <f t="shared" si="40"/>
        <v>0.44090681269347209</v>
      </c>
      <c r="X506" s="291">
        <f t="shared" si="40"/>
        <v>0.45376121027175748</v>
      </c>
      <c r="Y506" s="291">
        <f t="shared" si="40"/>
        <v>0.46502761201404508</v>
      </c>
      <c r="Z506" s="291">
        <f t="shared" si="40"/>
        <v>0.46574643311712177</v>
      </c>
      <c r="AA506" s="291">
        <f t="shared" si="40"/>
        <v>0.47334125232363522</v>
      </c>
      <c r="AB506" s="291">
        <f t="shared" si="40"/>
        <v>0.46212790623928252</v>
      </c>
      <c r="AC506" s="291">
        <f t="shared" si="40"/>
        <v>0.46004875703453918</v>
      </c>
      <c r="AD506" s="291">
        <f t="shared" si="40"/>
        <v>0.46045552082331165</v>
      </c>
      <c r="AE506" s="291">
        <f t="shared" si="40"/>
        <v>0.45525050985747628</v>
      </c>
      <c r="AF506" s="291">
        <f t="shared" si="40"/>
        <v>0.50913523510066516</v>
      </c>
      <c r="AG506" s="291">
        <f t="shared" si="40"/>
        <v>0.56279779761071413</v>
      </c>
      <c r="AH506" s="291">
        <f t="shared" si="40"/>
        <v>0.6339626348814108</v>
      </c>
      <c r="AI506" s="291">
        <f t="shared" si="40"/>
        <v>0.63501775196019061</v>
      </c>
      <c r="AJ506" s="327">
        <f t="shared" si="34"/>
        <v>0.63501775196019061</v>
      </c>
    </row>
    <row r="507" spans="2:36">
      <c r="B507" s="72" t="s">
        <v>896</v>
      </c>
      <c r="C507" s="72" t="s">
        <v>897</v>
      </c>
      <c r="D507" s="291">
        <f t="shared" si="33"/>
        <v>0.70128337168315724</v>
      </c>
      <c r="E507" s="291">
        <f t="shared" si="40"/>
        <v>0.82180823752514964</v>
      </c>
      <c r="F507" s="291">
        <f t="shared" si="40"/>
        <v>0.91298469276478156</v>
      </c>
      <c r="G507" s="291">
        <f t="shared" si="40"/>
        <v>1.0620358036423019</v>
      </c>
      <c r="H507" s="291">
        <f t="shared" si="40"/>
        <v>0.81213068827875923</v>
      </c>
      <c r="I507" s="291">
        <f t="shared" si="40"/>
        <v>0.8218652886784068</v>
      </c>
      <c r="J507" s="291">
        <f t="shared" si="40"/>
        <v>0.66426102517897367</v>
      </c>
      <c r="K507" s="291">
        <f t="shared" si="40"/>
        <v>0.42024038034628786</v>
      </c>
      <c r="L507" s="291">
        <f t="shared" si="40"/>
        <v>0.44225958509644375</v>
      </c>
      <c r="M507" s="291">
        <f t="shared" si="40"/>
        <v>0.35348556491143773</v>
      </c>
      <c r="N507" s="291">
        <f t="shared" si="40"/>
        <v>0.31713374169459535</v>
      </c>
      <c r="O507" s="291">
        <f t="shared" si="40"/>
        <v>0.30108906499328308</v>
      </c>
      <c r="P507" s="291">
        <f t="shared" si="40"/>
        <v>0.31156690788063662</v>
      </c>
      <c r="Q507" s="291">
        <f t="shared" si="40"/>
        <v>0.35125490749466387</v>
      </c>
      <c r="R507" s="291">
        <f t="shared" si="40"/>
        <v>0.3377529234012146</v>
      </c>
      <c r="S507" s="291">
        <f t="shared" si="40"/>
        <v>0.4055295816396523</v>
      </c>
      <c r="T507" s="291">
        <f t="shared" si="40"/>
        <v>0.36812839068582343</v>
      </c>
      <c r="U507" s="291">
        <f t="shared" si="40"/>
        <v>0.41108587987948092</v>
      </c>
      <c r="V507" s="291">
        <f t="shared" si="40"/>
        <v>0.41871057383695059</v>
      </c>
      <c r="W507" s="291">
        <f t="shared" si="40"/>
        <v>0.47649494772147177</v>
      </c>
      <c r="X507" s="291">
        <f t="shared" si="40"/>
        <v>0.59015259171149204</v>
      </c>
      <c r="Y507" s="291">
        <f t="shared" si="40"/>
        <v>0.62466472331219347</v>
      </c>
      <c r="Z507" s="291">
        <f t="shared" si="40"/>
        <v>0.4887730479202731</v>
      </c>
      <c r="AA507" s="291">
        <f t="shared" si="40"/>
        <v>0.42001748508822551</v>
      </c>
      <c r="AB507" s="291">
        <f t="shared" si="40"/>
        <v>0.41960736184212183</v>
      </c>
      <c r="AC507" s="291">
        <f t="shared" si="40"/>
        <v>0.47695359016025751</v>
      </c>
      <c r="AD507" s="291">
        <f t="shared" si="40"/>
        <v>0.53128392626437604</v>
      </c>
      <c r="AE507" s="291">
        <f t="shared" si="40"/>
        <v>0.53286923600257341</v>
      </c>
      <c r="AF507" s="291">
        <f t="shared" si="40"/>
        <v>0.73223744757960085</v>
      </c>
      <c r="AG507" s="291">
        <f t="shared" si="40"/>
        <v>0.90749866796088696</v>
      </c>
      <c r="AH507" s="291">
        <f t="shared" si="40"/>
        <v>1.0944871034216195</v>
      </c>
      <c r="AI507" s="291">
        <f t="shared" si="40"/>
        <v>0.77444787308531171</v>
      </c>
      <c r="AJ507" s="327">
        <f t="shared" si="34"/>
        <v>0.77444787308531171</v>
      </c>
    </row>
    <row r="508" spans="2:36">
      <c r="B508" s="72" t="s">
        <v>898</v>
      </c>
      <c r="C508" s="72" t="s">
        <v>899</v>
      </c>
      <c r="D508" s="291">
        <f t="shared" si="33"/>
        <v>0</v>
      </c>
      <c r="E508" s="291">
        <f t="shared" si="40"/>
        <v>0</v>
      </c>
      <c r="F508" s="291">
        <f t="shared" si="40"/>
        <v>0</v>
      </c>
      <c r="G508" s="291">
        <f t="shared" si="40"/>
        <v>0</v>
      </c>
      <c r="H508" s="291">
        <f t="shared" si="40"/>
        <v>0</v>
      </c>
      <c r="I508" s="291">
        <f t="shared" si="40"/>
        <v>0.70344198913607614</v>
      </c>
      <c r="J508" s="291">
        <f t="shared" si="40"/>
        <v>1.0825170816611014</v>
      </c>
      <c r="K508" s="291">
        <f t="shared" si="40"/>
        <v>1.2385256662810975</v>
      </c>
      <c r="L508" s="291">
        <f t="shared" si="40"/>
        <v>0.70611419780712081</v>
      </c>
      <c r="M508" s="291">
        <f t="shared" si="40"/>
        <v>0.16494598269865671</v>
      </c>
      <c r="N508" s="291">
        <f t="shared" si="40"/>
        <v>0.13814446314963993</v>
      </c>
      <c r="O508" s="291">
        <f t="shared" si="40"/>
        <v>0.18339730459529147</v>
      </c>
      <c r="P508" s="291">
        <f t="shared" si="40"/>
        <v>0.16824467343679306</v>
      </c>
      <c r="Q508" s="291">
        <f t="shared" si="40"/>
        <v>0.23656796353172099</v>
      </c>
      <c r="R508" s="291">
        <f t="shared" si="40"/>
        <v>0.2592126145200947</v>
      </c>
      <c r="S508" s="291">
        <f t="shared" si="40"/>
        <v>0.28385756965575348</v>
      </c>
      <c r="T508" s="291">
        <f t="shared" ref="E508:AI513" si="41">T256/T$250</f>
        <v>0.30684383252094216</v>
      </c>
      <c r="U508" s="291">
        <f t="shared" si="41"/>
        <v>0.2917517128657901</v>
      </c>
      <c r="V508" s="291">
        <f t="shared" si="41"/>
        <v>0.26843085587583237</v>
      </c>
      <c r="W508" s="291">
        <f t="shared" si="41"/>
        <v>0.26942897296807394</v>
      </c>
      <c r="X508" s="291">
        <f t="shared" si="41"/>
        <v>0.29448965940572797</v>
      </c>
      <c r="Y508" s="291">
        <f t="shared" si="41"/>
        <v>0.30131343935091115</v>
      </c>
      <c r="Z508" s="291">
        <f t="shared" si="41"/>
        <v>0.28481139124654786</v>
      </c>
      <c r="AA508" s="291">
        <f t="shared" si="41"/>
        <v>0.26358599058802967</v>
      </c>
      <c r="AB508" s="291">
        <f t="shared" si="41"/>
        <v>0.24680932748417067</v>
      </c>
      <c r="AC508" s="291">
        <f t="shared" si="41"/>
        <v>0.25690998949300881</v>
      </c>
      <c r="AD508" s="291">
        <f t="shared" si="41"/>
        <v>0.2652237780472097</v>
      </c>
      <c r="AE508" s="291">
        <f t="shared" si="41"/>
        <v>0.24768705599268026</v>
      </c>
      <c r="AF508" s="291">
        <f t="shared" si="41"/>
        <v>0.31557917584842199</v>
      </c>
      <c r="AG508" s="291">
        <f t="shared" si="41"/>
        <v>0.36738265163354433</v>
      </c>
      <c r="AH508" s="291">
        <f t="shared" si="41"/>
        <v>0.37445760382737209</v>
      </c>
      <c r="AI508" s="291">
        <f t="shared" si="41"/>
        <v>0.37672145897938564</v>
      </c>
      <c r="AJ508" s="327">
        <f t="shared" ref="AJ508" si="42">AJ256/AJ$250</f>
        <v>0.37672145897938564</v>
      </c>
    </row>
    <row r="509" spans="2:36">
      <c r="B509" s="72" t="s">
        <v>900</v>
      </c>
      <c r="C509" s="72" t="s">
        <v>901</v>
      </c>
      <c r="D509" s="291">
        <f t="shared" si="33"/>
        <v>0</v>
      </c>
      <c r="E509" s="291">
        <f t="shared" si="41"/>
        <v>0</v>
      </c>
      <c r="F509" s="291">
        <f t="shared" si="41"/>
        <v>0</v>
      </c>
      <c r="G509" s="291">
        <f t="shared" si="41"/>
        <v>0</v>
      </c>
      <c r="H509" s="291">
        <f t="shared" si="41"/>
        <v>0</v>
      </c>
      <c r="I509" s="291">
        <f t="shared" si="41"/>
        <v>0</v>
      </c>
      <c r="J509" s="291">
        <f t="shared" si="41"/>
        <v>0</v>
      </c>
      <c r="K509" s="291">
        <f t="shared" si="41"/>
        <v>0</v>
      </c>
      <c r="L509" s="291">
        <f t="shared" si="41"/>
        <v>0</v>
      </c>
      <c r="M509" s="291">
        <f t="shared" si="41"/>
        <v>0</v>
      </c>
      <c r="N509" s="291">
        <f t="shared" si="41"/>
        <v>0</v>
      </c>
      <c r="O509" s="291">
        <f t="shared" si="41"/>
        <v>0</v>
      </c>
      <c r="P509" s="291">
        <f t="shared" si="41"/>
        <v>0</v>
      </c>
      <c r="Q509" s="291">
        <f t="shared" si="41"/>
        <v>0</v>
      </c>
      <c r="R509" s="291">
        <f t="shared" si="41"/>
        <v>0</v>
      </c>
      <c r="S509" s="291">
        <f t="shared" si="41"/>
        <v>0</v>
      </c>
      <c r="T509" s="291">
        <f t="shared" si="41"/>
        <v>0</v>
      </c>
      <c r="U509" s="291">
        <f t="shared" si="41"/>
        <v>0</v>
      </c>
      <c r="V509" s="291">
        <f t="shared" si="41"/>
        <v>0</v>
      </c>
      <c r="W509" s="291">
        <f t="shared" si="41"/>
        <v>0</v>
      </c>
      <c r="X509" s="291">
        <f t="shared" si="41"/>
        <v>0</v>
      </c>
      <c r="Y509" s="291">
        <f t="shared" si="41"/>
        <v>0</v>
      </c>
      <c r="Z509" s="291">
        <f t="shared" si="41"/>
        <v>0</v>
      </c>
      <c r="AA509" s="291">
        <f t="shared" si="41"/>
        <v>0</v>
      </c>
      <c r="AB509" s="291">
        <f t="shared" si="41"/>
        <v>0</v>
      </c>
      <c r="AC509" s="291">
        <f t="shared" si="41"/>
        <v>0</v>
      </c>
      <c r="AD509" s="291">
        <f t="shared" si="41"/>
        <v>0</v>
      </c>
      <c r="AE509" s="291">
        <f t="shared" si="41"/>
        <v>0</v>
      </c>
      <c r="AF509" s="291">
        <f t="shared" si="41"/>
        <v>0</v>
      </c>
      <c r="AG509" s="291">
        <f t="shared" si="41"/>
        <v>0</v>
      </c>
      <c r="AH509" s="291">
        <f t="shared" si="41"/>
        <v>0</v>
      </c>
      <c r="AI509" s="291">
        <f t="shared" si="41"/>
        <v>0</v>
      </c>
      <c r="AJ509" s="327">
        <f t="shared" ref="AJ509" si="43">AJ257/AJ$250</f>
        <v>0</v>
      </c>
    </row>
    <row r="510" spans="2:36">
      <c r="B510" s="72" t="s">
        <v>902</v>
      </c>
      <c r="C510" s="72" t="s">
        <v>903</v>
      </c>
      <c r="D510" s="291">
        <f t="shared" si="33"/>
        <v>0</v>
      </c>
      <c r="E510" s="291">
        <f t="shared" si="41"/>
        <v>0</v>
      </c>
      <c r="F510" s="291">
        <f t="shared" si="41"/>
        <v>0</v>
      </c>
      <c r="G510" s="291">
        <f t="shared" si="41"/>
        <v>0</v>
      </c>
      <c r="H510" s="291">
        <f t="shared" si="41"/>
        <v>0</v>
      </c>
      <c r="I510" s="291">
        <f t="shared" si="41"/>
        <v>0</v>
      </c>
      <c r="J510" s="291">
        <f t="shared" si="41"/>
        <v>0</v>
      </c>
      <c r="K510" s="291">
        <f t="shared" si="41"/>
        <v>0</v>
      </c>
      <c r="L510" s="291">
        <f t="shared" si="41"/>
        <v>0</v>
      </c>
      <c r="M510" s="291">
        <f t="shared" si="41"/>
        <v>0</v>
      </c>
      <c r="N510" s="291">
        <f t="shared" si="41"/>
        <v>0</v>
      </c>
      <c r="O510" s="291">
        <f t="shared" si="41"/>
        <v>0</v>
      </c>
      <c r="P510" s="291">
        <f t="shared" si="41"/>
        <v>0</v>
      </c>
      <c r="Q510" s="291">
        <f t="shared" si="41"/>
        <v>0</v>
      </c>
      <c r="R510" s="291">
        <f t="shared" si="41"/>
        <v>0.53662506166430068</v>
      </c>
      <c r="S510" s="291">
        <f t="shared" si="41"/>
        <v>0.54295031883113232</v>
      </c>
      <c r="T510" s="291">
        <f t="shared" si="41"/>
        <v>0.54748307733236357</v>
      </c>
      <c r="U510" s="291">
        <f t="shared" si="41"/>
        <v>0.50548198845374404</v>
      </c>
      <c r="V510" s="291">
        <f t="shared" si="41"/>
        <v>0.46150404312965349</v>
      </c>
      <c r="W510" s="291">
        <f t="shared" si="41"/>
        <v>0.44735774084907204</v>
      </c>
      <c r="X510" s="291">
        <f t="shared" si="41"/>
        <v>0.50193378128096122</v>
      </c>
      <c r="Y510" s="291">
        <f t="shared" si="41"/>
        <v>0.49779226368114404</v>
      </c>
      <c r="Z510" s="291">
        <f t="shared" si="41"/>
        <v>0.44405918336736905</v>
      </c>
      <c r="AA510" s="291">
        <f t="shared" si="41"/>
        <v>0.40905178834448092</v>
      </c>
      <c r="AB510" s="291">
        <f t="shared" si="41"/>
        <v>0.38810967431948512</v>
      </c>
      <c r="AC510" s="291">
        <f t="shared" si="41"/>
        <v>0.39399575589718916</v>
      </c>
      <c r="AD510" s="291">
        <f t="shared" si="41"/>
        <v>0</v>
      </c>
      <c r="AE510" s="291">
        <f t="shared" si="41"/>
        <v>0</v>
      </c>
      <c r="AF510" s="291">
        <f t="shared" si="41"/>
        <v>0</v>
      </c>
      <c r="AG510" s="291">
        <f t="shared" si="41"/>
        <v>0</v>
      </c>
      <c r="AH510" s="291">
        <f t="shared" si="41"/>
        <v>0</v>
      </c>
      <c r="AI510" s="291">
        <f t="shared" si="41"/>
        <v>0</v>
      </c>
      <c r="AJ510" s="327">
        <f t="shared" ref="AJ510" si="44">AJ258/AJ$250</f>
        <v>0</v>
      </c>
    </row>
    <row r="511" spans="2:36">
      <c r="B511" s="72" t="s">
        <v>904</v>
      </c>
      <c r="C511" s="72" t="s">
        <v>905</v>
      </c>
      <c r="D511" s="291">
        <f t="shared" si="33"/>
        <v>0</v>
      </c>
      <c r="E511" s="291">
        <f t="shared" si="41"/>
        <v>0</v>
      </c>
      <c r="F511" s="291">
        <f t="shared" si="41"/>
        <v>0</v>
      </c>
      <c r="G511" s="291">
        <f t="shared" si="41"/>
        <v>0</v>
      </c>
      <c r="H511" s="291">
        <f t="shared" si="41"/>
        <v>0</v>
      </c>
      <c r="I511" s="291">
        <f t="shared" si="41"/>
        <v>0</v>
      </c>
      <c r="J511" s="291">
        <f t="shared" si="41"/>
        <v>0</v>
      </c>
      <c r="K511" s="291">
        <f t="shared" si="41"/>
        <v>0</v>
      </c>
      <c r="L511" s="291">
        <f t="shared" si="41"/>
        <v>0</v>
      </c>
      <c r="M511" s="291">
        <f t="shared" si="41"/>
        <v>0</v>
      </c>
      <c r="N511" s="291">
        <f t="shared" si="41"/>
        <v>0.33251976038118303</v>
      </c>
      <c r="O511" s="291">
        <f t="shared" si="41"/>
        <v>0.31110412036639373</v>
      </c>
      <c r="P511" s="291">
        <f t="shared" si="41"/>
        <v>0.30429671998554664</v>
      </c>
      <c r="Q511" s="291">
        <f t="shared" si="41"/>
        <v>0.27642726090671826</v>
      </c>
      <c r="R511" s="291">
        <f t="shared" si="41"/>
        <v>0.19407019134890691</v>
      </c>
      <c r="S511" s="291">
        <f t="shared" si="41"/>
        <v>0.17682830223034646</v>
      </c>
      <c r="T511" s="291">
        <f t="shared" si="41"/>
        <v>0.22820208184543983</v>
      </c>
      <c r="U511" s="291">
        <f t="shared" si="41"/>
        <v>0.24213231225819729</v>
      </c>
      <c r="V511" s="291">
        <f t="shared" si="41"/>
        <v>0.20280514068448963</v>
      </c>
      <c r="W511" s="291">
        <f t="shared" si="41"/>
        <v>0.23551341784938518</v>
      </c>
      <c r="X511" s="291">
        <f t="shared" si="41"/>
        <v>0.30042042207647851</v>
      </c>
      <c r="Y511" s="291">
        <f t="shared" si="41"/>
        <v>0.30870609423635292</v>
      </c>
      <c r="Z511" s="291">
        <f t="shared" si="41"/>
        <v>0.30415023161439664</v>
      </c>
      <c r="AA511" s="291">
        <f t="shared" si="41"/>
        <v>0.284321758473222</v>
      </c>
      <c r="AB511" s="291">
        <f t="shared" si="41"/>
        <v>0.28306217263777883</v>
      </c>
      <c r="AC511" s="291">
        <f t="shared" si="41"/>
        <v>0.31370356646093717</v>
      </c>
      <c r="AD511" s="291">
        <f t="shared" si="41"/>
        <v>0.33614425765532524</v>
      </c>
      <c r="AE511" s="291">
        <f t="shared" si="41"/>
        <v>0.32073256730918775</v>
      </c>
      <c r="AF511" s="291">
        <f t="shared" si="41"/>
        <v>0.40613762986622115</v>
      </c>
      <c r="AG511" s="291">
        <f t="shared" si="41"/>
        <v>0.41957279524933477</v>
      </c>
      <c r="AH511" s="291">
        <f t="shared" si="41"/>
        <v>0.47825941754719803</v>
      </c>
      <c r="AI511" s="291">
        <f t="shared" si="41"/>
        <v>0.53289049677009115</v>
      </c>
      <c r="AJ511" s="327">
        <f t="shared" ref="AJ511" si="45">AJ259/AJ$250</f>
        <v>0.53289049677009115</v>
      </c>
    </row>
    <row r="512" spans="2:36">
      <c r="B512" s="72" t="s">
        <v>906</v>
      </c>
      <c r="C512" s="72" t="s">
        <v>907</v>
      </c>
      <c r="D512" s="291">
        <f t="shared" si="33"/>
        <v>0.79943493348844785</v>
      </c>
      <c r="E512" s="291">
        <f t="shared" si="41"/>
        <v>0.80667849484553455</v>
      </c>
      <c r="F512" s="291">
        <f t="shared" si="41"/>
        <v>0.85856137222817452</v>
      </c>
      <c r="G512" s="291">
        <f t="shared" si="41"/>
        <v>0.82083812952234214</v>
      </c>
      <c r="H512" s="291">
        <f t="shared" si="41"/>
        <v>0.73480940728459399</v>
      </c>
      <c r="I512" s="291">
        <f t="shared" si="41"/>
        <v>0.58649538103421417</v>
      </c>
      <c r="J512" s="291">
        <f t="shared" si="41"/>
        <v>0.36423955409288888</v>
      </c>
      <c r="K512" s="291">
        <f t="shared" si="41"/>
        <v>0.41107906039611009</v>
      </c>
      <c r="L512" s="291">
        <f t="shared" si="41"/>
        <v>0.55027436633636539</v>
      </c>
      <c r="M512" s="291">
        <f t="shared" si="41"/>
        <v>0.60344783315770933</v>
      </c>
      <c r="N512" s="291">
        <f t="shared" si="41"/>
        <v>0.42725872004042958</v>
      </c>
      <c r="O512" s="291">
        <f t="shared" si="41"/>
        <v>0.41564278856413917</v>
      </c>
      <c r="P512" s="291">
        <f t="shared" si="41"/>
        <v>0.38713568096744494</v>
      </c>
      <c r="Q512" s="291">
        <f t="shared" si="41"/>
        <v>0.42410572830119125</v>
      </c>
      <c r="R512" s="291">
        <f t="shared" si="41"/>
        <v>0.4579749577910911</v>
      </c>
      <c r="S512" s="291">
        <f t="shared" si="41"/>
        <v>0.46139382169593218</v>
      </c>
      <c r="T512" s="291">
        <f t="shared" si="41"/>
        <v>0.40326206077969845</v>
      </c>
      <c r="U512" s="291">
        <f t="shared" si="41"/>
        <v>0.4409213988483921</v>
      </c>
      <c r="V512" s="291">
        <f t="shared" si="41"/>
        <v>0.35705766744535306</v>
      </c>
      <c r="W512" s="291">
        <f t="shared" si="41"/>
        <v>0.33705063357091136</v>
      </c>
      <c r="X512" s="291">
        <f t="shared" si="41"/>
        <v>0.36334502889182757</v>
      </c>
      <c r="Y512" s="291">
        <f t="shared" si="41"/>
        <v>0.40577245107685067</v>
      </c>
      <c r="Z512" s="291">
        <f t="shared" si="41"/>
        <v>0.37643924161628012</v>
      </c>
      <c r="AA512" s="291">
        <f t="shared" si="41"/>
        <v>0.36887169392496072</v>
      </c>
      <c r="AB512" s="291">
        <f t="shared" si="41"/>
        <v>0.38525382893862437</v>
      </c>
      <c r="AC512" s="291">
        <f t="shared" si="41"/>
        <v>0.46772718328173057</v>
      </c>
      <c r="AD512" s="291">
        <f t="shared" si="41"/>
        <v>0.63717634654217303</v>
      </c>
      <c r="AE512" s="291">
        <f t="shared" si="41"/>
        <v>0.56215185986012661</v>
      </c>
      <c r="AF512" s="291">
        <f t="shared" si="41"/>
        <v>0.71253331765100314</v>
      </c>
      <c r="AG512" s="291">
        <f t="shared" si="41"/>
        <v>0.6731548012255234</v>
      </c>
      <c r="AH512" s="291">
        <f t="shared" si="41"/>
        <v>0.78597325342357016</v>
      </c>
      <c r="AI512" s="291">
        <f t="shared" si="41"/>
        <v>0.80329281866367297</v>
      </c>
      <c r="AJ512" s="327">
        <f t="shared" ref="AJ512" si="46">AJ260/AJ$250</f>
        <v>0.80329281866367297</v>
      </c>
    </row>
    <row r="513" spans="2:55">
      <c r="B513" s="72" t="s">
        <v>908</v>
      </c>
      <c r="C513" s="72" t="s">
        <v>909</v>
      </c>
      <c r="D513" s="291">
        <f t="shared" si="33"/>
        <v>0</v>
      </c>
      <c r="E513" s="291">
        <f t="shared" si="41"/>
        <v>0</v>
      </c>
      <c r="F513" s="291">
        <f t="shared" si="41"/>
        <v>0</v>
      </c>
      <c r="G513" s="291">
        <f t="shared" si="41"/>
        <v>0</v>
      </c>
      <c r="H513" s="291">
        <f t="shared" si="41"/>
        <v>0</v>
      </c>
      <c r="I513" s="291">
        <f t="shared" si="41"/>
        <v>0</v>
      </c>
      <c r="J513" s="291">
        <f t="shared" si="41"/>
        <v>0</v>
      </c>
      <c r="K513" s="291">
        <f t="shared" si="41"/>
        <v>0</v>
      </c>
      <c r="L513" s="291">
        <f t="shared" si="41"/>
        <v>0</v>
      </c>
      <c r="M513" s="291">
        <f t="shared" si="41"/>
        <v>0</v>
      </c>
      <c r="N513" s="291">
        <f t="shared" si="41"/>
        <v>0</v>
      </c>
      <c r="O513" s="291">
        <f t="shared" si="41"/>
        <v>0</v>
      </c>
      <c r="P513" s="291">
        <f t="shared" si="41"/>
        <v>0</v>
      </c>
      <c r="Q513" s="291">
        <f t="shared" si="41"/>
        <v>0</v>
      </c>
      <c r="R513" s="291">
        <f t="shared" si="41"/>
        <v>0</v>
      </c>
      <c r="S513" s="291">
        <f t="shared" si="41"/>
        <v>0</v>
      </c>
      <c r="T513" s="291">
        <f t="shared" si="41"/>
        <v>0</v>
      </c>
      <c r="U513" s="291">
        <f t="shared" si="41"/>
        <v>0</v>
      </c>
      <c r="V513" s="291">
        <f t="shared" si="41"/>
        <v>0</v>
      </c>
      <c r="W513" s="291">
        <f t="shared" si="41"/>
        <v>0</v>
      </c>
      <c r="X513" s="291">
        <f t="shared" si="41"/>
        <v>0</v>
      </c>
      <c r="Y513" s="291">
        <f t="shared" si="41"/>
        <v>0</v>
      </c>
      <c r="Z513" s="291">
        <f t="shared" si="41"/>
        <v>0</v>
      </c>
      <c r="AA513" s="291">
        <f t="shared" si="41"/>
        <v>0</v>
      </c>
      <c r="AB513" s="291">
        <f t="shared" si="41"/>
        <v>0</v>
      </c>
      <c r="AC513" s="291">
        <f t="shared" si="41"/>
        <v>0</v>
      </c>
      <c r="AD513" s="291">
        <f t="shared" si="41"/>
        <v>0</v>
      </c>
      <c r="AE513" s="291">
        <f t="shared" si="41"/>
        <v>0</v>
      </c>
      <c r="AF513" s="291">
        <f t="shared" si="41"/>
        <v>0</v>
      </c>
      <c r="AG513" s="291">
        <f t="shared" si="41"/>
        <v>0</v>
      </c>
      <c r="AH513" s="291">
        <f t="shared" si="41"/>
        <v>0</v>
      </c>
      <c r="AI513" s="291">
        <f t="shared" si="41"/>
        <v>0</v>
      </c>
      <c r="AJ513" s="327">
        <f t="shared" ref="AJ513" si="47">AJ261/AJ$250</f>
        <v>0</v>
      </c>
    </row>
    <row r="514" spans="2:55">
      <c r="P514" s="90"/>
    </row>
    <row r="515" spans="2:55">
      <c r="B515" s="153" t="s">
        <v>1309</v>
      </c>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row>
    <row r="518" spans="2:55">
      <c r="C518" s="30" t="s">
        <v>1161</v>
      </c>
    </row>
    <row r="519" spans="2:55">
      <c r="B519" s="72" t="s">
        <v>852</v>
      </c>
      <c r="C519" s="208">
        <f t="shared" ref="C519:C523" si="48">VLOOKUP(B519,$B$267:$AH$513,33,FALSE)</f>
        <v>1.4110003621180873</v>
      </c>
    </row>
    <row r="520" spans="2:55">
      <c r="B520" s="72" t="s">
        <v>596</v>
      </c>
      <c r="C520" s="208">
        <f t="shared" si="48"/>
        <v>1.3556214954808565</v>
      </c>
    </row>
    <row r="521" spans="2:55">
      <c r="B521" s="72" t="s">
        <v>667</v>
      </c>
      <c r="C521" s="208">
        <f t="shared" si="48"/>
        <v>1.0929648301381296</v>
      </c>
    </row>
    <row r="522" spans="2:55">
      <c r="B522" s="72" t="s">
        <v>632</v>
      </c>
      <c r="C522" s="208">
        <f t="shared" si="48"/>
        <v>1.0390737584004235</v>
      </c>
    </row>
    <row r="523" spans="2:55">
      <c r="B523" s="72" t="s">
        <v>655</v>
      </c>
      <c r="C523" s="208">
        <f t="shared" si="48"/>
        <v>0.66856725881166035</v>
      </c>
    </row>
    <row r="537" spans="2:55">
      <c r="B537" s="153" t="s">
        <v>163</v>
      </c>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row>
  </sheetData>
  <sortState ref="B519:C524">
    <sortCondition descending="1" ref="C523:C528"/>
  </sortState>
  <hyperlinks>
    <hyperlink ref="C8" r:id="rId1"/>
  </hyperlinks>
  <pageMargins left="0.75" right="0.75" top="1" bottom="1" header="0.5" footer="0.5"/>
  <pageSetup paperSize="9" scale="83" orientation="landscape" r:id="rId2"/>
  <headerFooter alignWithMargins="0">
    <oddFooter>&amp;L&amp;F \ &amp;A&amp;R&amp;T  &amp;D</oddFooter>
  </headerFooter>
  <drawing r:id="rId3"/>
  <legacyDrawing r:id="rId4"/>
</worksheet>
</file>

<file path=xl/worksheets/sheet35.xml><?xml version="1.0" encoding="utf-8"?>
<worksheet xmlns="http://schemas.openxmlformats.org/spreadsheetml/2006/main" xmlns:r="http://schemas.openxmlformats.org/officeDocument/2006/relationships">
  <sheetPr>
    <pageSetUpPr autoPageBreaks="0" fitToPage="1"/>
  </sheetPr>
  <dimension ref="A1:BC535"/>
  <sheetViews>
    <sheetView showGridLines="0" zoomScale="70" zoomScaleNormal="70" workbookViewId="0">
      <pane xSplit="3" ySplit="16" topLeftCell="D525" activePane="bottomRight" state="frozen"/>
      <selection pane="topRight" activeCell="D1" sqref="D1"/>
      <selection pane="bottomLeft" activeCell="A28" sqref="A28"/>
      <selection pane="bottomRight" activeCell="N545" sqref="N545"/>
    </sheetView>
  </sheetViews>
  <sheetFormatPr defaultRowHeight="12.75"/>
  <cols>
    <col min="1" max="1" width="8" style="90" customWidth="1"/>
    <col min="2" max="2" width="44" style="90" customWidth="1"/>
    <col min="3" max="14" width="10.7109375" style="90" customWidth="1"/>
    <col min="15" max="15" width="11.7109375" style="90" customWidth="1"/>
    <col min="16" max="16" width="10.7109375" style="126" customWidth="1"/>
    <col min="17" max="24" width="10.7109375" style="90" customWidth="1"/>
    <col min="25" max="45" width="13.140625" style="90" bestFit="1" customWidth="1"/>
    <col min="46" max="47" width="13.5703125" style="90" bestFit="1" customWidth="1"/>
    <col min="48" max="52" width="14" style="90" bestFit="1" customWidth="1"/>
    <col min="53" max="54" width="13.5703125" style="90" bestFit="1" customWidth="1"/>
    <col min="55" max="16384" width="9.140625" style="90"/>
  </cols>
  <sheetData>
    <row r="1" spans="1:55" ht="12.75" customHeight="1">
      <c r="A1" s="145"/>
    </row>
    <row r="2" spans="1:55">
      <c r="B2" s="146" t="s">
        <v>134</v>
      </c>
      <c r="C2" s="91"/>
      <c r="D2" s="91"/>
      <c r="E2" s="147" t="str">
        <f>Info!$D$10</f>
        <v>Duncan Kernohan</v>
      </c>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row>
    <row r="3" spans="1:55">
      <c r="B3" s="148" t="s">
        <v>137</v>
      </c>
      <c r="C3" s="92"/>
      <c r="D3" s="92"/>
      <c r="E3" s="149" t="str">
        <f>Info!$D$11 &amp; " - " &amp; Info!$D$12</f>
        <v>Airport Opex Benchmarking 2013 - duncan.kernohan@caa.co.uk</v>
      </c>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c r="B4" s="148" t="s">
        <v>130</v>
      </c>
      <c r="C4" s="92"/>
      <c r="D4" s="92"/>
      <c r="E4" s="150">
        <f>Info!$D$16</f>
        <v>2.8</v>
      </c>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row>
    <row r="5" spans="1:55">
      <c r="B5" s="151" t="s">
        <v>138</v>
      </c>
      <c r="C5" s="93"/>
      <c r="D5" s="93"/>
      <c r="E5" s="152" t="str">
        <f ca="1">IF(CELL("filename",D1)="","",MID(CELL("filename",A1),FIND("]",CELL("filename",A1))+1,99))</f>
        <v>GDP per cap</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row>
    <row r="6" spans="1:55">
      <c r="P6" s="90"/>
    </row>
    <row r="7" spans="1:55">
      <c r="B7" s="90" t="s">
        <v>143</v>
      </c>
      <c r="C7" s="90" t="s">
        <v>911</v>
      </c>
      <c r="P7" s="90"/>
    </row>
    <row r="8" spans="1:55">
      <c r="B8" s="90" t="s">
        <v>1092</v>
      </c>
      <c r="C8" s="71" t="s">
        <v>1097</v>
      </c>
      <c r="P8" s="90"/>
    </row>
    <row r="9" spans="1:55">
      <c r="P9" s="90"/>
    </row>
    <row r="10" spans="1:55">
      <c r="B10" s="231"/>
      <c r="C10" s="72"/>
      <c r="D10" s="72"/>
      <c r="P10" s="90"/>
    </row>
    <row r="11" spans="1:55">
      <c r="B11" s="72" t="s">
        <v>1117</v>
      </c>
      <c r="C11" s="72"/>
      <c r="D11" s="72"/>
      <c r="P11" s="90"/>
    </row>
    <row r="12" spans="1:55">
      <c r="B12" s="231"/>
      <c r="C12" s="232"/>
      <c r="D12" s="72"/>
      <c r="P12" s="90"/>
    </row>
    <row r="13" spans="1:55">
      <c r="P13" s="90"/>
    </row>
    <row r="14" spans="1:55" s="126" customFormat="1">
      <c r="A14" s="90"/>
      <c r="B14" s="153" t="s">
        <v>1160</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row>
    <row r="15" spans="1:55">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row>
    <row r="16" spans="1:55">
      <c r="B16" s="290" t="s">
        <v>400</v>
      </c>
      <c r="C16" s="290" t="s">
        <v>401</v>
      </c>
      <c r="D16" s="290" t="s">
        <v>1098</v>
      </c>
      <c r="E16" s="290" t="s">
        <v>1099</v>
      </c>
      <c r="F16" s="290" t="s">
        <v>1100</v>
      </c>
      <c r="G16" s="290" t="s">
        <v>1101</v>
      </c>
      <c r="H16" s="290" t="s">
        <v>1102</v>
      </c>
      <c r="I16" s="290" t="s">
        <v>1103</v>
      </c>
      <c r="J16" s="290" t="s">
        <v>1104</v>
      </c>
      <c r="K16" s="290" t="s">
        <v>1105</v>
      </c>
      <c r="L16" s="290" t="s">
        <v>1106</v>
      </c>
      <c r="M16" s="290" t="s">
        <v>1107</v>
      </c>
      <c r="N16" s="290" t="s">
        <v>1108</v>
      </c>
      <c r="O16" s="290" t="s">
        <v>1109</v>
      </c>
      <c r="P16" s="290" t="s">
        <v>1110</v>
      </c>
      <c r="Q16" s="290" t="s">
        <v>1111</v>
      </c>
      <c r="R16" s="290" t="s">
        <v>1112</v>
      </c>
      <c r="S16" s="290" t="s">
        <v>1113</v>
      </c>
      <c r="T16" s="290" t="s">
        <v>1114</v>
      </c>
      <c r="U16" s="290" t="s">
        <v>1115</v>
      </c>
      <c r="V16" s="290" t="s">
        <v>1116</v>
      </c>
      <c r="W16" s="290" t="s">
        <v>402</v>
      </c>
      <c r="X16" s="290" t="s">
        <v>403</v>
      </c>
      <c r="Y16" s="290" t="s">
        <v>404</v>
      </c>
      <c r="Z16" s="290" t="s">
        <v>405</v>
      </c>
      <c r="AA16" s="290" t="s">
        <v>406</v>
      </c>
      <c r="AB16" s="290" t="s">
        <v>407</v>
      </c>
      <c r="AC16" s="290" t="s">
        <v>408</v>
      </c>
      <c r="AD16" s="290" t="s">
        <v>409</v>
      </c>
      <c r="AE16" s="290" t="s">
        <v>410</v>
      </c>
      <c r="AF16" s="290" t="s">
        <v>411</v>
      </c>
      <c r="AG16" s="290" t="s">
        <v>412</v>
      </c>
      <c r="AH16" s="290" t="s">
        <v>413</v>
      </c>
      <c r="AI16" s="290" t="s">
        <v>414</v>
      </c>
      <c r="AJ16" s="290" t="s">
        <v>415</v>
      </c>
      <c r="AK16" s="290" t="s">
        <v>416</v>
      </c>
      <c r="AL16" s="290" t="s">
        <v>417</v>
      </c>
      <c r="AM16" s="290" t="s">
        <v>418</v>
      </c>
      <c r="AN16" s="290" t="s">
        <v>419</v>
      </c>
      <c r="AO16" s="290" t="s">
        <v>420</v>
      </c>
      <c r="AP16" s="290" t="s">
        <v>421</v>
      </c>
      <c r="AQ16" s="290" t="s">
        <v>422</v>
      </c>
      <c r="AR16" s="290" t="s">
        <v>423</v>
      </c>
      <c r="AS16" s="290" t="s">
        <v>424</v>
      </c>
      <c r="AT16" s="290" t="s">
        <v>425</v>
      </c>
      <c r="AU16" s="290" t="s">
        <v>426</v>
      </c>
      <c r="AV16" s="290" t="s">
        <v>427</v>
      </c>
      <c r="AW16" s="290" t="s">
        <v>428</v>
      </c>
      <c r="AX16" s="290" t="s">
        <v>429</v>
      </c>
      <c r="AY16" s="290" t="s">
        <v>430</v>
      </c>
      <c r="AZ16" s="290" t="s">
        <v>431</v>
      </c>
      <c r="BA16" s="290" t="s">
        <v>432</v>
      </c>
      <c r="BB16" s="290" t="s">
        <v>433</v>
      </c>
      <c r="BC16" s="30">
        <v>2012</v>
      </c>
    </row>
    <row r="17" spans="1:55">
      <c r="B17" s="72" t="s">
        <v>434</v>
      </c>
      <c r="C17" s="72" t="s">
        <v>435</v>
      </c>
      <c r="D17" s="294"/>
      <c r="E17" s="294"/>
      <c r="F17" s="294"/>
      <c r="G17" s="294"/>
      <c r="H17" s="294"/>
      <c r="I17" s="294"/>
      <c r="J17" s="294"/>
      <c r="K17" s="294">
        <v>280.38114964484879</v>
      </c>
      <c r="L17" s="294">
        <v>300.62934602407114</v>
      </c>
      <c r="M17" s="294">
        <v>318.98121881536457</v>
      </c>
      <c r="N17" s="294">
        <v>359.64455776874388</v>
      </c>
      <c r="O17" s="294">
        <v>424.62238995223277</v>
      </c>
      <c r="P17" s="294">
        <v>522.94837415726056</v>
      </c>
      <c r="Q17" s="294">
        <v>964.99871976657744</v>
      </c>
      <c r="R17" s="294">
        <v>1046.419460789019</v>
      </c>
      <c r="S17" s="294">
        <v>1251.1324257738186</v>
      </c>
      <c r="T17" s="294">
        <v>1406.4024585276129</v>
      </c>
      <c r="U17" s="294">
        <v>1504.8638253528852</v>
      </c>
      <c r="V17" s="294">
        <v>1942.3954349859505</v>
      </c>
      <c r="W17" s="294">
        <v>2495.5360847072293</v>
      </c>
      <c r="X17" s="294">
        <v>2492.901730418293</v>
      </c>
      <c r="Y17" s="294">
        <v>2250.9867635973637</v>
      </c>
      <c r="Z17" s="294">
        <v>2059.9124866997668</v>
      </c>
      <c r="AA17" s="294">
        <v>2023.3133458174436</v>
      </c>
      <c r="AB17" s="294">
        <v>1940.5711092872327</v>
      </c>
      <c r="AC17" s="294">
        <v>1774.6385559408607</v>
      </c>
      <c r="AD17" s="294">
        <v>1841.8105296226015</v>
      </c>
      <c r="AE17" s="294">
        <v>1728.9671635511786</v>
      </c>
      <c r="AF17" s="294">
        <v>1779.6959380039154</v>
      </c>
      <c r="AG17" s="294">
        <v>1933.9438317236222</v>
      </c>
      <c r="AH17" s="294">
        <v>1852.9091175358678</v>
      </c>
      <c r="AI17" s="294">
        <v>1951.1212777462781</v>
      </c>
      <c r="AJ17" s="294">
        <v>1926.1041076679555</v>
      </c>
      <c r="AK17" s="294">
        <v>1922.6677863990085</v>
      </c>
      <c r="AL17" s="294">
        <v>2005.123539013731</v>
      </c>
      <c r="AM17" s="294">
        <v>2168.6332932273758</v>
      </c>
      <c r="AN17" s="294">
        <v>2258.2966039117682</v>
      </c>
      <c r="AO17" s="294">
        <v>2151.1453204580243</v>
      </c>
      <c r="AP17" s="294">
        <v>2300.1852163792137</v>
      </c>
      <c r="AQ17" s="294">
        <v>2595.2435330979365</v>
      </c>
      <c r="AR17" s="294">
        <v>2473.1698245278358</v>
      </c>
      <c r="AS17" s="294">
        <v>2453.8262808801592</v>
      </c>
      <c r="AT17" s="294">
        <v>2703.7729514265038</v>
      </c>
      <c r="AU17" s="294">
        <v>3082.4690627558516</v>
      </c>
      <c r="AV17" s="294">
        <v>3660.3358604136029</v>
      </c>
      <c r="AW17" s="294">
        <v>4257.6324524497641</v>
      </c>
      <c r="AX17" s="294">
        <v>4815.9564307991377</v>
      </c>
      <c r="AY17" s="294">
        <v>5951.4745388237898</v>
      </c>
      <c r="AZ17" s="294">
        <v>5015.1214865502798</v>
      </c>
      <c r="BA17" s="294">
        <v>5704.0872640603611</v>
      </c>
      <c r="BB17" s="294">
        <v>6790.5868871503626</v>
      </c>
      <c r="BC17" s="298">
        <f>BB17</f>
        <v>6790.5868871503626</v>
      </c>
    </row>
    <row r="18" spans="1:55" s="126" customFormat="1">
      <c r="A18" s="90"/>
      <c r="B18" s="72" t="s">
        <v>436</v>
      </c>
      <c r="C18" s="72" t="s">
        <v>437</v>
      </c>
      <c r="D18" s="294">
        <v>474.30071522616964</v>
      </c>
      <c r="E18" s="294">
        <v>491.29355252752435</v>
      </c>
      <c r="F18" s="294">
        <v>514.15360780116453</v>
      </c>
      <c r="G18" s="294">
        <v>543.84046452508676</v>
      </c>
      <c r="H18" s="294">
        <v>575.44938241104808</v>
      </c>
      <c r="I18" s="294">
        <v>613.76805825487213</v>
      </c>
      <c r="J18" s="294">
        <v>649.13441368934582</v>
      </c>
      <c r="K18" s="294">
        <v>635.78416486712717</v>
      </c>
      <c r="L18" s="294">
        <v>682.70348892187837</v>
      </c>
      <c r="M18" s="294">
        <v>743.38256251681287</v>
      </c>
      <c r="N18" s="294">
        <v>800.26442122272681</v>
      </c>
      <c r="O18" s="294">
        <v>919.41894409234249</v>
      </c>
      <c r="P18" s="294">
        <v>1000.5876860397682</v>
      </c>
      <c r="Q18" s="294">
        <v>1282.1659641176457</v>
      </c>
      <c r="R18" s="294">
        <v>1487.8156725858726</v>
      </c>
      <c r="S18" s="294">
        <v>1517.2643807598652</v>
      </c>
      <c r="T18" s="294">
        <v>1740.278652681611</v>
      </c>
      <c r="U18" s="294">
        <v>1765.1651394507137</v>
      </c>
      <c r="V18" s="294">
        <v>2004.676105420069</v>
      </c>
      <c r="W18" s="294">
        <v>2437.4815999283287</v>
      </c>
      <c r="X18" s="294">
        <v>2633.0915736936859</v>
      </c>
      <c r="Y18" s="294">
        <v>2888.1263979291766</v>
      </c>
      <c r="Z18" s="294">
        <v>2919.9820066674411</v>
      </c>
      <c r="AA18" s="294">
        <v>2739.5703094698642</v>
      </c>
      <c r="AB18" s="294">
        <v>2673.1586870562819</v>
      </c>
      <c r="AC18" s="294">
        <v>2406.961034358239</v>
      </c>
      <c r="AD18" s="294">
        <v>2569.344629713215</v>
      </c>
      <c r="AE18" s="294">
        <v>2711.636232430707</v>
      </c>
      <c r="AF18" s="294">
        <v>2731.3925595004011</v>
      </c>
      <c r="AG18" s="294">
        <v>2901.6678472436679</v>
      </c>
      <c r="AH18" s="294">
        <v>2855.8709931741282</v>
      </c>
      <c r="AI18" s="294">
        <v>2782.3242743671108</v>
      </c>
      <c r="AJ18" s="294">
        <v>2868.1121959465881</v>
      </c>
      <c r="AK18" s="294">
        <v>3018.3849426785828</v>
      </c>
      <c r="AL18" s="294">
        <v>3293.4770489946027</v>
      </c>
      <c r="AM18" s="294">
        <v>3555.670340501496</v>
      </c>
      <c r="AN18" s="294">
        <v>3960.6078919131714</v>
      </c>
      <c r="AO18" s="294">
        <v>4295.8993342267459</v>
      </c>
      <c r="AP18" s="294">
        <v>4536.3982318801545</v>
      </c>
      <c r="AQ18" s="294">
        <v>4912.1269968111219</v>
      </c>
      <c r="AR18" s="294">
        <v>5009.2073370691078</v>
      </c>
      <c r="AS18" s="294">
        <v>5232.7161534710804</v>
      </c>
      <c r="AT18" s="294">
        <v>5594.9011091845941</v>
      </c>
      <c r="AU18" s="294">
        <v>6044.0469238008145</v>
      </c>
      <c r="AV18" s="294">
        <v>6846.1678772189889</v>
      </c>
      <c r="AW18" s="294">
        <v>7629.9181292249314</v>
      </c>
      <c r="AX18" s="294">
        <v>8448.3673449190755</v>
      </c>
      <c r="AY18" s="294">
        <v>9569.2281322761592</v>
      </c>
      <c r="AZ18" s="294">
        <v>8087.5909086948714</v>
      </c>
      <c r="BA18" s="294">
        <v>8606.2352594130662</v>
      </c>
      <c r="BB18" s="294">
        <v>8966.1100673806231</v>
      </c>
      <c r="BC18" s="298">
        <f t="shared" ref="BC18:BC81" si="0">BB18</f>
        <v>8966.1100673806231</v>
      </c>
    </row>
    <row r="19" spans="1:55">
      <c r="B19" s="72" t="s">
        <v>438</v>
      </c>
      <c r="C19" s="72" t="s">
        <v>439</v>
      </c>
      <c r="D19" s="294">
        <v>147.59507720001005</v>
      </c>
      <c r="E19" s="294">
        <v>148.13579825162688</v>
      </c>
      <c r="F19" s="294">
        <v>161.33223216458589</v>
      </c>
      <c r="G19" s="294">
        <v>180.7219331781024</v>
      </c>
      <c r="H19" s="294">
        <v>197.06750563442739</v>
      </c>
      <c r="I19" s="294">
        <v>214.70955734140074</v>
      </c>
      <c r="J19" s="294">
        <v>227.19100630296285</v>
      </c>
      <c r="K19" s="294">
        <v>244.47858155121332</v>
      </c>
      <c r="L19" s="294">
        <v>274.33219066023753</v>
      </c>
      <c r="M19" s="294">
        <v>312.98619466406689</v>
      </c>
      <c r="N19" s="294">
        <v>338.36096986622545</v>
      </c>
      <c r="O19" s="294">
        <v>409.8472195478912</v>
      </c>
      <c r="P19" s="294">
        <v>528.59375066447683</v>
      </c>
      <c r="Q19" s="294">
        <v>596.21914298356421</v>
      </c>
      <c r="R19" s="294">
        <v>640.45422517484928</v>
      </c>
      <c r="S19" s="294">
        <v>692.7196114938456</v>
      </c>
      <c r="T19" s="294">
        <v>812.95355652947967</v>
      </c>
      <c r="U19" s="294">
        <v>1009.887154536772</v>
      </c>
      <c r="V19" s="294">
        <v>1080.6816380923117</v>
      </c>
      <c r="W19" s="294">
        <v>1152.2520668760762</v>
      </c>
      <c r="X19" s="294">
        <v>1254.2508602583248</v>
      </c>
      <c r="Y19" s="294">
        <v>1207.1261208390581</v>
      </c>
      <c r="Z19" s="294">
        <v>1259.6250089503501</v>
      </c>
      <c r="AA19" s="294">
        <v>1330.2374868458655</v>
      </c>
      <c r="AB19" s="294">
        <v>1388.5650495322348</v>
      </c>
      <c r="AC19" s="294">
        <v>1780.2751767599266</v>
      </c>
      <c r="AD19" s="294">
        <v>2046.8523956582076</v>
      </c>
      <c r="AE19" s="294">
        <v>2424.1758839286417</v>
      </c>
      <c r="AF19" s="294">
        <v>2497.8506209511593</v>
      </c>
      <c r="AG19" s="294">
        <v>2575.0988055178223</v>
      </c>
      <c r="AH19" s="294">
        <v>2859.2033656301996</v>
      </c>
      <c r="AI19" s="294">
        <v>3079.8705664925401</v>
      </c>
      <c r="AJ19" s="294">
        <v>3407.4734720947749</v>
      </c>
      <c r="AK19" s="294">
        <v>3754.5045570512862</v>
      </c>
      <c r="AL19" s="294">
        <v>4187.2111956695808</v>
      </c>
      <c r="AM19" s="294">
        <v>3979.3675414586569</v>
      </c>
      <c r="AN19" s="294">
        <v>3782.8274884049342</v>
      </c>
      <c r="AO19" s="294">
        <v>3341.790875105848</v>
      </c>
      <c r="AP19" s="294">
        <v>3685.1944649468114</v>
      </c>
      <c r="AQ19" s="294">
        <v>3948.359540710986</v>
      </c>
      <c r="AR19" s="294">
        <v>3638.7434591323331</v>
      </c>
      <c r="AS19" s="294">
        <v>3664.7829896149078</v>
      </c>
      <c r="AT19" s="294">
        <v>3996.0631140877408</v>
      </c>
      <c r="AU19" s="294">
        <v>4445.7696804630114</v>
      </c>
      <c r="AV19" s="294">
        <v>4694.3367119115937</v>
      </c>
      <c r="AW19" s="294">
        <v>4941.8338040232575</v>
      </c>
      <c r="AX19" s="294">
        <v>5492.2512304405691</v>
      </c>
      <c r="AY19" s="294">
        <v>6291.9576068248834</v>
      </c>
      <c r="AZ19" s="294">
        <v>6426.5136464292045</v>
      </c>
      <c r="BA19" s="294">
        <v>7408.3406875011387</v>
      </c>
      <c r="BB19" s="294">
        <v>8483.8499159663643</v>
      </c>
      <c r="BC19" s="298">
        <f t="shared" si="0"/>
        <v>8483.8499159663643</v>
      </c>
    </row>
    <row r="20" spans="1:55">
      <c r="B20" s="72" t="s">
        <v>440</v>
      </c>
      <c r="C20" s="72" t="s">
        <v>441</v>
      </c>
      <c r="D20" s="294">
        <v>79.817812380765943</v>
      </c>
      <c r="E20" s="294">
        <v>71.322768233018493</v>
      </c>
      <c r="F20" s="294">
        <v>75.330165183683974</v>
      </c>
      <c r="G20" s="294">
        <v>84.56750506867688</v>
      </c>
      <c r="H20" s="294">
        <v>96.915311263987121</v>
      </c>
      <c r="I20" s="294">
        <v>103.17962568883966</v>
      </c>
      <c r="J20" s="294">
        <v>97.516515155638245</v>
      </c>
      <c r="K20" s="294">
        <v>95.954883524712315</v>
      </c>
      <c r="L20" s="294">
        <v>104.87906831578292</v>
      </c>
      <c r="M20" s="294">
        <v>113.76280664901991</v>
      </c>
      <c r="N20" s="294">
        <v>118.84371696869032</v>
      </c>
      <c r="O20" s="294">
        <v>131.44163435489779</v>
      </c>
      <c r="P20" s="294">
        <v>161.97430131176151</v>
      </c>
      <c r="Q20" s="294">
        <v>179.27547163474873</v>
      </c>
      <c r="R20" s="294">
        <v>197.59361383475428</v>
      </c>
      <c r="S20" s="294">
        <v>197.44077681065025</v>
      </c>
      <c r="T20" s="294">
        <v>224.79070218557317</v>
      </c>
      <c r="U20" s="294">
        <v>215.00463982754943</v>
      </c>
      <c r="V20" s="294">
        <v>245.48444823639434</v>
      </c>
      <c r="W20" s="294">
        <v>280.05263832721585</v>
      </c>
      <c r="X20" s="294">
        <v>295.16053189398411</v>
      </c>
      <c r="Y20" s="294">
        <v>302.53274008798059</v>
      </c>
      <c r="Z20" s="294">
        <v>311.61496592430535</v>
      </c>
      <c r="AA20" s="294">
        <v>331.77577881360992</v>
      </c>
      <c r="AB20" s="294">
        <v>357.04781661917133</v>
      </c>
      <c r="AC20" s="294">
        <v>348.6727331584396</v>
      </c>
      <c r="AD20" s="294">
        <v>338.15894609792923</v>
      </c>
      <c r="AE20" s="294">
        <v>371.53543826602919</v>
      </c>
      <c r="AF20" s="294">
        <v>395.80179114248995</v>
      </c>
      <c r="AG20" s="294">
        <v>418.11030765260455</v>
      </c>
      <c r="AH20" s="294">
        <v>448.85183482872918</v>
      </c>
      <c r="AI20" s="294">
        <v>495.04723631367949</v>
      </c>
      <c r="AJ20" s="294">
        <v>526.96230527505895</v>
      </c>
      <c r="AK20" s="294">
        <v>627.18937539110152</v>
      </c>
      <c r="AL20" s="294">
        <v>765.46619429562577</v>
      </c>
      <c r="AM20" s="294">
        <v>868.68777449398351</v>
      </c>
      <c r="AN20" s="294">
        <v>889.75778975518654</v>
      </c>
      <c r="AO20" s="294">
        <v>804.04422586219391</v>
      </c>
      <c r="AP20" s="294">
        <v>873.88549470168834</v>
      </c>
      <c r="AQ20" s="294">
        <v>952.2431664943947</v>
      </c>
      <c r="AR20" s="294">
        <v>1004.3574746266797</v>
      </c>
      <c r="AS20" s="294">
        <v>1100.5765929606732</v>
      </c>
      <c r="AT20" s="294">
        <v>1232.919454758621</v>
      </c>
      <c r="AU20" s="294">
        <v>1418.0332703651277</v>
      </c>
      <c r="AV20" s="294">
        <v>1626.5403336086745</v>
      </c>
      <c r="AW20" s="294">
        <v>1940.9508257453463</v>
      </c>
      <c r="AX20" s="294">
        <v>2433.6093241177728</v>
      </c>
      <c r="AY20" s="294">
        <v>3054.9746433790397</v>
      </c>
      <c r="AZ20" s="294">
        <v>3273.2202751193918</v>
      </c>
      <c r="BA20" s="294">
        <v>3898.6174643594468</v>
      </c>
      <c r="BB20" s="294">
        <v>4717.3173228826809</v>
      </c>
      <c r="BC20" s="298">
        <f t="shared" si="0"/>
        <v>4717.3173228826809</v>
      </c>
    </row>
    <row r="21" spans="1:55">
      <c r="B21" s="72" t="s">
        <v>442</v>
      </c>
      <c r="C21" s="72" t="s">
        <v>443</v>
      </c>
      <c r="D21" s="294">
        <v>1026.4216553203294</v>
      </c>
      <c r="E21" s="294">
        <v>1128.6667203798656</v>
      </c>
      <c r="F21" s="294">
        <v>1254.4605757611021</v>
      </c>
      <c r="G21" s="294">
        <v>1382.6439339066367</v>
      </c>
      <c r="H21" s="294">
        <v>1495.3303690076798</v>
      </c>
      <c r="I21" s="294">
        <v>1617.1834826174456</v>
      </c>
      <c r="J21" s="294">
        <v>1744.3221069461906</v>
      </c>
      <c r="K21" s="294">
        <v>1857.6466774368798</v>
      </c>
      <c r="L21" s="294">
        <v>2038.5289359460846</v>
      </c>
      <c r="M21" s="294">
        <v>2210.600320324671</v>
      </c>
      <c r="N21" s="294">
        <v>2491.9431151682206</v>
      </c>
      <c r="O21" s="294">
        <v>2992.2074633868669</v>
      </c>
      <c r="P21" s="294">
        <v>3863.7548881573362</v>
      </c>
      <c r="Q21" s="294">
        <v>4348.5425658784425</v>
      </c>
      <c r="R21" s="294">
        <v>5023.4965817737166</v>
      </c>
      <c r="S21" s="294">
        <v>5220.3863237258838</v>
      </c>
      <c r="T21" s="294">
        <v>5916.2731037173326</v>
      </c>
      <c r="U21" s="294">
        <v>7208.1570728949446</v>
      </c>
      <c r="V21" s="294">
        <v>8689.6774155921357</v>
      </c>
      <c r="W21" s="294">
        <v>9691.2713559508866</v>
      </c>
      <c r="X21" s="294">
        <v>8387.8317105973965</v>
      </c>
      <c r="Y21" s="294">
        <v>8097.2272277912134</v>
      </c>
      <c r="Z21" s="294">
        <v>7884.6663635386631</v>
      </c>
      <c r="AA21" s="294">
        <v>7550.6513077725967</v>
      </c>
      <c r="AB21" s="294">
        <v>7742.9761650934415</v>
      </c>
      <c r="AC21" s="294">
        <v>10841.763183365969</v>
      </c>
      <c r="AD21" s="294">
        <v>13371.7910293721</v>
      </c>
      <c r="AE21" s="294">
        <v>14659.205390063196</v>
      </c>
      <c r="AF21" s="294">
        <v>14907.248129113717</v>
      </c>
      <c r="AG21" s="294">
        <v>18665.086968733583</v>
      </c>
      <c r="AH21" s="294">
        <v>19302.088264563521</v>
      </c>
      <c r="AI21" s="294">
        <v>21189.090081864593</v>
      </c>
      <c r="AJ21" s="294">
        <v>19322.945677309184</v>
      </c>
      <c r="AK21" s="294">
        <v>20375.419529448322</v>
      </c>
      <c r="AL21" s="294">
        <v>23467.142729952167</v>
      </c>
      <c r="AM21" s="294">
        <v>23663.91338329111</v>
      </c>
      <c r="AN21" s="294">
        <v>21546.655619078938</v>
      </c>
      <c r="AO21" s="294">
        <v>22063.425411144828</v>
      </c>
      <c r="AP21" s="294">
        <v>21886.745306780143</v>
      </c>
      <c r="AQ21" s="294">
        <v>19850.504466444021</v>
      </c>
      <c r="AR21" s="294">
        <v>20049.94538032265</v>
      </c>
      <c r="AS21" s="294">
        <v>21697.643051272295</v>
      </c>
      <c r="AT21" s="294">
        <v>26622.855645394702</v>
      </c>
      <c r="AU21" s="294">
        <v>30307.699417941734</v>
      </c>
      <c r="AV21" s="294">
        <v>31270.460850309501</v>
      </c>
      <c r="AW21" s="294">
        <v>32984.409448370032</v>
      </c>
      <c r="AX21" s="294">
        <v>37711.87246300633</v>
      </c>
      <c r="AY21" s="294">
        <v>41074.907056396441</v>
      </c>
      <c r="AZ21" s="294">
        <v>37450.46186176742</v>
      </c>
      <c r="BA21" s="294">
        <v>36373.233356517507</v>
      </c>
      <c r="BB21" s="294">
        <v>39280.029369093398</v>
      </c>
      <c r="BC21" s="298">
        <f t="shared" si="0"/>
        <v>39280.029369093398</v>
      </c>
    </row>
    <row r="22" spans="1:55">
      <c r="B22" s="72" t="s">
        <v>444</v>
      </c>
      <c r="C22" s="72" t="s">
        <v>445</v>
      </c>
      <c r="D22" s="294">
        <v>696.45783011895571</v>
      </c>
      <c r="E22" s="294">
        <v>752.50978989726866</v>
      </c>
      <c r="F22" s="294">
        <v>820.13312366798493</v>
      </c>
      <c r="G22" s="294">
        <v>897.89919405990452</v>
      </c>
      <c r="H22" s="294">
        <v>966.45198426775778</v>
      </c>
      <c r="I22" s="294">
        <v>1040.0872400747853</v>
      </c>
      <c r="J22" s="294">
        <v>1108.9656064722244</v>
      </c>
      <c r="K22" s="294">
        <v>1146.7099134565742</v>
      </c>
      <c r="L22" s="294">
        <v>1248.6574065272437</v>
      </c>
      <c r="M22" s="294">
        <v>1350.3612389391542</v>
      </c>
      <c r="N22" s="294">
        <v>1510.3919682410813</v>
      </c>
      <c r="O22" s="294">
        <v>1795.6760606370892</v>
      </c>
      <c r="P22" s="294">
        <v>2263.5382250955399</v>
      </c>
      <c r="Q22" s="294">
        <v>2537.3207492107449</v>
      </c>
      <c r="R22" s="294">
        <v>2952.3064965716962</v>
      </c>
      <c r="S22" s="294">
        <v>3049.4362910090763</v>
      </c>
      <c r="T22" s="294">
        <v>3433.6353220506057</v>
      </c>
      <c r="U22" s="294">
        <v>4156.3217132806494</v>
      </c>
      <c r="V22" s="294">
        <v>5043.3402308947116</v>
      </c>
      <c r="W22" s="294">
        <v>5668.8741510416712</v>
      </c>
      <c r="X22" s="294">
        <v>5009.7499093907318</v>
      </c>
      <c r="Y22" s="294">
        <v>4800.7575217470467</v>
      </c>
      <c r="Z22" s="294">
        <v>4627.8178575036554</v>
      </c>
      <c r="AA22" s="294">
        <v>4420.7241551149546</v>
      </c>
      <c r="AB22" s="294">
        <v>4546.156644618909</v>
      </c>
      <c r="AC22" s="294">
        <v>6131.2095123137296</v>
      </c>
      <c r="AD22" s="294">
        <v>7479.6892409764569</v>
      </c>
      <c r="AE22" s="294">
        <v>8262.1050806930853</v>
      </c>
      <c r="AF22" s="294">
        <v>8401.201911006101</v>
      </c>
      <c r="AG22" s="294">
        <v>10168.447351812345</v>
      </c>
      <c r="AH22" s="294">
        <v>10423.620878966865</v>
      </c>
      <c r="AI22" s="294">
        <v>11126.041355844449</v>
      </c>
      <c r="AJ22" s="294">
        <v>10193.862627963998</v>
      </c>
      <c r="AK22" s="294">
        <v>10651.868849499084</v>
      </c>
      <c r="AL22" s="294">
        <v>12170.353249543279</v>
      </c>
      <c r="AM22" s="294">
        <v>12388.847996177337</v>
      </c>
      <c r="AN22" s="294">
        <v>11732.364812143333</v>
      </c>
      <c r="AO22" s="294">
        <v>12005.600132712905</v>
      </c>
      <c r="AP22" s="294">
        <v>11859.450719729613</v>
      </c>
      <c r="AQ22" s="294">
        <v>11126.445220151767</v>
      </c>
      <c r="AR22" s="294">
        <v>11226.828581072288</v>
      </c>
      <c r="AS22" s="294">
        <v>12264.319435282956</v>
      </c>
      <c r="AT22" s="294">
        <v>14919.865525333957</v>
      </c>
      <c r="AU22" s="294">
        <v>17342.625983370999</v>
      </c>
      <c r="AV22" s="294">
        <v>18412.821549385219</v>
      </c>
      <c r="AW22" s="294">
        <v>19864.70219023812</v>
      </c>
      <c r="AX22" s="294">
        <v>23143.437063843106</v>
      </c>
      <c r="AY22" s="294">
        <v>25304.640090020483</v>
      </c>
      <c r="AZ22" s="294">
        <v>22137.860692277332</v>
      </c>
      <c r="BA22" s="294">
        <v>22488.440392030931</v>
      </c>
      <c r="BB22" s="294">
        <v>24753.77232023879</v>
      </c>
      <c r="BC22" s="298">
        <f t="shared" si="0"/>
        <v>24753.77232023879</v>
      </c>
    </row>
    <row r="23" spans="1:55">
      <c r="B23" s="72" t="s">
        <v>446</v>
      </c>
      <c r="C23" s="72" t="s">
        <v>447</v>
      </c>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v>2301.9474367169937</v>
      </c>
      <c r="AG23" s="294">
        <v>2429.4463690789762</v>
      </c>
      <c r="AH23" s="294">
        <v>2324.1352259075979</v>
      </c>
      <c r="AI23" s="294">
        <v>2142.8099728803832</v>
      </c>
      <c r="AJ23" s="294">
        <v>2095.4544379846639</v>
      </c>
      <c r="AK23" s="294">
        <v>1819.6018144054246</v>
      </c>
      <c r="AL23" s="294">
        <v>1936.3212005842688</v>
      </c>
      <c r="AM23" s="294">
        <v>1948.5384227788838</v>
      </c>
      <c r="AN23" s="294">
        <v>2031.8790737956269</v>
      </c>
      <c r="AO23" s="294">
        <v>1896.3083159031412</v>
      </c>
      <c r="AP23" s="294">
        <v>1603.0078800107801</v>
      </c>
      <c r="AQ23" s="294">
        <v>1781.4122645358116</v>
      </c>
      <c r="AR23" s="294">
        <v>1776.5850158369481</v>
      </c>
      <c r="AS23" s="294">
        <v>2031.6253655124492</v>
      </c>
      <c r="AT23" s="294">
        <v>2562.8602913166246</v>
      </c>
      <c r="AU23" s="294">
        <v>3378.5886150256501</v>
      </c>
      <c r="AV23" s="294">
        <v>4263.5676052492199</v>
      </c>
      <c r="AW23" s="294">
        <v>5223.9445857749788</v>
      </c>
      <c r="AX23" s="294">
        <v>6739.1358883313642</v>
      </c>
      <c r="AY23" s="294">
        <v>8295.7573322755234</v>
      </c>
      <c r="AZ23" s="294">
        <v>6468.4285309814804</v>
      </c>
      <c r="BA23" s="294">
        <v>7556.4577579126044</v>
      </c>
      <c r="BB23" s="294">
        <v>8892.7557313386569</v>
      </c>
      <c r="BC23" s="298">
        <f t="shared" si="0"/>
        <v>8892.7557313386569</v>
      </c>
    </row>
    <row r="24" spans="1:55">
      <c r="B24" s="72" t="s">
        <v>448</v>
      </c>
      <c r="C24" s="72" t="s">
        <v>449</v>
      </c>
      <c r="D24" s="294">
        <v>973.48900155991385</v>
      </c>
      <c r="E24" s="294">
        <v>1054.1242203346378</v>
      </c>
      <c r="F24" s="294">
        <v>1150.9741203432313</v>
      </c>
      <c r="G24" s="294">
        <v>1264.441202791955</v>
      </c>
      <c r="H24" s="294">
        <v>1365.6096256269486</v>
      </c>
      <c r="I24" s="294">
        <v>1468.9907483038762</v>
      </c>
      <c r="J24" s="294">
        <v>1566.9689941527647</v>
      </c>
      <c r="K24" s="294">
        <v>1617.6712146542393</v>
      </c>
      <c r="L24" s="294">
        <v>1765.4673246735051</v>
      </c>
      <c r="M24" s="294">
        <v>1924.2200846034643</v>
      </c>
      <c r="N24" s="294">
        <v>2164.0301824274939</v>
      </c>
      <c r="O24" s="294">
        <v>2576.4659452945671</v>
      </c>
      <c r="P24" s="294">
        <v>3253.8753718428025</v>
      </c>
      <c r="Q24" s="294">
        <v>3635.7499447567334</v>
      </c>
      <c r="R24" s="294">
        <v>4230.6660844239759</v>
      </c>
      <c r="S24" s="294">
        <v>4364.2628218897653</v>
      </c>
      <c r="T24" s="294">
        <v>4922.3580422501491</v>
      </c>
      <c r="U24" s="294">
        <v>5997.0170810180498</v>
      </c>
      <c r="V24" s="294">
        <v>7282.2655012402229</v>
      </c>
      <c r="W24" s="294">
        <v>8271.6427382012716</v>
      </c>
      <c r="X24" s="294">
        <v>7286.6240885598636</v>
      </c>
      <c r="Y24" s="294">
        <v>6997.4976452338124</v>
      </c>
      <c r="Z24" s="294">
        <v>6762.7973435570484</v>
      </c>
      <c r="AA24" s="294">
        <v>6477.5551973788733</v>
      </c>
      <c r="AB24" s="294">
        <v>6676.0256672238138</v>
      </c>
      <c r="AC24" s="294">
        <v>9072.978916914064</v>
      </c>
      <c r="AD24" s="294">
        <v>11113.895128272316</v>
      </c>
      <c r="AE24" s="294">
        <v>12335.811101233263</v>
      </c>
      <c r="AF24" s="294">
        <v>12560.678705969038</v>
      </c>
      <c r="AG24" s="294">
        <v>15429.928715416328</v>
      </c>
      <c r="AH24" s="294">
        <v>15947.535102773212</v>
      </c>
      <c r="AI24" s="294">
        <v>17320.594381212977</v>
      </c>
      <c r="AJ24" s="294">
        <v>15748.913430378334</v>
      </c>
      <c r="AK24" s="294">
        <v>16714.313988318794</v>
      </c>
      <c r="AL24" s="294">
        <v>19173.487153788541</v>
      </c>
      <c r="AM24" s="294">
        <v>19535.306581000994</v>
      </c>
      <c r="AN24" s="294">
        <v>18395.848656187292</v>
      </c>
      <c r="AO24" s="294">
        <v>19008.730585285477</v>
      </c>
      <c r="AP24" s="294">
        <v>18966.591127092248</v>
      </c>
      <c r="AQ24" s="294">
        <v>17541.925360844732</v>
      </c>
      <c r="AR24" s="294">
        <v>17716.290285689036</v>
      </c>
      <c r="AS24" s="294">
        <v>19261.86750104907</v>
      </c>
      <c r="AT24" s="294">
        <v>23388.772998138771</v>
      </c>
      <c r="AU24" s="294">
        <v>26878.280800972912</v>
      </c>
      <c r="AV24" s="294">
        <v>27975.685846721371</v>
      </c>
      <c r="AW24" s="294">
        <v>29699.362465340262</v>
      </c>
      <c r="AX24" s="294">
        <v>34187.79782450843</v>
      </c>
      <c r="AY24" s="294">
        <v>36588.339671515139</v>
      </c>
      <c r="AZ24" s="294">
        <v>32583.999140249245</v>
      </c>
      <c r="BA24" s="294">
        <v>32198.547939993969</v>
      </c>
      <c r="BB24" s="294">
        <v>34891.997663271039</v>
      </c>
      <c r="BC24" s="298">
        <f t="shared" si="0"/>
        <v>34891.997663271039</v>
      </c>
    </row>
    <row r="25" spans="1:55">
      <c r="B25" s="72" t="s">
        <v>450</v>
      </c>
      <c r="C25" s="72" t="s">
        <v>451</v>
      </c>
      <c r="D25" s="294">
        <v>108.46211181338637</v>
      </c>
      <c r="E25" s="294">
        <v>115.41068918326461</v>
      </c>
      <c r="F25" s="294">
        <v>136.41775020075596</v>
      </c>
      <c r="G25" s="294">
        <v>118.48358234534464</v>
      </c>
      <c r="H25" s="294">
        <v>135.11688874259801</v>
      </c>
      <c r="I25" s="294">
        <v>143.76746175763137</v>
      </c>
      <c r="J25" s="294">
        <v>137.17231572333051</v>
      </c>
      <c r="K25" s="294">
        <v>139.90951457945326</v>
      </c>
      <c r="L25" s="294">
        <v>152.03811789891151</v>
      </c>
      <c r="M25" s="294">
        <v>155.0535964405764</v>
      </c>
      <c r="N25" s="294">
        <v>162.74704740405434</v>
      </c>
      <c r="O25" s="294">
        <v>171.94188903085663</v>
      </c>
      <c r="P25" s="294">
        <v>202.9458389367548</v>
      </c>
      <c r="Q25" s="294">
        <v>240.23896506919104</v>
      </c>
      <c r="R25" s="294">
        <v>265.65094222589153</v>
      </c>
      <c r="S25" s="294">
        <v>275.43734751757847</v>
      </c>
      <c r="T25" s="294">
        <v>314.80463759044562</v>
      </c>
      <c r="U25" s="294">
        <v>356.51382609273963</v>
      </c>
      <c r="V25" s="294">
        <v>383.56617693245784</v>
      </c>
      <c r="W25" s="294">
        <v>394.95895502011842</v>
      </c>
      <c r="X25" s="294">
        <v>382.18948727507416</v>
      </c>
      <c r="Y25" s="294">
        <v>372.23372495574353</v>
      </c>
      <c r="Z25" s="294">
        <v>342.91388733526577</v>
      </c>
      <c r="AA25" s="294">
        <v>333.37718900660576</v>
      </c>
      <c r="AB25" s="294">
        <v>338.59902152035994</v>
      </c>
      <c r="AC25" s="294">
        <v>377.5506156284946</v>
      </c>
      <c r="AD25" s="294">
        <v>405.24553664797889</v>
      </c>
      <c r="AE25" s="294">
        <v>391.53325311088798</v>
      </c>
      <c r="AF25" s="294">
        <v>366.66210060707402</v>
      </c>
      <c r="AG25" s="294">
        <v>362.16930709594078</v>
      </c>
      <c r="AH25" s="294">
        <v>360.41184491199937</v>
      </c>
      <c r="AI25" s="294">
        <v>321.01541292077468</v>
      </c>
      <c r="AJ25" s="294">
        <v>313.63383598052303</v>
      </c>
      <c r="AK25" s="294">
        <v>274.29593240008791</v>
      </c>
      <c r="AL25" s="294">
        <v>304.40586012340327</v>
      </c>
      <c r="AM25" s="294">
        <v>310.62584981644329</v>
      </c>
      <c r="AN25" s="294">
        <v>316.8809714696788</v>
      </c>
      <c r="AO25" s="294">
        <v>318.18369630484142</v>
      </c>
      <c r="AP25" s="294">
        <v>307.41314719527094</v>
      </c>
      <c r="AQ25" s="294">
        <v>291.71463978469598</v>
      </c>
      <c r="AR25" s="294">
        <v>288.13412096780257</v>
      </c>
      <c r="AS25" s="294">
        <v>303.53238874448516</v>
      </c>
      <c r="AT25" s="294">
        <v>337.89901001748603</v>
      </c>
      <c r="AU25" s="294">
        <v>379.80478949602474</v>
      </c>
      <c r="AV25" s="294">
        <v>419.11476845135434</v>
      </c>
      <c r="AW25" s="294">
        <v>486.6391534137415</v>
      </c>
      <c r="AX25" s="294">
        <v>564.13615964117287</v>
      </c>
      <c r="AY25" s="294">
        <v>660.91215388664148</v>
      </c>
      <c r="AZ25" s="294">
        <v>637.94731979540984</v>
      </c>
      <c r="BA25" s="294">
        <v>687.38872611496868</v>
      </c>
      <c r="BB25" s="294">
        <v>747.94967752777575</v>
      </c>
      <c r="BC25" s="298">
        <f t="shared" si="0"/>
        <v>747.94967752777575</v>
      </c>
    </row>
    <row r="26" spans="1:55">
      <c r="B26" s="72" t="s">
        <v>452</v>
      </c>
      <c r="C26" s="72" t="s">
        <v>453</v>
      </c>
      <c r="D26" s="294">
        <v>1451.3907767155415</v>
      </c>
      <c r="E26" s="294">
        <v>1547.5796080697551</v>
      </c>
      <c r="F26" s="294">
        <v>1646.2565025964166</v>
      </c>
      <c r="G26" s="294">
        <v>1776.5554737729597</v>
      </c>
      <c r="H26" s="294">
        <v>1907.0321615607311</v>
      </c>
      <c r="I26" s="294">
        <v>2069.618067391481</v>
      </c>
      <c r="J26" s="294">
        <v>2198.4572253830038</v>
      </c>
      <c r="K26" s="294">
        <v>2359.3276790667469</v>
      </c>
      <c r="L26" s="294">
        <v>2558.8154883456068</v>
      </c>
      <c r="M26" s="294">
        <v>2754.2515355627866</v>
      </c>
      <c r="N26" s="294">
        <v>3026.1684172541295</v>
      </c>
      <c r="O26" s="294">
        <v>3483.9227947643117</v>
      </c>
      <c r="P26" s="294">
        <v>4182.4000626509733</v>
      </c>
      <c r="Q26" s="294">
        <v>4677.6119761661403</v>
      </c>
      <c r="R26" s="294">
        <v>5191.2470345776956</v>
      </c>
      <c r="S26" s="294">
        <v>5615.8752523551666</v>
      </c>
      <c r="T26" s="294">
        <v>6310.200817288448</v>
      </c>
      <c r="U26" s="294">
        <v>7494.9379997237102</v>
      </c>
      <c r="V26" s="294">
        <v>8584.1802276831149</v>
      </c>
      <c r="W26" s="294">
        <v>9504.3813894980958</v>
      </c>
      <c r="X26" s="294">
        <v>9565.1478882428182</v>
      </c>
      <c r="Y26" s="294">
        <v>9404.5494832973272</v>
      </c>
      <c r="Z26" s="294">
        <v>9641.5467395690248</v>
      </c>
      <c r="AA26" s="294">
        <v>9993.6872009180697</v>
      </c>
      <c r="AB26" s="294">
        <v>10424.220193073821</v>
      </c>
      <c r="AC26" s="294">
        <v>12571.1949655465</v>
      </c>
      <c r="AD26" s="294">
        <v>14435.932423865597</v>
      </c>
      <c r="AE26" s="294">
        <v>16136.929665652284</v>
      </c>
      <c r="AF26" s="294">
        <v>16770.970953317061</v>
      </c>
      <c r="AG26" s="294">
        <v>18674.633700559956</v>
      </c>
      <c r="AH26" s="294">
        <v>19567.824979853522</v>
      </c>
      <c r="AI26" s="294">
        <v>20890.382807220973</v>
      </c>
      <c r="AJ26" s="294">
        <v>20918.798523443646</v>
      </c>
      <c r="AK26" s="294">
        <v>22268.041434941217</v>
      </c>
      <c r="AL26" s="294">
        <v>24393.177751489715</v>
      </c>
      <c r="AM26" s="294">
        <v>24398.254397961955</v>
      </c>
      <c r="AN26" s="294">
        <v>23868.035623507378</v>
      </c>
      <c r="AO26" s="294">
        <v>23789.823573788428</v>
      </c>
      <c r="AP26" s="294">
        <v>24859.908075452797</v>
      </c>
      <c r="AQ26" s="294">
        <v>25195.234733783931</v>
      </c>
      <c r="AR26" s="294">
        <v>24796.963545520084</v>
      </c>
      <c r="AS26" s="294">
        <v>25690.65753560944</v>
      </c>
      <c r="AT26" s="294">
        <v>28612.641526973235</v>
      </c>
      <c r="AU26" s="294">
        <v>31568.605087989206</v>
      </c>
      <c r="AV26" s="294">
        <v>33073.857398200264</v>
      </c>
      <c r="AW26" s="294">
        <v>34624.840076047556</v>
      </c>
      <c r="AX26" s="294">
        <v>37581.131727518237</v>
      </c>
      <c r="AY26" s="294">
        <v>39598.135140444385</v>
      </c>
      <c r="AZ26" s="294">
        <v>36821.758907050236</v>
      </c>
      <c r="BA26" s="294">
        <v>38254.928316786478</v>
      </c>
      <c r="BB26" s="294">
        <v>41062.501024722267</v>
      </c>
      <c r="BC26" s="298">
        <f t="shared" si="0"/>
        <v>41062.501024722267</v>
      </c>
    </row>
    <row r="27" spans="1:55">
      <c r="B27" s="72" t="s">
        <v>454</v>
      </c>
      <c r="C27" s="72" t="s">
        <v>455</v>
      </c>
      <c r="D27" s="294"/>
      <c r="E27" s="294"/>
      <c r="F27" s="294"/>
      <c r="G27" s="294"/>
      <c r="H27" s="294"/>
      <c r="I27" s="294"/>
      <c r="J27" s="294"/>
      <c r="K27" s="294">
        <v>736.52787479384472</v>
      </c>
      <c r="L27" s="294">
        <v>802.8434736938658</v>
      </c>
      <c r="M27" s="294">
        <v>882.76311035029141</v>
      </c>
      <c r="N27" s="294">
        <v>1039.3317985406984</v>
      </c>
      <c r="O27" s="294">
        <v>1237.5829161065953</v>
      </c>
      <c r="P27" s="294">
        <v>1621.5693453588781</v>
      </c>
      <c r="Q27" s="294">
        <v>2988.7000812935512</v>
      </c>
      <c r="R27" s="294">
        <v>3049.5001569707069</v>
      </c>
      <c r="S27" s="294">
        <v>3729.8960627315632</v>
      </c>
      <c r="T27" s="294">
        <v>4237.3273951016763</v>
      </c>
      <c r="U27" s="294">
        <v>4536.0660867172301</v>
      </c>
      <c r="V27" s="294">
        <v>5885.2064353379828</v>
      </c>
      <c r="W27" s="294">
        <v>7778.1033629984122</v>
      </c>
      <c r="X27" s="294">
        <v>8288.0228595166227</v>
      </c>
      <c r="Y27" s="294">
        <v>7413.0952048393174</v>
      </c>
      <c r="Z27" s="294">
        <v>6731.2723019189762</v>
      </c>
      <c r="AA27" s="294">
        <v>6675.3406050030426</v>
      </c>
      <c r="AB27" s="294">
        <v>6312.1336977217816</v>
      </c>
      <c r="AC27" s="294">
        <v>5987.8969085640338</v>
      </c>
      <c r="AD27" s="294">
        <v>6724.5155885796885</v>
      </c>
      <c r="AE27" s="294">
        <v>7237.3760122443182</v>
      </c>
      <c r="AF27" s="294">
        <v>8166.6152459164377</v>
      </c>
      <c r="AG27" s="294">
        <v>9037.6260421756906</v>
      </c>
      <c r="AH27" s="294">
        <v>9586.3713255424555</v>
      </c>
      <c r="AI27" s="294">
        <v>10851.591639263799</v>
      </c>
      <c r="AJ27" s="294">
        <v>11272.286407445965</v>
      </c>
      <c r="AK27" s="294">
        <v>12024.913950020977</v>
      </c>
      <c r="AL27" s="294">
        <v>12681.956937822306</v>
      </c>
      <c r="AM27" s="294">
        <v>13613.333550738811</v>
      </c>
      <c r="AN27" s="294">
        <v>14207.459224185148</v>
      </c>
      <c r="AO27" s="294">
        <v>13144.449096719714</v>
      </c>
      <c r="AP27" s="294">
        <v>13619.608580823367</v>
      </c>
      <c r="AQ27" s="294">
        <v>14950.50067888243</v>
      </c>
      <c r="AR27" s="294">
        <v>14204.352906940318</v>
      </c>
      <c r="AS27" s="294">
        <v>14391.191134531306</v>
      </c>
      <c r="AT27" s="294">
        <v>15277.198311157648</v>
      </c>
      <c r="AU27" s="294">
        <v>17003.824541566439</v>
      </c>
      <c r="AV27" s="294">
        <v>19210.747974934216</v>
      </c>
      <c r="AW27" s="294">
        <v>21009.710136349076</v>
      </c>
      <c r="AX27" s="294">
        <v>22789.027917622803</v>
      </c>
      <c r="AY27" s="294">
        <v>25462.147433554928</v>
      </c>
      <c r="AZ27" s="294">
        <v>21913.886053094873</v>
      </c>
      <c r="BA27" s="294">
        <v>24543.011259123268</v>
      </c>
      <c r="BB27" s="294">
        <v>28810.631204983398</v>
      </c>
      <c r="BC27" s="298">
        <f t="shared" si="0"/>
        <v>28810.631204983398</v>
      </c>
    </row>
    <row r="28" spans="1:55">
      <c r="B28" s="72" t="s">
        <v>456</v>
      </c>
      <c r="C28" s="72" t="s">
        <v>457</v>
      </c>
      <c r="D28" s="294">
        <v>1490.0611719217668</v>
      </c>
      <c r="E28" s="294">
        <v>1589.7836347391633</v>
      </c>
      <c r="F28" s="294">
        <v>1691.9322407845714</v>
      </c>
      <c r="G28" s="294">
        <v>1826.7599120527254</v>
      </c>
      <c r="H28" s="294">
        <v>1962.2455761476506</v>
      </c>
      <c r="I28" s="294">
        <v>2130.8946720788017</v>
      </c>
      <c r="J28" s="294">
        <v>2264.4826644533132</v>
      </c>
      <c r="K28" s="294">
        <v>2431.3111789026011</v>
      </c>
      <c r="L28" s="294">
        <v>2637.8806155302796</v>
      </c>
      <c r="M28" s="294">
        <v>2840.0333498591317</v>
      </c>
      <c r="N28" s="294">
        <v>3119.0946384179542</v>
      </c>
      <c r="O28" s="294">
        <v>3590.9599746567178</v>
      </c>
      <c r="P28" s="294">
        <v>4307.4743433315634</v>
      </c>
      <c r="Q28" s="294">
        <v>4767.7534061395854</v>
      </c>
      <c r="R28" s="294">
        <v>5305.5546426495303</v>
      </c>
      <c r="S28" s="294">
        <v>5719.4409362054112</v>
      </c>
      <c r="T28" s="294">
        <v>6426.4567589380113</v>
      </c>
      <c r="U28" s="294">
        <v>7662.9597665513074</v>
      </c>
      <c r="V28" s="294">
        <v>8743.1471866036718</v>
      </c>
      <c r="W28" s="294">
        <v>9612.7747857054637</v>
      </c>
      <c r="X28" s="294">
        <v>9650.5637419949253</v>
      </c>
      <c r="Y28" s="294">
        <v>9534.5853045368076</v>
      </c>
      <c r="Z28" s="294">
        <v>9830.916818150683</v>
      </c>
      <c r="AA28" s="294">
        <v>10213.185703732419</v>
      </c>
      <c r="AB28" s="294">
        <v>10699.016979710794</v>
      </c>
      <c r="AC28" s="294">
        <v>13012.404559584018</v>
      </c>
      <c r="AD28" s="294">
        <v>14961.333904656283</v>
      </c>
      <c r="AE28" s="294">
        <v>16752.35120106976</v>
      </c>
      <c r="AF28" s="294">
        <v>17376.968249350604</v>
      </c>
      <c r="AG28" s="294">
        <v>19362.006118558966</v>
      </c>
      <c r="AH28" s="294">
        <v>20283.895753784454</v>
      </c>
      <c r="AI28" s="294">
        <v>21596.454771224555</v>
      </c>
      <c r="AJ28" s="294">
        <v>21607.097854905773</v>
      </c>
      <c r="AK28" s="294">
        <v>23006.775938660146</v>
      </c>
      <c r="AL28" s="294">
        <v>25266.896897957555</v>
      </c>
      <c r="AM28" s="294">
        <v>25210.638011955034</v>
      </c>
      <c r="AN28" s="294">
        <v>24602.876694394632</v>
      </c>
      <c r="AO28" s="294">
        <v>24605.971016107946</v>
      </c>
      <c r="AP28" s="294">
        <v>25728.52847391634</v>
      </c>
      <c r="AQ28" s="294">
        <v>25993.308924018165</v>
      </c>
      <c r="AR28" s="294">
        <v>25630.90724584135</v>
      </c>
      <c r="AS28" s="294">
        <v>26589.271075592555</v>
      </c>
      <c r="AT28" s="294">
        <v>29683.004087197183</v>
      </c>
      <c r="AU28" s="294">
        <v>32754.410316760852</v>
      </c>
      <c r="AV28" s="294">
        <v>34222.901704462238</v>
      </c>
      <c r="AW28" s="294">
        <v>35776.24558540291</v>
      </c>
      <c r="AX28" s="294">
        <v>38858.680593726371</v>
      </c>
      <c r="AY28" s="294">
        <v>40848.728447686735</v>
      </c>
      <c r="AZ28" s="294">
        <v>38160.802625164972</v>
      </c>
      <c r="BA28" s="294">
        <v>39511.675338343302</v>
      </c>
      <c r="BB28" s="294">
        <v>42220.892612011266</v>
      </c>
      <c r="BC28" s="298">
        <f t="shared" si="0"/>
        <v>42220.892612011266</v>
      </c>
    </row>
    <row r="29" spans="1:55">
      <c r="B29" s="72" t="s">
        <v>458</v>
      </c>
      <c r="C29" s="72" t="s">
        <v>459</v>
      </c>
      <c r="D29" s="294">
        <v>381.49490346763253</v>
      </c>
      <c r="E29" s="294">
        <v>426.76124950958109</v>
      </c>
      <c r="F29" s="294">
        <v>416.46210147134343</v>
      </c>
      <c r="G29" s="294">
        <v>450.86842533306094</v>
      </c>
      <c r="H29" s="294">
        <v>469.33154289922794</v>
      </c>
      <c r="I29" s="294">
        <v>502.07313017636483</v>
      </c>
      <c r="J29" s="294">
        <v>501.44078410539413</v>
      </c>
      <c r="K29" s="294">
        <v>527.50704096176946</v>
      </c>
      <c r="L29" s="294">
        <v>575.27152199264367</v>
      </c>
      <c r="M29" s="294">
        <v>611.29809357686281</v>
      </c>
      <c r="N29" s="294">
        <v>666.62822677004203</v>
      </c>
      <c r="O29" s="294">
        <v>731.66361304210784</v>
      </c>
      <c r="P29" s="294">
        <v>936.09986279836028</v>
      </c>
      <c r="Q29" s="294">
        <v>1183.8494514687231</v>
      </c>
      <c r="R29" s="294">
        <v>1212.6520157359219</v>
      </c>
      <c r="S29" s="294">
        <v>1317.076827233283</v>
      </c>
      <c r="T29" s="294">
        <v>1415.6046076465441</v>
      </c>
      <c r="U29" s="294">
        <v>1570.2410452452614</v>
      </c>
      <c r="V29" s="294">
        <v>1827.3094826615879</v>
      </c>
      <c r="W29" s="294">
        <v>2127.2241689892198</v>
      </c>
      <c r="X29" s="294">
        <v>2394.4740695289947</v>
      </c>
      <c r="Y29" s="294">
        <v>2194.5318076445556</v>
      </c>
      <c r="Z29" s="294">
        <v>1906.8938916413665</v>
      </c>
      <c r="AA29" s="294">
        <v>1844.4436890091295</v>
      </c>
      <c r="AB29" s="294">
        <v>1858.679499823977</v>
      </c>
      <c r="AC29" s="294">
        <v>1856.4244106975059</v>
      </c>
      <c r="AD29" s="294">
        <v>1916.9700419001606</v>
      </c>
      <c r="AE29" s="294">
        <v>2134.6153734891936</v>
      </c>
      <c r="AF29" s="294">
        <v>2292.5232367883655</v>
      </c>
      <c r="AG29" s="294">
        <v>2622.7957127771651</v>
      </c>
      <c r="AH29" s="294">
        <v>2736.1949862612441</v>
      </c>
      <c r="AI29" s="294">
        <v>2914.5806868703671</v>
      </c>
      <c r="AJ29" s="294">
        <v>3118.1208294715748</v>
      </c>
      <c r="AK29" s="294">
        <v>3661.8287021006508</v>
      </c>
      <c r="AL29" s="294">
        <v>3797.4515766324307</v>
      </c>
      <c r="AM29" s="294">
        <v>4031.7662884224655</v>
      </c>
      <c r="AN29" s="294">
        <v>4326.3065263767821</v>
      </c>
      <c r="AO29" s="294">
        <v>4271.468566714364</v>
      </c>
      <c r="AP29" s="294">
        <v>3763.5996848127706</v>
      </c>
      <c r="AQ29" s="294">
        <v>4117.9629274879253</v>
      </c>
      <c r="AR29" s="294">
        <v>3957.9060102931121</v>
      </c>
      <c r="AS29" s="294">
        <v>3507.0910033868718</v>
      </c>
      <c r="AT29" s="294">
        <v>3710.7536605623063</v>
      </c>
      <c r="AU29" s="294">
        <v>4215.7332006625884</v>
      </c>
      <c r="AV29" s="294">
        <v>5024.9048602250232</v>
      </c>
      <c r="AW29" s="294">
        <v>5821.3559184368441</v>
      </c>
      <c r="AX29" s="294">
        <v>6774.0046338951906</v>
      </c>
      <c r="AY29" s="294">
        <v>7772.5270511419267</v>
      </c>
      <c r="AZ29" s="294">
        <v>7197.5484117092283</v>
      </c>
      <c r="BA29" s="294">
        <v>8795.6903039357148</v>
      </c>
      <c r="BB29" s="294">
        <v>9746.9770900242056</v>
      </c>
      <c r="BC29" s="298">
        <f t="shared" si="0"/>
        <v>9746.9770900242056</v>
      </c>
    </row>
    <row r="30" spans="1:55">
      <c r="B30" s="72" t="s">
        <v>460</v>
      </c>
      <c r="C30" s="72" t="s">
        <v>461</v>
      </c>
      <c r="D30" s="294">
        <v>375.112685085583</v>
      </c>
      <c r="E30" s="294">
        <v>420.31424275369136</v>
      </c>
      <c r="F30" s="294">
        <v>408.64560579620132</v>
      </c>
      <c r="G30" s="294">
        <v>442.61538184670007</v>
      </c>
      <c r="H30" s="294">
        <v>460.09847648108342</v>
      </c>
      <c r="I30" s="294">
        <v>492.34469629513626</v>
      </c>
      <c r="J30" s="294">
        <v>489.99380829596595</v>
      </c>
      <c r="K30" s="294">
        <v>514.74691138373134</v>
      </c>
      <c r="L30" s="294">
        <v>561.30328334113119</v>
      </c>
      <c r="M30" s="294">
        <v>595.93183421506217</v>
      </c>
      <c r="N30" s="294">
        <v>649.839501004402</v>
      </c>
      <c r="O30" s="294">
        <v>713.08254585947111</v>
      </c>
      <c r="P30" s="294">
        <v>917.50994339018189</v>
      </c>
      <c r="Q30" s="294">
        <v>1164.6449081108849</v>
      </c>
      <c r="R30" s="294">
        <v>1191.5759995754431</v>
      </c>
      <c r="S30" s="294">
        <v>1295.2741787066816</v>
      </c>
      <c r="T30" s="294">
        <v>1390.6655490692176</v>
      </c>
      <c r="U30" s="294">
        <v>1542.6014914631537</v>
      </c>
      <c r="V30" s="294">
        <v>1794.9464884080701</v>
      </c>
      <c r="W30" s="294">
        <v>2089.0912050213046</v>
      </c>
      <c r="X30" s="294">
        <v>2354.4121057315224</v>
      </c>
      <c r="Y30" s="294">
        <v>2147.2987085509581</v>
      </c>
      <c r="Z30" s="294">
        <v>1855.6230217640359</v>
      </c>
      <c r="AA30" s="294">
        <v>1787.7155682664015</v>
      </c>
      <c r="AB30" s="294">
        <v>1800.7573826720659</v>
      </c>
      <c r="AC30" s="294">
        <v>1801.2668666533225</v>
      </c>
      <c r="AD30" s="294">
        <v>1857.9822760174868</v>
      </c>
      <c r="AE30" s="294">
        <v>2074.2178521120691</v>
      </c>
      <c r="AF30" s="294">
        <v>2229.5947760618365</v>
      </c>
      <c r="AG30" s="294">
        <v>2557.3706858983733</v>
      </c>
      <c r="AH30" s="294">
        <v>2668.9967977693245</v>
      </c>
      <c r="AI30" s="294">
        <v>2845.2678114667574</v>
      </c>
      <c r="AJ30" s="294">
        <v>3049.0442064841041</v>
      </c>
      <c r="AK30" s="294">
        <v>3592.4898329815155</v>
      </c>
      <c r="AL30" s="294">
        <v>3723.2087467389001</v>
      </c>
      <c r="AM30" s="294">
        <v>3954.3601169423791</v>
      </c>
      <c r="AN30" s="294">
        <v>4244.2740491164677</v>
      </c>
      <c r="AO30" s="294">
        <v>4177.9791291967986</v>
      </c>
      <c r="AP30" s="294">
        <v>3655.63429554408</v>
      </c>
      <c r="AQ30" s="294">
        <v>4004.0143908376472</v>
      </c>
      <c r="AR30" s="294">
        <v>3827.7882802548297</v>
      </c>
      <c r="AS30" s="294">
        <v>3368.5124711613125</v>
      </c>
      <c r="AT30" s="294">
        <v>3565.4138538952388</v>
      </c>
      <c r="AU30" s="294">
        <v>4065.2060300182916</v>
      </c>
      <c r="AV30" s="294">
        <v>4869.627244435821</v>
      </c>
      <c r="AW30" s="294">
        <v>5663.6553775746434</v>
      </c>
      <c r="AX30" s="294">
        <v>6615.3395763951385</v>
      </c>
      <c r="AY30" s="294">
        <v>7605.1844773314742</v>
      </c>
      <c r="AZ30" s="294">
        <v>7037.8732213804778</v>
      </c>
      <c r="BA30" s="294">
        <v>8646.6759188374454</v>
      </c>
      <c r="BB30" s="294">
        <v>9585.6516072797313</v>
      </c>
      <c r="BC30" s="298">
        <f t="shared" si="0"/>
        <v>9585.6516072797313</v>
      </c>
    </row>
    <row r="31" spans="1:55">
      <c r="B31" s="72" t="s">
        <v>462</v>
      </c>
      <c r="C31" s="72" t="s">
        <v>463</v>
      </c>
      <c r="D31" s="294">
        <v>106.31529598707731</v>
      </c>
      <c r="E31" s="294">
        <v>112.37348553846623</v>
      </c>
      <c r="F31" s="294">
        <v>129.44035800312145</v>
      </c>
      <c r="G31" s="294">
        <v>110.62459582742261</v>
      </c>
      <c r="H31" s="294">
        <v>125.74637906908451</v>
      </c>
      <c r="I31" s="294">
        <v>134.86443445766312</v>
      </c>
      <c r="J31" s="294">
        <v>133.29459008237217</v>
      </c>
      <c r="K31" s="294">
        <v>135.89344112149192</v>
      </c>
      <c r="L31" s="294">
        <v>147.57378752090688</v>
      </c>
      <c r="M31" s="294">
        <v>149.20466497021562</v>
      </c>
      <c r="N31" s="294">
        <v>153.31910880012342</v>
      </c>
      <c r="O31" s="294">
        <v>145.82748592404397</v>
      </c>
      <c r="P31" s="294">
        <v>174.99337052288683</v>
      </c>
      <c r="Q31" s="294">
        <v>216.49117470345402</v>
      </c>
      <c r="R31" s="294">
        <v>264.71246763744614</v>
      </c>
      <c r="S31" s="294">
        <v>223.36153271637059</v>
      </c>
      <c r="T31" s="294">
        <v>242.7334172613441</v>
      </c>
      <c r="U31" s="294">
        <v>282.03561298330999</v>
      </c>
      <c r="V31" s="294">
        <v>303.21974532740734</v>
      </c>
      <c r="W31" s="294">
        <v>310.21622048607748</v>
      </c>
      <c r="X31" s="294">
        <v>303.49634484237743</v>
      </c>
      <c r="Y31" s="294">
        <v>295.64484235399749</v>
      </c>
      <c r="Z31" s="294">
        <v>269.05168888344167</v>
      </c>
      <c r="AA31" s="294">
        <v>263.44582874292837</v>
      </c>
      <c r="AB31" s="294">
        <v>277.90232680338829</v>
      </c>
      <c r="AC31" s="294">
        <v>293.53436469855257</v>
      </c>
      <c r="AD31" s="294">
        <v>314.93188346607275</v>
      </c>
      <c r="AE31" s="294">
        <v>313.42196549649083</v>
      </c>
      <c r="AF31" s="294">
        <v>308.94059686909998</v>
      </c>
      <c r="AG31" s="294">
        <v>312.44526749760951</v>
      </c>
      <c r="AH31" s="294">
        <v>313.11635786450125</v>
      </c>
      <c r="AI31" s="294">
        <v>269.11006262563944</v>
      </c>
      <c r="AJ31" s="294">
        <v>262.43960141262227</v>
      </c>
      <c r="AK31" s="294">
        <v>241.03867519848464</v>
      </c>
      <c r="AL31" s="294">
        <v>267.07649980350089</v>
      </c>
      <c r="AM31" s="294">
        <v>277.47758325260293</v>
      </c>
      <c r="AN31" s="294">
        <v>281.06857117459538</v>
      </c>
      <c r="AO31" s="294">
        <v>271.57784454127449</v>
      </c>
      <c r="AP31" s="294">
        <v>269.28128761140709</v>
      </c>
      <c r="AQ31" s="294">
        <v>274.18824190958117</v>
      </c>
      <c r="AR31" s="294">
        <v>272.68744654621321</v>
      </c>
      <c r="AS31" s="294">
        <v>286.23382553556917</v>
      </c>
      <c r="AT31" s="294">
        <v>322.08421016505685</v>
      </c>
      <c r="AU31" s="294">
        <v>370.03700164992051</v>
      </c>
      <c r="AV31" s="294">
        <v>425.70572320317569</v>
      </c>
      <c r="AW31" s="294">
        <v>484.20308144578667</v>
      </c>
      <c r="AX31" s="294">
        <v>574.68499484508334</v>
      </c>
      <c r="AY31" s="294">
        <v>687.45717984249109</v>
      </c>
      <c r="AZ31" s="294">
        <v>659.55387946144435</v>
      </c>
      <c r="BA31" s="294">
        <v>736.39930592857365</v>
      </c>
      <c r="BB31" s="294">
        <v>820.85695431691499</v>
      </c>
      <c r="BC31" s="298">
        <f t="shared" si="0"/>
        <v>820.85695431691499</v>
      </c>
    </row>
    <row r="32" spans="1:55">
      <c r="B32" s="72" t="s">
        <v>464</v>
      </c>
      <c r="C32" s="72" t="s">
        <v>465</v>
      </c>
      <c r="D32" s="294">
        <v>136.45433575223379</v>
      </c>
      <c r="E32" s="294">
        <v>138.15120306244455</v>
      </c>
      <c r="F32" s="294">
        <v>144.26191587111614</v>
      </c>
      <c r="G32" s="294">
        <v>155.99418699144863</v>
      </c>
      <c r="H32" s="294">
        <v>180.00721807353963</v>
      </c>
      <c r="I32" s="294">
        <v>182.15692996860352</v>
      </c>
      <c r="J32" s="294">
        <v>182.4339062075781</v>
      </c>
      <c r="K32" s="294">
        <v>188.53216240452105</v>
      </c>
      <c r="L32" s="294">
        <v>205.88974933134838</v>
      </c>
      <c r="M32" s="294">
        <v>219.91908110671</v>
      </c>
      <c r="N32" s="294">
        <v>232.28490645015074</v>
      </c>
      <c r="O32" s="294">
        <v>253.92120958808084</v>
      </c>
      <c r="P32" s="294">
        <v>315.39239296224162</v>
      </c>
      <c r="Q32" s="294">
        <v>390.92736538380245</v>
      </c>
      <c r="R32" s="294">
        <v>418.64463698609541</v>
      </c>
      <c r="S32" s="294">
        <v>443.82605733969604</v>
      </c>
      <c r="T32" s="294">
        <v>490.86534379942668</v>
      </c>
      <c r="U32" s="294">
        <v>524.2987716433945</v>
      </c>
      <c r="V32" s="294">
        <v>611.49325081888071</v>
      </c>
      <c r="W32" s="294">
        <v>699.66220504963496</v>
      </c>
      <c r="X32" s="294">
        <v>738.5848270498044</v>
      </c>
      <c r="Y32" s="294">
        <v>715.27840278211374</v>
      </c>
      <c r="Z32" s="294">
        <v>684.78996649519706</v>
      </c>
      <c r="AA32" s="294">
        <v>680.74687624093337</v>
      </c>
      <c r="AB32" s="294">
        <v>701.49248193140124</v>
      </c>
      <c r="AC32" s="294">
        <v>717.62362120473938</v>
      </c>
      <c r="AD32" s="294">
        <v>724.44224204491866</v>
      </c>
      <c r="AE32" s="294">
        <v>766.94919378101361</v>
      </c>
      <c r="AF32" s="294">
        <v>800.48115304091232</v>
      </c>
      <c r="AG32" s="294">
        <v>857.68087630938817</v>
      </c>
      <c r="AH32" s="294">
        <v>853.00146387637028</v>
      </c>
      <c r="AI32" s="294">
        <v>874.25341760795777</v>
      </c>
      <c r="AJ32" s="294">
        <v>893.01142997268175</v>
      </c>
      <c r="AK32" s="294">
        <v>966.78770137259892</v>
      </c>
      <c r="AL32" s="294">
        <v>1060.4730885088941</v>
      </c>
      <c r="AM32" s="294">
        <v>1136.3710260757207</v>
      </c>
      <c r="AN32" s="294">
        <v>1182.7211381841691</v>
      </c>
      <c r="AO32" s="294">
        <v>1126.055728246937</v>
      </c>
      <c r="AP32" s="294">
        <v>1079.6438789257345</v>
      </c>
      <c r="AQ32" s="294">
        <v>1161.590986091918</v>
      </c>
      <c r="AR32" s="294">
        <v>1156.3248574157662</v>
      </c>
      <c r="AS32" s="294">
        <v>1163.7919667755041</v>
      </c>
      <c r="AT32" s="294">
        <v>1312.6893217346328</v>
      </c>
      <c r="AU32" s="294">
        <v>1538.4070903603713</v>
      </c>
      <c r="AV32" s="294">
        <v>1805.2566035838174</v>
      </c>
      <c r="AW32" s="294">
        <v>2117.3599389035071</v>
      </c>
      <c r="AX32" s="294">
        <v>2587.1009698196449</v>
      </c>
      <c r="AY32" s="294">
        <v>3058.6096931381003</v>
      </c>
      <c r="AZ32" s="294">
        <v>2931.1875489621771</v>
      </c>
      <c r="BA32" s="294">
        <v>3491.0229772703142</v>
      </c>
      <c r="BB32" s="294">
        <v>4025.6073464416891</v>
      </c>
      <c r="BC32" s="298">
        <f t="shared" si="0"/>
        <v>4025.6073464416891</v>
      </c>
    </row>
    <row r="33" spans="2:55">
      <c r="B33" s="72" t="s">
        <v>466</v>
      </c>
      <c r="C33" s="72" t="s">
        <v>467</v>
      </c>
      <c r="D33" s="294">
        <v>97.037109209094083</v>
      </c>
      <c r="E33" s="294">
        <v>102.74496955632061</v>
      </c>
      <c r="F33" s="294">
        <v>119.36672609311302</v>
      </c>
      <c r="G33" s="294">
        <v>100.8053167876129</v>
      </c>
      <c r="H33" s="294">
        <v>113.88582356712327</v>
      </c>
      <c r="I33" s="294">
        <v>122.12505878889968</v>
      </c>
      <c r="J33" s="294">
        <v>120.46290301770183</v>
      </c>
      <c r="K33" s="294">
        <v>122.28901288168878</v>
      </c>
      <c r="L33" s="294">
        <v>133.09619937927823</v>
      </c>
      <c r="M33" s="294">
        <v>135.36814879087697</v>
      </c>
      <c r="N33" s="294">
        <v>141.18432878426816</v>
      </c>
      <c r="O33" s="294">
        <v>134.94708802696201</v>
      </c>
      <c r="P33" s="294">
        <v>161.11977658610894</v>
      </c>
      <c r="Q33" s="294">
        <v>198.65251729641139</v>
      </c>
      <c r="R33" s="294">
        <v>243.90169755664789</v>
      </c>
      <c r="S33" s="294">
        <v>198.70835495443353</v>
      </c>
      <c r="T33" s="294">
        <v>216.46697991433697</v>
      </c>
      <c r="U33" s="294">
        <v>252.56984896998185</v>
      </c>
      <c r="V33" s="294">
        <v>274.35109619202439</v>
      </c>
      <c r="W33" s="294">
        <v>290.91726749035269</v>
      </c>
      <c r="X33" s="294">
        <v>281.87516703821296</v>
      </c>
      <c r="Y33" s="294">
        <v>276.84133422021273</v>
      </c>
      <c r="Z33" s="294">
        <v>252.98108485701661</v>
      </c>
      <c r="AA33" s="294">
        <v>241.02836697021121</v>
      </c>
      <c r="AB33" s="294">
        <v>245.14250249186992</v>
      </c>
      <c r="AC33" s="294">
        <v>258.67759245362464</v>
      </c>
      <c r="AD33" s="294">
        <v>267.37860721751713</v>
      </c>
      <c r="AE33" s="294">
        <v>281.15853725706512</v>
      </c>
      <c r="AF33" s="294">
        <v>275.22478805130976</v>
      </c>
      <c r="AG33" s="294">
        <v>286.2270411371764</v>
      </c>
      <c r="AH33" s="294">
        <v>283.2348732690017</v>
      </c>
      <c r="AI33" s="294">
        <v>254.33143441940541</v>
      </c>
      <c r="AJ33" s="294">
        <v>241.08351194744191</v>
      </c>
      <c r="AK33" s="294">
        <v>221.68202344570798</v>
      </c>
      <c r="AL33" s="294">
        <v>246.75177144693427</v>
      </c>
      <c r="AM33" s="294">
        <v>268.63614796938566</v>
      </c>
      <c r="AN33" s="294">
        <v>272.70705805194905</v>
      </c>
      <c r="AO33" s="294">
        <v>272.15314477120779</v>
      </c>
      <c r="AP33" s="294">
        <v>263.74542667139877</v>
      </c>
      <c r="AQ33" s="294">
        <v>257.5611605937703</v>
      </c>
      <c r="AR33" s="294">
        <v>254.00627724503852</v>
      </c>
      <c r="AS33" s="294">
        <v>260.16081361867015</v>
      </c>
      <c r="AT33" s="294">
        <v>280.3954412567989</v>
      </c>
      <c r="AU33" s="294">
        <v>307.80375824053704</v>
      </c>
      <c r="AV33" s="294">
        <v>333.55175345112508</v>
      </c>
      <c r="AW33" s="294">
        <v>358.39592982062317</v>
      </c>
      <c r="AX33" s="294">
        <v>410.77052979009562</v>
      </c>
      <c r="AY33" s="294">
        <v>478.56442214442461</v>
      </c>
      <c r="AZ33" s="294">
        <v>493.0837989557096</v>
      </c>
      <c r="BA33" s="294">
        <v>525.84199627160842</v>
      </c>
      <c r="BB33" s="294">
        <v>578.79862772173601</v>
      </c>
      <c r="BC33" s="298">
        <f t="shared" si="0"/>
        <v>578.79862772173601</v>
      </c>
    </row>
    <row r="34" spans="2:55">
      <c r="B34" s="72" t="s">
        <v>468</v>
      </c>
      <c r="C34" s="72" t="s">
        <v>469</v>
      </c>
      <c r="D34" s="294">
        <v>82.956639935310946</v>
      </c>
      <c r="E34" s="294">
        <v>79.507020069394571</v>
      </c>
      <c r="F34" s="294">
        <v>85.467915941655392</v>
      </c>
      <c r="G34" s="294">
        <v>94.641985275468471</v>
      </c>
      <c r="H34" s="294">
        <v>126.61572078670036</v>
      </c>
      <c r="I34" s="294">
        <v>110.66662473057526</v>
      </c>
      <c r="J34" s="294">
        <v>114.80800921476134</v>
      </c>
      <c r="K34" s="294">
        <v>120.67880028224722</v>
      </c>
      <c r="L34" s="294">
        <v>131.34031723467899</v>
      </c>
      <c r="M34" s="294">
        <v>141.30331103044358</v>
      </c>
      <c r="N34" s="294">
        <v>144.40350592818922</v>
      </c>
      <c r="O34" s="294">
        <v>154.51076464976441</v>
      </c>
      <c r="P34" s="294">
        <v>179.70128684952721</v>
      </c>
      <c r="Q34" s="294">
        <v>227.13817471117596</v>
      </c>
      <c r="R34" s="294">
        <v>241.7493750496057</v>
      </c>
      <c r="S34" s="294">
        <v>267.06740557083492</v>
      </c>
      <c r="T34" s="294">
        <v>300.92611487312558</v>
      </c>
      <c r="U34" s="294">
        <v>329.16025572124448</v>
      </c>
      <c r="V34" s="294">
        <v>371.41018504303258</v>
      </c>
      <c r="W34" s="294">
        <v>450.05551036585581</v>
      </c>
      <c r="X34" s="294">
        <v>450.86515985136799</v>
      </c>
      <c r="Y34" s="294">
        <v>447.06045400532327</v>
      </c>
      <c r="Z34" s="294">
        <v>429.3644923644876</v>
      </c>
      <c r="AA34" s="294">
        <v>418.72704745004654</v>
      </c>
      <c r="AB34" s="294">
        <v>427.41379209557249</v>
      </c>
      <c r="AC34" s="294">
        <v>430.66403414259418</v>
      </c>
      <c r="AD34" s="294">
        <v>462.73412120540723</v>
      </c>
      <c r="AE34" s="294">
        <v>472.41509760066066</v>
      </c>
      <c r="AF34" s="294">
        <v>471.50561694923988</v>
      </c>
      <c r="AG34" s="294">
        <v>492.36046078184404</v>
      </c>
      <c r="AH34" s="294">
        <v>463.79047323530841</v>
      </c>
      <c r="AI34" s="294">
        <v>477.80415733360144</v>
      </c>
      <c r="AJ34" s="294">
        <v>471.5328207171429</v>
      </c>
      <c r="AK34" s="294">
        <v>503.10090042671101</v>
      </c>
      <c r="AL34" s="294">
        <v>550.55345246585114</v>
      </c>
      <c r="AM34" s="294">
        <v>590.13317042492258</v>
      </c>
      <c r="AN34" s="294">
        <v>597.8864753012549</v>
      </c>
      <c r="AO34" s="294">
        <v>528.40639396529309</v>
      </c>
      <c r="AP34" s="294">
        <v>568.07773355298502</v>
      </c>
      <c r="AQ34" s="294">
        <v>593.86522990952403</v>
      </c>
      <c r="AR34" s="294">
        <v>588.63284951022081</v>
      </c>
      <c r="AS34" s="294">
        <v>619.93136060976462</v>
      </c>
      <c r="AT34" s="294">
        <v>699.58883155157935</v>
      </c>
      <c r="AU34" s="294">
        <v>790.02446039052529</v>
      </c>
      <c r="AV34" s="294">
        <v>897.51509505071454</v>
      </c>
      <c r="AW34" s="294">
        <v>1049.6670238557226</v>
      </c>
      <c r="AX34" s="294">
        <v>1276.1190257624385</v>
      </c>
      <c r="AY34" s="294">
        <v>1411.3766836139766</v>
      </c>
      <c r="AZ34" s="294">
        <v>1410.1942803707807</v>
      </c>
      <c r="BA34" s="294">
        <v>1687.3525636303866</v>
      </c>
      <c r="BB34" s="294">
        <v>1882.4789941431293</v>
      </c>
      <c r="BC34" s="298">
        <f t="shared" si="0"/>
        <v>1882.4789941431293</v>
      </c>
    </row>
    <row r="35" spans="2:55">
      <c r="B35" s="72" t="s">
        <v>470</v>
      </c>
      <c r="C35" s="72" t="s">
        <v>471</v>
      </c>
      <c r="D35" s="294"/>
      <c r="E35" s="294"/>
      <c r="F35" s="294"/>
      <c r="G35" s="294"/>
      <c r="H35" s="294"/>
      <c r="I35" s="294"/>
      <c r="J35" s="294"/>
      <c r="K35" s="294">
        <v>292.18962016843932</v>
      </c>
      <c r="L35" s="294">
        <v>316.40582955524229</v>
      </c>
      <c r="M35" s="294">
        <v>339.74205294716211</v>
      </c>
      <c r="N35" s="294">
        <v>386.13414901714089</v>
      </c>
      <c r="O35" s="294">
        <v>462.55547591161411</v>
      </c>
      <c r="P35" s="294">
        <v>603.64772942104344</v>
      </c>
      <c r="Q35" s="294">
        <v>1069.385419228686</v>
      </c>
      <c r="R35" s="294">
        <v>1144.2108948612417</v>
      </c>
      <c r="S35" s="294">
        <v>1373.9593469282729</v>
      </c>
      <c r="T35" s="294">
        <v>1549.9180749753498</v>
      </c>
      <c r="U35" s="294">
        <v>1606.3392254029611</v>
      </c>
      <c r="V35" s="294">
        <v>2030.6862431081674</v>
      </c>
      <c r="W35" s="294">
        <v>2504.4637454355907</v>
      </c>
      <c r="X35" s="294">
        <v>2514.6016211684837</v>
      </c>
      <c r="Y35" s="294">
        <v>2417.0460746396798</v>
      </c>
      <c r="Z35" s="294">
        <v>2367.0006398418259</v>
      </c>
      <c r="AA35" s="294">
        <v>2322.750302857462</v>
      </c>
      <c r="AB35" s="294">
        <v>2284.4824362120767</v>
      </c>
      <c r="AC35" s="294">
        <v>2245.8075810800806</v>
      </c>
      <c r="AD35" s="294">
        <v>2004.2213190444477</v>
      </c>
      <c r="AE35" s="294">
        <v>1904.947560623747</v>
      </c>
      <c r="AF35" s="294">
        <v>1924.4775301732286</v>
      </c>
      <c r="AG35" s="294">
        <v>2075.1461600679377</v>
      </c>
      <c r="AH35" s="294">
        <v>2024.6257434358126</v>
      </c>
      <c r="AI35" s="294">
        <v>2167.0830082288944</v>
      </c>
      <c r="AJ35" s="294">
        <v>2134.3206764543297</v>
      </c>
      <c r="AK35" s="294">
        <v>2170.8803229380305</v>
      </c>
      <c r="AL35" s="294">
        <v>2393.9649042345609</v>
      </c>
      <c r="AM35" s="294">
        <v>2645.6930758238809</v>
      </c>
      <c r="AN35" s="294">
        <v>2696.5227160943577</v>
      </c>
      <c r="AO35" s="294">
        <v>2587.3789096847804</v>
      </c>
      <c r="AP35" s="294">
        <v>2720.3181706383834</v>
      </c>
      <c r="AQ35" s="294">
        <v>3002.1465217925802</v>
      </c>
      <c r="AR35" s="294">
        <v>2918.7432449587041</v>
      </c>
      <c r="AS35" s="294">
        <v>2860.1915076128203</v>
      </c>
      <c r="AT35" s="294">
        <v>3142.6693478402708</v>
      </c>
      <c r="AU35" s="294">
        <v>3567.9079379470327</v>
      </c>
      <c r="AV35" s="294">
        <v>4167.510625929739</v>
      </c>
      <c r="AW35" s="294">
        <v>4788.5154119785248</v>
      </c>
      <c r="AX35" s="294">
        <v>5488.1990259892837</v>
      </c>
      <c r="AY35" s="294">
        <v>6713.1854116463128</v>
      </c>
      <c r="AZ35" s="294">
        <v>5812.9354406687453</v>
      </c>
      <c r="BA35" s="294">
        <v>6579.6002197796579</v>
      </c>
      <c r="BB35" s="294">
        <v>7824.9943692076358</v>
      </c>
      <c r="BC35" s="298">
        <f t="shared" si="0"/>
        <v>7824.9943692076358</v>
      </c>
    </row>
    <row r="36" spans="2:55">
      <c r="B36" s="72" t="s">
        <v>472</v>
      </c>
      <c r="C36" s="72" t="s">
        <v>473</v>
      </c>
      <c r="D36" s="294"/>
      <c r="E36" s="294"/>
      <c r="F36" s="294"/>
      <c r="G36" s="294"/>
      <c r="H36" s="294">
        <v>168.09210433421438</v>
      </c>
      <c r="I36" s="294">
        <v>169.32681499760102</v>
      </c>
      <c r="J36" s="294">
        <v>176.80991244771306</v>
      </c>
      <c r="K36" s="294">
        <v>191.36820585505234</v>
      </c>
      <c r="L36" s="294">
        <v>208.60765644080678</v>
      </c>
      <c r="M36" s="294">
        <v>222.99604220112244</v>
      </c>
      <c r="N36" s="294">
        <v>249.02142371185522</v>
      </c>
      <c r="O36" s="294">
        <v>293.59204148516824</v>
      </c>
      <c r="P36" s="294">
        <v>377.04330369750079</v>
      </c>
      <c r="Q36" s="294">
        <v>559.59867976973578</v>
      </c>
      <c r="R36" s="294">
        <v>636.89134864332766</v>
      </c>
      <c r="S36" s="294">
        <v>750.49163003123954</v>
      </c>
      <c r="T36" s="294">
        <v>847.80904061607396</v>
      </c>
      <c r="U36" s="294">
        <v>892.88376963361793</v>
      </c>
      <c r="V36" s="294">
        <v>1070.1028199426787</v>
      </c>
      <c r="W36" s="294">
        <v>1204.3055439832785</v>
      </c>
      <c r="X36" s="294">
        <v>1138.6590054666769</v>
      </c>
      <c r="Y36" s="294">
        <v>1254.2171073592606</v>
      </c>
      <c r="Z36" s="294">
        <v>1362.0722007282432</v>
      </c>
      <c r="AA36" s="294">
        <v>1395.0554094268387</v>
      </c>
      <c r="AB36" s="294">
        <v>1465.6115640023531</v>
      </c>
      <c r="AC36" s="294">
        <v>1558.8118318965223</v>
      </c>
      <c r="AD36" s="294">
        <v>1282.8222428060831</v>
      </c>
      <c r="AE36" s="294">
        <v>1161.9924476155945</v>
      </c>
      <c r="AF36" s="294">
        <v>1136.5737353596755</v>
      </c>
      <c r="AG36" s="294">
        <v>1181.422383658145</v>
      </c>
      <c r="AH36" s="294">
        <v>1071.5467365227262</v>
      </c>
      <c r="AI36" s="294">
        <v>1133.7460624854939</v>
      </c>
      <c r="AJ36" s="294">
        <v>1123.5113034469634</v>
      </c>
      <c r="AK36" s="294">
        <v>1123.1418917105711</v>
      </c>
      <c r="AL36" s="294">
        <v>1253.7260424837268</v>
      </c>
      <c r="AM36" s="294">
        <v>1413.5004933441799</v>
      </c>
      <c r="AN36" s="294">
        <v>1433.0116868165073</v>
      </c>
      <c r="AO36" s="294">
        <v>1446.4769294541079</v>
      </c>
      <c r="AP36" s="294">
        <v>1501.9779384635217</v>
      </c>
      <c r="AQ36" s="294">
        <v>1562.6971107527881</v>
      </c>
      <c r="AR36" s="294">
        <v>1546.1917515000239</v>
      </c>
      <c r="AS36" s="294">
        <v>1487.780010080478</v>
      </c>
      <c r="AT36" s="294">
        <v>1626.2197047127863</v>
      </c>
      <c r="AU36" s="294">
        <v>1841.8492696585411</v>
      </c>
      <c r="AV36" s="294">
        <v>2089.3712691978062</v>
      </c>
      <c r="AW36" s="294">
        <v>2403.1212904168037</v>
      </c>
      <c r="AX36" s="294">
        <v>2873.6920447491107</v>
      </c>
      <c r="AY36" s="294">
        <v>3506.564672003236</v>
      </c>
      <c r="AZ36" s="294">
        <v>3261.7875017840329</v>
      </c>
      <c r="BA36" s="294">
        <v>3630.3804928525383</v>
      </c>
      <c r="BB36" s="294"/>
      <c r="BC36" s="298">
        <f t="shared" si="0"/>
        <v>0</v>
      </c>
    </row>
    <row r="37" spans="2:55">
      <c r="B37" s="72" t="s">
        <v>474</v>
      </c>
      <c r="C37" s="72" t="s">
        <v>475</v>
      </c>
      <c r="D37" s="294">
        <v>142.00297781447028</v>
      </c>
      <c r="E37" s="294">
        <v>143.261816593172</v>
      </c>
      <c r="F37" s="294">
        <v>148.32253839038708</v>
      </c>
      <c r="G37" s="294">
        <v>163.41274627960993</v>
      </c>
      <c r="H37" s="294">
        <v>188.85644940610104</v>
      </c>
      <c r="I37" s="294">
        <v>190.41862916751248</v>
      </c>
      <c r="J37" s="294">
        <v>190.94052860429323</v>
      </c>
      <c r="K37" s="294">
        <v>197.59266679874784</v>
      </c>
      <c r="L37" s="294">
        <v>215.85959212757115</v>
      </c>
      <c r="M37" s="294">
        <v>231.29921375471045</v>
      </c>
      <c r="N37" s="294">
        <v>244.48504294013824</v>
      </c>
      <c r="O37" s="294">
        <v>269.27154255551079</v>
      </c>
      <c r="P37" s="294">
        <v>335.11723792849563</v>
      </c>
      <c r="Q37" s="294">
        <v>415.48490613893739</v>
      </c>
      <c r="R37" s="294">
        <v>441.77173329692181</v>
      </c>
      <c r="S37" s="294">
        <v>474.64236323607224</v>
      </c>
      <c r="T37" s="294">
        <v>525.47094046204063</v>
      </c>
      <c r="U37" s="294">
        <v>559.24952723961246</v>
      </c>
      <c r="V37" s="294">
        <v>654.65276980971635</v>
      </c>
      <c r="W37" s="294">
        <v>751.82808203154218</v>
      </c>
      <c r="X37" s="294">
        <v>796.82702114888832</v>
      </c>
      <c r="Y37" s="294">
        <v>771.60002161976911</v>
      </c>
      <c r="Z37" s="294">
        <v>740.49978424373683</v>
      </c>
      <c r="AA37" s="294">
        <v>737.78444620090943</v>
      </c>
      <c r="AB37" s="294">
        <v>761.10293509313738</v>
      </c>
      <c r="AC37" s="294">
        <v>778.12391117602522</v>
      </c>
      <c r="AD37" s="294">
        <v>785.19978244912352</v>
      </c>
      <c r="AE37" s="294">
        <v>831.98267273250792</v>
      </c>
      <c r="AF37" s="294">
        <v>871.14445374054867</v>
      </c>
      <c r="AG37" s="294">
        <v>934.93036407192074</v>
      </c>
      <c r="AH37" s="294">
        <v>930.70004949615145</v>
      </c>
      <c r="AI37" s="294">
        <v>958.81267973242086</v>
      </c>
      <c r="AJ37" s="294">
        <v>982.41217023565616</v>
      </c>
      <c r="AK37" s="294">
        <v>1069.2050841716384</v>
      </c>
      <c r="AL37" s="294">
        <v>1173.5044299364283</v>
      </c>
      <c r="AM37" s="294">
        <v>1258.1778860254785</v>
      </c>
      <c r="AN37" s="294">
        <v>1311.5887880001876</v>
      </c>
      <c r="AO37" s="294">
        <v>1248.4340103809093</v>
      </c>
      <c r="AP37" s="294">
        <v>1197.8217196370947</v>
      </c>
      <c r="AQ37" s="294">
        <v>1293.3083939811181</v>
      </c>
      <c r="AR37" s="294">
        <v>1289.1868893535666</v>
      </c>
      <c r="AS37" s="294">
        <v>1298.3193348700042</v>
      </c>
      <c r="AT37" s="294">
        <v>1467.7402324279312</v>
      </c>
      <c r="AU37" s="294">
        <v>1724.7788818221813</v>
      </c>
      <c r="AV37" s="294">
        <v>2029.8919262499667</v>
      </c>
      <c r="AW37" s="294">
        <v>2387.9030996565075</v>
      </c>
      <c r="AX37" s="294">
        <v>2924.6002019797352</v>
      </c>
      <c r="AY37" s="294">
        <v>3462.4232945318872</v>
      </c>
      <c r="AZ37" s="294">
        <v>3317.0701051346332</v>
      </c>
      <c r="BA37" s="294">
        <v>3964.1711783200767</v>
      </c>
      <c r="BB37" s="294">
        <v>4580.8767428512829</v>
      </c>
      <c r="BC37" s="298">
        <f t="shared" si="0"/>
        <v>4580.8767428512829</v>
      </c>
    </row>
    <row r="38" spans="2:55">
      <c r="B38" s="72" t="s">
        <v>335</v>
      </c>
      <c r="C38" s="72" t="s">
        <v>476</v>
      </c>
      <c r="D38" s="294">
        <v>2870.7258577646708</v>
      </c>
      <c r="E38" s="294">
        <v>3030.3395435027974</v>
      </c>
      <c r="F38" s="294">
        <v>3152.0354445444705</v>
      </c>
      <c r="G38" s="294">
        <v>3341.3467037935125</v>
      </c>
      <c r="H38" s="294">
        <v>3579.4139600045582</v>
      </c>
      <c r="I38" s="294">
        <v>3882.8450236036165</v>
      </c>
      <c r="J38" s="294">
        <v>4060.5727823064458</v>
      </c>
      <c r="K38" s="294">
        <v>4389.8495203483626</v>
      </c>
      <c r="L38" s="294">
        <v>4698.9733650298222</v>
      </c>
      <c r="M38" s="294">
        <v>4907.8538386146001</v>
      </c>
      <c r="N38" s="294">
        <v>5278.9451721287423</v>
      </c>
      <c r="O38" s="294">
        <v>5761.1786585256496</v>
      </c>
      <c r="P38" s="294">
        <v>6394.8213590122168</v>
      </c>
      <c r="Q38" s="294">
        <v>6944.8425661619494</v>
      </c>
      <c r="R38" s="294">
        <v>7500.7010442192905</v>
      </c>
      <c r="S38" s="294">
        <v>8328.9252154936166</v>
      </c>
      <c r="T38" s="294">
        <v>9102.5465835318882</v>
      </c>
      <c r="U38" s="294">
        <v>10098.925343245246</v>
      </c>
      <c r="V38" s="294">
        <v>11158.158619619988</v>
      </c>
      <c r="W38" s="294">
        <v>12057.737899873573</v>
      </c>
      <c r="X38" s="294">
        <v>13384.175217350496</v>
      </c>
      <c r="Y38" s="294">
        <v>13764.505424669509</v>
      </c>
      <c r="Z38" s="294">
        <v>14815.082221517121</v>
      </c>
      <c r="AA38" s="294">
        <v>16241.624868394043</v>
      </c>
      <c r="AB38" s="294">
        <v>17207.900962066466</v>
      </c>
      <c r="AC38" s="294">
        <v>17999.814254214882</v>
      </c>
      <c r="AD38" s="294">
        <v>19047.183402258855</v>
      </c>
      <c r="AE38" s="294">
        <v>20487.84925300043</v>
      </c>
      <c r="AF38" s="294">
        <v>21865.264676514027</v>
      </c>
      <c r="AG38" s="294">
        <v>22831.342093332467</v>
      </c>
      <c r="AH38" s="294">
        <v>23222.707148693964</v>
      </c>
      <c r="AI38" s="294">
        <v>24002.600160444988</v>
      </c>
      <c r="AJ38" s="294">
        <v>24750.876987357464</v>
      </c>
      <c r="AK38" s="294">
        <v>25862.74950412392</v>
      </c>
      <c r="AL38" s="294">
        <v>26821.498367516229</v>
      </c>
      <c r="AM38" s="294">
        <v>27973.193498398679</v>
      </c>
      <c r="AN38" s="294">
        <v>29391.443712655517</v>
      </c>
      <c r="AO38" s="294">
        <v>30574.790753377911</v>
      </c>
      <c r="AP38" s="294">
        <v>32188.470705860524</v>
      </c>
      <c r="AQ38" s="294">
        <v>33953.340688728524</v>
      </c>
      <c r="AR38" s="294">
        <v>34648.975955852948</v>
      </c>
      <c r="AS38" s="294">
        <v>35507.912326418482</v>
      </c>
      <c r="AT38" s="294">
        <v>37158.532647730281</v>
      </c>
      <c r="AU38" s="294">
        <v>39384.255057477742</v>
      </c>
      <c r="AV38" s="294">
        <v>41790.954964060227</v>
      </c>
      <c r="AW38" s="294">
        <v>44101.669123926047</v>
      </c>
      <c r="AX38" s="294">
        <v>46052.101250875865</v>
      </c>
      <c r="AY38" s="294">
        <v>46604.882886412342</v>
      </c>
      <c r="AZ38" s="294">
        <v>44754.03025856099</v>
      </c>
      <c r="BA38" s="294">
        <v>46580.309955535311</v>
      </c>
      <c r="BB38" s="294">
        <v>48342.889246888182</v>
      </c>
      <c r="BC38" s="298">
        <f t="shared" si="0"/>
        <v>48342.889246888182</v>
      </c>
    </row>
    <row r="39" spans="2:55">
      <c r="B39" s="72" t="s">
        <v>477</v>
      </c>
      <c r="C39" s="72" t="s">
        <v>478</v>
      </c>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8">
        <f t="shared" si="0"/>
        <v>0</v>
      </c>
    </row>
    <row r="40" spans="2:55">
      <c r="B40" s="72" t="s">
        <v>479</v>
      </c>
      <c r="C40" s="72" t="s">
        <v>480</v>
      </c>
      <c r="D40" s="294">
        <v>1380.7551991371488</v>
      </c>
      <c r="E40" s="294">
        <v>1471.6596793641786</v>
      </c>
      <c r="F40" s="294">
        <v>1564.8792580731003</v>
      </c>
      <c r="G40" s="294">
        <v>1688.600514233274</v>
      </c>
      <c r="H40" s="294">
        <v>1810.4402898069311</v>
      </c>
      <c r="I40" s="294">
        <v>1965.2039473294096</v>
      </c>
      <c r="J40" s="294">
        <v>2085.4533227011557</v>
      </c>
      <c r="K40" s="294">
        <v>2236.1096751503133</v>
      </c>
      <c r="L40" s="294">
        <v>2423.5860743331932</v>
      </c>
      <c r="M40" s="294">
        <v>2599.8865460920442</v>
      </c>
      <c r="N40" s="294">
        <v>2847.7786378857127</v>
      </c>
      <c r="O40" s="294">
        <v>3272.8539004214763</v>
      </c>
      <c r="P40" s="294">
        <v>3922.5656848284252</v>
      </c>
      <c r="Q40" s="294">
        <v>4349.3713305298079</v>
      </c>
      <c r="R40" s="294">
        <v>4832.5531267386305</v>
      </c>
      <c r="S40" s="294">
        <v>5196.8285577195584</v>
      </c>
      <c r="T40" s="294">
        <v>5810.1229285522313</v>
      </c>
      <c r="U40" s="294">
        <v>6912.3724114225452</v>
      </c>
      <c r="V40" s="294">
        <v>7907.3232891884054</v>
      </c>
      <c r="W40" s="294">
        <v>8697.5934038238865</v>
      </c>
      <c r="X40" s="294">
        <v>8776.2077974240692</v>
      </c>
      <c r="Y40" s="294">
        <v>8564.0810518796916</v>
      </c>
      <c r="Z40" s="294">
        <v>8771.0210143616769</v>
      </c>
      <c r="AA40" s="294">
        <v>9108.2862486569793</v>
      </c>
      <c r="AB40" s="294">
        <v>9522.6212485988417</v>
      </c>
      <c r="AC40" s="294">
        <v>11457.21446304969</v>
      </c>
      <c r="AD40" s="294">
        <v>13138.941463499319</v>
      </c>
      <c r="AE40" s="294">
        <v>14702.304412794252</v>
      </c>
      <c r="AF40" s="294">
        <v>15267.735128800869</v>
      </c>
      <c r="AG40" s="294">
        <v>17023.751043417287</v>
      </c>
      <c r="AH40" s="294">
        <v>17837.181676716322</v>
      </c>
      <c r="AI40" s="294">
        <v>18989.279028316287</v>
      </c>
      <c r="AJ40" s="294">
        <v>19024.016981686953</v>
      </c>
      <c r="AK40" s="294">
        <v>20161.66180154416</v>
      </c>
      <c r="AL40" s="294">
        <v>21978.515147113922</v>
      </c>
      <c r="AM40" s="294">
        <v>21949.139531221703</v>
      </c>
      <c r="AN40" s="294">
        <v>21470.861898225805</v>
      </c>
      <c r="AO40" s="294">
        <v>21521.218003825979</v>
      </c>
      <c r="AP40" s="294">
        <v>22465.156191579659</v>
      </c>
      <c r="AQ40" s="294">
        <v>22761.855486525867</v>
      </c>
      <c r="AR40" s="294">
        <v>22391.667367075817</v>
      </c>
      <c r="AS40" s="294">
        <v>23223.288512559979</v>
      </c>
      <c r="AT40" s="294">
        <v>25908.25160341517</v>
      </c>
      <c r="AU40" s="294">
        <v>28604.195796613301</v>
      </c>
      <c r="AV40" s="294">
        <v>29972.204355872247</v>
      </c>
      <c r="AW40" s="294">
        <v>31387.34479152385</v>
      </c>
      <c r="AX40" s="294">
        <v>34111.068309382143</v>
      </c>
      <c r="AY40" s="294">
        <v>35855.208466793745</v>
      </c>
      <c r="AZ40" s="294">
        <v>33282.818610572336</v>
      </c>
      <c r="BA40" s="294">
        <v>34622.090654830587</v>
      </c>
      <c r="BB40" s="294">
        <v>36994.39287020325</v>
      </c>
      <c r="BC40" s="298">
        <f t="shared" si="0"/>
        <v>36994.39287020325</v>
      </c>
    </row>
    <row r="41" spans="2:55">
      <c r="B41" s="72" t="s">
        <v>481</v>
      </c>
      <c r="C41" s="72" t="s">
        <v>482</v>
      </c>
      <c r="D41" s="294"/>
      <c r="E41" s="294"/>
      <c r="F41" s="294"/>
      <c r="G41" s="294"/>
      <c r="H41" s="294"/>
      <c r="I41" s="294"/>
      <c r="J41" s="294"/>
      <c r="K41" s="294"/>
      <c r="L41" s="294"/>
      <c r="M41" s="294"/>
      <c r="N41" s="294"/>
      <c r="O41" s="294"/>
      <c r="P41" s="294"/>
      <c r="Q41" s="294"/>
      <c r="R41" s="294"/>
      <c r="S41" s="294">
        <v>755.0138896693237</v>
      </c>
      <c r="T41" s="294">
        <v>756.14867998974796</v>
      </c>
      <c r="U41" s="294">
        <v>751.60744323340305</v>
      </c>
      <c r="V41" s="294">
        <v>915.9796275182573</v>
      </c>
      <c r="W41" s="294">
        <v>1142.4524158918209</v>
      </c>
      <c r="X41" s="294">
        <v>1056.7261922829032</v>
      </c>
      <c r="Y41" s="294">
        <v>970.51769690480728</v>
      </c>
      <c r="Z41" s="294">
        <v>958.12025936118152</v>
      </c>
      <c r="AA41" s="294">
        <v>910.56888072429615</v>
      </c>
      <c r="AB41" s="294">
        <v>819.95520308704556</v>
      </c>
      <c r="AC41" s="294">
        <v>903.52822977268806</v>
      </c>
      <c r="AD41" s="294">
        <v>1029.9774678274448</v>
      </c>
      <c r="AE41" s="294">
        <v>1171.3261954213349</v>
      </c>
      <c r="AF41" s="294">
        <v>1220.2003368201008</v>
      </c>
      <c r="AG41" s="294">
        <v>1500.478923103205</v>
      </c>
      <c r="AH41" s="294">
        <v>1497.7776647830674</v>
      </c>
      <c r="AI41" s="294">
        <v>1578.6804021334335</v>
      </c>
      <c r="AJ41" s="294">
        <v>1481.800755857121</v>
      </c>
      <c r="AK41" s="294">
        <v>1500.7491708775153</v>
      </c>
      <c r="AL41" s="294">
        <v>1655.0079215549479</v>
      </c>
      <c r="AM41" s="294">
        <v>1709.6735687492021</v>
      </c>
      <c r="AN41" s="294">
        <v>1703.1624919394812</v>
      </c>
      <c r="AO41" s="294">
        <v>1592.2939815101099</v>
      </c>
      <c r="AP41" s="294">
        <v>1663.507399347021</v>
      </c>
      <c r="AQ41" s="294">
        <v>1713.5932727067884</v>
      </c>
      <c r="AR41" s="294">
        <v>1695.3566818440602</v>
      </c>
      <c r="AS41" s="294">
        <v>1716.2976130321867</v>
      </c>
      <c r="AT41" s="294">
        <v>2173.0398097134439</v>
      </c>
      <c r="AU41" s="294">
        <v>2681.0745885541728</v>
      </c>
      <c r="AV41" s="294">
        <v>2993.662990818752</v>
      </c>
      <c r="AW41" s="294">
        <v>3263.7009858031647</v>
      </c>
      <c r="AX41" s="294">
        <v>3790.9441589817238</v>
      </c>
      <c r="AY41" s="294">
        <v>4465.3369235636801</v>
      </c>
      <c r="AZ41" s="294">
        <v>3726.9731065680476</v>
      </c>
      <c r="BA41" s="294">
        <v>4340.8773038033087</v>
      </c>
      <c r="BB41" s="294">
        <v>5090.0717595649958</v>
      </c>
      <c r="BC41" s="298">
        <f t="shared" si="0"/>
        <v>5090.0717595649958</v>
      </c>
    </row>
    <row r="42" spans="2:55">
      <c r="B42" s="72" t="s">
        <v>483</v>
      </c>
      <c r="C42" s="72" t="s">
        <v>484</v>
      </c>
      <c r="D42" s="294"/>
      <c r="E42" s="294"/>
      <c r="F42" s="294"/>
      <c r="G42" s="294"/>
      <c r="H42" s="294"/>
      <c r="I42" s="294"/>
      <c r="J42" s="294"/>
      <c r="K42" s="294"/>
      <c r="L42" s="294"/>
      <c r="M42" s="294"/>
      <c r="N42" s="294"/>
      <c r="O42" s="294"/>
      <c r="P42" s="294"/>
      <c r="Q42" s="294"/>
      <c r="R42" s="294">
        <v>873.57256710711886</v>
      </c>
      <c r="S42" s="294">
        <v>858.24369896743315</v>
      </c>
      <c r="T42" s="294">
        <v>877.30420271578146</v>
      </c>
      <c r="U42" s="294">
        <v>996.60462956070444</v>
      </c>
      <c r="V42" s="294">
        <v>1195.3057697181514</v>
      </c>
      <c r="W42" s="294">
        <v>1329.2189201720889</v>
      </c>
      <c r="X42" s="294">
        <v>1338.6155231452021</v>
      </c>
      <c r="Y42" s="294">
        <v>1277.8375492703346</v>
      </c>
      <c r="Z42" s="294">
        <v>1197.6824997475824</v>
      </c>
      <c r="AA42" s="294">
        <v>1284.1223753403754</v>
      </c>
      <c r="AB42" s="294">
        <v>1194.7278383216508</v>
      </c>
      <c r="AC42" s="294">
        <v>1277.4545846045244</v>
      </c>
      <c r="AD42" s="294">
        <v>1238.8378699383711</v>
      </c>
      <c r="AE42" s="294">
        <v>1280.3106823363578</v>
      </c>
      <c r="AF42" s="294">
        <v>1322.3947167647748</v>
      </c>
      <c r="AG42" s="294">
        <v>1406.2979957745774</v>
      </c>
      <c r="AH42" s="294">
        <v>1480.19589002974</v>
      </c>
      <c r="AI42" s="294">
        <v>1596.8829483314596</v>
      </c>
      <c r="AJ42" s="294">
        <v>1654.4772239908366</v>
      </c>
      <c r="AK42" s="294">
        <v>1869.9650054360193</v>
      </c>
      <c r="AL42" s="294">
        <v>1988.9355118427941</v>
      </c>
      <c r="AM42" s="294">
        <v>2103.8774346423697</v>
      </c>
      <c r="AN42" s="294">
        <v>2070.8599335890958</v>
      </c>
      <c r="AO42" s="294">
        <v>1756.129316867756</v>
      </c>
      <c r="AP42" s="294">
        <v>1889.6099102998387</v>
      </c>
      <c r="AQ42" s="294">
        <v>1727.3166688056667</v>
      </c>
      <c r="AR42" s="294">
        <v>1664.0693356361255</v>
      </c>
      <c r="AS42" s="294">
        <v>1732.9137261352666</v>
      </c>
      <c r="AT42" s="294">
        <v>2020.1687975064085</v>
      </c>
      <c r="AU42" s="294">
        <v>2306.1375966810288</v>
      </c>
      <c r="AV42" s="294">
        <v>2491.1480415705523</v>
      </c>
      <c r="AW42" s="294">
        <v>2588.646073583935</v>
      </c>
      <c r="AX42" s="294">
        <v>2823.8759429024726</v>
      </c>
      <c r="AY42" s="294">
        <v>3010.0210710264978</v>
      </c>
      <c r="AZ42" s="294">
        <v>2579.9368222924195</v>
      </c>
      <c r="BA42" s="294">
        <v>2840.1734526924961</v>
      </c>
      <c r="BB42" s="294">
        <v>3259.7875359857308</v>
      </c>
      <c r="BC42" s="298">
        <f t="shared" si="0"/>
        <v>3259.7875359857308</v>
      </c>
    </row>
    <row r="43" spans="2:55">
      <c r="B43" s="72" t="s">
        <v>485</v>
      </c>
      <c r="C43" s="72" t="s">
        <v>486</v>
      </c>
      <c r="D43" s="294">
        <v>264.1629267041962</v>
      </c>
      <c r="E43" s="294">
        <v>274.38432584268139</v>
      </c>
      <c r="F43" s="294">
        <v>283.12701039827346</v>
      </c>
      <c r="G43" s="294">
        <v>305.14560023162767</v>
      </c>
      <c r="H43" s="294">
        <v>326.3740062777577</v>
      </c>
      <c r="I43" s="294">
        <v>346.24958334019959</v>
      </c>
      <c r="J43" s="294">
        <v>365.10440408528126</v>
      </c>
      <c r="K43" s="294">
        <v>360.1409963020165</v>
      </c>
      <c r="L43" s="294">
        <v>386.17153157692826</v>
      </c>
      <c r="M43" s="294">
        <v>417.19491899035654</v>
      </c>
      <c r="N43" s="294">
        <v>451.33256050057878</v>
      </c>
      <c r="O43" s="294">
        <v>512.79501563375197</v>
      </c>
      <c r="P43" s="294">
        <v>596.89758538264653</v>
      </c>
      <c r="Q43" s="294">
        <v>807.62764434623421</v>
      </c>
      <c r="R43" s="294">
        <v>948.43219059572152</v>
      </c>
      <c r="S43" s="294">
        <v>1016.9916929684962</v>
      </c>
      <c r="T43" s="294">
        <v>1100.8926752533328</v>
      </c>
      <c r="U43" s="294">
        <v>1113.2286526628125</v>
      </c>
      <c r="V43" s="294">
        <v>1294.6714127936611</v>
      </c>
      <c r="W43" s="294">
        <v>1572.5805796263935</v>
      </c>
      <c r="X43" s="294">
        <v>1585.1648601069619</v>
      </c>
      <c r="Y43" s="294">
        <v>1610.698537407819</v>
      </c>
      <c r="Z43" s="294">
        <v>1601.6920525093301</v>
      </c>
      <c r="AA43" s="294">
        <v>1516.0464162395235</v>
      </c>
      <c r="AB43" s="294">
        <v>1427.6309017220431</v>
      </c>
      <c r="AC43" s="294">
        <v>1391.4306755422542</v>
      </c>
      <c r="AD43" s="294">
        <v>1505.6366488669948</v>
      </c>
      <c r="AE43" s="294">
        <v>1629.75334553282</v>
      </c>
      <c r="AF43" s="294">
        <v>1662.0646811330373</v>
      </c>
      <c r="AG43" s="294">
        <v>1885.6474125777877</v>
      </c>
      <c r="AH43" s="294">
        <v>1871.7887037376431</v>
      </c>
      <c r="AI43" s="294">
        <v>1906.5296389430273</v>
      </c>
      <c r="AJ43" s="294">
        <v>1871.2861741972958</v>
      </c>
      <c r="AK43" s="294">
        <v>1939.0802692124196</v>
      </c>
      <c r="AL43" s="294">
        <v>2118.5019125031063</v>
      </c>
      <c r="AM43" s="294">
        <v>2230.8027460879603</v>
      </c>
      <c r="AN43" s="294">
        <v>2329.9974421351735</v>
      </c>
      <c r="AO43" s="294">
        <v>2319.8806954823549</v>
      </c>
      <c r="AP43" s="294">
        <v>2434.7857855268408</v>
      </c>
      <c r="AQ43" s="294">
        <v>2547.8300908004221</v>
      </c>
      <c r="AR43" s="294">
        <v>2549.601990199511</v>
      </c>
      <c r="AS43" s="294">
        <v>2619.4532205964765</v>
      </c>
      <c r="AT43" s="294">
        <v>3031.424615237825</v>
      </c>
      <c r="AU43" s="294">
        <v>3500.8956771809071</v>
      </c>
      <c r="AV43" s="294">
        <v>3920.9291730869654</v>
      </c>
      <c r="AW43" s="294">
        <v>4298.3476492238015</v>
      </c>
      <c r="AX43" s="294">
        <v>4866.8194106472311</v>
      </c>
      <c r="AY43" s="294">
        <v>5603.4551572755599</v>
      </c>
      <c r="AZ43" s="294">
        <v>4698.0062421858884</v>
      </c>
      <c r="BA43" s="294">
        <v>5250.6777653887948</v>
      </c>
      <c r="BB43" s="294">
        <v>5883.3048735065995</v>
      </c>
      <c r="BC43" s="298">
        <f t="shared" si="0"/>
        <v>5883.3048735065995</v>
      </c>
    </row>
    <row r="44" spans="2:55">
      <c r="B44" s="72" t="s">
        <v>487</v>
      </c>
      <c r="C44" s="72" t="s">
        <v>488</v>
      </c>
      <c r="D44" s="294">
        <v>65.42094441547421</v>
      </c>
      <c r="E44" s="294">
        <v>64.98049918679358</v>
      </c>
      <c r="F44" s="294">
        <v>70.918933728148005</v>
      </c>
      <c r="G44" s="294">
        <v>78.898899099758097</v>
      </c>
      <c r="H44" s="294">
        <v>117.90654357264614</v>
      </c>
      <c r="I44" s="294">
        <v>96.7171102408537</v>
      </c>
      <c r="J44" s="294">
        <v>104.03408457845106</v>
      </c>
      <c r="K44" s="294">
        <v>106.70919547253024</v>
      </c>
      <c r="L44" s="294">
        <v>114.48980471741177</v>
      </c>
      <c r="M44" s="294">
        <v>120.5351586984285</v>
      </c>
      <c r="N44" s="294">
        <v>125.62734098814397</v>
      </c>
      <c r="O44" s="294">
        <v>124.65709545536713</v>
      </c>
      <c r="P44" s="294">
        <v>139.77244423492721</v>
      </c>
      <c r="Q44" s="294">
        <v>164.71156571436953</v>
      </c>
      <c r="R44" s="294">
        <v>171.39789244673889</v>
      </c>
      <c r="S44" s="294">
        <v>163.41515608576674</v>
      </c>
      <c r="T44" s="294">
        <v>184.72673608787414</v>
      </c>
      <c r="U44" s="294">
        <v>205.11488611348997</v>
      </c>
      <c r="V44" s="294">
        <v>224.06333264218608</v>
      </c>
      <c r="W44" s="294">
        <v>264.1000218894219</v>
      </c>
      <c r="X44" s="294">
        <v>272.63362385449483</v>
      </c>
      <c r="Y44" s="294">
        <v>275.34831318142705</v>
      </c>
      <c r="Z44" s="294">
        <v>284.6659586536415</v>
      </c>
      <c r="AA44" s="294">
        <v>277.77916002329573</v>
      </c>
      <c r="AB44" s="294">
        <v>293.5421151661364</v>
      </c>
      <c r="AC44" s="294">
        <v>303.77739445025418</v>
      </c>
      <c r="AD44" s="294">
        <v>329.72442111408554</v>
      </c>
      <c r="AE44" s="294">
        <v>345.85103809220254</v>
      </c>
      <c r="AF44" s="294">
        <v>340.29219561046955</v>
      </c>
      <c r="AG44" s="294">
        <v>358.98215095834502</v>
      </c>
      <c r="AH44" s="294">
        <v>313.26608746330794</v>
      </c>
      <c r="AI44" s="294">
        <v>325.72364669927202</v>
      </c>
      <c r="AJ44" s="294">
        <v>315.88402061606968</v>
      </c>
      <c r="AK44" s="294">
        <v>351.25324685741248</v>
      </c>
      <c r="AL44" s="294">
        <v>382.42884880340625</v>
      </c>
      <c r="AM44" s="294">
        <v>405.73371825765889</v>
      </c>
      <c r="AN44" s="294">
        <v>417.59335205993801</v>
      </c>
      <c r="AO44" s="294">
        <v>415.55083645296486</v>
      </c>
      <c r="AP44" s="294">
        <v>435.85464056542708</v>
      </c>
      <c r="AQ44" s="294">
        <v>445.41044280116142</v>
      </c>
      <c r="AR44" s="294">
        <v>448.01167666935646</v>
      </c>
      <c r="AS44" s="294">
        <v>464.17273733416118</v>
      </c>
      <c r="AT44" s="294">
        <v>533.39567970976736</v>
      </c>
      <c r="AU44" s="294">
        <v>610.0013260134856</v>
      </c>
      <c r="AV44" s="294">
        <v>688.63982781349864</v>
      </c>
      <c r="AW44" s="294">
        <v>769.39576057898796</v>
      </c>
      <c r="AX44" s="294">
        <v>962.24434704758971</v>
      </c>
      <c r="AY44" s="294">
        <v>967.324442306322</v>
      </c>
      <c r="AZ44" s="294">
        <v>1045.3794696130187</v>
      </c>
      <c r="BA44" s="294">
        <v>1253.0195377043954</v>
      </c>
      <c r="BB44" s="294">
        <v>1371.0451948564055</v>
      </c>
      <c r="BC44" s="298">
        <f t="shared" si="0"/>
        <v>1371.0451948564055</v>
      </c>
    </row>
    <row r="45" spans="2:55">
      <c r="B45" s="72" t="s">
        <v>489</v>
      </c>
      <c r="C45" s="72" t="s">
        <v>490</v>
      </c>
      <c r="D45" s="294">
        <v>130.69847669014445</v>
      </c>
      <c r="E45" s="294">
        <v>138.36821311261249</v>
      </c>
      <c r="F45" s="294">
        <v>154.9744927185011</v>
      </c>
      <c r="G45" s="294">
        <v>147.3138878535238</v>
      </c>
      <c r="H45" s="294">
        <v>160.12940815404068</v>
      </c>
      <c r="I45" s="294">
        <v>168.69070153681179</v>
      </c>
      <c r="J45" s="294">
        <v>162.44366573221814</v>
      </c>
      <c r="K45" s="294">
        <v>169.51410479811162</v>
      </c>
      <c r="L45" s="294">
        <v>189.44345894471087</v>
      </c>
      <c r="M45" s="294">
        <v>217.27997891969488</v>
      </c>
      <c r="N45" s="294">
        <v>215.1379688382309</v>
      </c>
      <c r="O45" s="294">
        <v>236.46063184891796</v>
      </c>
      <c r="P45" s="294">
        <v>294.78252271137035</v>
      </c>
      <c r="Q45" s="294">
        <v>374.07510105634259</v>
      </c>
      <c r="R45" s="294">
        <v>400.98306530033898</v>
      </c>
      <c r="S45" s="294">
        <v>424.35577660570817</v>
      </c>
      <c r="T45" s="294">
        <v>453.37657708157951</v>
      </c>
      <c r="U45" s="294">
        <v>492.54233600588492</v>
      </c>
      <c r="V45" s="294">
        <v>572.76733456623663</v>
      </c>
      <c r="W45" s="294">
        <v>700.83061516566693</v>
      </c>
      <c r="X45" s="294">
        <v>681.61300565880526</v>
      </c>
      <c r="Y45" s="294">
        <v>618.58684366375223</v>
      </c>
      <c r="Z45" s="294">
        <v>562.44818963560022</v>
      </c>
      <c r="AA45" s="294">
        <v>521.30930919897764</v>
      </c>
      <c r="AB45" s="294">
        <v>472.14438383029727</v>
      </c>
      <c r="AC45" s="294">
        <v>507.21298353583575</v>
      </c>
      <c r="AD45" s="294">
        <v>582.98950103296875</v>
      </c>
      <c r="AE45" s="294">
        <v>596.94948615640669</v>
      </c>
      <c r="AF45" s="294">
        <v>603.11010165905827</v>
      </c>
      <c r="AG45" s="294">
        <v>585.88520835435099</v>
      </c>
      <c r="AH45" s="294">
        <v>590.30237943210454</v>
      </c>
      <c r="AI45" s="294">
        <v>571.85467757592653</v>
      </c>
      <c r="AJ45" s="294">
        <v>530.1071880299188</v>
      </c>
      <c r="AK45" s="294">
        <v>505.96760036727136</v>
      </c>
      <c r="AL45" s="294">
        <v>558.52223839989938</v>
      </c>
      <c r="AM45" s="294">
        <v>564.97753751671621</v>
      </c>
      <c r="AN45" s="294">
        <v>565.08707962499022</v>
      </c>
      <c r="AO45" s="294">
        <v>515.57334939574901</v>
      </c>
      <c r="AP45" s="294">
        <v>504.68196409078996</v>
      </c>
      <c r="AQ45" s="294">
        <v>505.42839357885674</v>
      </c>
      <c r="AR45" s="294">
        <v>480.64432971433291</v>
      </c>
      <c r="AS45" s="294">
        <v>492.44566690346073</v>
      </c>
      <c r="AT45" s="294">
        <v>621.3139181174073</v>
      </c>
      <c r="AU45" s="294">
        <v>757.28625081650205</v>
      </c>
      <c r="AV45" s="294">
        <v>865.52765128823853</v>
      </c>
      <c r="AW45" s="294">
        <v>982.46089562495388</v>
      </c>
      <c r="AX45" s="294">
        <v>1112.1450295930488</v>
      </c>
      <c r="AY45" s="294">
        <v>1230.1424210868579</v>
      </c>
      <c r="AZ45" s="294">
        <v>1123.8342066487141</v>
      </c>
      <c r="BA45" s="294">
        <v>1336.1427993528794</v>
      </c>
      <c r="BB45" s="294">
        <v>1465.6037874485396</v>
      </c>
      <c r="BC45" s="298">
        <f t="shared" si="0"/>
        <v>1465.6037874485396</v>
      </c>
    </row>
    <row r="46" spans="2:55">
      <c r="B46" s="72" t="s">
        <v>491</v>
      </c>
      <c r="C46" s="72" t="s">
        <v>492</v>
      </c>
      <c r="D46" s="294">
        <v>130.8478162263435</v>
      </c>
      <c r="E46" s="294">
        <v>138.52436764652407</v>
      </c>
      <c r="F46" s="294">
        <v>155.1456167076754</v>
      </c>
      <c r="G46" s="294">
        <v>147.46530581831658</v>
      </c>
      <c r="H46" s="294">
        <v>160.07087711636396</v>
      </c>
      <c r="I46" s="294">
        <v>168.63204425827743</v>
      </c>
      <c r="J46" s="294">
        <v>162.37013561103004</v>
      </c>
      <c r="K46" s="294">
        <v>169.47667765166901</v>
      </c>
      <c r="L46" s="294">
        <v>189.43895297329243</v>
      </c>
      <c r="M46" s="294">
        <v>217.31743528244746</v>
      </c>
      <c r="N46" s="294">
        <v>215.17452924768446</v>
      </c>
      <c r="O46" s="294">
        <v>236.51597474336617</v>
      </c>
      <c r="P46" s="294">
        <v>294.84216597580479</v>
      </c>
      <c r="Q46" s="294">
        <v>374.16830010534312</v>
      </c>
      <c r="R46" s="294">
        <v>401.05933315031899</v>
      </c>
      <c r="S46" s="294">
        <v>424.44841282495412</v>
      </c>
      <c r="T46" s="294">
        <v>453.48819903409969</v>
      </c>
      <c r="U46" s="294">
        <v>492.64841076486852</v>
      </c>
      <c r="V46" s="294">
        <v>572.88088696775617</v>
      </c>
      <c r="W46" s="294">
        <v>700.9683126326596</v>
      </c>
      <c r="X46" s="294">
        <v>681.75681731925738</v>
      </c>
      <c r="Y46" s="294">
        <v>618.73453139189462</v>
      </c>
      <c r="Z46" s="294">
        <v>562.60159605863373</v>
      </c>
      <c r="AA46" s="294">
        <v>521.46795766182515</v>
      </c>
      <c r="AB46" s="294">
        <v>472.29921553323834</v>
      </c>
      <c r="AC46" s="294">
        <v>507.36208794431303</v>
      </c>
      <c r="AD46" s="294">
        <v>583.15884289043538</v>
      </c>
      <c r="AE46" s="294">
        <v>597.12196579700401</v>
      </c>
      <c r="AF46" s="294">
        <v>603.32574299268072</v>
      </c>
      <c r="AG46" s="294">
        <v>586.05669605997605</v>
      </c>
      <c r="AH46" s="294">
        <v>590.48965443572558</v>
      </c>
      <c r="AI46" s="294">
        <v>571.99398609383229</v>
      </c>
      <c r="AJ46" s="294">
        <v>530.22960918241495</v>
      </c>
      <c r="AK46" s="294">
        <v>506.12837690742083</v>
      </c>
      <c r="AL46" s="294">
        <v>558.66586305324677</v>
      </c>
      <c r="AM46" s="294">
        <v>564.97734250754468</v>
      </c>
      <c r="AN46" s="294">
        <v>564.7123464991837</v>
      </c>
      <c r="AO46" s="294">
        <v>515.25022216476941</v>
      </c>
      <c r="AP46" s="294">
        <v>503.72756047805581</v>
      </c>
      <c r="AQ46" s="294">
        <v>503.95226319998733</v>
      </c>
      <c r="AR46" s="294">
        <v>478.47332674460597</v>
      </c>
      <c r="AS46" s="294">
        <v>489.76079340896882</v>
      </c>
      <c r="AT46" s="294">
        <v>617.68382777114061</v>
      </c>
      <c r="AU46" s="294">
        <v>750.74808432524242</v>
      </c>
      <c r="AV46" s="294">
        <v>855.29363687968475</v>
      </c>
      <c r="AW46" s="294">
        <v>970.79212455212075</v>
      </c>
      <c r="AX46" s="294">
        <v>1097.122703442381</v>
      </c>
      <c r="AY46" s="294">
        <v>1208.376331414697</v>
      </c>
      <c r="AZ46" s="294">
        <v>1109.9252924685507</v>
      </c>
      <c r="BA46" s="294">
        <v>1320.0658357372854</v>
      </c>
      <c r="BB46" s="294">
        <v>1444.0388532050515</v>
      </c>
      <c r="BC46" s="298">
        <f t="shared" si="0"/>
        <v>1444.0388532050515</v>
      </c>
    </row>
    <row r="47" spans="2:55">
      <c r="B47" s="72" t="s">
        <v>493</v>
      </c>
      <c r="C47" s="72" t="s">
        <v>494</v>
      </c>
      <c r="D47" s="294">
        <v>186.03217752685111</v>
      </c>
      <c r="E47" s="294">
        <v>192.45668378732037</v>
      </c>
      <c r="F47" s="294">
        <v>196.29795625698003</v>
      </c>
      <c r="G47" s="294">
        <v>215.82436818521029</v>
      </c>
      <c r="H47" s="294">
        <v>233.56518440212724</v>
      </c>
      <c r="I47" s="294">
        <v>250.61467280050815</v>
      </c>
      <c r="J47" s="294">
        <v>247.85481233545318</v>
      </c>
      <c r="K47" s="294">
        <v>254.70417808506696</v>
      </c>
      <c r="L47" s="294">
        <v>278.67957319170074</v>
      </c>
      <c r="M47" s="294">
        <v>298.02922397597644</v>
      </c>
      <c r="N47" s="294">
        <v>319.58385169010199</v>
      </c>
      <c r="O47" s="294">
        <v>356.2932209396094</v>
      </c>
      <c r="P47" s="294">
        <v>455.37379554723344</v>
      </c>
      <c r="Q47" s="294">
        <v>561.01505413149653</v>
      </c>
      <c r="R47" s="294">
        <v>597.03322521886673</v>
      </c>
      <c r="S47" s="294">
        <v>635.50475758070752</v>
      </c>
      <c r="T47" s="294">
        <v>699.768461631425</v>
      </c>
      <c r="U47" s="294">
        <v>737.50438668068432</v>
      </c>
      <c r="V47" s="294">
        <v>878.25687841356898</v>
      </c>
      <c r="W47" s="294">
        <v>987.51468119507786</v>
      </c>
      <c r="X47" s="294">
        <v>1073.6875994212689</v>
      </c>
      <c r="Y47" s="294">
        <v>1031.0910799308822</v>
      </c>
      <c r="Z47" s="294">
        <v>990.74390466281795</v>
      </c>
      <c r="AA47" s="294">
        <v>997.77842004566025</v>
      </c>
      <c r="AB47" s="294">
        <v>1035.5808001187227</v>
      </c>
      <c r="AC47" s="294">
        <v>1066.8424767017707</v>
      </c>
      <c r="AD47" s="294">
        <v>1048.6998201779743</v>
      </c>
      <c r="AE47" s="294">
        <v>1132.2695205044856</v>
      </c>
      <c r="AF47" s="294">
        <v>1212.8926082327921</v>
      </c>
      <c r="AG47" s="294">
        <v>1315.9078864550256</v>
      </c>
      <c r="AH47" s="294">
        <v>1335.7052890426046</v>
      </c>
      <c r="AI47" s="294">
        <v>1379.2754336098312</v>
      </c>
      <c r="AJ47" s="294">
        <v>1432.7483854180341</v>
      </c>
      <c r="AK47" s="294">
        <v>1572.0032175512636</v>
      </c>
      <c r="AL47" s="294">
        <v>1730.9613303418409</v>
      </c>
      <c r="AM47" s="294">
        <v>1860.4802553225968</v>
      </c>
      <c r="AN47" s="294">
        <v>1959.7261853521036</v>
      </c>
      <c r="AO47" s="294">
        <v>1907.0518946531886</v>
      </c>
      <c r="AP47" s="294">
        <v>1778.2667717542299</v>
      </c>
      <c r="AQ47" s="294">
        <v>1942.7259604868179</v>
      </c>
      <c r="AR47" s="294">
        <v>1944.6499457867371</v>
      </c>
      <c r="AS47" s="294">
        <v>1938.2948717569795</v>
      </c>
      <c r="AT47" s="294">
        <v>2198.4974121856112</v>
      </c>
      <c r="AU47" s="294">
        <v>2621.1771927065392</v>
      </c>
      <c r="AV47" s="294">
        <v>3124.9126066430781</v>
      </c>
      <c r="AW47" s="294">
        <v>3692.9264857231401</v>
      </c>
      <c r="AX47" s="294">
        <v>4545.8002841772259</v>
      </c>
      <c r="AY47" s="294">
        <v>5496.3651967695732</v>
      </c>
      <c r="AZ47" s="294">
        <v>5223.1892375794278</v>
      </c>
      <c r="BA47" s="294">
        <v>6259.0301878300825</v>
      </c>
      <c r="BB47" s="294">
        <v>7325.9727621767361</v>
      </c>
      <c r="BC47" s="298">
        <f t="shared" si="0"/>
        <v>7325.9727621767361</v>
      </c>
    </row>
    <row r="48" spans="2:55">
      <c r="B48" s="72" t="s">
        <v>495</v>
      </c>
      <c r="C48" s="72" t="s">
        <v>496</v>
      </c>
      <c r="D48" s="294">
        <v>453.28312804944522</v>
      </c>
      <c r="E48" s="294">
        <v>477.39686416144946</v>
      </c>
      <c r="F48" s="294">
        <v>503.03759652350237</v>
      </c>
      <c r="G48" s="294">
        <v>539.77248094499714</v>
      </c>
      <c r="H48" s="294">
        <v>583.80304773011119</v>
      </c>
      <c r="I48" s="294">
        <v>620.15963071582826</v>
      </c>
      <c r="J48" s="294">
        <v>646.45501687831279</v>
      </c>
      <c r="K48" s="294">
        <v>683.0010209182517</v>
      </c>
      <c r="L48" s="294">
        <v>736.10476078583133</v>
      </c>
      <c r="M48" s="294">
        <v>784.62183223339309</v>
      </c>
      <c r="N48" s="294">
        <v>849.17171841068364</v>
      </c>
      <c r="O48" s="294">
        <v>961.53940274696072</v>
      </c>
      <c r="P48" s="294">
        <v>1151.8278665632677</v>
      </c>
      <c r="Q48" s="294">
        <v>1303.8693476354285</v>
      </c>
      <c r="R48" s="294">
        <v>1427.6381393913871</v>
      </c>
      <c r="S48" s="294">
        <v>1526.9921139162279</v>
      </c>
      <c r="T48" s="294">
        <v>1698.5101124794512</v>
      </c>
      <c r="U48" s="294">
        <v>1965.0659876948355</v>
      </c>
      <c r="V48" s="294">
        <v>2241.7052086055046</v>
      </c>
      <c r="W48" s="294">
        <v>2478.7978188523889</v>
      </c>
      <c r="X48" s="294">
        <v>2499.3005162640329</v>
      </c>
      <c r="Y48" s="294">
        <v>2431.1802943115722</v>
      </c>
      <c r="Z48" s="294">
        <v>2440.6315107733976</v>
      </c>
      <c r="AA48" s="294">
        <v>2489.9799149254663</v>
      </c>
      <c r="AB48" s="294">
        <v>2569.9846755762842</v>
      </c>
      <c r="AC48" s="294">
        <v>2987.9235106368624</v>
      </c>
      <c r="AD48" s="294">
        <v>3334.2846249322715</v>
      </c>
      <c r="AE48" s="294">
        <v>3664.6591049143558</v>
      </c>
      <c r="AF48" s="294">
        <v>3779.9636052871815</v>
      </c>
      <c r="AG48" s="294">
        <v>4151.1135166490039</v>
      </c>
      <c r="AH48" s="294">
        <v>4284.7094302107571</v>
      </c>
      <c r="AI48" s="294">
        <v>4511.706660853557</v>
      </c>
      <c r="AJ48" s="294">
        <v>4505.3485346739399</v>
      </c>
      <c r="AK48" s="294">
        <v>4779.9503631089856</v>
      </c>
      <c r="AL48" s="294">
        <v>5212.354560842411</v>
      </c>
      <c r="AM48" s="294">
        <v>5243.9096057918641</v>
      </c>
      <c r="AN48" s="294">
        <v>5158.18381543755</v>
      </c>
      <c r="AO48" s="294">
        <v>5068.5561497600247</v>
      </c>
      <c r="AP48" s="294">
        <v>5187.264823067364</v>
      </c>
      <c r="AQ48" s="294">
        <v>5284.986417972088</v>
      </c>
      <c r="AR48" s="294">
        <v>5188.0873557401283</v>
      </c>
      <c r="AS48" s="294">
        <v>5323.7540204187471</v>
      </c>
      <c r="AT48" s="294">
        <v>5918.3159635018965</v>
      </c>
      <c r="AU48" s="294">
        <v>6579.5660840750852</v>
      </c>
      <c r="AV48" s="294">
        <v>7029.1227495912553</v>
      </c>
      <c r="AW48" s="294">
        <v>7524.2020355553113</v>
      </c>
      <c r="AX48" s="294">
        <v>8384.8828384580756</v>
      </c>
      <c r="AY48" s="294">
        <v>9089.6935161259589</v>
      </c>
      <c r="AZ48" s="294">
        <v>8499.7992448545119</v>
      </c>
      <c r="BA48" s="294">
        <v>9166.1880733596699</v>
      </c>
      <c r="BB48" s="294">
        <v>10035.065490077848</v>
      </c>
      <c r="BC48" s="298">
        <f t="shared" si="0"/>
        <v>10035.065490077848</v>
      </c>
    </row>
    <row r="49" spans="2:55">
      <c r="B49" s="72" t="s">
        <v>497</v>
      </c>
      <c r="C49" s="72" t="s">
        <v>498</v>
      </c>
      <c r="D49" s="294">
        <v>55.668651391549488</v>
      </c>
      <c r="E49" s="294">
        <v>54.359644532126993</v>
      </c>
      <c r="F49" s="294">
        <v>73.198771880664438</v>
      </c>
      <c r="G49" s="294">
        <v>76.373026605698513</v>
      </c>
      <c r="H49" s="294">
        <v>94.098732277123844</v>
      </c>
      <c r="I49" s="294">
        <v>128.11450635710295</v>
      </c>
      <c r="J49" s="294">
        <v>149.89116635864332</v>
      </c>
      <c r="K49" s="294">
        <v>120.35147837473862</v>
      </c>
      <c r="L49" s="294">
        <v>120.65514512063659</v>
      </c>
      <c r="M49" s="294">
        <v>146.16801805769862</v>
      </c>
      <c r="N49" s="294">
        <v>149.19692847707265</v>
      </c>
      <c r="O49" s="294">
        <v>126.69485506637223</v>
      </c>
      <c r="P49" s="294">
        <v>134.20567529498214</v>
      </c>
      <c r="Q49" s="294">
        <v>163.00417687291298</v>
      </c>
      <c r="R49" s="294">
        <v>175.23667432837621</v>
      </c>
      <c r="S49" s="294">
        <v>184.55222536683164</v>
      </c>
      <c r="T49" s="294">
        <v>208.01393759079625</v>
      </c>
      <c r="U49" s="294">
        <v>226.69396254232737</v>
      </c>
      <c r="V49" s="294">
        <v>247.76041175289802</v>
      </c>
      <c r="W49" s="294">
        <v>237.97152404849101</v>
      </c>
      <c r="X49" s="294">
        <v>222.17506942190275</v>
      </c>
      <c r="Y49" s="294"/>
      <c r="Z49" s="294"/>
      <c r="AA49" s="294"/>
      <c r="AB49" s="294"/>
      <c r="AC49" s="294"/>
      <c r="AD49" s="294"/>
      <c r="AE49" s="294"/>
      <c r="AF49" s="294"/>
      <c r="AG49" s="294"/>
      <c r="AH49" s="294"/>
      <c r="AI49" s="294"/>
      <c r="AJ49" s="294"/>
      <c r="AK49" s="294"/>
      <c r="AL49" s="294"/>
      <c r="AM49" s="294"/>
      <c r="AN49" s="294"/>
      <c r="AO49" s="294"/>
      <c r="AP49" s="294"/>
      <c r="AQ49" s="294"/>
      <c r="AR49" s="294">
        <v>92.206115523800932</v>
      </c>
      <c r="AS49" s="294">
        <v>149.05221909602855</v>
      </c>
      <c r="AT49" s="294">
        <v>162.4135950596482</v>
      </c>
      <c r="AU49" s="294">
        <v>181.76155431093824</v>
      </c>
      <c r="AV49" s="294">
        <v>209.63508863066733</v>
      </c>
      <c r="AW49" s="294">
        <v>229.48533769872896</v>
      </c>
      <c r="AX49" s="294">
        <v>275.76886890099468</v>
      </c>
      <c r="AY49" s="294">
        <v>326.51024231360037</v>
      </c>
      <c r="AZ49" s="294">
        <v>366.18175482808817</v>
      </c>
      <c r="BA49" s="294">
        <v>456.96156781723772</v>
      </c>
      <c r="BB49" s="294">
        <v>542.93687522482469</v>
      </c>
      <c r="BC49" s="298">
        <f t="shared" si="0"/>
        <v>542.93687522482469</v>
      </c>
    </row>
    <row r="50" spans="2:55">
      <c r="B50" s="72" t="s">
        <v>499</v>
      </c>
      <c r="C50" s="72" t="s">
        <v>330</v>
      </c>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v>665.59660805427302</v>
      </c>
      <c r="AB50" s="294">
        <v>664.56726392072005</v>
      </c>
      <c r="AC50" s="294">
        <v>716.60678850383056</v>
      </c>
      <c r="AD50" s="294">
        <v>692.11125385067885</v>
      </c>
      <c r="AE50" s="294">
        <v>665.44511893188235</v>
      </c>
      <c r="AF50" s="294">
        <v>717.20703875689946</v>
      </c>
      <c r="AG50" s="294">
        <v>638.89217849735053</v>
      </c>
      <c r="AH50" s="294">
        <v>346.07297427814484</v>
      </c>
      <c r="AI50" s="294">
        <v>217.15833007337417</v>
      </c>
      <c r="AJ50" s="294">
        <v>380.80891085132527</v>
      </c>
      <c r="AK50" s="294">
        <v>624.53506806999803</v>
      </c>
      <c r="AL50" s="294">
        <v>771.86253514889631</v>
      </c>
      <c r="AM50" s="294">
        <v>968.07195167689758</v>
      </c>
      <c r="AN50" s="294">
        <v>710.31478805295183</v>
      </c>
      <c r="AO50" s="294">
        <v>885.9086308747917</v>
      </c>
      <c r="AP50" s="294">
        <v>1117.7057671645109</v>
      </c>
      <c r="AQ50" s="294">
        <v>1200.1374371175125</v>
      </c>
      <c r="AR50" s="294">
        <v>1329.3850314672295</v>
      </c>
      <c r="AS50" s="294">
        <v>1440.0301431255953</v>
      </c>
      <c r="AT50" s="294">
        <v>1819.3978376418045</v>
      </c>
      <c r="AU50" s="294">
        <v>2388.7292746863282</v>
      </c>
      <c r="AV50" s="294">
        <v>2666.1416196075138</v>
      </c>
      <c r="AW50" s="294">
        <v>2893.1578534896003</v>
      </c>
      <c r="AX50" s="294">
        <v>3377.221517193067</v>
      </c>
      <c r="AY50" s="294">
        <v>4076.4021355335103</v>
      </c>
      <c r="AZ50" s="294">
        <v>3795.688860576015</v>
      </c>
      <c r="BA50" s="294">
        <v>3700.7384106438058</v>
      </c>
      <c r="BB50" s="294">
        <v>4029.7301800882033</v>
      </c>
      <c r="BC50" s="298">
        <f t="shared" si="0"/>
        <v>4029.7301800882033</v>
      </c>
    </row>
    <row r="51" spans="2:55">
      <c r="B51" s="72" t="s">
        <v>500</v>
      </c>
      <c r="C51" s="72" t="s">
        <v>501</v>
      </c>
      <c r="D51" s="294">
        <v>221.20885235156038</v>
      </c>
      <c r="E51" s="294">
        <v>178.54491643584541</v>
      </c>
      <c r="F51" s="294">
        <v>236.67285651140895</v>
      </c>
      <c r="G51" s="294">
        <v>249.62366614936838</v>
      </c>
      <c r="H51" s="294">
        <v>263.04485943626293</v>
      </c>
      <c r="I51" s="294">
        <v>248.56057290705871</v>
      </c>
      <c r="J51" s="294">
        <v>268.11182141265584</v>
      </c>
      <c r="K51" s="294">
        <v>297.56737247732281</v>
      </c>
      <c r="L51" s="294">
        <v>319.16032158257866</v>
      </c>
      <c r="M51" s="294">
        <v>353.8063511609588</v>
      </c>
      <c r="N51" s="294">
        <v>358.41183917714676</v>
      </c>
      <c r="O51" s="294">
        <v>463.11515690560094</v>
      </c>
      <c r="P51" s="294">
        <v>578.98560490132161</v>
      </c>
      <c r="Q51" s="294">
        <v>850.91453200195053</v>
      </c>
      <c r="R51" s="294">
        <v>971.26639255345071</v>
      </c>
      <c r="S51" s="294">
        <v>1072.2798063791556</v>
      </c>
      <c r="T51" s="294">
        <v>1228.7110719614068</v>
      </c>
      <c r="U51" s="294">
        <v>1495.8783925641821</v>
      </c>
      <c r="V51" s="294">
        <v>1826.0130055089733</v>
      </c>
      <c r="W51" s="294">
        <v>2251.0673714946847</v>
      </c>
      <c r="X51" s="294">
        <v>2281.0259155498834</v>
      </c>
      <c r="Y51" s="294">
        <v>2249.5960651712958</v>
      </c>
      <c r="Z51" s="294">
        <v>2350.42719631506</v>
      </c>
      <c r="AA51" s="294">
        <v>2505.3937827190593</v>
      </c>
      <c r="AB51" s="294">
        <v>2621.8248897477824</v>
      </c>
      <c r="AC51" s="294">
        <v>2799.4053306780161</v>
      </c>
      <c r="AD51" s="294">
        <v>2852.4202261813994</v>
      </c>
      <c r="AE51" s="294">
        <v>2458.4349019262509</v>
      </c>
      <c r="AF51" s="294">
        <v>2255.1995611294578</v>
      </c>
      <c r="AG51" s="294">
        <v>2452.4547224524076</v>
      </c>
      <c r="AH51" s="294">
        <v>1762.9919347664834</v>
      </c>
      <c r="AI51" s="294">
        <v>1807.4912749867697</v>
      </c>
      <c r="AJ51" s="294">
        <v>1838.3008831955849</v>
      </c>
      <c r="AK51" s="294">
        <v>1533.0057210073476</v>
      </c>
      <c r="AL51" s="294">
        <v>1476.2002615778774</v>
      </c>
      <c r="AM51" s="294">
        <v>1630.6573367700107</v>
      </c>
      <c r="AN51" s="294">
        <v>1647.5053391865142</v>
      </c>
      <c r="AO51" s="294">
        <v>1623.9225263353412</v>
      </c>
      <c r="AP51" s="294">
        <v>1616.0203779150952</v>
      </c>
      <c r="AQ51" s="294">
        <v>1794.4052331655594</v>
      </c>
      <c r="AR51" s="294">
        <v>1781.0538135117422</v>
      </c>
      <c r="AS51" s="294">
        <v>1814.5574295838128</v>
      </c>
      <c r="AT51" s="294">
        <v>2131.345262428667</v>
      </c>
      <c r="AU51" s="294">
        <v>2624.2072714534515</v>
      </c>
      <c r="AV51" s="294">
        <v>3111.70344686813</v>
      </c>
      <c r="AW51" s="294">
        <v>3508.9087785711349</v>
      </c>
      <c r="AX51" s="294">
        <v>4005.2242424424476</v>
      </c>
      <c r="AY51" s="294">
        <v>4966.5717020456932</v>
      </c>
      <c r="AZ51" s="294">
        <v>3951.9109005340479</v>
      </c>
      <c r="BA51" s="294">
        <v>4566.8910315187695</v>
      </c>
      <c r="BB51" s="294">
        <v>5244.0268786502629</v>
      </c>
      <c r="BC51" s="298">
        <f t="shared" si="0"/>
        <v>5244.0268786502629</v>
      </c>
    </row>
    <row r="52" spans="2:55">
      <c r="B52" s="72" t="s">
        <v>502</v>
      </c>
      <c r="C52" s="72" t="s">
        <v>503</v>
      </c>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8">
        <f t="shared" si="0"/>
        <v>0</v>
      </c>
    </row>
    <row r="53" spans="2:55">
      <c r="B53" s="72" t="s">
        <v>504</v>
      </c>
      <c r="C53" s="72" t="s">
        <v>505</v>
      </c>
      <c r="D53" s="294"/>
      <c r="E53" s="294"/>
      <c r="F53" s="294"/>
      <c r="G53" s="294"/>
      <c r="H53" s="294"/>
      <c r="I53" s="294"/>
      <c r="J53" s="294"/>
      <c r="K53" s="294"/>
      <c r="L53" s="294"/>
      <c r="M53" s="294">
        <v>3226.7924118751148</v>
      </c>
      <c r="N53" s="294">
        <v>3484.8245834896952</v>
      </c>
      <c r="O53" s="294">
        <v>4200.9975875446908</v>
      </c>
      <c r="P53" s="294">
        <v>5319.3814264825705</v>
      </c>
      <c r="Q53" s="294">
        <v>6283.9249531351879</v>
      </c>
      <c r="R53" s="294">
        <v>7107.981101688817</v>
      </c>
      <c r="S53" s="294">
        <v>7068.1728425541487</v>
      </c>
      <c r="T53" s="294">
        <v>7632.3828584162702</v>
      </c>
      <c r="U53" s="294">
        <v>8945.759305179783</v>
      </c>
      <c r="V53" s="294">
        <v>11510.873122847559</v>
      </c>
      <c r="W53" s="294">
        <v>11958.248362636521</v>
      </c>
      <c r="X53" s="294">
        <v>9916.4588257149499</v>
      </c>
      <c r="Y53" s="294">
        <v>9082.2600366789393</v>
      </c>
      <c r="Z53" s="294">
        <v>7513.2906087452966</v>
      </c>
      <c r="AA53" s="294">
        <v>7222.28841051359</v>
      </c>
      <c r="AB53" s="294">
        <v>7313.0911069174308</v>
      </c>
      <c r="AC53" s="294">
        <v>9906.8142331585786</v>
      </c>
      <c r="AD53" s="294">
        <v>12348.50110009534</v>
      </c>
      <c r="AE53" s="294">
        <v>14360.737866776526</v>
      </c>
      <c r="AF53" s="294">
        <v>15524.470599013863</v>
      </c>
      <c r="AG53" s="294">
        <v>19498.407128780738</v>
      </c>
      <c r="AH53" s="294">
        <v>20126.75363641842</v>
      </c>
      <c r="AI53" s="294">
        <v>20946.086940436126</v>
      </c>
      <c r="AJ53" s="294">
        <v>16599.487332080927</v>
      </c>
      <c r="AK53" s="294">
        <v>16123.094533332742</v>
      </c>
      <c r="AL53" s="294">
        <v>18218.910057779271</v>
      </c>
      <c r="AM53" s="294">
        <v>18765.595070927062</v>
      </c>
      <c r="AN53" s="294">
        <v>18190.371111820954</v>
      </c>
      <c r="AO53" s="294">
        <v>18864.270982809088</v>
      </c>
      <c r="AP53" s="294">
        <v>19377.045645595823</v>
      </c>
      <c r="AQ53" s="294">
        <v>17539.442004865796</v>
      </c>
      <c r="AR53" s="294">
        <v>19050.463118553213</v>
      </c>
      <c r="AS53" s="294">
        <v>21091.186598117445</v>
      </c>
      <c r="AT53" s="294">
        <v>26563.279576681372</v>
      </c>
      <c r="AU53" s="294">
        <v>30842.101448533031</v>
      </c>
      <c r="AV53" s="294">
        <v>32607.837997220027</v>
      </c>
      <c r="AW53" s="294">
        <v>35349.473578677454</v>
      </c>
      <c r="AX53" s="294">
        <v>39874.819802429003</v>
      </c>
      <c r="AY53" s="294">
        <v>44952.399172974758</v>
      </c>
      <c r="AZ53" s="294"/>
      <c r="BA53" s="294"/>
      <c r="BB53" s="294"/>
      <c r="BC53" s="298">
        <f t="shared" si="0"/>
        <v>0</v>
      </c>
    </row>
    <row r="54" spans="2:55">
      <c r="B54" s="72" t="s">
        <v>506</v>
      </c>
      <c r="C54" s="72" t="s">
        <v>507</v>
      </c>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v>750.56329243570337</v>
      </c>
      <c r="AC54" s="294">
        <v>681.77153026571159</v>
      </c>
      <c r="AD54" s="294">
        <v>772.06725457108109</v>
      </c>
      <c r="AE54" s="294">
        <v>813.82596855339864</v>
      </c>
      <c r="AF54" s="294">
        <v>923.45115194986602</v>
      </c>
      <c r="AG54" s="294">
        <v>992.75682024902653</v>
      </c>
      <c r="AH54" s="294">
        <v>1144.5749712256545</v>
      </c>
      <c r="AI54" s="294">
        <v>525.26052578246424</v>
      </c>
      <c r="AJ54" s="294">
        <v>464.80093656042482</v>
      </c>
      <c r="AK54" s="294">
        <v>345.70305488250244</v>
      </c>
      <c r="AL54" s="294">
        <v>416.31483382343265</v>
      </c>
      <c r="AM54" s="294">
        <v>604.40157519877107</v>
      </c>
      <c r="AN54" s="294">
        <v>348.60758013799449</v>
      </c>
      <c r="AO54" s="294">
        <v>69.051177809545905</v>
      </c>
      <c r="AP54" s="294">
        <v>126.57046075692497</v>
      </c>
      <c r="AQ54" s="294">
        <v>298.40584293387269</v>
      </c>
      <c r="AR54" s="294">
        <v>314.71098151575768</v>
      </c>
      <c r="AS54" s="294">
        <v>447.93903718010978</v>
      </c>
      <c r="AT54" s="294">
        <v>808.27750043254127</v>
      </c>
      <c r="AU54" s="294">
        <v>1187.8082589474343</v>
      </c>
      <c r="AV54" s="294">
        <v>1856.9589678433153</v>
      </c>
      <c r="AW54" s="294">
        <v>2573.9900581675201</v>
      </c>
      <c r="AX54" s="294">
        <v>3526.1192822708654</v>
      </c>
      <c r="AY54" s="294">
        <v>4414.0625124896796</v>
      </c>
      <c r="AZ54" s="294">
        <v>3511.7578166409889</v>
      </c>
      <c r="BA54" s="294">
        <v>4237.3476416692902</v>
      </c>
      <c r="BB54" s="294">
        <v>5318.040368201604</v>
      </c>
      <c r="BC54" s="298">
        <f t="shared" si="0"/>
        <v>5318.040368201604</v>
      </c>
    </row>
    <row r="55" spans="2:55">
      <c r="B55" s="72" t="s">
        <v>508</v>
      </c>
      <c r="C55" s="72" t="s">
        <v>509</v>
      </c>
      <c r="D55" s="294"/>
      <c r="E55" s="294"/>
      <c r="F55" s="294"/>
      <c r="G55" s="294"/>
      <c r="H55" s="294"/>
      <c r="I55" s="294"/>
      <c r="J55" s="294"/>
      <c r="K55" s="294"/>
      <c r="L55" s="294"/>
      <c r="M55" s="294"/>
      <c r="N55" s="294"/>
      <c r="O55" s="294"/>
      <c r="P55" s="294"/>
      <c r="Q55" s="294"/>
      <c r="R55" s="294"/>
      <c r="S55" s="294"/>
      <c r="T55" s="294">
        <v>940.8748563504281</v>
      </c>
      <c r="U55" s="294">
        <v>1061.2841398148212</v>
      </c>
      <c r="V55" s="294">
        <v>1307.9154783652682</v>
      </c>
      <c r="W55" s="294">
        <v>1567.2760825143712</v>
      </c>
      <c r="X55" s="294">
        <v>1787.2593638470107</v>
      </c>
      <c r="Y55" s="294">
        <v>2005.0267479827935</v>
      </c>
      <c r="Z55" s="294">
        <v>2260.8917510833708</v>
      </c>
      <c r="AA55" s="294">
        <v>2601.3269373291919</v>
      </c>
      <c r="AB55" s="294">
        <v>3076.522774466735</v>
      </c>
      <c r="AC55" s="294">
        <v>3810.0418654396749</v>
      </c>
      <c r="AD55" s="294">
        <v>4510.6923164030786</v>
      </c>
      <c r="AE55" s="294">
        <v>5404.5268045557459</v>
      </c>
      <c r="AF55" s="294">
        <v>6004.0471931290585</v>
      </c>
      <c r="AG55" s="294">
        <v>6295.1410477957033</v>
      </c>
      <c r="AH55" s="294">
        <v>6539.6452723163038</v>
      </c>
      <c r="AI55" s="294">
        <v>6641.8443854274046</v>
      </c>
      <c r="AJ55" s="294">
        <v>6998.0229781473454</v>
      </c>
      <c r="AK55" s="294">
        <v>7475.7288296135839</v>
      </c>
      <c r="AL55" s="294">
        <v>7199.4578874364361</v>
      </c>
      <c r="AM55" s="294">
        <v>7680.2566685044558</v>
      </c>
      <c r="AN55" s="294">
        <v>8017.6409634612892</v>
      </c>
      <c r="AO55" s="294">
        <v>8357.4203293562023</v>
      </c>
      <c r="AP55" s="294">
        <v>8578.6910619166028</v>
      </c>
      <c r="AQ55" s="294">
        <v>10143.368076492379</v>
      </c>
      <c r="AR55" s="294">
        <v>9831.5108509288384</v>
      </c>
      <c r="AS55" s="294">
        <v>10017.835396612854</v>
      </c>
      <c r="AT55" s="294">
        <v>10392.514977371166</v>
      </c>
      <c r="AU55" s="294">
        <v>10926.311192129615</v>
      </c>
      <c r="AV55" s="294">
        <v>11940.165702396833</v>
      </c>
      <c r="AW55" s="294">
        <v>13436.038464304584</v>
      </c>
      <c r="AX55" s="294">
        <v>15079.121385932422</v>
      </c>
      <c r="AY55" s="294">
        <v>15591.632983727846</v>
      </c>
      <c r="AZ55" s="294">
        <v>13829.830780873124</v>
      </c>
      <c r="BA55" s="294">
        <v>13006.300918097671</v>
      </c>
      <c r="BB55" s="294">
        <v>12479.549382440513</v>
      </c>
      <c r="BC55" s="298">
        <f t="shared" si="0"/>
        <v>12479.549382440513</v>
      </c>
    </row>
    <row r="56" spans="2:55">
      <c r="B56" s="72" t="s">
        <v>510</v>
      </c>
      <c r="C56" s="72" t="s">
        <v>511</v>
      </c>
      <c r="D56" s="294"/>
      <c r="E56" s="294">
        <v>1148.0603344359347</v>
      </c>
      <c r="F56" s="294">
        <v>844.63630750690027</v>
      </c>
      <c r="G56" s="294">
        <v>1165.6511062792911</v>
      </c>
      <c r="H56" s="294">
        <v>1271.2552753529169</v>
      </c>
      <c r="I56" s="294">
        <v>1265.6024904564877</v>
      </c>
      <c r="J56" s="294">
        <v>1057.1684431273998</v>
      </c>
      <c r="K56" s="294">
        <v>1135.9381742429362</v>
      </c>
      <c r="L56" s="294">
        <v>1323.4671179778329</v>
      </c>
      <c r="M56" s="294">
        <v>1316.9219408121364</v>
      </c>
      <c r="N56" s="294">
        <v>1365.8126936777612</v>
      </c>
      <c r="O56" s="294">
        <v>1400.9771036253317</v>
      </c>
      <c r="P56" s="294">
        <v>2083.242231156753</v>
      </c>
      <c r="Q56" s="294">
        <v>2823.5886220218099</v>
      </c>
      <c r="R56" s="294">
        <v>2010.7821934231508</v>
      </c>
      <c r="S56" s="294">
        <v>1931.455419322644</v>
      </c>
      <c r="T56" s="294">
        <v>2110.8824296350858</v>
      </c>
      <c r="U56" s="294">
        <v>2127.3438094319736</v>
      </c>
      <c r="V56" s="294">
        <v>2499.0187920391299</v>
      </c>
      <c r="W56" s="294">
        <v>2735.8364191991072</v>
      </c>
      <c r="X56" s="294">
        <v>2754.6408393582315</v>
      </c>
      <c r="Y56" s="294">
        <v>2907.0484608743272</v>
      </c>
      <c r="Z56" s="294">
        <v>3530.9427503859438</v>
      </c>
      <c r="AA56" s="294">
        <v>2645.2401948080974</v>
      </c>
      <c r="AB56" s="294">
        <v>2912.8276280433838</v>
      </c>
      <c r="AC56" s="294">
        <v>3600.4836055444894</v>
      </c>
      <c r="AD56" s="294">
        <v>3553.146963247108</v>
      </c>
      <c r="AE56" s="294">
        <v>3977.6324530830552</v>
      </c>
      <c r="AF56" s="294">
        <v>2380.976360877396</v>
      </c>
      <c r="AG56" s="294">
        <v>4330.3245729805176</v>
      </c>
      <c r="AH56" s="294">
        <v>5732.8338427252802</v>
      </c>
      <c r="AI56" s="294">
        <v>6821.0860430283992</v>
      </c>
      <c r="AJ56" s="294">
        <v>6967.0213531906338</v>
      </c>
      <c r="AK56" s="294">
        <v>7479.2947205188375</v>
      </c>
      <c r="AL56" s="294">
        <v>7402.9750012336772</v>
      </c>
      <c r="AM56" s="294">
        <v>7712.4404581355238</v>
      </c>
      <c r="AN56" s="294">
        <v>8199.9011727560755</v>
      </c>
      <c r="AO56" s="294">
        <v>8273.179024161911</v>
      </c>
      <c r="AP56" s="294">
        <v>7759.032260640498</v>
      </c>
      <c r="AQ56" s="294">
        <v>7695.5940726726913</v>
      </c>
      <c r="AR56" s="294">
        <v>7203.2566534295265</v>
      </c>
      <c r="AS56" s="294">
        <v>2709.7063748682117</v>
      </c>
      <c r="AT56" s="294">
        <v>3410.3378079265594</v>
      </c>
      <c r="AU56" s="294">
        <v>3993.9064844522195</v>
      </c>
      <c r="AV56" s="294">
        <v>4735.9836839683694</v>
      </c>
      <c r="AW56" s="294">
        <v>5485.5231146994047</v>
      </c>
      <c r="AX56" s="294">
        <v>6623.8636982937951</v>
      </c>
      <c r="AY56" s="294">
        <v>8223.3055844808277</v>
      </c>
      <c r="AZ56" s="294">
        <v>7666.90491585576</v>
      </c>
      <c r="BA56" s="294">
        <v>9124.3351329718607</v>
      </c>
      <c r="BB56" s="294">
        <v>10941.958717432743</v>
      </c>
      <c r="BC56" s="298">
        <f t="shared" si="0"/>
        <v>10941.958717432743</v>
      </c>
    </row>
    <row r="57" spans="2:55">
      <c r="B57" s="72" t="s">
        <v>512</v>
      </c>
      <c r="C57" s="72" t="s">
        <v>513</v>
      </c>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v>636.68068999649915</v>
      </c>
      <c r="AH57" s="294">
        <v>588.97963665760824</v>
      </c>
      <c r="AI57" s="294">
        <v>368.86946490904205</v>
      </c>
      <c r="AJ57" s="294">
        <v>356.43330766542948</v>
      </c>
      <c r="AK57" s="294">
        <v>399.67867598622308</v>
      </c>
      <c r="AL57" s="294">
        <v>455.55027608615052</v>
      </c>
      <c r="AM57" s="294">
        <v>503.42868186818328</v>
      </c>
      <c r="AN57" s="294">
        <v>522.99144975399884</v>
      </c>
      <c r="AO57" s="294">
        <v>609.09132169066311</v>
      </c>
      <c r="AP57" s="294">
        <v>597.12284039902215</v>
      </c>
      <c r="AQ57" s="294">
        <v>621.42482631894711</v>
      </c>
      <c r="AR57" s="294">
        <v>690.99778309116812</v>
      </c>
      <c r="AS57" s="294">
        <v>776.30938767421821</v>
      </c>
      <c r="AT57" s="294">
        <v>917.17414843549386</v>
      </c>
      <c r="AU57" s="294">
        <v>1167.831654945569</v>
      </c>
      <c r="AV57" s="294">
        <v>1598.3399485134689</v>
      </c>
      <c r="AW57" s="294">
        <v>2079.733610062156</v>
      </c>
      <c r="AX57" s="294">
        <v>2994.7089904440536</v>
      </c>
      <c r="AY57" s="294">
        <v>3787.4921510456679</v>
      </c>
      <c r="AZ57" s="294">
        <v>2803.2655343841561</v>
      </c>
      <c r="BA57" s="294">
        <v>3030.710627038789</v>
      </c>
      <c r="BB57" s="294">
        <v>3305.4867040621434</v>
      </c>
      <c r="BC57" s="298">
        <f t="shared" si="0"/>
        <v>3305.4867040621434</v>
      </c>
    </row>
    <row r="58" spans="2:55">
      <c r="B58" s="72" t="s">
        <v>514</v>
      </c>
      <c r="C58" s="72" t="s">
        <v>515</v>
      </c>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v>13490.718447972355</v>
      </c>
      <c r="AI58" s="294">
        <v>14038.884079929656</v>
      </c>
      <c r="AJ58" s="294">
        <v>14926.21611721378</v>
      </c>
      <c r="AK58" s="294">
        <v>16229.516608364378</v>
      </c>
      <c r="AL58" s="294">
        <v>16441.995682081244</v>
      </c>
      <c r="AM58" s="294">
        <v>16611.351635816161</v>
      </c>
      <c r="AN58" s="294">
        <v>17987.619679577962</v>
      </c>
      <c r="AO58" s="294">
        <v>19180.244948973763</v>
      </c>
      <c r="AP58" s="294">
        <v>19480.620797865842</v>
      </c>
      <c r="AQ58" s="294">
        <v>20589.771833619794</v>
      </c>
      <c r="AR58" s="294">
        <v>20558.911660903133</v>
      </c>
      <c r="AS58" s="294">
        <v>20203.530691387725</v>
      </c>
      <c r="AT58" s="294"/>
      <c r="AU58" s="294"/>
      <c r="AV58" s="294"/>
      <c r="AW58" s="294"/>
      <c r="AX58" s="294"/>
      <c r="AY58" s="294"/>
      <c r="AZ58" s="294"/>
      <c r="BA58" s="294"/>
      <c r="BB58" s="294"/>
      <c r="BC58" s="298">
        <f t="shared" si="0"/>
        <v>0</v>
      </c>
    </row>
    <row r="59" spans="2:55">
      <c r="B59" s="72" t="s">
        <v>516</v>
      </c>
      <c r="C59" s="72" t="s">
        <v>331</v>
      </c>
      <c r="D59" s="294">
        <v>1874.3047677029256</v>
      </c>
      <c r="E59" s="294">
        <v>1850.173712607615</v>
      </c>
      <c r="F59" s="294">
        <v>1963.0254094835411</v>
      </c>
      <c r="G59" s="294">
        <v>2127.3663201947265</v>
      </c>
      <c r="H59" s="294">
        <v>2277.1650199287096</v>
      </c>
      <c r="I59" s="294">
        <v>2338.7084440803419</v>
      </c>
      <c r="J59" s="294">
        <v>2574.4810524202899</v>
      </c>
      <c r="K59" s="294">
        <v>2719.1500203943247</v>
      </c>
      <c r="L59" s="294">
        <v>2985.9449075401403</v>
      </c>
      <c r="M59" s="294">
        <v>3300.1118432922717</v>
      </c>
      <c r="N59" s="294">
        <v>3490.125432161215</v>
      </c>
      <c r="O59" s="294">
        <v>3942.6351069088805</v>
      </c>
      <c r="P59" s="294">
        <v>4763.9156609777374</v>
      </c>
      <c r="Q59" s="294">
        <v>6474.9909395341911</v>
      </c>
      <c r="R59" s="294">
        <v>6992.4406840958118</v>
      </c>
      <c r="S59" s="294">
        <v>7477.5572002853769</v>
      </c>
      <c r="T59" s="294">
        <v>7764.1006581518413</v>
      </c>
      <c r="U59" s="294">
        <v>8240.0333805642294</v>
      </c>
      <c r="V59" s="294">
        <v>9281.9146942010939</v>
      </c>
      <c r="W59" s="294">
        <v>10198.717282708192</v>
      </c>
      <c r="X59" s="294">
        <v>11849.688298058874</v>
      </c>
      <c r="Y59" s="294">
        <v>12777.063243929586</v>
      </c>
      <c r="Z59" s="294">
        <v>11523.844573088667</v>
      </c>
      <c r="AA59" s="294">
        <v>12454.202141954971</v>
      </c>
      <c r="AB59" s="294">
        <v>11461.710756880722</v>
      </c>
      <c r="AC59" s="294">
        <v>11361.095344718431</v>
      </c>
      <c r="AD59" s="294">
        <v>11617.866954614519</v>
      </c>
      <c r="AE59" s="294">
        <v>14285.364917871002</v>
      </c>
      <c r="AF59" s="294">
        <v>17827.370259073326</v>
      </c>
      <c r="AG59" s="294">
        <v>18250.956955458365</v>
      </c>
      <c r="AH59" s="294">
        <v>18872.654544610414</v>
      </c>
      <c r="AI59" s="294">
        <v>18611.309540830345</v>
      </c>
      <c r="AJ59" s="294">
        <v>17678.283329981394</v>
      </c>
      <c r="AK59" s="294">
        <v>18113.631262870189</v>
      </c>
      <c r="AL59" s="294">
        <v>20395.926770428763</v>
      </c>
      <c r="AM59" s="294">
        <v>21948.588661475242</v>
      </c>
      <c r="AN59" s="294">
        <v>23540.064578612084</v>
      </c>
      <c r="AO59" s="294">
        <v>21364.205119961145</v>
      </c>
      <c r="AP59" s="294">
        <v>20578.826563340732</v>
      </c>
      <c r="AQ59" s="294">
        <v>21708.037255559808</v>
      </c>
      <c r="AR59" s="294">
        <v>19541.422028806945</v>
      </c>
      <c r="AS59" s="294">
        <v>20100.988100362443</v>
      </c>
      <c r="AT59" s="294">
        <v>23445.596591314097</v>
      </c>
      <c r="AU59" s="294">
        <v>30375.825948870726</v>
      </c>
      <c r="AV59" s="294">
        <v>33944.983903771717</v>
      </c>
      <c r="AW59" s="294">
        <v>35986.067608362355</v>
      </c>
      <c r="AX59" s="294">
        <v>40352.393992509678</v>
      </c>
      <c r="AY59" s="294">
        <v>48971.676881568652</v>
      </c>
      <c r="AZ59" s="294">
        <v>42000.012391349868</v>
      </c>
      <c r="BA59" s="294">
        <v>51085.684091826806</v>
      </c>
      <c r="BB59" s="294">
        <v>60979.028936239723</v>
      </c>
      <c r="BC59" s="298">
        <f t="shared" si="0"/>
        <v>60979.028936239723</v>
      </c>
    </row>
    <row r="60" spans="2:55">
      <c r="B60" s="72" t="s">
        <v>517</v>
      </c>
      <c r="C60" s="72" t="s">
        <v>518</v>
      </c>
      <c r="D60" s="294">
        <v>1031.8150043290987</v>
      </c>
      <c r="E60" s="294">
        <v>1087.8342434189017</v>
      </c>
      <c r="F60" s="294">
        <v>1167.0005324458452</v>
      </c>
      <c r="G60" s="294">
        <v>1269.4125828925592</v>
      </c>
      <c r="H60" s="294">
        <v>1374.5321398607475</v>
      </c>
      <c r="I60" s="294">
        <v>1486.9686060056572</v>
      </c>
      <c r="J60" s="294">
        <v>1569.6671828996664</v>
      </c>
      <c r="K60" s="294">
        <v>1677.6735280427151</v>
      </c>
      <c r="L60" s="294">
        <v>1825.3861255212357</v>
      </c>
      <c r="M60" s="294">
        <v>2037.6166729899492</v>
      </c>
      <c r="N60" s="294">
        <v>2356.5155583260857</v>
      </c>
      <c r="O60" s="294">
        <v>2894.0063184686223</v>
      </c>
      <c r="P60" s="294">
        <v>3850.7480129441919</v>
      </c>
      <c r="Q60" s="294">
        <v>4583.1794303374991</v>
      </c>
      <c r="R60" s="294">
        <v>5231.3146819256763</v>
      </c>
      <c r="S60" s="294">
        <v>5620.0452007748609</v>
      </c>
      <c r="T60" s="294">
        <v>6740.6533038167945</v>
      </c>
      <c r="U60" s="294">
        <v>8121.1634874352785</v>
      </c>
      <c r="V60" s="294">
        <v>9693.1412419331082</v>
      </c>
      <c r="W60" s="294">
        <v>10757.869461226066</v>
      </c>
      <c r="X60" s="294">
        <v>9288.822169718218</v>
      </c>
      <c r="Y60" s="294">
        <v>9313.662513024572</v>
      </c>
      <c r="Z60" s="294">
        <v>9439.4172566865182</v>
      </c>
      <c r="AA60" s="294">
        <v>8898.6881864331281</v>
      </c>
      <c r="AB60" s="294">
        <v>9077.8599079373944</v>
      </c>
      <c r="AC60" s="294">
        <v>12948.653308832667</v>
      </c>
      <c r="AD60" s="294">
        <v>16224.345353374314</v>
      </c>
      <c r="AE60" s="294">
        <v>17398.01095786169</v>
      </c>
      <c r="AF60" s="294">
        <v>17289.465022026208</v>
      </c>
      <c r="AG60" s="294">
        <v>21458.232721048371</v>
      </c>
      <c r="AH60" s="294">
        <v>22180.655347139433</v>
      </c>
      <c r="AI60" s="294">
        <v>24624.537839889046</v>
      </c>
      <c r="AJ60" s="294">
        <v>23834.107000337426</v>
      </c>
      <c r="AK60" s="294">
        <v>25383.198807844245</v>
      </c>
      <c r="AL60" s="294">
        <v>30014.272753581758</v>
      </c>
      <c r="AM60" s="294">
        <v>29485.608207579469</v>
      </c>
      <c r="AN60" s="294">
        <v>26082.45850780639</v>
      </c>
      <c r="AO60" s="294">
        <v>26743.791940751613</v>
      </c>
      <c r="AP60" s="294">
        <v>26563.209538909072</v>
      </c>
      <c r="AQ60" s="294">
        <v>23974.183069069648</v>
      </c>
      <c r="AR60" s="294">
        <v>23833.834243514419</v>
      </c>
      <c r="AS60" s="294">
        <v>25679.094397712059</v>
      </c>
      <c r="AT60" s="294">
        <v>31268.630697317702</v>
      </c>
      <c r="AU60" s="294">
        <v>35662.211822390957</v>
      </c>
      <c r="AV60" s="294">
        <v>37067.323828674336</v>
      </c>
      <c r="AW60" s="294">
        <v>39299.614295058382</v>
      </c>
      <c r="AX60" s="294">
        <v>45181.467594383546</v>
      </c>
      <c r="AY60" s="294">
        <v>49679.110704483974</v>
      </c>
      <c r="AZ60" s="294">
        <v>45859.425553994522</v>
      </c>
      <c r="BA60" s="294">
        <v>44916.360837375345</v>
      </c>
      <c r="BB60" s="294">
        <v>49608.761432474166</v>
      </c>
      <c r="BC60" s="298">
        <f t="shared" si="0"/>
        <v>49608.761432474166</v>
      </c>
    </row>
    <row r="61" spans="2:55">
      <c r="B61" s="72" t="s">
        <v>519</v>
      </c>
      <c r="C61" s="72" t="s">
        <v>520</v>
      </c>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v>1237.3244916770022</v>
      </c>
      <c r="AH61" s="294">
        <v>1209.2374928495947</v>
      </c>
      <c r="AI61" s="294">
        <v>676.15151145251991</v>
      </c>
      <c r="AJ61" s="294">
        <v>530.0903798067975</v>
      </c>
      <c r="AK61" s="294">
        <v>436.19055858198976</v>
      </c>
      <c r="AL61" s="294">
        <v>397.19811611724703</v>
      </c>
      <c r="AM61" s="294">
        <v>409.21674521678216</v>
      </c>
      <c r="AN61" s="294">
        <v>505.56057322893105</v>
      </c>
      <c r="AO61" s="294">
        <v>561.91030173545471</v>
      </c>
      <c r="AP61" s="294">
        <v>573.89025617210007</v>
      </c>
      <c r="AQ61" s="294">
        <v>655.09743260258597</v>
      </c>
      <c r="AR61" s="294">
        <v>703.67125043994429</v>
      </c>
      <c r="AS61" s="294">
        <v>763.10121222036685</v>
      </c>
      <c r="AT61" s="294">
        <v>883.61400896796113</v>
      </c>
      <c r="AU61" s="294">
        <v>1045.0264152764187</v>
      </c>
      <c r="AV61" s="294">
        <v>1578.3673303066716</v>
      </c>
      <c r="AW61" s="294">
        <v>2472.9974757940518</v>
      </c>
      <c r="AX61" s="294">
        <v>3851.3256636754886</v>
      </c>
      <c r="AY61" s="294">
        <v>5574.6038021861259</v>
      </c>
      <c r="AZ61" s="294">
        <v>4950.2947914237511</v>
      </c>
      <c r="BA61" s="294">
        <v>5843.1697532975668</v>
      </c>
      <c r="BB61" s="294">
        <v>6915.7559714249555</v>
      </c>
      <c r="BC61" s="298">
        <f t="shared" si="0"/>
        <v>6915.7559714249555</v>
      </c>
    </row>
    <row r="62" spans="2:55">
      <c r="B62" s="72" t="s">
        <v>521</v>
      </c>
      <c r="C62" s="72" t="s">
        <v>522</v>
      </c>
      <c r="D62" s="294">
        <v>1651.4019090228171</v>
      </c>
      <c r="E62" s="294">
        <v>1752.8517812688083</v>
      </c>
      <c r="F62" s="294">
        <v>1866.9920567623039</v>
      </c>
      <c r="G62" s="294">
        <v>1994.3612901846902</v>
      </c>
      <c r="H62" s="294">
        <v>2144.6931914918887</v>
      </c>
      <c r="I62" s="294">
        <v>2322.7375945854951</v>
      </c>
      <c r="J62" s="294">
        <v>2556.6008119866883</v>
      </c>
      <c r="K62" s="294">
        <v>2804.4046361902006</v>
      </c>
      <c r="L62" s="294">
        <v>3215.1932945971594</v>
      </c>
      <c r="M62" s="294">
        <v>3179.0325120303364</v>
      </c>
      <c r="N62" s="294">
        <v>3297.7713874910137</v>
      </c>
      <c r="O62" s="294">
        <v>3322.4812509488388</v>
      </c>
      <c r="P62" s="294">
        <v>3696.6222271199517</v>
      </c>
      <c r="Q62" s="294">
        <v>3416.6977324667328</v>
      </c>
      <c r="R62" s="294">
        <v>3156.6686080372742</v>
      </c>
      <c r="S62" s="294">
        <v>3328.9263965575342</v>
      </c>
      <c r="T62" s="294">
        <v>3617.6366127150031</v>
      </c>
      <c r="U62" s="294">
        <v>4131.5504730138873</v>
      </c>
      <c r="V62" s="294">
        <v>5533.2786251759799</v>
      </c>
      <c r="W62" s="294">
        <v>6340.4556885090215</v>
      </c>
      <c r="X62" s="294">
        <v>6624.7154042632237</v>
      </c>
      <c r="Y62" s="294">
        <v>7167.9657020364411</v>
      </c>
      <c r="Z62" s="294">
        <v>7698.4934446404213</v>
      </c>
      <c r="AA62" s="294">
        <v>8878.24667353925</v>
      </c>
      <c r="AB62" s="294">
        <v>9894.1386552293079</v>
      </c>
      <c r="AC62" s="294">
        <v>10345.664310909708</v>
      </c>
      <c r="AD62" s="294">
        <v>11157.887286421417</v>
      </c>
      <c r="AE62" s="294">
        <v>11389.642381643353</v>
      </c>
      <c r="AF62" s="294">
        <v>12166.677924750964</v>
      </c>
      <c r="AG62" s="294">
        <v>12361.006996501748</v>
      </c>
      <c r="AH62" s="294">
        <v>11927.236481435333</v>
      </c>
      <c r="AI62" s="294">
        <v>11698.480965980712</v>
      </c>
      <c r="AJ62" s="294">
        <v>11422.196445524767</v>
      </c>
      <c r="AK62" s="294">
        <v>11832.579349807207</v>
      </c>
      <c r="AL62" s="294">
        <v>12256.321173518625</v>
      </c>
      <c r="AM62" s="294">
        <v>12722.215759472921</v>
      </c>
      <c r="AN62" s="294">
        <v>17273.068794674411</v>
      </c>
      <c r="AO62" s="294">
        <v>18424.151068069423</v>
      </c>
      <c r="AP62" s="294">
        <v>20476.931031198554</v>
      </c>
      <c r="AQ62" s="294">
        <v>21258.292429724745</v>
      </c>
      <c r="AR62" s="294">
        <v>21606.503186276135</v>
      </c>
      <c r="AS62" s="294">
        <v>22753.346130326587</v>
      </c>
      <c r="AT62" s="294">
        <v>22402.626039245522</v>
      </c>
      <c r="AU62" s="294">
        <v>22540.622547571162</v>
      </c>
      <c r="AV62" s="294">
        <v>24130.355275271013</v>
      </c>
      <c r="AW62" s="294">
        <v>24580.141082372109</v>
      </c>
      <c r="AX62" s="294">
        <v>25296.389660069148</v>
      </c>
      <c r="AY62" s="294">
        <v>24715.654511615081</v>
      </c>
      <c r="AZ62" s="294">
        <v>22807.434728896613</v>
      </c>
      <c r="BA62" s="294">
        <v>22664.856493728072</v>
      </c>
      <c r="BB62" s="294">
        <v>22431.026338226144</v>
      </c>
      <c r="BC62" s="298">
        <f t="shared" si="0"/>
        <v>22431.026338226144</v>
      </c>
    </row>
    <row r="63" spans="2:55">
      <c r="B63" s="72" t="s">
        <v>523</v>
      </c>
      <c r="C63" s="72" t="s">
        <v>524</v>
      </c>
      <c r="D63" s="294"/>
      <c r="E63" s="294"/>
      <c r="F63" s="294"/>
      <c r="G63" s="294"/>
      <c r="H63" s="294"/>
      <c r="I63" s="294"/>
      <c r="J63" s="294"/>
      <c r="K63" s="294"/>
      <c r="L63" s="294"/>
      <c r="M63" s="294"/>
      <c r="N63" s="294"/>
      <c r="O63" s="294"/>
      <c r="P63" s="294"/>
      <c r="Q63" s="294"/>
      <c r="R63" s="294"/>
      <c r="S63" s="294"/>
      <c r="T63" s="294"/>
      <c r="U63" s="294"/>
      <c r="V63" s="294"/>
      <c r="W63" s="294">
        <v>8583.9873107821531</v>
      </c>
      <c r="X63" s="294">
        <v>9320.2410079286328</v>
      </c>
      <c r="Y63" s="294">
        <v>9499.4457982591521</v>
      </c>
      <c r="Z63" s="294">
        <v>9476.0214298423471</v>
      </c>
      <c r="AA63" s="294">
        <v>9647.4935219749696</v>
      </c>
      <c r="AB63" s="294">
        <v>8758.9539520573599</v>
      </c>
      <c r="AC63" s="294">
        <v>7084.6676564235413</v>
      </c>
      <c r="AD63" s="294">
        <v>7603.0080613998744</v>
      </c>
      <c r="AE63" s="294">
        <v>8010.6486998434157</v>
      </c>
      <c r="AF63" s="294">
        <v>8082.8545218794816</v>
      </c>
      <c r="AG63" s="294">
        <v>8581.5877727013885</v>
      </c>
      <c r="AH63" s="294">
        <v>9110.6377280023844</v>
      </c>
      <c r="AI63" s="294">
        <v>9142.006081378835</v>
      </c>
      <c r="AJ63" s="294">
        <v>9768.2893414679475</v>
      </c>
      <c r="AK63" s="294">
        <v>10209.531406436372</v>
      </c>
      <c r="AL63" s="294">
        <v>10462.873303984046</v>
      </c>
      <c r="AM63" s="294">
        <v>10613.520727869123</v>
      </c>
      <c r="AN63" s="294">
        <v>10707.171164886784</v>
      </c>
      <c r="AO63" s="294">
        <v>10117.092211885089</v>
      </c>
      <c r="AP63" s="294">
        <v>10564.065350515912</v>
      </c>
      <c r="AQ63" s="294">
        <v>12489.467753834773</v>
      </c>
      <c r="AR63" s="294">
        <v>12340.561562585193</v>
      </c>
      <c r="AS63" s="294">
        <v>13224.700111444094</v>
      </c>
      <c r="AT63" s="294">
        <v>15062.023819962493</v>
      </c>
      <c r="AU63" s="294">
        <v>16725.722075498899</v>
      </c>
      <c r="AV63" s="294">
        <v>18570.734401982227</v>
      </c>
      <c r="AW63" s="294">
        <v>19539.989586781518</v>
      </c>
      <c r="AX63" s="294">
        <v>19955.103349203622</v>
      </c>
      <c r="AY63" s="294">
        <v>20813.137516725434</v>
      </c>
      <c r="AZ63" s="294">
        <v>16517.771829382327</v>
      </c>
      <c r="BA63" s="294">
        <v>18184.197511213759</v>
      </c>
      <c r="BB63" s="294"/>
      <c r="BC63" s="298">
        <f t="shared" si="0"/>
        <v>0</v>
      </c>
    </row>
    <row r="64" spans="2:55">
      <c r="B64" s="72" t="s">
        <v>525</v>
      </c>
      <c r="C64" s="72" t="s">
        <v>526</v>
      </c>
      <c r="D64" s="294">
        <v>93.48817671068872</v>
      </c>
      <c r="E64" s="294">
        <v>95.916888118614949</v>
      </c>
      <c r="F64" s="294">
        <v>97.650801059937024</v>
      </c>
      <c r="G64" s="294">
        <v>96.057622086895591</v>
      </c>
      <c r="H64" s="294">
        <v>102.2054824743563</v>
      </c>
      <c r="I64" s="294">
        <v>107.90146840858974</v>
      </c>
      <c r="J64" s="294">
        <v>117.55669380588532</v>
      </c>
      <c r="K64" s="294">
        <v>117.47715284678439</v>
      </c>
      <c r="L64" s="294">
        <v>129.3787574661041</v>
      </c>
      <c r="M64" s="294">
        <v>134.45822523830805</v>
      </c>
      <c r="N64" s="294">
        <v>128.98941166994692</v>
      </c>
      <c r="O64" s="294">
        <v>91.850365680725233</v>
      </c>
      <c r="P64" s="294">
        <v>117.02646519725654</v>
      </c>
      <c r="Q64" s="294">
        <v>179.09631021663208</v>
      </c>
      <c r="R64" s="294">
        <v>274.79892535483106</v>
      </c>
      <c r="S64" s="294">
        <v>139.93913346649273</v>
      </c>
      <c r="T64" s="294">
        <v>130.31692402614576</v>
      </c>
      <c r="U64" s="294">
        <v>174.83893932047835</v>
      </c>
      <c r="V64" s="294">
        <v>198.94583985258927</v>
      </c>
      <c r="W64" s="294">
        <v>224.67937738035437</v>
      </c>
      <c r="X64" s="294">
        <v>238.44212721489507</v>
      </c>
      <c r="Y64" s="294">
        <v>212.39743401071129</v>
      </c>
      <c r="Z64" s="294">
        <v>196.15638815737105</v>
      </c>
      <c r="AA64" s="294">
        <v>218.97477299802989</v>
      </c>
      <c r="AB64" s="294">
        <v>234.20446577333027</v>
      </c>
      <c r="AC64" s="294">
        <v>223.14920149988933</v>
      </c>
      <c r="AD64" s="294">
        <v>244.08886621560421</v>
      </c>
      <c r="AE64" s="294">
        <v>256.22780743635803</v>
      </c>
      <c r="AF64" s="294">
        <v>261.24674034828655</v>
      </c>
      <c r="AG64" s="294">
        <v>286.24276907030958</v>
      </c>
      <c r="AH64" s="294">
        <v>287.25808784717492</v>
      </c>
      <c r="AI64" s="294">
        <v>287.67252503263273</v>
      </c>
      <c r="AJ64" s="294">
        <v>294.43290533006149</v>
      </c>
      <c r="AK64" s="294">
        <v>293.48992277403869</v>
      </c>
      <c r="AL64" s="294">
        <v>322.92737460638597</v>
      </c>
      <c r="AM64" s="294">
        <v>339.08498753497861</v>
      </c>
      <c r="AN64" s="294">
        <v>345.82544063137959</v>
      </c>
      <c r="AO64" s="294">
        <v>353.28982591326616</v>
      </c>
      <c r="AP64" s="294">
        <v>359.18822065239794</v>
      </c>
      <c r="AQ64" s="294">
        <v>363.6399273192385</v>
      </c>
      <c r="AR64" s="294">
        <v>356.11801122926727</v>
      </c>
      <c r="AS64" s="294">
        <v>354.30398186649649</v>
      </c>
      <c r="AT64" s="294">
        <v>380.27872182531576</v>
      </c>
      <c r="AU64" s="294">
        <v>407.98785577099375</v>
      </c>
      <c r="AV64" s="294">
        <v>428.75348122443802</v>
      </c>
      <c r="AW64" s="294">
        <v>434.84084551002701</v>
      </c>
      <c r="AX64" s="294">
        <v>475.2496512597607</v>
      </c>
      <c r="AY64" s="294">
        <v>546.84685398264742</v>
      </c>
      <c r="AZ64" s="294">
        <v>607.76494127690944</v>
      </c>
      <c r="BA64" s="294">
        <v>674.93163067138073</v>
      </c>
      <c r="BB64" s="294">
        <v>743.41419577173542</v>
      </c>
      <c r="BC64" s="298">
        <f t="shared" si="0"/>
        <v>743.41419577173542</v>
      </c>
    </row>
    <row r="65" spans="2:55">
      <c r="B65" s="72" t="s">
        <v>527</v>
      </c>
      <c r="C65" s="72" t="s">
        <v>528</v>
      </c>
      <c r="D65" s="294">
        <v>402.53410305288827</v>
      </c>
      <c r="E65" s="294">
        <v>417.0061350188052</v>
      </c>
      <c r="F65" s="294">
        <v>467.1731385913144</v>
      </c>
      <c r="G65" s="294">
        <v>462.27660287843702</v>
      </c>
      <c r="H65" s="294">
        <v>487.45083370703787</v>
      </c>
      <c r="I65" s="294">
        <v>523.95818214284077</v>
      </c>
      <c r="J65" s="294">
        <v>579.85954276513201</v>
      </c>
      <c r="K65" s="294">
        <v>579.3884561175488</v>
      </c>
      <c r="L65" s="294">
        <v>649.67579326508371</v>
      </c>
      <c r="M65" s="294">
        <v>760.70966038400115</v>
      </c>
      <c r="N65" s="294">
        <v>850.60656388283041</v>
      </c>
      <c r="O65" s="294">
        <v>967.01253383702362</v>
      </c>
      <c r="P65" s="294">
        <v>1172.0941353863502</v>
      </c>
      <c r="Q65" s="294">
        <v>1392.9907322605125</v>
      </c>
      <c r="R65" s="294">
        <v>1637.1456720493466</v>
      </c>
      <c r="S65" s="294">
        <v>1768.0778747562624</v>
      </c>
      <c r="T65" s="294">
        <v>2003.4824838355385</v>
      </c>
      <c r="U65" s="294">
        <v>2233.0403421957899</v>
      </c>
      <c r="V65" s="294">
        <v>2701.7733594444326</v>
      </c>
      <c r="W65" s="294">
        <v>3458.4095134985273</v>
      </c>
      <c r="X65" s="294">
        <v>3792.1067327441524</v>
      </c>
      <c r="Y65" s="294">
        <v>3944.8735557741898</v>
      </c>
      <c r="Z65" s="294">
        <v>4168.2300322574883</v>
      </c>
      <c r="AA65" s="294">
        <v>4521.0588440924339</v>
      </c>
      <c r="AB65" s="294">
        <v>4709.4762793146829</v>
      </c>
      <c r="AC65" s="294">
        <v>5148.3456198836175</v>
      </c>
      <c r="AD65" s="294">
        <v>5645.5718489925821</v>
      </c>
      <c r="AE65" s="294">
        <v>5981.2433091784869</v>
      </c>
      <c r="AF65" s="294">
        <v>6589.3340548025935</v>
      </c>
      <c r="AG65" s="294">
        <v>6591.2498626571351</v>
      </c>
      <c r="AH65" s="294">
        <v>6480.3571427276493</v>
      </c>
      <c r="AI65" s="294">
        <v>6083.0370688070579</v>
      </c>
      <c r="AJ65" s="294">
        <v>6266.9758263317281</v>
      </c>
      <c r="AK65" s="294">
        <v>6575.3977180379115</v>
      </c>
      <c r="AL65" s="294">
        <v>7057.831693661341</v>
      </c>
      <c r="AM65" s="294">
        <v>7504.2348968946135</v>
      </c>
      <c r="AN65" s="294">
        <v>8270.3220551601135</v>
      </c>
      <c r="AO65" s="294">
        <v>8891.2212731737309</v>
      </c>
      <c r="AP65" s="294">
        <v>9253.3438281895233</v>
      </c>
      <c r="AQ65" s="294">
        <v>9565.4012283607026</v>
      </c>
      <c r="AR65" s="294">
        <v>9523.7260380963635</v>
      </c>
      <c r="AS65" s="294">
        <v>9211.2577283352002</v>
      </c>
      <c r="AT65" s="294">
        <v>10003.673934390064</v>
      </c>
      <c r="AU65" s="294">
        <v>10461.312776211627</v>
      </c>
      <c r="AV65" s="294">
        <v>11108.934096849203</v>
      </c>
      <c r="AW65" s="294">
        <v>11771.845555629339</v>
      </c>
      <c r="AX65" s="294">
        <v>12551.450934768682</v>
      </c>
      <c r="AY65" s="294">
        <v>13484.515072745977</v>
      </c>
      <c r="AZ65" s="294">
        <v>13181.341567369385</v>
      </c>
      <c r="BA65" s="294">
        <v>15034.8844441355</v>
      </c>
      <c r="BB65" s="294">
        <v>13452.587387058502</v>
      </c>
      <c r="BC65" s="298">
        <f t="shared" si="0"/>
        <v>13452.587387058502</v>
      </c>
    </row>
    <row r="66" spans="2:55">
      <c r="B66" s="72" t="s">
        <v>529</v>
      </c>
      <c r="C66" s="72" t="s">
        <v>530</v>
      </c>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v>1704.7403040647669</v>
      </c>
      <c r="AH66" s="294">
        <v>1747.4386712776127</v>
      </c>
      <c r="AI66" s="294">
        <v>1666.2275129415666</v>
      </c>
      <c r="AJ66" s="294">
        <v>1590.0354090293793</v>
      </c>
      <c r="AK66" s="294">
        <v>1460.0175436024865</v>
      </c>
      <c r="AL66" s="294">
        <v>1370.6727097518365</v>
      </c>
      <c r="AM66" s="294">
        <v>1452.4470018170805</v>
      </c>
      <c r="AN66" s="294">
        <v>1396.5021663727425</v>
      </c>
      <c r="AO66" s="294">
        <v>1511.770267981314</v>
      </c>
      <c r="AP66" s="294">
        <v>1209.614880779943</v>
      </c>
      <c r="AQ66" s="294">
        <v>1273.0491239487051</v>
      </c>
      <c r="AR66" s="294">
        <v>1239.1672979325406</v>
      </c>
      <c r="AS66" s="294">
        <v>1470.5214501732069</v>
      </c>
      <c r="AT66" s="294">
        <v>1805.2961114049222</v>
      </c>
      <c r="AU66" s="294">
        <v>2355.5051899256177</v>
      </c>
      <c r="AV66" s="294">
        <v>3090.3596352209747</v>
      </c>
      <c r="AW66" s="294">
        <v>3797.7825696109453</v>
      </c>
      <c r="AX66" s="294">
        <v>4666.6369816352244</v>
      </c>
      <c r="AY66" s="294">
        <v>6328.2111170659664</v>
      </c>
      <c r="AZ66" s="294">
        <v>5176.1358798278961</v>
      </c>
      <c r="BA66" s="294">
        <v>5817.8977464662185</v>
      </c>
      <c r="BB66" s="294">
        <v>5819.9177031574</v>
      </c>
      <c r="BC66" s="298">
        <f t="shared" si="0"/>
        <v>5819.9177031574</v>
      </c>
    </row>
    <row r="67" spans="2:55">
      <c r="B67" s="72" t="s">
        <v>531</v>
      </c>
      <c r="C67" s="72" t="s">
        <v>532</v>
      </c>
      <c r="D67" s="294">
        <v>1350.1976733312283</v>
      </c>
      <c r="E67" s="294">
        <v>1438.523233068398</v>
      </c>
      <c r="F67" s="294">
        <v>1535.0237290104324</v>
      </c>
      <c r="G67" s="294">
        <v>1701.8462755431949</v>
      </c>
      <c r="H67" s="294">
        <v>1835.5947655319421</v>
      </c>
      <c r="I67" s="294">
        <v>1957.6260804276205</v>
      </c>
      <c r="J67" s="294">
        <v>2086.636005446544</v>
      </c>
      <c r="K67" s="294">
        <v>2222.3615105191348</v>
      </c>
      <c r="L67" s="294">
        <v>2458.081820037733</v>
      </c>
      <c r="M67" s="294">
        <v>2732.2242251038729</v>
      </c>
      <c r="N67" s="294">
        <v>3045.402163126731</v>
      </c>
      <c r="O67" s="294">
        <v>3784.9927682971943</v>
      </c>
      <c r="P67" s="294">
        <v>4841.3070636401299</v>
      </c>
      <c r="Q67" s="294">
        <v>5664.0056568113232</v>
      </c>
      <c r="R67" s="294">
        <v>6619.807301604711</v>
      </c>
      <c r="S67" s="294">
        <v>7154.8840715801634</v>
      </c>
      <c r="T67" s="294">
        <v>8324.373083973036</v>
      </c>
      <c r="U67" s="294">
        <v>10164.519989532777</v>
      </c>
      <c r="V67" s="294">
        <v>11666.8555677972</v>
      </c>
      <c r="W67" s="294">
        <v>12707.420266707988</v>
      </c>
      <c r="X67" s="294">
        <v>10493.500363960502</v>
      </c>
      <c r="Y67" s="294">
        <v>9230.1264807913358</v>
      </c>
      <c r="Z67" s="294">
        <v>8738.5567750814371</v>
      </c>
      <c r="AA67" s="294">
        <v>8354.3258243493437</v>
      </c>
      <c r="AB67" s="294">
        <v>8644.302473343032</v>
      </c>
      <c r="AC67" s="294">
        <v>12021.90541288575</v>
      </c>
      <c r="AD67" s="294">
        <v>14951.616750591322</v>
      </c>
      <c r="AE67" s="294">
        <v>16191.579347493953</v>
      </c>
      <c r="AF67" s="294">
        <v>16323.916634056968</v>
      </c>
      <c r="AG67" s="294">
        <v>20349.624872819873</v>
      </c>
      <c r="AH67" s="294">
        <v>20785.538883078723</v>
      </c>
      <c r="AI67" s="294">
        <v>23088.124645695658</v>
      </c>
      <c r="AJ67" s="294">
        <v>22012.693118816645</v>
      </c>
      <c r="AK67" s="294">
        <v>23913.885243075245</v>
      </c>
      <c r="AL67" s="294">
        <v>28067.969742505564</v>
      </c>
      <c r="AM67" s="294">
        <v>27154.336880505798</v>
      </c>
      <c r="AN67" s="294">
        <v>24532.026923492016</v>
      </c>
      <c r="AO67" s="294">
        <v>25051.339958264263</v>
      </c>
      <c r="AP67" s="294">
        <v>24886.865663797562</v>
      </c>
      <c r="AQ67" s="294">
        <v>22697.012303303494</v>
      </c>
      <c r="AR67" s="294">
        <v>22600.916149918627</v>
      </c>
      <c r="AS67" s="294">
        <v>24465.33350455861</v>
      </c>
      <c r="AT67" s="294">
        <v>30039.09223723536</v>
      </c>
      <c r="AU67" s="294">
        <v>34706.693901039267</v>
      </c>
      <c r="AV67" s="294">
        <v>36011.469401292525</v>
      </c>
      <c r="AW67" s="294">
        <v>37918.773203312274</v>
      </c>
      <c r="AX67" s="294">
        <v>43255.395283078251</v>
      </c>
      <c r="AY67" s="294">
        <v>47374.448125518633</v>
      </c>
      <c r="AZ67" s="294">
        <v>43847.999289745072</v>
      </c>
      <c r="BA67" s="294">
        <v>43006.128178537801</v>
      </c>
      <c r="BB67" s="294">
        <v>46662.528262273903</v>
      </c>
      <c r="BC67" s="298">
        <f t="shared" si="0"/>
        <v>46662.528262273903</v>
      </c>
    </row>
    <row r="68" spans="2:55">
      <c r="B68" s="72" t="s">
        <v>533</v>
      </c>
      <c r="C68" s="72" t="s">
        <v>534</v>
      </c>
      <c r="D68" s="294">
        <v>317.95861983074491</v>
      </c>
      <c r="E68" s="294">
        <v>326.17310979218371</v>
      </c>
      <c r="F68" s="294">
        <v>333.52110281700499</v>
      </c>
      <c r="G68" s="294">
        <v>346.04503417403515</v>
      </c>
      <c r="H68" s="294">
        <v>371.92703961244518</v>
      </c>
      <c r="I68" s="294">
        <v>401.33934024033084</v>
      </c>
      <c r="J68" s="294">
        <v>418.05322822009896</v>
      </c>
      <c r="K68" s="294">
        <v>387.86798457521041</v>
      </c>
      <c r="L68" s="294">
        <v>400.90899626838348</v>
      </c>
      <c r="M68" s="294">
        <v>443.71631965889571</v>
      </c>
      <c r="N68" s="294">
        <v>486.41793215338652</v>
      </c>
      <c r="O68" s="294">
        <v>536.15997326365709</v>
      </c>
      <c r="P68" s="294">
        <v>628.40509272188774</v>
      </c>
      <c r="Q68" s="294">
        <v>816.45241854993651</v>
      </c>
      <c r="R68" s="294">
        <v>917.56858140427312</v>
      </c>
      <c r="S68" s="294">
        <v>737.42058349629656</v>
      </c>
      <c r="T68" s="294">
        <v>873.57335706668891</v>
      </c>
      <c r="U68" s="294">
        <v>985.26887850349465</v>
      </c>
      <c r="V68" s="294">
        <v>1067.7948012062079</v>
      </c>
      <c r="W68" s="294">
        <v>1333.9041095890411</v>
      </c>
      <c r="X68" s="294">
        <v>1286.9194026755522</v>
      </c>
      <c r="Y68" s="294">
        <v>1165.1078076691902</v>
      </c>
      <c r="Z68" s="294">
        <v>1203.9290127782094</v>
      </c>
      <c r="AA68" s="294">
        <v>1301.9932515337669</v>
      </c>
      <c r="AB68" s="294">
        <v>1258.4235860409146</v>
      </c>
      <c r="AC68" s="294">
        <v>1337.1478873239437</v>
      </c>
      <c r="AD68" s="294">
        <v>1578.4818264840183</v>
      </c>
      <c r="AE68" s="294">
        <v>1751.3904338153504</v>
      </c>
      <c r="AF68" s="294">
        <v>1982.2599126637554</v>
      </c>
      <c r="AG68" s="294">
        <v>2185.449650793651</v>
      </c>
      <c r="AH68" s="294">
        <v>2292.374878685031</v>
      </c>
      <c r="AI68" s="294">
        <v>2603.7370778186937</v>
      </c>
      <c r="AJ68" s="294">
        <v>2730.5348941954635</v>
      </c>
      <c r="AK68" s="294">
        <v>2752.4180628586491</v>
      </c>
      <c r="AL68" s="294">
        <v>2863.8880917215474</v>
      </c>
      <c r="AM68" s="294">
        <v>2888.6096097438285</v>
      </c>
      <c r="AN68" s="294">
        <v>2844.339656981696</v>
      </c>
      <c r="AO68" s="294">
        <v>2888.3541833325999</v>
      </c>
      <c r="AP68" s="294">
        <v>3013.6075432701978</v>
      </c>
      <c r="AQ68" s="294">
        <v>3329.6637309847879</v>
      </c>
      <c r="AR68" s="294">
        <v>3388.4211247445201</v>
      </c>
      <c r="AS68" s="294">
        <v>3516.8793483448526</v>
      </c>
      <c r="AT68" s="294">
        <v>3610.5191388714288</v>
      </c>
      <c r="AU68" s="294">
        <v>3737.8050470352973</v>
      </c>
      <c r="AV68" s="294">
        <v>3820.6806298035985</v>
      </c>
      <c r="AW68" s="294">
        <v>4025.0855382598393</v>
      </c>
      <c r="AX68" s="294">
        <v>4098.721206885185</v>
      </c>
      <c r="AY68" s="294">
        <v>4233.1574045327534</v>
      </c>
      <c r="AZ68" s="294">
        <v>4048.6194477791119</v>
      </c>
      <c r="BA68" s="294">
        <v>4057.1511459239919</v>
      </c>
      <c r="BB68" s="294">
        <v>4059.1699383062255</v>
      </c>
      <c r="BC68" s="298">
        <f t="shared" si="0"/>
        <v>4059.1699383062255</v>
      </c>
    </row>
    <row r="69" spans="2:55">
      <c r="B69" s="72" t="s">
        <v>535</v>
      </c>
      <c r="C69" s="72" t="s">
        <v>536</v>
      </c>
      <c r="D69" s="294">
        <v>96.14708184762803</v>
      </c>
      <c r="E69" s="294">
        <v>95.135378466422054</v>
      </c>
      <c r="F69" s="294">
        <v>100.68818690443108</v>
      </c>
      <c r="G69" s="294">
        <v>105.35602542189331</v>
      </c>
      <c r="H69" s="294">
        <v>110.58929565752446</v>
      </c>
      <c r="I69" s="294">
        <v>113.92751740637674</v>
      </c>
      <c r="J69" s="294">
        <v>113.33563661005469</v>
      </c>
      <c r="K69" s="294">
        <v>119.36799382060393</v>
      </c>
      <c r="L69" s="294">
        <v>118.49768660435679</v>
      </c>
      <c r="M69" s="294">
        <v>116.53159770540228</v>
      </c>
      <c r="N69" s="294">
        <v>114.45909651737425</v>
      </c>
      <c r="O69" s="294">
        <v>137.98857999652211</v>
      </c>
      <c r="P69" s="294">
        <v>166.16399230426302</v>
      </c>
      <c r="Q69" s="294">
        <v>178.60196522514235</v>
      </c>
      <c r="R69" s="294">
        <v>212.70271603565911</v>
      </c>
      <c r="S69" s="294">
        <v>214.21460426913592</v>
      </c>
      <c r="T69" s="294">
        <v>224.46592025798395</v>
      </c>
      <c r="U69" s="294">
        <v>271.03428538242275</v>
      </c>
      <c r="V69" s="294">
        <v>337.29547240735587</v>
      </c>
      <c r="W69" s="294">
        <v>389.16645944496264</v>
      </c>
      <c r="X69" s="294">
        <v>348.13701392887924</v>
      </c>
      <c r="Y69" s="294">
        <v>332.62062985951297</v>
      </c>
      <c r="Z69" s="294">
        <v>279.569494359619</v>
      </c>
      <c r="AA69" s="294">
        <v>260.97542191197215</v>
      </c>
      <c r="AB69" s="294">
        <v>252.57855299478379</v>
      </c>
      <c r="AC69" s="294">
        <v>314.04817071080629</v>
      </c>
      <c r="AD69" s="294">
        <v>357.40707594311527</v>
      </c>
      <c r="AE69" s="294">
        <v>360.51382244364828</v>
      </c>
      <c r="AF69" s="294">
        <v>324.66465849052935</v>
      </c>
      <c r="AG69" s="294">
        <v>386.54693841312479</v>
      </c>
      <c r="AH69" s="294">
        <v>380.57986835960645</v>
      </c>
      <c r="AI69" s="294">
        <v>317.96980160990711</v>
      </c>
      <c r="AJ69" s="294">
        <v>398.11877598036659</v>
      </c>
      <c r="AK69" s="294">
        <v>273.48552601866362</v>
      </c>
      <c r="AL69" s="294">
        <v>355.54346525739601</v>
      </c>
      <c r="AM69" s="294">
        <v>379.26361718226485</v>
      </c>
      <c r="AN69" s="294">
        <v>360.17360253645302</v>
      </c>
      <c r="AO69" s="294">
        <v>379.31357379830524</v>
      </c>
      <c r="AP69" s="294">
        <v>377.18192217746849</v>
      </c>
      <c r="AQ69" s="294">
        <v>345.95035518270004</v>
      </c>
      <c r="AR69" s="294">
        <v>352.87413607175506</v>
      </c>
      <c r="AS69" s="294">
        <v>404.63583459672526</v>
      </c>
      <c r="AT69" s="294">
        <v>496.57995818131184</v>
      </c>
      <c r="AU69" s="294">
        <v>547.10006151239043</v>
      </c>
      <c r="AV69" s="294">
        <v>561.64531882073345</v>
      </c>
      <c r="AW69" s="294">
        <v>601.50092825994341</v>
      </c>
      <c r="AX69" s="294">
        <v>683.65212972865766</v>
      </c>
      <c r="AY69" s="294">
        <v>799.75597286466609</v>
      </c>
      <c r="AZ69" s="294">
        <v>765.5536147040774</v>
      </c>
      <c r="BA69" s="294">
        <v>741.06552826896348</v>
      </c>
      <c r="BB69" s="294">
        <v>801.640480754279</v>
      </c>
      <c r="BC69" s="298">
        <f t="shared" si="0"/>
        <v>801.640480754279</v>
      </c>
    </row>
    <row r="70" spans="2:55">
      <c r="B70" s="72" t="s">
        <v>537</v>
      </c>
      <c r="C70" s="72" t="s">
        <v>538</v>
      </c>
      <c r="D70" s="294">
        <v>1961.5381692464971</v>
      </c>
      <c r="E70" s="294">
        <v>2020.3859650334512</v>
      </c>
      <c r="F70" s="294">
        <v>2020.2652475244545</v>
      </c>
      <c r="G70" s="294">
        <v>2199.7270069117926</v>
      </c>
      <c r="H70" s="294">
        <v>2282.2165461623936</v>
      </c>
      <c r="I70" s="294">
        <v>2630.850466329458</v>
      </c>
      <c r="J70" s="294">
        <v>2982.7497042610776</v>
      </c>
      <c r="K70" s="294">
        <v>2830.1886792452829</v>
      </c>
      <c r="L70" s="294">
        <v>3053.7037037037039</v>
      </c>
      <c r="M70" s="294">
        <v>3387.2727272727275</v>
      </c>
      <c r="N70" s="294">
        <v>3866.3003663003665</v>
      </c>
      <c r="O70" s="294">
        <v>4343.1734317343171</v>
      </c>
      <c r="P70" s="294">
        <v>5009.2936802973982</v>
      </c>
      <c r="Q70" s="294">
        <v>5853.9325842696626</v>
      </c>
      <c r="R70" s="294">
        <v>6509.433962264151</v>
      </c>
      <c r="S70" s="294">
        <v>7261.2781954887214</v>
      </c>
      <c r="T70" s="294">
        <v>8370.786516853932</v>
      </c>
      <c r="U70" s="294">
        <v>8876.8656716417918</v>
      </c>
      <c r="V70" s="294">
        <v>9613.3828996282537</v>
      </c>
      <c r="W70" s="294">
        <v>11357.406814814814</v>
      </c>
      <c r="X70" s="294">
        <v>13586.397647058824</v>
      </c>
      <c r="Y70" s="294">
        <v>14333.942189781023</v>
      </c>
      <c r="Z70" s="294">
        <v>16112.31884057971</v>
      </c>
      <c r="AA70" s="294">
        <v>17728.416690647482</v>
      </c>
      <c r="AB70" s="294">
        <v>18562.500571428573</v>
      </c>
      <c r="AC70" s="294">
        <v>20623.902144112479</v>
      </c>
      <c r="AD70" s="294">
        <v>22430.795294117648</v>
      </c>
      <c r="AE70" s="294">
        <v>24107.325928449744</v>
      </c>
      <c r="AF70" s="294">
        <v>25192.953557046982</v>
      </c>
      <c r="AG70" s="294">
        <v>26320.661157024795</v>
      </c>
      <c r="AH70" s="294">
        <v>26801.638819672131</v>
      </c>
      <c r="AI70" s="294">
        <v>27539.344786885245</v>
      </c>
      <c r="AJ70" s="294">
        <v>29841.966163934427</v>
      </c>
      <c r="AK70" s="294">
        <v>30459.381141924958</v>
      </c>
      <c r="AL70" s="294">
        <v>32913.28933549433</v>
      </c>
      <c r="AM70" s="294">
        <v>43614.724919093853</v>
      </c>
      <c r="AN70" s="294">
        <v>47380.080775444265</v>
      </c>
      <c r="AO70" s="294">
        <v>50495.93548387097</v>
      </c>
      <c r="AP70" s="294">
        <v>53619.887096774197</v>
      </c>
      <c r="AQ70" s="294">
        <v>56042.17391304348</v>
      </c>
      <c r="AR70" s="294">
        <v>58887.728000000003</v>
      </c>
      <c r="AS70" s="294">
        <v>62694.713375796178</v>
      </c>
      <c r="AT70" s="294">
        <v>66452.777777777781</v>
      </c>
      <c r="AU70" s="294">
        <v>70848.388625592415</v>
      </c>
      <c r="AV70" s="294">
        <v>76543.018867924533</v>
      </c>
      <c r="AW70" s="294">
        <v>84862.523510971791</v>
      </c>
      <c r="AX70" s="294">
        <v>92110.125</v>
      </c>
      <c r="AY70" s="294">
        <v>95170.218068535833</v>
      </c>
      <c r="AZ70" s="294">
        <v>90161.149068322964</v>
      </c>
      <c r="BA70" s="294">
        <v>89739.309120911639</v>
      </c>
      <c r="BB70" s="294"/>
      <c r="BC70" s="298">
        <f t="shared" si="0"/>
        <v>0</v>
      </c>
    </row>
    <row r="71" spans="2:55">
      <c r="B71" s="72" t="s">
        <v>539</v>
      </c>
      <c r="C71" s="72" t="s">
        <v>540</v>
      </c>
      <c r="D71" s="294"/>
      <c r="E71" s="294"/>
      <c r="F71" s="294"/>
      <c r="G71" s="294"/>
      <c r="H71" s="294"/>
      <c r="I71" s="294"/>
      <c r="J71" s="294"/>
      <c r="K71" s="294"/>
      <c r="L71" s="294"/>
      <c r="M71" s="294"/>
      <c r="N71" s="294"/>
      <c r="O71" s="294"/>
      <c r="P71" s="294"/>
      <c r="Q71" s="294"/>
      <c r="R71" s="294"/>
      <c r="S71" s="294"/>
      <c r="T71" s="294"/>
      <c r="U71" s="294"/>
      <c r="V71" s="294"/>
      <c r="W71" s="294">
        <v>315.00904464744718</v>
      </c>
      <c r="X71" s="294">
        <v>330.7179589531371</v>
      </c>
      <c r="Y71" s="294">
        <v>328.19883073975541</v>
      </c>
      <c r="Z71" s="294">
        <v>356.22825953714556</v>
      </c>
      <c r="AA71" s="294">
        <v>354.96782437746907</v>
      </c>
      <c r="AB71" s="294">
        <v>351.15040186983737</v>
      </c>
      <c r="AC71" s="294">
        <v>397.64331940661089</v>
      </c>
      <c r="AD71" s="294">
        <v>483.05002116605351</v>
      </c>
      <c r="AE71" s="294">
        <v>524.7668517054426</v>
      </c>
      <c r="AF71" s="294">
        <v>498.86359180063005</v>
      </c>
      <c r="AG71" s="294">
        <v>536.77220192375034</v>
      </c>
      <c r="AH71" s="294">
        <v>449.9274688623039</v>
      </c>
      <c r="AI71" s="294">
        <v>459.03103201958538</v>
      </c>
      <c r="AJ71" s="294">
        <v>440.61017491732969</v>
      </c>
      <c r="AK71" s="294">
        <v>517.37250641395212</v>
      </c>
      <c r="AL71" s="294">
        <v>584.38644825327128</v>
      </c>
      <c r="AM71" s="294">
        <v>607.88324982233132</v>
      </c>
      <c r="AN71" s="294">
        <v>692.82328299992105</v>
      </c>
      <c r="AO71" s="294">
        <v>697.41018360993962</v>
      </c>
      <c r="AP71" s="294">
        <v>754.50695793247075</v>
      </c>
      <c r="AQ71" s="294">
        <v>768.75099948332763</v>
      </c>
      <c r="AR71" s="294">
        <v>810.06835652488849</v>
      </c>
      <c r="AS71" s="294">
        <v>886.18624553608504</v>
      </c>
      <c r="AT71" s="294">
        <v>996.14866470183699</v>
      </c>
      <c r="AU71" s="294">
        <v>1093.8387582037351</v>
      </c>
      <c r="AV71" s="294">
        <v>1242.0413166907408</v>
      </c>
      <c r="AW71" s="294">
        <v>1330.5133622626572</v>
      </c>
      <c r="AX71" s="294">
        <v>1736.9756303785859</v>
      </c>
      <c r="AY71" s="294">
        <v>1792.9097498478759</v>
      </c>
      <c r="AZ71" s="294">
        <v>1772.1008549695541</v>
      </c>
      <c r="BA71" s="294">
        <v>2183.4423327615823</v>
      </c>
      <c r="BB71" s="294">
        <v>2346.2868482843501</v>
      </c>
      <c r="BC71" s="298">
        <f t="shared" si="0"/>
        <v>2346.2868482843501</v>
      </c>
    </row>
    <row r="72" spans="2:55">
      <c r="B72" s="72" t="s">
        <v>541</v>
      </c>
      <c r="C72" s="72" t="s">
        <v>542</v>
      </c>
      <c r="D72" s="294">
        <v>178.56861112967474</v>
      </c>
      <c r="E72" s="294">
        <v>190.94514822057786</v>
      </c>
      <c r="F72" s="294">
        <v>201.05446532393285</v>
      </c>
      <c r="G72" s="294">
        <v>221.48780499902495</v>
      </c>
      <c r="H72" s="294">
        <v>242.17977387534776</v>
      </c>
      <c r="I72" s="294">
        <v>258.882555906189</v>
      </c>
      <c r="J72" s="294">
        <v>275.89891711923394</v>
      </c>
      <c r="K72" s="294">
        <v>226.00099711245775</v>
      </c>
      <c r="L72" s="294">
        <v>234.28589325122485</v>
      </c>
      <c r="M72" s="294">
        <v>241.23190999032323</v>
      </c>
      <c r="N72" s="294">
        <v>253.60303619868708</v>
      </c>
      <c r="O72" s="294">
        <v>284.14194199638763</v>
      </c>
      <c r="P72" s="294">
        <v>278.47392586365839</v>
      </c>
      <c r="Q72" s="294">
        <v>451.91524177439305</v>
      </c>
      <c r="R72" s="294">
        <v>505.0459809613447</v>
      </c>
      <c r="S72" s="294">
        <v>560.16606773679757</v>
      </c>
      <c r="T72" s="294">
        <v>646.11114128984354</v>
      </c>
      <c r="U72" s="294">
        <v>734.84934314337136</v>
      </c>
      <c r="V72" s="294">
        <v>844.79580615293582</v>
      </c>
      <c r="W72" s="294">
        <v>847.70883404036431</v>
      </c>
      <c r="X72" s="294">
        <v>1076.874384176989</v>
      </c>
      <c r="Y72" s="294">
        <v>1000.8719246770017</v>
      </c>
      <c r="Z72" s="294">
        <v>949.91250229184732</v>
      </c>
      <c r="AA72" s="294">
        <v>1058.0820162022658</v>
      </c>
      <c r="AB72" s="294">
        <v>902.6380291859341</v>
      </c>
      <c r="AC72" s="294">
        <v>650.16003239573183</v>
      </c>
      <c r="AD72" s="294">
        <v>694.7228430964077</v>
      </c>
      <c r="AE72" s="294">
        <v>722.50134188387733</v>
      </c>
      <c r="AF72" s="294">
        <v>724.59688829597417</v>
      </c>
      <c r="AG72" s="294">
        <v>731.03710218406673</v>
      </c>
      <c r="AH72" s="294">
        <v>784.17811304021996</v>
      </c>
      <c r="AI72" s="294">
        <v>809.25273287050879</v>
      </c>
      <c r="AJ72" s="294">
        <v>803.38184733110211</v>
      </c>
      <c r="AK72" s="294">
        <v>818.87056724654281</v>
      </c>
      <c r="AL72" s="294">
        <v>898.83976213480355</v>
      </c>
      <c r="AM72" s="294">
        <v>968.48888539088614</v>
      </c>
      <c r="AN72" s="294">
        <v>1015.5555637336511</v>
      </c>
      <c r="AO72" s="294">
        <v>1066.0201516748834</v>
      </c>
      <c r="AP72" s="294">
        <v>1017.9706534936025</v>
      </c>
      <c r="AQ72" s="294">
        <v>1010.9073673767431</v>
      </c>
      <c r="AR72" s="294">
        <v>960.456850311209</v>
      </c>
      <c r="AS72" s="294">
        <v>914.28205391993811</v>
      </c>
      <c r="AT72" s="294">
        <v>916.796514193392</v>
      </c>
      <c r="AU72" s="294">
        <v>976.68182322540292</v>
      </c>
      <c r="AV72" s="294">
        <v>1044.0096736672351</v>
      </c>
      <c r="AW72" s="294">
        <v>1230.4411535340209</v>
      </c>
      <c r="AX72" s="294">
        <v>1386.4343638677769</v>
      </c>
      <c r="AY72" s="294">
        <v>1733.6460690436909</v>
      </c>
      <c r="AZ72" s="294">
        <v>1774.1952083434746</v>
      </c>
      <c r="BA72" s="294">
        <v>1978.8543265443352</v>
      </c>
      <c r="BB72" s="294">
        <v>2373.9506573208314</v>
      </c>
      <c r="BC72" s="298">
        <f t="shared" si="0"/>
        <v>2373.9506573208314</v>
      </c>
    </row>
    <row r="73" spans="2:55">
      <c r="B73" s="72" t="s">
        <v>543</v>
      </c>
      <c r="C73" s="72" t="s">
        <v>544</v>
      </c>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v>362.73566086027671</v>
      </c>
      <c r="AL73" s="294">
        <v>560.1795003184227</v>
      </c>
      <c r="AM73" s="294">
        <v>842.80757192821591</v>
      </c>
      <c r="AN73" s="294">
        <v>1090.9790474490705</v>
      </c>
      <c r="AO73" s="294">
        <v>1182.8627759438755</v>
      </c>
      <c r="AP73" s="294">
        <v>1301.0718893173753</v>
      </c>
      <c r="AQ73" s="294">
        <v>1490.6428343515222</v>
      </c>
      <c r="AR73" s="294">
        <v>1533.7308096050963</v>
      </c>
      <c r="AS73" s="294">
        <v>1761.5021914127867</v>
      </c>
      <c r="AT73" s="294">
        <v>2212.700605462046</v>
      </c>
      <c r="AU73" s="294">
        <v>2650.5928914746064</v>
      </c>
      <c r="AV73" s="294">
        <v>2895.5430380139533</v>
      </c>
      <c r="AW73" s="294">
        <v>3279.0728718486307</v>
      </c>
      <c r="AX73" s="294">
        <v>4043.5243015160549</v>
      </c>
      <c r="AY73" s="294">
        <v>4913.2177072451577</v>
      </c>
      <c r="AZ73" s="294">
        <v>4534.0569813753482</v>
      </c>
      <c r="BA73" s="294">
        <v>4427.347194350803</v>
      </c>
      <c r="BB73" s="294">
        <v>4820.6660292115448</v>
      </c>
      <c r="BC73" s="298">
        <f t="shared" si="0"/>
        <v>4820.6660292115448</v>
      </c>
    </row>
    <row r="74" spans="2:55">
      <c r="B74" s="72" t="s">
        <v>545</v>
      </c>
      <c r="C74" s="72" t="s">
        <v>546</v>
      </c>
      <c r="D74" s="294">
        <v>61.323767847799132</v>
      </c>
      <c r="E74" s="294">
        <v>64.814602735593155</v>
      </c>
      <c r="F74" s="294">
        <v>67.505457546187543</v>
      </c>
      <c r="G74" s="294">
        <v>71.812124053252546</v>
      </c>
      <c r="H74" s="294">
        <v>76.865706379274371</v>
      </c>
      <c r="I74" s="294">
        <v>83.970260235431937</v>
      </c>
      <c r="J74" s="294">
        <v>92.90236022862554</v>
      </c>
      <c r="K74" s="294">
        <v>101.81476955372699</v>
      </c>
      <c r="L74" s="294">
        <v>115.25047112838094</v>
      </c>
      <c r="M74" s="294">
        <v>138.88743509988825</v>
      </c>
      <c r="N74" s="294">
        <v>177.37389283992763</v>
      </c>
      <c r="O74" s="294">
        <v>223.41081736001971</v>
      </c>
      <c r="P74" s="294">
        <v>319.07436489192384</v>
      </c>
      <c r="Q74" s="294">
        <v>386.20879258046307</v>
      </c>
      <c r="R74" s="294">
        <v>432.10921862512885</v>
      </c>
      <c r="S74" s="294">
        <v>435.74188653449534</v>
      </c>
      <c r="T74" s="294">
        <v>508.74937436077573</v>
      </c>
      <c r="U74" s="294">
        <v>639.49916831489418</v>
      </c>
      <c r="V74" s="294">
        <v>854.4021108225412</v>
      </c>
      <c r="W74" s="294">
        <v>1064.9247048252935</v>
      </c>
      <c r="X74" s="294">
        <v>1039.6203307486301</v>
      </c>
      <c r="Y74" s="294">
        <v>948.80734708241312</v>
      </c>
      <c r="Z74" s="294">
        <v>1059.1149777285896</v>
      </c>
      <c r="AA74" s="294">
        <v>1084.2155821577364</v>
      </c>
      <c r="AB74" s="294">
        <v>942.49299179496404</v>
      </c>
      <c r="AC74" s="294">
        <v>1139.8047456174465</v>
      </c>
      <c r="AD74" s="294">
        <v>1558.1767752493015</v>
      </c>
      <c r="AE74" s="294">
        <v>2032.4812756153874</v>
      </c>
      <c r="AF74" s="294">
        <v>2298.7181650243947</v>
      </c>
      <c r="AG74" s="294">
        <v>2742.1268704461099</v>
      </c>
      <c r="AH74" s="294">
        <v>2769.7109053931613</v>
      </c>
      <c r="AI74" s="294">
        <v>2830.4980917895664</v>
      </c>
      <c r="AJ74" s="294">
        <v>2762.3281374136341</v>
      </c>
      <c r="AK74" s="294">
        <v>2806.5505422517772</v>
      </c>
      <c r="AL74" s="294">
        <v>3010.3829190552301</v>
      </c>
      <c r="AM74" s="294">
        <v>2956.1066442467954</v>
      </c>
      <c r="AN74" s="294">
        <v>3119.4807560459044</v>
      </c>
      <c r="AO74" s="294">
        <v>3061.2943784928698</v>
      </c>
      <c r="AP74" s="294">
        <v>3394.592301994091</v>
      </c>
      <c r="AQ74" s="294">
        <v>3204.1154830987966</v>
      </c>
      <c r="AR74" s="294">
        <v>3381.2860924303868</v>
      </c>
      <c r="AS74" s="294">
        <v>3368.9990145439674</v>
      </c>
      <c r="AT74" s="294">
        <v>4418.7226659745584</v>
      </c>
      <c r="AU74" s="294">
        <v>5425.1457489176673</v>
      </c>
      <c r="AV74" s="294">
        <v>5467.6591038757579</v>
      </c>
      <c r="AW74" s="294">
        <v>5921.2478757422386</v>
      </c>
      <c r="AX74" s="294">
        <v>6422.1850557941125</v>
      </c>
      <c r="AY74" s="294">
        <v>6877.0410966320887</v>
      </c>
      <c r="AZ74" s="294">
        <v>5822.0965645506685</v>
      </c>
      <c r="BA74" s="294">
        <v>7426.6283576930064</v>
      </c>
      <c r="BB74" s="294">
        <v>8532.6172216812374</v>
      </c>
      <c r="BC74" s="298">
        <f t="shared" si="0"/>
        <v>8532.6172216812374</v>
      </c>
    </row>
    <row r="75" spans="2:55">
      <c r="B75" s="72" t="s">
        <v>547</v>
      </c>
      <c r="C75" s="72" t="s">
        <v>548</v>
      </c>
      <c r="D75" s="294">
        <v>203.22402860295048</v>
      </c>
      <c r="E75" s="294">
        <v>257.84590096625215</v>
      </c>
      <c r="F75" s="294">
        <v>289.0612419716166</v>
      </c>
      <c r="G75" s="294">
        <v>258.61268633817684</v>
      </c>
      <c r="H75" s="294">
        <v>258.2094762580802</v>
      </c>
      <c r="I75" s="294">
        <v>312.01551452100762</v>
      </c>
      <c r="J75" s="294">
        <v>343.4651427120146</v>
      </c>
      <c r="K75" s="294">
        <v>370.6538983640541</v>
      </c>
      <c r="L75" s="294">
        <v>399.65540992851567</v>
      </c>
      <c r="M75" s="294">
        <v>440.55315668337801</v>
      </c>
      <c r="N75" s="294">
        <v>499.81605196560719</v>
      </c>
      <c r="O75" s="294">
        <v>580.57902120005065</v>
      </c>
      <c r="P75" s="294">
        <v>767.89247029870285</v>
      </c>
      <c r="Q75" s="294">
        <v>994.63213664916896</v>
      </c>
      <c r="R75" s="294">
        <v>1143.0854997047343</v>
      </c>
      <c r="S75" s="294">
        <v>1377.9005819847546</v>
      </c>
      <c r="T75" s="294">
        <v>1552.9620395560121</v>
      </c>
      <c r="U75" s="294">
        <v>1728.9777271887733</v>
      </c>
      <c r="V75" s="294">
        <v>1892.1555423125999</v>
      </c>
      <c r="W75" s="294">
        <v>1930.9916984273436</v>
      </c>
      <c r="X75" s="294">
        <v>2115.4539369723716</v>
      </c>
      <c r="Y75" s="294">
        <v>2209.0187547299424</v>
      </c>
      <c r="Z75" s="294">
        <v>1558.3783383897851</v>
      </c>
      <c r="AA75" s="294">
        <v>1567.1294042573675</v>
      </c>
      <c r="AB75" s="294">
        <v>1636.3162242540859</v>
      </c>
      <c r="AC75" s="294">
        <v>1928.3588968767092</v>
      </c>
      <c r="AD75" s="294">
        <v>2074.0627989241011</v>
      </c>
      <c r="AE75" s="294">
        <v>2286.9559065280864</v>
      </c>
      <c r="AF75" s="294">
        <v>2893.4607250563549</v>
      </c>
      <c r="AG75" s="294">
        <v>3086.8770204031662</v>
      </c>
      <c r="AH75" s="294">
        <v>2677.266955224693</v>
      </c>
      <c r="AI75" s="294">
        <v>2526.5961835424177</v>
      </c>
      <c r="AJ75" s="294">
        <v>2791.9686837855024</v>
      </c>
      <c r="AK75" s="294">
        <v>3854.8823858939386</v>
      </c>
      <c r="AL75" s="294">
        <v>4751.0659892138692</v>
      </c>
      <c r="AM75" s="294">
        <v>5109.34478920934</v>
      </c>
      <c r="AN75" s="294">
        <v>5220.8586721046468</v>
      </c>
      <c r="AO75" s="294">
        <v>4980.9857310209536</v>
      </c>
      <c r="AP75" s="294">
        <v>3413.2567665111314</v>
      </c>
      <c r="AQ75" s="294">
        <v>3696.1467719225629</v>
      </c>
      <c r="AR75" s="294">
        <v>3129.7554564426409</v>
      </c>
      <c r="AS75" s="294">
        <v>2812.3342233721341</v>
      </c>
      <c r="AT75" s="294">
        <v>3041.6777963455784</v>
      </c>
      <c r="AU75" s="294">
        <v>3609.8773662069734</v>
      </c>
      <c r="AV75" s="294">
        <v>4743.2663213280221</v>
      </c>
      <c r="AW75" s="294">
        <v>5793.3985116135254</v>
      </c>
      <c r="AX75" s="294">
        <v>7197.0286013677223</v>
      </c>
      <c r="AY75" s="294">
        <v>8628.9528410580624</v>
      </c>
      <c r="AZ75" s="294">
        <v>8391.6685920393811</v>
      </c>
      <c r="BA75" s="294">
        <v>10992.94248958826</v>
      </c>
      <c r="BB75" s="294">
        <v>12593.892927030683</v>
      </c>
      <c r="BC75" s="298">
        <f t="shared" si="0"/>
        <v>12593.892927030683</v>
      </c>
    </row>
    <row r="76" spans="2:55">
      <c r="B76" s="72" t="s">
        <v>549</v>
      </c>
      <c r="C76" s="72" t="s">
        <v>550</v>
      </c>
      <c r="D76" s="294"/>
      <c r="E76" s="294"/>
      <c r="F76" s="294"/>
      <c r="G76" s="294"/>
      <c r="H76" s="294">
        <v>1145.7185908143645</v>
      </c>
      <c r="I76" s="294">
        <v>1274.929370983353</v>
      </c>
      <c r="J76" s="294">
        <v>1275.883246245668</v>
      </c>
      <c r="K76" s="294">
        <v>1409.8545302301472</v>
      </c>
      <c r="L76" s="294">
        <v>1349.7261360542325</v>
      </c>
      <c r="M76" s="294">
        <v>1431.6329248805732</v>
      </c>
      <c r="N76" s="294">
        <v>1507.6954373092376</v>
      </c>
      <c r="O76" s="294">
        <v>1974.1695703014345</v>
      </c>
      <c r="P76" s="294">
        <v>3017.0535540674391</v>
      </c>
      <c r="Q76" s="294">
        <v>7155.320187695158</v>
      </c>
      <c r="R76" s="294">
        <v>7460.6743871459876</v>
      </c>
      <c r="S76" s="294">
        <v>8719.3112877164167</v>
      </c>
      <c r="T76" s="294">
        <v>10200.577876202955</v>
      </c>
      <c r="U76" s="294">
        <v>11001.318523672888</v>
      </c>
      <c r="V76" s="294">
        <v>15322.374419454254</v>
      </c>
      <c r="W76" s="294">
        <v>26037.110184719993</v>
      </c>
      <c r="X76" s="294">
        <v>22345.690500099143</v>
      </c>
      <c r="Y76" s="294">
        <v>21183.463253777169</v>
      </c>
      <c r="Z76" s="294">
        <v>18562.601473776282</v>
      </c>
      <c r="AA76" s="294">
        <v>17758.157615716285</v>
      </c>
      <c r="AB76" s="294">
        <v>16085.882506575281</v>
      </c>
      <c r="AC76" s="294">
        <v>10469.234123083952</v>
      </c>
      <c r="AD76" s="294">
        <v>11888.059722903632</v>
      </c>
      <c r="AE76" s="294">
        <v>11291.066285569617</v>
      </c>
      <c r="AF76" s="294">
        <v>12180.015623633568</v>
      </c>
      <c r="AG76" s="294">
        <v>13963.51700203443</v>
      </c>
      <c r="AH76" s="294">
        <v>14272.47790712594</v>
      </c>
      <c r="AI76" s="294">
        <v>15680.818118372419</v>
      </c>
      <c r="AJ76" s="294">
        <v>14964.067455202827</v>
      </c>
      <c r="AK76" s="294">
        <v>14494.106240893298</v>
      </c>
      <c r="AL76" s="294">
        <v>16345.964064882539</v>
      </c>
      <c r="AM76" s="294">
        <v>17213.355979647338</v>
      </c>
      <c r="AN76" s="294">
        <v>17055.758202903369</v>
      </c>
      <c r="AO76" s="294">
        <v>12975.463229089672</v>
      </c>
      <c r="AP76" s="294">
        <v>14390.559792775939</v>
      </c>
      <c r="AQ76" s="294">
        <v>18350.130621293767</v>
      </c>
      <c r="AR76" s="294">
        <v>16752.277819401406</v>
      </c>
      <c r="AS76" s="294">
        <v>17106.515514372684</v>
      </c>
      <c r="AT76" s="294">
        <v>18801.256605010345</v>
      </c>
      <c r="AU76" s="294">
        <v>22116.83667681276</v>
      </c>
      <c r="AV76" s="294">
        <v>26248.413980520629</v>
      </c>
      <c r="AW76" s="294">
        <v>30975.361655222168</v>
      </c>
      <c r="AX76" s="294">
        <v>32442.930163019748</v>
      </c>
      <c r="AY76" s="294">
        <v>37414.312815570629</v>
      </c>
      <c r="AZ76" s="294">
        <v>27390.050030207043</v>
      </c>
      <c r="BA76" s="294">
        <v>31007.993730329152</v>
      </c>
      <c r="BB76" s="294">
        <v>40301.217638436356</v>
      </c>
      <c r="BC76" s="298">
        <f t="shared" si="0"/>
        <v>40301.217638436356</v>
      </c>
    </row>
    <row r="77" spans="2:55">
      <c r="B77" s="72" t="s">
        <v>551</v>
      </c>
      <c r="C77" s="72" t="s">
        <v>552</v>
      </c>
      <c r="D77" s="294"/>
      <c r="E77" s="294"/>
      <c r="F77" s="294"/>
      <c r="G77" s="294"/>
      <c r="H77" s="294"/>
      <c r="I77" s="294"/>
      <c r="J77" s="294"/>
      <c r="K77" s="294"/>
      <c r="L77" s="294"/>
      <c r="M77" s="294"/>
      <c r="N77" s="294"/>
      <c r="O77" s="294"/>
      <c r="P77" s="294"/>
      <c r="Q77" s="294"/>
      <c r="R77" s="294"/>
      <c r="S77" s="294"/>
      <c r="T77" s="294"/>
      <c r="U77" s="294"/>
      <c r="V77" s="294"/>
      <c r="W77" s="294">
        <v>2261.4172835572163</v>
      </c>
      <c r="X77" s="294">
        <v>2255.7612579737602</v>
      </c>
      <c r="Y77" s="294">
        <v>2220.8231834457861</v>
      </c>
      <c r="Z77" s="294">
        <v>1897.0785639470369</v>
      </c>
      <c r="AA77" s="294">
        <v>1943.0626103063532</v>
      </c>
      <c r="AB77" s="294">
        <v>1959.938778271774</v>
      </c>
      <c r="AC77" s="294">
        <v>2261.7577129915994</v>
      </c>
      <c r="AD77" s="294">
        <v>3168.8651246672584</v>
      </c>
      <c r="AE77" s="294">
        <v>2561.1087047554565</v>
      </c>
      <c r="AF77" s="294">
        <v>2449.800833440715</v>
      </c>
      <c r="AG77" s="294">
        <v>2377.3357862653088</v>
      </c>
      <c r="AH77" s="294">
        <v>1267.7344144150445</v>
      </c>
      <c r="AI77" s="294">
        <v>1214.4849325443147</v>
      </c>
      <c r="AJ77" s="294">
        <v>1278.5173915087973</v>
      </c>
      <c r="AK77" s="294">
        <v>1149.3779925494064</v>
      </c>
      <c r="AL77" s="294">
        <v>1554.7217229287744</v>
      </c>
      <c r="AM77" s="294">
        <v>1063.0756609898922</v>
      </c>
      <c r="AN77" s="294">
        <v>1209.5027441158754</v>
      </c>
      <c r="AO77" s="294">
        <v>1581.8245741277565</v>
      </c>
      <c r="AP77" s="294">
        <v>1611.1290038690756</v>
      </c>
      <c r="AQ77" s="294">
        <v>1579.3482395579799</v>
      </c>
      <c r="AR77" s="294">
        <v>1729.1911568611197</v>
      </c>
      <c r="AS77" s="294">
        <v>2030.7885234221449</v>
      </c>
      <c r="AT77" s="294">
        <v>2641.7877231345201</v>
      </c>
      <c r="AU77" s="294">
        <v>3249.2873963734874</v>
      </c>
      <c r="AV77" s="294">
        <v>3733.2631609969799</v>
      </c>
      <c r="AW77" s="294">
        <v>4313.4306364363938</v>
      </c>
      <c r="AX77" s="294">
        <v>5498.0357289370177</v>
      </c>
      <c r="AY77" s="294">
        <v>6798.1349514102203</v>
      </c>
      <c r="AZ77" s="294">
        <v>6403.1476861133069</v>
      </c>
      <c r="BA77" s="294">
        <v>6334.6821323993572</v>
      </c>
      <c r="BB77" s="294">
        <v>7158.1568660927505</v>
      </c>
      <c r="BC77" s="298">
        <f t="shared" si="0"/>
        <v>7158.1568660927505</v>
      </c>
    </row>
    <row r="78" spans="2:55">
      <c r="B78" s="72" t="s">
        <v>553</v>
      </c>
      <c r="C78" s="72" t="s">
        <v>554</v>
      </c>
      <c r="D78" s="294">
        <v>70.658254986039992</v>
      </c>
      <c r="E78" s="294">
        <v>75.411258849536836</v>
      </c>
      <c r="F78" s="294">
        <v>77.077725224936302</v>
      </c>
      <c r="G78" s="294">
        <v>78.976928043596331</v>
      </c>
      <c r="H78" s="294">
        <v>79.453885688898964</v>
      </c>
      <c r="I78" s="294">
        <v>80.28191476282872</v>
      </c>
      <c r="J78" s="294">
        <v>81.981145882853426</v>
      </c>
      <c r="K78" s="294">
        <v>82.683283918593489</v>
      </c>
      <c r="L78" s="294">
        <v>84.075193214468257</v>
      </c>
      <c r="M78" s="294">
        <v>78.561812673802322</v>
      </c>
      <c r="N78" s="294">
        <v>80.912900163728594</v>
      </c>
      <c r="O78" s="294">
        <v>95.656542116492361</v>
      </c>
      <c r="P78" s="294">
        <v>109.47191398671546</v>
      </c>
      <c r="Q78" s="294">
        <v>119.34342738596587</v>
      </c>
      <c r="R78" s="294">
        <v>146.06084088188709</v>
      </c>
      <c r="S78" s="294">
        <v>148.44946224980794</v>
      </c>
      <c r="T78" s="294">
        <v>168.19310148678397</v>
      </c>
      <c r="U78" s="294">
        <v>214.45496786281529</v>
      </c>
      <c r="V78" s="294">
        <v>248.2581227817401</v>
      </c>
      <c r="W78" s="294">
        <v>267.40289925249039</v>
      </c>
      <c r="X78" s="294">
        <v>240.35436789035083</v>
      </c>
      <c r="Y78" s="294">
        <v>231.68095973316358</v>
      </c>
      <c r="Z78" s="294">
        <v>206.11605010826548</v>
      </c>
      <c r="AA78" s="294">
        <v>183.33132888385265</v>
      </c>
      <c r="AB78" s="294">
        <v>190.02973414368529</v>
      </c>
      <c r="AC78" s="294">
        <v>242.87274876552235</v>
      </c>
      <c r="AD78" s="294">
        <v>275.34070236900061</v>
      </c>
      <c r="AE78" s="294">
        <v>296.01156217469696</v>
      </c>
      <c r="AF78" s="294">
        <v>288.16842712016381</v>
      </c>
      <c r="AG78" s="294">
        <v>332.61593724837496</v>
      </c>
      <c r="AH78" s="294">
        <v>327.24889045558763</v>
      </c>
      <c r="AI78" s="294">
        <v>227.55514254095471</v>
      </c>
      <c r="AJ78" s="294">
        <v>230.46767089360984</v>
      </c>
      <c r="AK78" s="294">
        <v>182.22306226786912</v>
      </c>
      <c r="AL78" s="294">
        <v>222.54767951577102</v>
      </c>
      <c r="AM78" s="294">
        <v>235.30962557224163</v>
      </c>
      <c r="AN78" s="294">
        <v>216.57683933791878</v>
      </c>
      <c r="AO78" s="294">
        <v>241.3623932319598</v>
      </c>
      <c r="AP78" s="294">
        <v>252.23700478308206</v>
      </c>
      <c r="AQ78" s="294">
        <v>212.3753863831794</v>
      </c>
      <c r="AR78" s="294">
        <v>222.38570606768681</v>
      </c>
      <c r="AS78" s="294">
        <v>252.74957483124038</v>
      </c>
      <c r="AT78" s="294">
        <v>318.79019807370531</v>
      </c>
      <c r="AU78" s="294">
        <v>370.4917792887029</v>
      </c>
      <c r="AV78" s="294">
        <v>384.73955610908723</v>
      </c>
      <c r="AW78" s="294">
        <v>399.71208163895591</v>
      </c>
      <c r="AX78" s="294">
        <v>448.5591796678932</v>
      </c>
      <c r="AY78" s="294">
        <v>538.21998419520571</v>
      </c>
      <c r="AZ78" s="294">
        <v>522.26672696474748</v>
      </c>
      <c r="BA78" s="294">
        <v>535.8866519661309</v>
      </c>
      <c r="BB78" s="294">
        <v>600.38335472682013</v>
      </c>
      <c r="BC78" s="298">
        <f t="shared" si="0"/>
        <v>600.38335472682013</v>
      </c>
    </row>
    <row r="79" spans="2:55">
      <c r="B79" s="72" t="s">
        <v>555</v>
      </c>
      <c r="C79" s="72" t="s">
        <v>556</v>
      </c>
      <c r="D79" s="294">
        <v>67.827347091927436</v>
      </c>
      <c r="E79" s="294">
        <v>70.105919500675114</v>
      </c>
      <c r="F79" s="294">
        <v>75.108458900263713</v>
      </c>
      <c r="G79" s="294">
        <v>82.660376443109058</v>
      </c>
      <c r="H79" s="294">
        <v>49.486988233228345</v>
      </c>
      <c r="I79" s="294">
        <v>50.510254705384256</v>
      </c>
      <c r="J79" s="294">
        <v>53.358797985424069</v>
      </c>
      <c r="K79" s="294">
        <v>53.77717112118944</v>
      </c>
      <c r="L79" s="294">
        <v>54.890414172300595</v>
      </c>
      <c r="M79" s="294">
        <v>69.085709552947478</v>
      </c>
      <c r="N79" s="294">
        <v>71.225907728939958</v>
      </c>
      <c r="O79" s="294">
        <v>68.994036774865677</v>
      </c>
      <c r="P79" s="294">
        <v>84.487119428035044</v>
      </c>
      <c r="Q79" s="294">
        <v>95.001791842214885</v>
      </c>
      <c r="R79" s="294">
        <v>114.3860863712043</v>
      </c>
      <c r="S79" s="294">
        <v>119.81790377623771</v>
      </c>
      <c r="T79" s="294">
        <v>143.36712970296929</v>
      </c>
      <c r="U79" s="294">
        <v>156.06296771037327</v>
      </c>
      <c r="V79" s="294">
        <v>194.93264311521543</v>
      </c>
      <c r="W79" s="294">
        <v>222.69426991512742</v>
      </c>
      <c r="X79" s="294">
        <v>227.6198491548914</v>
      </c>
      <c r="Y79" s="294">
        <v>230.51038371043103</v>
      </c>
      <c r="Z79" s="294">
        <v>238.40047808047169</v>
      </c>
      <c r="AA79" s="294">
        <v>210.25138760954044</v>
      </c>
      <c r="AB79" s="294">
        <v>237.07994825656908</v>
      </c>
      <c r="AC79" s="294">
        <v>239.95153091215369</v>
      </c>
      <c r="AD79" s="294">
        <v>219.00469127379472</v>
      </c>
      <c r="AE79" s="294">
        <v>203.4168860109348</v>
      </c>
      <c r="AF79" s="294">
        <v>203.73879390700696</v>
      </c>
      <c r="AG79" s="294">
        <v>202.09886472693648</v>
      </c>
      <c r="AH79" s="294">
        <v>203.9469531686423</v>
      </c>
      <c r="AI79" s="294">
        <v>185.60831061422269</v>
      </c>
      <c r="AJ79" s="294">
        <v>158.19758303850966</v>
      </c>
      <c r="AK79" s="294">
        <v>153.73293438551886</v>
      </c>
      <c r="AL79" s="294">
        <v>164.36164284514726</v>
      </c>
      <c r="AM79" s="294">
        <v>141.53051163600833</v>
      </c>
      <c r="AN79" s="294">
        <v>157.38855773442191</v>
      </c>
      <c r="AO79" s="294">
        <v>143.61189875458507</v>
      </c>
      <c r="AP79" s="294">
        <v>128.59972789207094</v>
      </c>
      <c r="AQ79" s="294">
        <v>131.04633409466018</v>
      </c>
      <c r="AR79" s="294">
        <v>126.51192873952888</v>
      </c>
      <c r="AS79" s="294">
        <v>117.19098787154758</v>
      </c>
      <c r="AT79" s="294">
        <v>111.00173806727736</v>
      </c>
      <c r="AU79" s="294">
        <v>127.68577308508755</v>
      </c>
      <c r="AV79" s="294">
        <v>154.07379117540958</v>
      </c>
      <c r="AW79" s="294">
        <v>165.54359123524978</v>
      </c>
      <c r="AX79" s="294">
        <v>171.17091156255091</v>
      </c>
      <c r="AY79" s="294">
        <v>204.03068027739545</v>
      </c>
      <c r="AZ79" s="294">
        <v>222.1533331233866</v>
      </c>
      <c r="BA79" s="294">
        <v>241.78685652956699</v>
      </c>
      <c r="BB79" s="294">
        <v>271.24495512722251</v>
      </c>
      <c r="BC79" s="298">
        <f t="shared" si="0"/>
        <v>271.24495512722251</v>
      </c>
    </row>
    <row r="80" spans="2:55">
      <c r="B80" s="72" t="s">
        <v>557</v>
      </c>
      <c r="C80" s="72" t="s">
        <v>558</v>
      </c>
      <c r="D80" s="294">
        <v>115.53420123824424</v>
      </c>
      <c r="E80" s="294">
        <v>115.83828962911841</v>
      </c>
      <c r="F80" s="294">
        <v>124.83791696628786</v>
      </c>
      <c r="G80" s="294">
        <v>130.8343470631807</v>
      </c>
      <c r="H80" s="294">
        <v>141.42880497219016</v>
      </c>
      <c r="I80" s="294">
        <v>144.88737723058645</v>
      </c>
      <c r="J80" s="294">
        <v>148.45689625129376</v>
      </c>
      <c r="K80" s="294">
        <v>160.07880649872769</v>
      </c>
      <c r="L80" s="294">
        <v>143.70547522524973</v>
      </c>
      <c r="M80" s="294">
        <v>103.54591514462383</v>
      </c>
      <c r="N80" s="294">
        <v>137.78166851197142</v>
      </c>
      <c r="O80" s="294">
        <v>71.02273124881269</v>
      </c>
      <c r="P80" s="294">
        <v>98.138298458666796</v>
      </c>
      <c r="Q80" s="294">
        <v>82.212780218562287</v>
      </c>
      <c r="R80" s="294"/>
      <c r="S80" s="294"/>
      <c r="T80" s="294"/>
      <c r="U80" s="294"/>
      <c r="V80" s="294"/>
      <c r="W80" s="294"/>
      <c r="X80" s="294"/>
      <c r="Y80" s="294"/>
      <c r="Z80" s="294"/>
      <c r="AA80" s="294"/>
      <c r="AB80" s="294"/>
      <c r="AC80" s="294"/>
      <c r="AD80" s="294"/>
      <c r="AE80" s="294"/>
      <c r="AF80" s="294"/>
      <c r="AG80" s="294"/>
      <c r="AH80" s="294"/>
      <c r="AI80" s="294"/>
      <c r="AJ80" s="294">
        <v>240.40896994827813</v>
      </c>
      <c r="AK80" s="294">
        <v>256.98927328741428</v>
      </c>
      <c r="AL80" s="294">
        <v>308.09686075521597</v>
      </c>
      <c r="AM80" s="294">
        <v>306.02488683459177</v>
      </c>
      <c r="AN80" s="294">
        <v>293.52642078249312</v>
      </c>
      <c r="AO80" s="294">
        <v>260.33640743446716</v>
      </c>
      <c r="AP80" s="294">
        <v>287.72278795807176</v>
      </c>
      <c r="AQ80" s="294">
        <v>293.56846535456134</v>
      </c>
      <c r="AR80" s="294">
        <v>314.51815833551535</v>
      </c>
      <c r="AS80" s="294">
        <v>333.51141290890155</v>
      </c>
      <c r="AT80" s="294">
        <v>357.6616820109283</v>
      </c>
      <c r="AU80" s="294">
        <v>404.56639639494142</v>
      </c>
      <c r="AV80" s="294">
        <v>471.12193891750019</v>
      </c>
      <c r="AW80" s="294">
        <v>538.2130032018357</v>
      </c>
      <c r="AX80" s="294">
        <v>631.98648801061893</v>
      </c>
      <c r="AY80" s="294">
        <v>748.90368771714736</v>
      </c>
      <c r="AZ80" s="294">
        <v>744.16996110392688</v>
      </c>
      <c r="BA80" s="294">
        <v>795.16647096297186</v>
      </c>
      <c r="BB80" s="294">
        <v>896.84564965142363</v>
      </c>
      <c r="BC80" s="298">
        <f t="shared" si="0"/>
        <v>896.84564965142363</v>
      </c>
    </row>
    <row r="81" spans="2:55">
      <c r="B81" s="72" t="s">
        <v>559</v>
      </c>
      <c r="C81" s="72" t="s">
        <v>560</v>
      </c>
      <c r="D81" s="294">
        <v>119.01177780406819</v>
      </c>
      <c r="E81" s="294">
        <v>123.83289312653082</v>
      </c>
      <c r="F81" s="294">
        <v>125.28612281243694</v>
      </c>
      <c r="G81" s="294">
        <v>132.39546891995892</v>
      </c>
      <c r="H81" s="294">
        <v>134.59738484624282</v>
      </c>
      <c r="I81" s="294">
        <v>137.76099977742041</v>
      </c>
      <c r="J81" s="294">
        <v>147.20779684015366</v>
      </c>
      <c r="K81" s="294">
        <v>161.92465472469368</v>
      </c>
      <c r="L81" s="294">
        <v>172.80657790111263</v>
      </c>
      <c r="M81" s="294">
        <v>169.54728319802857</v>
      </c>
      <c r="N81" s="294">
        <v>175.72903448410014</v>
      </c>
      <c r="O81" s="294">
        <v>198.46011804439888</v>
      </c>
      <c r="P81" s="294">
        <v>237.41705946683408</v>
      </c>
      <c r="Q81" s="294">
        <v>296.13068227617021</v>
      </c>
      <c r="R81" s="294">
        <v>351.211609881588</v>
      </c>
      <c r="S81" s="294">
        <v>381.10228506734296</v>
      </c>
      <c r="T81" s="294">
        <v>404.58075630191394</v>
      </c>
      <c r="U81" s="294">
        <v>514.07112273005328</v>
      </c>
      <c r="V81" s="294">
        <v>657.22804200658322</v>
      </c>
      <c r="W81" s="294">
        <v>739.95164655659812</v>
      </c>
      <c r="X81" s="294">
        <v>814.18672674782295</v>
      </c>
      <c r="Y81" s="294">
        <v>758.7291245847814</v>
      </c>
      <c r="Z81" s="294">
        <v>743.40176230665509</v>
      </c>
      <c r="AA81" s="294">
        <v>763.5394582383758</v>
      </c>
      <c r="AB81" s="294">
        <v>774.63027601812337</v>
      </c>
      <c r="AC81" s="294">
        <v>980.45207606939857</v>
      </c>
      <c r="AD81" s="294">
        <v>1102.5104698520161</v>
      </c>
      <c r="AE81" s="294">
        <v>1086.9616180861028</v>
      </c>
      <c r="AF81" s="294">
        <v>941.25333796647703</v>
      </c>
      <c r="AG81" s="294">
        <v>915.50319422610812</v>
      </c>
      <c r="AH81" s="294">
        <v>992.37539376736538</v>
      </c>
      <c r="AI81" s="294">
        <v>884.63467266207522</v>
      </c>
      <c r="AJ81" s="294">
        <v>1022.330494044909</v>
      </c>
      <c r="AK81" s="294">
        <v>678.48944161671989</v>
      </c>
      <c r="AL81" s="294">
        <v>626.47173314011366</v>
      </c>
      <c r="AM81" s="294">
        <v>681.17971155175235</v>
      </c>
      <c r="AN81" s="294">
        <v>672.54047533706569</v>
      </c>
      <c r="AO81" s="294">
        <v>642.99639426566921</v>
      </c>
      <c r="AP81" s="294">
        <v>684.31358119357469</v>
      </c>
      <c r="AQ81" s="294">
        <v>592.37200030215672</v>
      </c>
      <c r="AR81" s="294">
        <v>600.57775615248931</v>
      </c>
      <c r="AS81" s="294">
        <v>663.07423004241116</v>
      </c>
      <c r="AT81" s="294">
        <v>811.6256044484893</v>
      </c>
      <c r="AU81" s="294">
        <v>919.0277516169042</v>
      </c>
      <c r="AV81" s="294">
        <v>944.98744507277615</v>
      </c>
      <c r="AW81" s="294">
        <v>1000.2623080552673</v>
      </c>
      <c r="AX81" s="294">
        <v>1113.4471137719293</v>
      </c>
      <c r="AY81" s="294">
        <v>1265.3029438531298</v>
      </c>
      <c r="AZ81" s="294">
        <v>1157.141669761221</v>
      </c>
      <c r="BA81" s="294">
        <v>1144.2497819975295</v>
      </c>
      <c r="BB81" s="294">
        <v>1259.8747447411085</v>
      </c>
      <c r="BC81" s="298">
        <f t="shared" si="0"/>
        <v>1259.8747447411085</v>
      </c>
    </row>
    <row r="82" spans="2:55">
      <c r="B82" s="72" t="s">
        <v>561</v>
      </c>
      <c r="C82" s="72" t="s">
        <v>336</v>
      </c>
      <c r="D82" s="294">
        <v>2231.2938237477952</v>
      </c>
      <c r="E82" s="294">
        <v>2255.2300441303619</v>
      </c>
      <c r="F82" s="294">
        <v>2354.8391219797491</v>
      </c>
      <c r="G82" s="294">
        <v>2529.5181790540951</v>
      </c>
      <c r="H82" s="294">
        <v>2739.5858492818866</v>
      </c>
      <c r="I82" s="294">
        <v>3010.7059075794709</v>
      </c>
      <c r="J82" s="294">
        <v>3173.0761935222481</v>
      </c>
      <c r="K82" s="294">
        <v>3411.0601543445669</v>
      </c>
      <c r="L82" s="294">
        <v>3703.9904052552929</v>
      </c>
      <c r="M82" s="294">
        <v>4047.268454855689</v>
      </c>
      <c r="N82" s="294">
        <v>4503.1807450072583</v>
      </c>
      <c r="O82" s="294">
        <v>5048.4819430326579</v>
      </c>
      <c r="P82" s="294">
        <v>5764.2611070323073</v>
      </c>
      <c r="Q82" s="294">
        <v>6915.8893428454985</v>
      </c>
      <c r="R82" s="294">
        <v>7354.268357697556</v>
      </c>
      <c r="S82" s="294">
        <v>8624.6139722593052</v>
      </c>
      <c r="T82" s="294">
        <v>8731.6789166147646</v>
      </c>
      <c r="U82" s="294">
        <v>8931.2934546049182</v>
      </c>
      <c r="V82" s="294">
        <v>9831.0793706317236</v>
      </c>
      <c r="W82" s="294">
        <v>10933.731563817206</v>
      </c>
      <c r="X82" s="294">
        <v>12075.024595839359</v>
      </c>
      <c r="Y82" s="294">
        <v>12217.373433792189</v>
      </c>
      <c r="Z82" s="294">
        <v>13113.168930802138</v>
      </c>
      <c r="AA82" s="294">
        <v>13506.371540392631</v>
      </c>
      <c r="AB82" s="294">
        <v>13711.515599356489</v>
      </c>
      <c r="AC82" s="294">
        <v>14076.752344065544</v>
      </c>
      <c r="AD82" s="294">
        <v>15876.842407251181</v>
      </c>
      <c r="AE82" s="294">
        <v>18522.658370996469</v>
      </c>
      <c r="AF82" s="294">
        <v>20289.766372530536</v>
      </c>
      <c r="AG82" s="294">
        <v>20968.041152760958</v>
      </c>
      <c r="AH82" s="294">
        <v>21234.375823398739</v>
      </c>
      <c r="AI82" s="294">
        <v>20320.47370930023</v>
      </c>
      <c r="AJ82" s="294">
        <v>19549.017099790304</v>
      </c>
      <c r="AK82" s="294">
        <v>19390.4853731396</v>
      </c>
      <c r="AL82" s="294">
        <v>20117.099607645738</v>
      </c>
      <c r="AM82" s="294">
        <v>20684.945784764368</v>
      </c>
      <c r="AN82" s="294">
        <v>21260.286809954701</v>
      </c>
      <c r="AO82" s="294">
        <v>20390.388448061494</v>
      </c>
      <c r="AP82" s="294">
        <v>21681.379305006896</v>
      </c>
      <c r="AQ82" s="294">
        <v>23559.503689759153</v>
      </c>
      <c r="AR82" s="294">
        <v>23017.368748982793</v>
      </c>
      <c r="AS82" s="294">
        <v>23425.22642651706</v>
      </c>
      <c r="AT82" s="294">
        <v>27335.308828525031</v>
      </c>
      <c r="AU82" s="294">
        <v>31011.911221188111</v>
      </c>
      <c r="AV82" s="294">
        <v>35087.89259332978</v>
      </c>
      <c r="AW82" s="294">
        <v>39249.998223997289</v>
      </c>
      <c r="AX82" s="294">
        <v>43245.589918627942</v>
      </c>
      <c r="AY82" s="294">
        <v>45099.613367290396</v>
      </c>
      <c r="AZ82" s="294">
        <v>39655.794042327478</v>
      </c>
      <c r="BA82" s="294">
        <v>46212.029474313676</v>
      </c>
      <c r="BB82" s="294">
        <v>50345.434892312631</v>
      </c>
      <c r="BC82" s="298">
        <f t="shared" ref="BC82:BC145" si="1">BB82</f>
        <v>50345.434892312631</v>
      </c>
    </row>
    <row r="83" spans="2:55">
      <c r="B83" s="72" t="s">
        <v>562</v>
      </c>
      <c r="C83" s="72" t="s">
        <v>563</v>
      </c>
      <c r="D83" s="294"/>
      <c r="E83" s="294"/>
      <c r="F83" s="294"/>
      <c r="G83" s="294"/>
      <c r="H83" s="294"/>
      <c r="I83" s="294"/>
      <c r="J83" s="294"/>
      <c r="K83" s="294"/>
      <c r="L83" s="294"/>
      <c r="M83" s="294"/>
      <c r="N83" s="294"/>
      <c r="O83" s="294"/>
      <c r="P83" s="294"/>
      <c r="Q83" s="294"/>
      <c r="R83" s="294"/>
      <c r="S83" s="294"/>
      <c r="T83" s="294"/>
      <c r="U83" s="294"/>
      <c r="V83" s="294"/>
      <c r="W83" s="294">
        <v>474.08197894568423</v>
      </c>
      <c r="X83" s="294">
        <v>460.6906806889836</v>
      </c>
      <c r="Y83" s="294">
        <v>456.25266390324924</v>
      </c>
      <c r="Z83" s="294">
        <v>439.0356658533093</v>
      </c>
      <c r="AA83" s="294">
        <v>409.28529586253285</v>
      </c>
      <c r="AB83" s="294">
        <v>419.28804166043437</v>
      </c>
      <c r="AC83" s="294">
        <v>572.91325369847755</v>
      </c>
      <c r="AD83" s="294">
        <v>700.22910637715074</v>
      </c>
      <c r="AE83" s="294">
        <v>779.99905790944945</v>
      </c>
      <c r="AF83" s="294">
        <v>780.53884627576178</v>
      </c>
      <c r="AG83" s="294">
        <v>881.45306738031877</v>
      </c>
      <c r="AH83" s="294">
        <v>899.26209067190098</v>
      </c>
      <c r="AI83" s="294">
        <v>979.25567872535976</v>
      </c>
      <c r="AJ83" s="294">
        <v>1308.4077402725063</v>
      </c>
      <c r="AK83" s="294">
        <v>1055.7766725626241</v>
      </c>
      <c r="AL83" s="294">
        <v>1233.4572166316855</v>
      </c>
      <c r="AM83" s="294">
        <v>1242.0121334123435</v>
      </c>
      <c r="AN83" s="294">
        <v>1188.2222710469539</v>
      </c>
      <c r="AO83" s="294">
        <v>1239.0950683115902</v>
      </c>
      <c r="AP83" s="294">
        <v>1380.0304294476396</v>
      </c>
      <c r="AQ83" s="294">
        <v>1233.2575226065337</v>
      </c>
      <c r="AR83" s="294">
        <v>1264.9501606375004</v>
      </c>
      <c r="AS83" s="294">
        <v>1371.5925412284589</v>
      </c>
      <c r="AT83" s="294">
        <v>1769.3675734184633</v>
      </c>
      <c r="AU83" s="294">
        <v>1980.1846382114363</v>
      </c>
      <c r="AV83" s="294">
        <v>2055.4279858482378</v>
      </c>
      <c r="AW83" s="294">
        <v>2316.4692844102051</v>
      </c>
      <c r="AX83" s="294">
        <v>2755.9939213976072</v>
      </c>
      <c r="AY83" s="294">
        <v>3204.3907598822107</v>
      </c>
      <c r="AZ83" s="294">
        <v>3256.2263324715323</v>
      </c>
      <c r="BA83" s="294">
        <v>3344.8722095409858</v>
      </c>
      <c r="BB83" s="294">
        <v>3797.8290008202757</v>
      </c>
      <c r="BC83" s="298">
        <f t="shared" si="1"/>
        <v>3797.8290008202757</v>
      </c>
    </row>
    <row r="84" spans="2:55">
      <c r="B84" s="72" t="s">
        <v>564</v>
      </c>
      <c r="C84" s="72" t="s">
        <v>565</v>
      </c>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v>29693.924243914993</v>
      </c>
      <c r="AN84" s="294"/>
      <c r="AO84" s="294"/>
      <c r="AP84" s="294"/>
      <c r="AQ84" s="294"/>
      <c r="AR84" s="294"/>
      <c r="AS84" s="294"/>
      <c r="AT84" s="294"/>
      <c r="AU84" s="294"/>
      <c r="AV84" s="294"/>
      <c r="AW84" s="294"/>
      <c r="AX84" s="294"/>
      <c r="AY84" s="294"/>
      <c r="AZ84" s="294"/>
      <c r="BA84" s="294"/>
      <c r="BB84" s="294"/>
      <c r="BC84" s="298">
        <f t="shared" si="1"/>
        <v>0</v>
      </c>
    </row>
    <row r="85" spans="2:55">
      <c r="B85" s="72" t="s">
        <v>566</v>
      </c>
      <c r="C85" s="72" t="s">
        <v>567</v>
      </c>
      <c r="D85" s="294">
        <v>80.520274949709162</v>
      </c>
      <c r="E85" s="294">
        <v>79.967606488111272</v>
      </c>
      <c r="F85" s="294">
        <v>81.58736603756887</v>
      </c>
      <c r="G85" s="294">
        <v>87.858317458328401</v>
      </c>
      <c r="H85" s="294">
        <v>91.321764346061414</v>
      </c>
      <c r="I85" s="294">
        <v>93.845086027484598</v>
      </c>
      <c r="J85" s="294">
        <v>95.324291093868283</v>
      </c>
      <c r="K85" s="294">
        <v>109.25313638292813</v>
      </c>
      <c r="L85" s="294">
        <v>104.9239877516806</v>
      </c>
      <c r="M85" s="294">
        <v>103.40985319692795</v>
      </c>
      <c r="N85" s="294">
        <v>108.03018513399063</v>
      </c>
      <c r="O85" s="294">
        <v>121.17382847964136</v>
      </c>
      <c r="P85" s="294">
        <v>139.97196370518799</v>
      </c>
      <c r="Q85" s="294">
        <v>142.4093330267346</v>
      </c>
      <c r="R85" s="294">
        <v>187.70057916089982</v>
      </c>
      <c r="S85" s="294">
        <v>218.85030400840213</v>
      </c>
      <c r="T85" s="294">
        <v>240.62728783754628</v>
      </c>
      <c r="U85" s="294">
        <v>282.86557171917212</v>
      </c>
      <c r="V85" s="294">
        <v>316.58788328440278</v>
      </c>
      <c r="W85" s="294">
        <v>350.56196350453627</v>
      </c>
      <c r="X85" s="294">
        <v>296.95520943207731</v>
      </c>
      <c r="Y85" s="294">
        <v>310.35162565838419</v>
      </c>
      <c r="Z85" s="294">
        <v>265.04930653117776</v>
      </c>
      <c r="AA85" s="294">
        <v>249.36221583495208</v>
      </c>
      <c r="AB85" s="294">
        <v>329.26114555734557</v>
      </c>
      <c r="AC85" s="294">
        <v>416.37871097844607</v>
      </c>
      <c r="AD85" s="294">
        <v>440.68789386461998</v>
      </c>
      <c r="AE85" s="294">
        <v>456.90692827639123</v>
      </c>
      <c r="AF85" s="294">
        <v>442.27166938130063</v>
      </c>
      <c r="AG85" s="294">
        <v>506.85510816475755</v>
      </c>
      <c r="AH85" s="294">
        <v>466.96263305272032</v>
      </c>
      <c r="AI85" s="294">
        <v>464.88385950652332</v>
      </c>
      <c r="AJ85" s="294">
        <v>410.26347173004297</v>
      </c>
      <c r="AK85" s="294">
        <v>262.66459192825874</v>
      </c>
      <c r="AL85" s="294">
        <v>337.14199263940458</v>
      </c>
      <c r="AM85" s="294">
        <v>314.13222802148556</v>
      </c>
      <c r="AN85" s="294">
        <v>287.33429837309308</v>
      </c>
      <c r="AO85" s="294">
        <v>294.19121915408374</v>
      </c>
      <c r="AP85" s="294">
        <v>289.43890689014557</v>
      </c>
      <c r="AQ85" s="294">
        <v>247.02818440437167</v>
      </c>
      <c r="AR85" s="294">
        <v>247.36240308585701</v>
      </c>
      <c r="AS85" s="294">
        <v>258.9090152985907</v>
      </c>
      <c r="AT85" s="294">
        <v>292.88657076740486</v>
      </c>
      <c r="AU85" s="294">
        <v>321.23777874688824</v>
      </c>
      <c r="AV85" s="294">
        <v>336.00995554372196</v>
      </c>
      <c r="AW85" s="294">
        <v>360.39572882902002</v>
      </c>
      <c r="AX85" s="294">
        <v>407.91704283234333</v>
      </c>
      <c r="AY85" s="294">
        <v>467.96675255724807</v>
      </c>
      <c r="AZ85" s="294">
        <v>458.93328607714443</v>
      </c>
      <c r="BA85" s="294">
        <v>451.25944229155704</v>
      </c>
      <c r="BB85" s="294">
        <v>489.14636400148805</v>
      </c>
      <c r="BC85" s="298">
        <f t="shared" si="1"/>
        <v>489.14636400148805</v>
      </c>
    </row>
    <row r="86" spans="2:55">
      <c r="B86" s="72" t="s">
        <v>568</v>
      </c>
      <c r="C86" s="72" t="s">
        <v>569</v>
      </c>
      <c r="D86" s="294">
        <v>110.70552121440922</v>
      </c>
      <c r="E86" s="294">
        <v>116.02258573407283</v>
      </c>
      <c r="F86" s="294">
        <v>118.02106497718658</v>
      </c>
      <c r="G86" s="294">
        <v>121.86728055711826</v>
      </c>
      <c r="H86" s="294">
        <v>125.8609242689357</v>
      </c>
      <c r="I86" s="294">
        <v>128.27254657759735</v>
      </c>
      <c r="J86" s="294">
        <v>130.77255088722561</v>
      </c>
      <c r="K86" s="294">
        <v>130.09441476729009</v>
      </c>
      <c r="L86" s="294">
        <v>132.04324983707889</v>
      </c>
      <c r="M86" s="294">
        <v>127.75453286319805</v>
      </c>
      <c r="N86" s="294">
        <v>133.23732441984316</v>
      </c>
      <c r="O86" s="294">
        <v>152.39485991395952</v>
      </c>
      <c r="P86" s="294">
        <v>164.71029573055873</v>
      </c>
      <c r="Q86" s="294">
        <v>162.18890117942269</v>
      </c>
      <c r="R86" s="294">
        <v>210.15702017623988</v>
      </c>
      <c r="S86" s="294">
        <v>206.1489415445146</v>
      </c>
      <c r="T86" s="294">
        <v>218.25017779479026</v>
      </c>
      <c r="U86" s="294">
        <v>254.86994094789728</v>
      </c>
      <c r="V86" s="294">
        <v>225.23061675351551</v>
      </c>
      <c r="W86" s="294">
        <v>226.83024367864564</v>
      </c>
      <c r="X86" s="294">
        <v>188.34201026582002</v>
      </c>
      <c r="Y86" s="294">
        <v>175.09864119482808</v>
      </c>
      <c r="Z86" s="294">
        <v>170.47571177171292</v>
      </c>
      <c r="AA86" s="294">
        <v>183.40907086019709</v>
      </c>
      <c r="AB86" s="294">
        <v>200.54479490073433</v>
      </c>
      <c r="AC86" s="294">
        <v>201.30701222338672</v>
      </c>
      <c r="AD86" s="294">
        <v>212.68519603626228</v>
      </c>
      <c r="AE86" s="294">
        <v>262.60716385216398</v>
      </c>
      <c r="AF86" s="294">
        <v>246.04402733751974</v>
      </c>
      <c r="AG86" s="294">
        <v>289.22738359999045</v>
      </c>
      <c r="AH86" s="294">
        <v>302.87429861726685</v>
      </c>
      <c r="AI86" s="294">
        <v>294.59858900218728</v>
      </c>
      <c r="AJ86" s="294">
        <v>222.28446129664769</v>
      </c>
      <c r="AK86" s="294">
        <v>173.86905597964426</v>
      </c>
      <c r="AL86" s="294">
        <v>206.61517871505248</v>
      </c>
      <c r="AM86" s="294">
        <v>222.6534085247514</v>
      </c>
      <c r="AN86" s="294">
        <v>207.38004800443667</v>
      </c>
      <c r="AO86" s="294">
        <v>226.87764946378635</v>
      </c>
      <c r="AP86" s="294">
        <v>193.39643169298915</v>
      </c>
      <c r="AQ86" s="294">
        <v>168.44999766303326</v>
      </c>
      <c r="AR86" s="294">
        <v>200.67569069707105</v>
      </c>
      <c r="AS86" s="294">
        <v>225.096709234869</v>
      </c>
      <c r="AT86" s="294">
        <v>298.96219329021545</v>
      </c>
      <c r="AU86" s="294">
        <v>465.97005342638187</v>
      </c>
      <c r="AV86" s="294">
        <v>541.79351285941505</v>
      </c>
      <c r="AW86" s="294">
        <v>604.81519278755241</v>
      </c>
      <c r="AX86" s="294">
        <v>676.47574692159742</v>
      </c>
      <c r="AY86" s="294">
        <v>784.43115747684783</v>
      </c>
      <c r="AZ86" s="294">
        <v>647.77252546009856</v>
      </c>
      <c r="BA86" s="294">
        <v>760.71226667491351</v>
      </c>
      <c r="BB86" s="294">
        <v>823.02241400394564</v>
      </c>
      <c r="BC86" s="298">
        <f t="shared" si="1"/>
        <v>823.02241400394564</v>
      </c>
    </row>
    <row r="87" spans="2:55">
      <c r="B87" s="72" t="s">
        <v>570</v>
      </c>
      <c r="C87" s="72" t="s">
        <v>384</v>
      </c>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v>41333.342903326266</v>
      </c>
      <c r="AP87" s="294">
        <v>43308.696376051244</v>
      </c>
      <c r="AQ87" s="294">
        <v>44310.902323747629</v>
      </c>
      <c r="AR87" s="294">
        <v>42692.60105130382</v>
      </c>
      <c r="AS87" s="294">
        <v>45446.708392428365</v>
      </c>
      <c r="AT87" s="294">
        <v>49790.474786157887</v>
      </c>
      <c r="AU87" s="294">
        <v>57809.339862551809</v>
      </c>
      <c r="AV87" s="294">
        <v>59337.824104600782</v>
      </c>
      <c r="AW87" s="294">
        <v>64644.86680483877</v>
      </c>
      <c r="AX87" s="294">
        <v>76413.048346839743</v>
      </c>
      <c r="AY87" s="294"/>
      <c r="AZ87" s="294"/>
      <c r="BA87" s="294"/>
      <c r="BB87" s="294"/>
      <c r="BC87" s="298">
        <f t="shared" si="1"/>
        <v>0</v>
      </c>
    </row>
    <row r="88" spans="2:55">
      <c r="B88" s="72" t="s">
        <v>571</v>
      </c>
      <c r="C88" s="72" t="s">
        <v>572</v>
      </c>
      <c r="D88" s="294">
        <v>599.53548325929114</v>
      </c>
      <c r="E88" s="294">
        <v>683.55320396138632</v>
      </c>
      <c r="F88" s="294">
        <v>664.22715089303358</v>
      </c>
      <c r="G88" s="294">
        <v>685.14323133915377</v>
      </c>
      <c r="H88" s="294">
        <v>699.39622343491453</v>
      </c>
      <c r="I88" s="294">
        <v>792.58307885938211</v>
      </c>
      <c r="J88" s="294">
        <v>765.02612663147056</v>
      </c>
      <c r="K88" s="294">
        <v>767.30553143338261</v>
      </c>
      <c r="L88" s="294">
        <v>870.16759978850143</v>
      </c>
      <c r="M88" s="294">
        <v>937.72322082700975</v>
      </c>
      <c r="N88" s="294">
        <v>1096.5472619689347</v>
      </c>
      <c r="O88" s="294">
        <v>1161.8553250950742</v>
      </c>
      <c r="P88" s="294">
        <v>1623.2458783831371</v>
      </c>
      <c r="Q88" s="294">
        <v>1514.1821464889738</v>
      </c>
      <c r="R88" s="294">
        <v>693.59440411763217</v>
      </c>
      <c r="S88" s="294">
        <v>932.45588614306564</v>
      </c>
      <c r="T88" s="294">
        <v>1246.2182370714686</v>
      </c>
      <c r="U88" s="294">
        <v>1417.0622909907943</v>
      </c>
      <c r="V88" s="294">
        <v>1881.2906367947976</v>
      </c>
      <c r="W88" s="294">
        <v>2466.4781255843309</v>
      </c>
      <c r="X88" s="294">
        <v>2876.5951290663779</v>
      </c>
      <c r="Y88" s="294">
        <v>2111.4637862503851</v>
      </c>
      <c r="Z88" s="294">
        <v>1687.6947341593263</v>
      </c>
      <c r="AA88" s="294">
        <v>1615.0849684533989</v>
      </c>
      <c r="AB88" s="294">
        <v>1361.6672893557675</v>
      </c>
      <c r="AC88" s="294">
        <v>1439.6082771908173</v>
      </c>
      <c r="AD88" s="294">
        <v>1669.6392208924799</v>
      </c>
      <c r="AE88" s="294">
        <v>1935.138706045773</v>
      </c>
      <c r="AF88" s="294">
        <v>2190.8648966187557</v>
      </c>
      <c r="AG88" s="294">
        <v>2393.0357803020502</v>
      </c>
      <c r="AH88" s="294">
        <v>2712.2878677098779</v>
      </c>
      <c r="AI88" s="294">
        <v>3250.9675225442556</v>
      </c>
      <c r="AJ88" s="294">
        <v>3423.982861192409</v>
      </c>
      <c r="AK88" s="294">
        <v>3890.9809360044428</v>
      </c>
      <c r="AL88" s="294">
        <v>4951.5679406189874</v>
      </c>
      <c r="AM88" s="294">
        <v>5178.7440683572231</v>
      </c>
      <c r="AN88" s="294">
        <v>5580.1060746340727</v>
      </c>
      <c r="AO88" s="294">
        <v>5277.7938744260928</v>
      </c>
      <c r="AP88" s="294">
        <v>4792.3719659399785</v>
      </c>
      <c r="AQ88" s="294">
        <v>5144.5892535574185</v>
      </c>
      <c r="AR88" s="294">
        <v>4635.7373221564112</v>
      </c>
      <c r="AS88" s="294">
        <v>4497.2509442370128</v>
      </c>
      <c r="AT88" s="294">
        <v>4877.267918501344</v>
      </c>
      <c r="AU88" s="294">
        <v>6237.8752873744279</v>
      </c>
      <c r="AV88" s="294">
        <v>7631.3483699923663</v>
      </c>
      <c r="AW88" s="294">
        <v>9376.1278614805979</v>
      </c>
      <c r="AX88" s="294">
        <v>10392.943444269911</v>
      </c>
      <c r="AY88" s="294">
        <v>10694.868719853424</v>
      </c>
      <c r="AZ88" s="294">
        <v>10178.89267572437</v>
      </c>
      <c r="BA88" s="294">
        <v>12639.524256009709</v>
      </c>
      <c r="BB88" s="294">
        <v>14394.46075911614</v>
      </c>
      <c r="BC88" s="298">
        <f t="shared" si="1"/>
        <v>14394.46075911614</v>
      </c>
    </row>
    <row r="89" spans="2:55">
      <c r="B89" s="72" t="s">
        <v>573</v>
      </c>
      <c r="C89" s="72" t="s">
        <v>574</v>
      </c>
      <c r="D89" s="294">
        <v>75.872571162372154</v>
      </c>
      <c r="E89" s="294">
        <v>69.789873270080761</v>
      </c>
      <c r="F89" s="294">
        <v>73.688766030049408</v>
      </c>
      <c r="G89" s="294">
        <v>83.930435283925419</v>
      </c>
      <c r="H89" s="294">
        <v>97.470097979446876</v>
      </c>
      <c r="I89" s="294">
        <v>103.18117150981196</v>
      </c>
      <c r="J89" s="294">
        <v>95.496688245886702</v>
      </c>
      <c r="K89" s="294">
        <v>90.371330777075755</v>
      </c>
      <c r="L89" s="294">
        <v>98.889885299928949</v>
      </c>
      <c r="M89" s="294">
        <v>111.82272553494172</v>
      </c>
      <c r="N89" s="294">
        <v>117.18159060331627</v>
      </c>
      <c r="O89" s="294">
        <v>130.11126743139459</v>
      </c>
      <c r="P89" s="294">
        <v>155.07844198735833</v>
      </c>
      <c r="Q89" s="294">
        <v>157.99937808014141</v>
      </c>
      <c r="R89" s="294">
        <v>175.86575402946332</v>
      </c>
      <c r="S89" s="294">
        <v>162.92051487523443</v>
      </c>
      <c r="T89" s="294">
        <v>182.67856795792522</v>
      </c>
      <c r="U89" s="294">
        <v>154.97205972904609</v>
      </c>
      <c r="V89" s="294">
        <v>182.2847005647001</v>
      </c>
      <c r="W89" s="294">
        <v>193.02205126592571</v>
      </c>
      <c r="X89" s="294">
        <v>195.30540513269449</v>
      </c>
      <c r="Y89" s="294">
        <v>201.4447468168311</v>
      </c>
      <c r="Z89" s="294">
        <v>223.25194504078573</v>
      </c>
      <c r="AA89" s="294">
        <v>248.28890819683801</v>
      </c>
      <c r="AB89" s="294">
        <v>291.77449069311609</v>
      </c>
      <c r="AC89" s="294">
        <v>279.18510666722312</v>
      </c>
      <c r="AD89" s="294">
        <v>249.41279109704749</v>
      </c>
      <c r="AE89" s="294">
        <v>280.96786147946216</v>
      </c>
      <c r="AF89" s="294">
        <v>307.48999260380685</v>
      </c>
      <c r="AG89" s="294">
        <v>314.43060046065852</v>
      </c>
      <c r="AH89" s="294">
        <v>329.74908865834618</v>
      </c>
      <c r="AI89" s="294">
        <v>362.8084140462102</v>
      </c>
      <c r="AJ89" s="294">
        <v>373.8000228816054</v>
      </c>
      <c r="AK89" s="294">
        <v>469.21319417598141</v>
      </c>
      <c r="AL89" s="294">
        <v>604.22806058522531</v>
      </c>
      <c r="AM89" s="294">
        <v>703.12079940228557</v>
      </c>
      <c r="AN89" s="294">
        <v>774.46716100980586</v>
      </c>
      <c r="AO89" s="294">
        <v>820.86307683264374</v>
      </c>
      <c r="AP89" s="294">
        <v>864.73031436008148</v>
      </c>
      <c r="AQ89" s="294">
        <v>949.17806208299191</v>
      </c>
      <c r="AR89" s="294">
        <v>1041.6377044135349</v>
      </c>
      <c r="AS89" s="294">
        <v>1135.4479496360555</v>
      </c>
      <c r="AT89" s="294">
        <v>1273.6407426071655</v>
      </c>
      <c r="AU89" s="294">
        <v>1490.3800560480456</v>
      </c>
      <c r="AV89" s="294">
        <v>1731.1252345789967</v>
      </c>
      <c r="AW89" s="294">
        <v>2069.3436306831873</v>
      </c>
      <c r="AX89" s="294">
        <v>2651.2601211724273</v>
      </c>
      <c r="AY89" s="294">
        <v>3413.588661428058</v>
      </c>
      <c r="AZ89" s="294">
        <v>3748.9344940850788</v>
      </c>
      <c r="BA89" s="294">
        <v>4432.9635571163453</v>
      </c>
      <c r="BB89" s="294">
        <v>5444.7853033333186</v>
      </c>
      <c r="BC89" s="298">
        <f t="shared" si="1"/>
        <v>5444.7853033333186</v>
      </c>
    </row>
    <row r="90" spans="2:55">
      <c r="B90" s="72" t="s">
        <v>575</v>
      </c>
      <c r="C90" s="72" t="s">
        <v>576</v>
      </c>
      <c r="D90" s="294">
        <v>276.14521460853126</v>
      </c>
      <c r="E90" s="294">
        <v>292.53457973378943</v>
      </c>
      <c r="F90" s="294">
        <v>276.57171399877546</v>
      </c>
      <c r="G90" s="294">
        <v>332.53017462279399</v>
      </c>
      <c r="H90" s="294">
        <v>312.04632245679886</v>
      </c>
      <c r="I90" s="294">
        <v>285.42489816085634</v>
      </c>
      <c r="J90" s="294">
        <v>291.26784994046676</v>
      </c>
      <c r="K90" s="294">
        <v>292.61926552243216</v>
      </c>
      <c r="L90" s="294">
        <v>308.19942255599585</v>
      </c>
      <c r="M90" s="294">
        <v>337.4794774074627</v>
      </c>
      <c r="N90" s="294">
        <v>357.72020601777842</v>
      </c>
      <c r="O90" s="294">
        <v>387.42809983892329</v>
      </c>
      <c r="P90" s="294">
        <v>450.5071761358854</v>
      </c>
      <c r="Q90" s="294">
        <v>528.14590662930595</v>
      </c>
      <c r="R90" s="294">
        <v>546.67375476818188</v>
      </c>
      <c r="S90" s="294">
        <v>625.73771501371698</v>
      </c>
      <c r="T90" s="294">
        <v>776.06049269987568</v>
      </c>
      <c r="U90" s="294">
        <v>906.06356965575651</v>
      </c>
      <c r="V90" s="294">
        <v>1063.5287155458041</v>
      </c>
      <c r="W90" s="294">
        <v>1242.8215412191594</v>
      </c>
      <c r="X90" s="294">
        <v>1323.9036391730128</v>
      </c>
      <c r="Y90" s="294">
        <v>1386.5523508674978</v>
      </c>
      <c r="Z90" s="294">
        <v>1348.0917550880854</v>
      </c>
      <c r="AA90" s="294">
        <v>1302.9198431775951</v>
      </c>
      <c r="AB90" s="294">
        <v>1163.3978746296123</v>
      </c>
      <c r="AC90" s="294">
        <v>1140.7647258101599</v>
      </c>
      <c r="AD90" s="294">
        <v>1163.170254444316</v>
      </c>
      <c r="AE90" s="294">
        <v>1228.7230439216728</v>
      </c>
      <c r="AF90" s="294">
        <v>1214.4684985552783</v>
      </c>
      <c r="AG90" s="294">
        <v>1212.9571194167461</v>
      </c>
      <c r="AH90" s="294">
        <v>1218.3038909619204</v>
      </c>
      <c r="AI90" s="294">
        <v>1428.5047877226298</v>
      </c>
      <c r="AJ90" s="294">
        <v>1587.7252262399636</v>
      </c>
      <c r="AK90" s="294">
        <v>2282.3503124826611</v>
      </c>
      <c r="AL90" s="294">
        <v>2537.6902476225564</v>
      </c>
      <c r="AM90" s="294">
        <v>2617.9803246269503</v>
      </c>
      <c r="AN90" s="294">
        <v>2823.5434941675558</v>
      </c>
      <c r="AO90" s="294">
        <v>2561.0314953232673</v>
      </c>
      <c r="AP90" s="294">
        <v>2204.0999771647635</v>
      </c>
      <c r="AQ90" s="294">
        <v>2511.9746652185349</v>
      </c>
      <c r="AR90" s="294">
        <v>2429.4219632961135</v>
      </c>
      <c r="AS90" s="294">
        <v>2384.0758586617794</v>
      </c>
      <c r="AT90" s="294">
        <v>2268.8770654831865</v>
      </c>
      <c r="AU90" s="294">
        <v>2762.1304442232649</v>
      </c>
      <c r="AV90" s="294">
        <v>3404.234119952393</v>
      </c>
      <c r="AW90" s="294">
        <v>3725.0913671816052</v>
      </c>
      <c r="AX90" s="294">
        <v>4678.901045178568</v>
      </c>
      <c r="AY90" s="294">
        <v>5423.2668678623904</v>
      </c>
      <c r="AZ90" s="294">
        <v>5133.3912563604563</v>
      </c>
      <c r="BA90" s="294">
        <v>6186.0248679392853</v>
      </c>
      <c r="BB90" s="294">
        <v>7104.0349883562212</v>
      </c>
      <c r="BC90" s="298">
        <f t="shared" si="1"/>
        <v>7104.0349883562212</v>
      </c>
    </row>
    <row r="91" spans="2:55">
      <c r="B91" s="72" t="s">
        <v>577</v>
      </c>
      <c r="C91" s="72" t="s">
        <v>578</v>
      </c>
      <c r="D91" s="294"/>
      <c r="E91" s="294"/>
      <c r="F91" s="294"/>
      <c r="G91" s="294"/>
      <c r="H91" s="294"/>
      <c r="I91" s="294"/>
      <c r="J91" s="294"/>
      <c r="K91" s="294"/>
      <c r="L91" s="294"/>
      <c r="M91" s="294"/>
      <c r="N91" s="294"/>
      <c r="O91" s="294"/>
      <c r="P91" s="294"/>
      <c r="Q91" s="294"/>
      <c r="R91" s="294"/>
      <c r="S91" s="294"/>
      <c r="T91" s="294"/>
      <c r="U91" s="294"/>
      <c r="V91" s="294"/>
      <c r="W91" s="294">
        <v>375.55581683763535</v>
      </c>
      <c r="X91" s="294">
        <v>335.32644803116028</v>
      </c>
      <c r="Y91" s="294">
        <v>303.8725897404945</v>
      </c>
      <c r="Z91" s="294">
        <v>306.57571085411269</v>
      </c>
      <c r="AA91" s="294">
        <v>286.75272326936584</v>
      </c>
      <c r="AB91" s="294">
        <v>296.80797672020566</v>
      </c>
      <c r="AC91" s="294">
        <v>409.9179308587415</v>
      </c>
      <c r="AD91" s="294">
        <v>482.87767861528198</v>
      </c>
      <c r="AE91" s="294">
        <v>497.4538479162149</v>
      </c>
      <c r="AF91" s="294">
        <v>464.99042593998689</v>
      </c>
      <c r="AG91" s="294">
        <v>571.00818128524884</v>
      </c>
      <c r="AH91" s="294">
        <v>550.2376697325783</v>
      </c>
      <c r="AI91" s="294">
        <v>579.28703708310888</v>
      </c>
      <c r="AJ91" s="294">
        <v>559.87198084955503</v>
      </c>
      <c r="AK91" s="294">
        <v>385.07758734654686</v>
      </c>
      <c r="AL91" s="294">
        <v>468.96420473579599</v>
      </c>
      <c r="AM91" s="294">
        <v>454.57115017172407</v>
      </c>
      <c r="AN91" s="294">
        <v>407.76551572187486</v>
      </c>
      <c r="AO91" s="294">
        <v>403.54554452602133</v>
      </c>
      <c r="AP91" s="294">
        <v>406.26955164221027</v>
      </c>
      <c r="AQ91" s="294">
        <v>358.95290874112749</v>
      </c>
      <c r="AR91" s="294">
        <v>381.10711498382847</v>
      </c>
      <c r="AS91" s="294">
        <v>423.42401105685121</v>
      </c>
      <c r="AT91" s="294">
        <v>532.55590514777066</v>
      </c>
      <c r="AU91" s="294">
        <v>579.06116155386053</v>
      </c>
      <c r="AV91" s="294">
        <v>601.94678429544012</v>
      </c>
      <c r="AW91" s="294">
        <v>610.36103414124466</v>
      </c>
      <c r="AX91" s="294">
        <v>685.15695394262684</v>
      </c>
      <c r="AY91" s="294">
        <v>760.55395207214895</v>
      </c>
      <c r="AZ91" s="294">
        <v>747.91269565898335</v>
      </c>
      <c r="BA91" s="294">
        <v>739.50787614025251</v>
      </c>
      <c r="BB91" s="294">
        <v>809.57406252257988</v>
      </c>
      <c r="BC91" s="298">
        <f t="shared" si="1"/>
        <v>809.57406252257988</v>
      </c>
    </row>
    <row r="92" spans="2:55">
      <c r="B92" s="72" t="s">
        <v>579</v>
      </c>
      <c r="C92" s="72" t="s">
        <v>580</v>
      </c>
      <c r="D92" s="294">
        <v>195.76795380537638</v>
      </c>
      <c r="E92" s="294">
        <v>233.59460005328583</v>
      </c>
      <c r="F92" s="294">
        <v>374.0096399177641</v>
      </c>
      <c r="G92" s="294">
        <v>168.85299648803644</v>
      </c>
      <c r="H92" s="294">
        <v>230.50950188968338</v>
      </c>
      <c r="I92" s="294">
        <v>251.13998817247125</v>
      </c>
      <c r="J92" s="294">
        <v>182.1444197210038</v>
      </c>
      <c r="K92" s="294">
        <v>204.37770918980399</v>
      </c>
      <c r="L92" s="294">
        <v>255.52531941272255</v>
      </c>
      <c r="M92" s="294">
        <v>240.67117812568063</v>
      </c>
      <c r="N92" s="294">
        <v>268.3975791682733</v>
      </c>
      <c r="O92" s="294">
        <v>288.06940609964897</v>
      </c>
      <c r="P92" s="294">
        <v>357.2077202028068</v>
      </c>
      <c r="Q92" s="294">
        <v>423.54033322667169</v>
      </c>
      <c r="R92" s="294">
        <v>439.05483130658428</v>
      </c>
      <c r="S92" s="294">
        <v>401.83234219860708</v>
      </c>
      <c r="T92" s="294">
        <v>498.95839454391256</v>
      </c>
      <c r="U92" s="294">
        <v>603.00386960781748</v>
      </c>
      <c r="V92" s="294">
        <v>573.90751786666692</v>
      </c>
      <c r="W92" s="294">
        <v>532.77666284977875</v>
      </c>
      <c r="X92" s="294">
        <v>451.30852326832672</v>
      </c>
      <c r="Y92" s="294">
        <v>478.14589789703473</v>
      </c>
      <c r="Z92" s="294">
        <v>375.12713823395927</v>
      </c>
      <c r="AA92" s="294">
        <v>260.46932477360446</v>
      </c>
      <c r="AB92" s="294">
        <v>231.76804392141412</v>
      </c>
      <c r="AC92" s="294">
        <v>253.26700140257179</v>
      </c>
      <c r="AD92" s="294">
        <v>232.68285060499434</v>
      </c>
      <c r="AE92" s="294">
        <v>260.891335996397</v>
      </c>
      <c r="AF92" s="294">
        <v>256.90291944389617</v>
      </c>
      <c r="AG92" s="294">
        <v>256.8177371788513</v>
      </c>
      <c r="AH92" s="294">
        <v>240.06536315466721</v>
      </c>
      <c r="AI92" s="294">
        <v>208.04849383716018</v>
      </c>
      <c r="AJ92" s="294">
        <v>260.64581194065107</v>
      </c>
      <c r="AK92" s="294">
        <v>136.46775141499702</v>
      </c>
      <c r="AL92" s="294">
        <v>128.063902843634</v>
      </c>
      <c r="AM92" s="294">
        <v>127.41913929758147</v>
      </c>
      <c r="AN92" s="294">
        <v>131.35492512174039</v>
      </c>
      <c r="AO92" s="294">
        <v>131.20372073414958</v>
      </c>
      <c r="AP92" s="294">
        <v>97.280018487385377</v>
      </c>
      <c r="AQ92" s="294">
        <v>86.75450673291499</v>
      </c>
      <c r="AR92" s="294">
        <v>92.0154867147875</v>
      </c>
      <c r="AS92" s="294">
        <v>105.6263511949781</v>
      </c>
      <c r="AT92" s="294">
        <v>104.81168367547832</v>
      </c>
      <c r="AU92" s="294">
        <v>116.77959418505657</v>
      </c>
      <c r="AV92" s="294">
        <v>125.23644116648597</v>
      </c>
      <c r="AW92" s="294">
        <v>149.33188905155401</v>
      </c>
      <c r="AX92" s="294">
        <v>164.77693695468568</v>
      </c>
      <c r="AY92" s="294">
        <v>186.88033310994149</v>
      </c>
      <c r="AZ92" s="294">
        <v>174.50556350451168</v>
      </c>
      <c r="BA92" s="294">
        <v>198.70873724965693</v>
      </c>
      <c r="BB92" s="294">
        <v>231.02411176829594</v>
      </c>
      <c r="BC92" s="298">
        <f t="shared" si="1"/>
        <v>231.02411176829594</v>
      </c>
    </row>
    <row r="93" spans="2:55">
      <c r="B93" s="72" t="s">
        <v>581</v>
      </c>
      <c r="C93" s="72" t="s">
        <v>582</v>
      </c>
      <c r="D93" s="294">
        <v>145.84752604267939</v>
      </c>
      <c r="E93" s="294">
        <v>155.97762079154194</v>
      </c>
      <c r="F93" s="294">
        <v>157.07849727232835</v>
      </c>
      <c r="G93" s="294">
        <v>164.82900949088634</v>
      </c>
      <c r="H93" s="294">
        <v>171.27317341144541</v>
      </c>
      <c r="I93" s="294">
        <v>185.32695876494739</v>
      </c>
      <c r="J93" s="294">
        <v>193.93091633568332</v>
      </c>
      <c r="K93" s="294">
        <v>199.51057516728864</v>
      </c>
      <c r="L93" s="294">
        <v>204.467705200854</v>
      </c>
      <c r="M93" s="294">
        <v>205.94949535567054</v>
      </c>
      <c r="N93" s="294">
        <v>234.10687696766058</v>
      </c>
      <c r="O93" s="294">
        <v>289.44300633216886</v>
      </c>
      <c r="P93" s="294">
        <v>370.39494275944412</v>
      </c>
      <c r="Q93" s="294">
        <v>387.99916174752912</v>
      </c>
      <c r="R93" s="294">
        <v>493.37929809497791</v>
      </c>
      <c r="S93" s="294">
        <v>471.17827448242167</v>
      </c>
      <c r="T93" s="294">
        <v>464.14598826927084</v>
      </c>
      <c r="U93" s="294">
        <v>517.86220657546994</v>
      </c>
      <c r="V93" s="294">
        <v>686.30339339640386</v>
      </c>
      <c r="W93" s="294">
        <v>948.5686916059127</v>
      </c>
      <c r="X93" s="294">
        <v>1076.4750619098988</v>
      </c>
      <c r="Y93" s="294">
        <v>1132.8089877121195</v>
      </c>
      <c r="Z93" s="294">
        <v>1067.6965967692211</v>
      </c>
      <c r="AA93" s="294">
        <v>1084.6732559200968</v>
      </c>
      <c r="AB93" s="294">
        <v>1038.3059677652552</v>
      </c>
      <c r="AC93" s="294">
        <v>863.86670013217076</v>
      </c>
      <c r="AD93" s="294">
        <v>1043.9129439961494</v>
      </c>
      <c r="AE93" s="294">
        <v>977.92135711170408</v>
      </c>
      <c r="AF93" s="294">
        <v>1027.7664731640373</v>
      </c>
      <c r="AG93" s="294">
        <v>1171.5616842497152</v>
      </c>
      <c r="AH93" s="294">
        <v>1110.400306624927</v>
      </c>
      <c r="AI93" s="294">
        <v>1163.8867396836663</v>
      </c>
      <c r="AJ93" s="294">
        <v>741.41035430973261</v>
      </c>
      <c r="AK93" s="294">
        <v>665.43815030288215</v>
      </c>
      <c r="AL93" s="294">
        <v>774.32547379018547</v>
      </c>
      <c r="AM93" s="294">
        <v>904.12485800124171</v>
      </c>
      <c r="AN93" s="294">
        <v>803.47521752253726</v>
      </c>
      <c r="AO93" s="294">
        <v>655.65612841378731</v>
      </c>
      <c r="AP93" s="294">
        <v>770.40025427300293</v>
      </c>
      <c r="AQ93" s="294">
        <v>1026.8315551009491</v>
      </c>
      <c r="AR93" s="294">
        <v>869.58381371690143</v>
      </c>
      <c r="AS93" s="294">
        <v>918.23181118350237</v>
      </c>
      <c r="AT93" s="294">
        <v>1038.8383605720237</v>
      </c>
      <c r="AU93" s="294">
        <v>1349.0846994889578</v>
      </c>
      <c r="AV93" s="294">
        <v>1722.812834381338</v>
      </c>
      <c r="AW93" s="294">
        <v>2130.6686504218287</v>
      </c>
      <c r="AX93" s="294">
        <v>2250.2175484908103</v>
      </c>
      <c r="AY93" s="294">
        <v>3091.2323392068952</v>
      </c>
      <c r="AZ93" s="294">
        <v>2434.0095607287381</v>
      </c>
      <c r="BA93" s="294">
        <v>2970.1162624882882</v>
      </c>
      <c r="BB93" s="294">
        <v>3484.658194995694</v>
      </c>
      <c r="BC93" s="298">
        <f t="shared" si="1"/>
        <v>3484.658194995694</v>
      </c>
    </row>
    <row r="94" spans="2:55">
      <c r="B94" s="72" t="s">
        <v>583</v>
      </c>
      <c r="C94" s="72" t="s">
        <v>257</v>
      </c>
      <c r="D94" s="294">
        <v>354.94375118710025</v>
      </c>
      <c r="E94" s="294">
        <v>334.88568378904728</v>
      </c>
      <c r="F94" s="294">
        <v>345.51242205026261</v>
      </c>
      <c r="G94" s="294">
        <v>354.07451024789015</v>
      </c>
      <c r="H94" s="294">
        <v>374.7158932780373</v>
      </c>
      <c r="I94" s="294">
        <v>396.70068473400596</v>
      </c>
      <c r="J94" s="294">
        <v>416.2795442983728</v>
      </c>
      <c r="K94" s="294">
        <v>447.84515723139413</v>
      </c>
      <c r="L94" s="294">
        <v>481.02302989259152</v>
      </c>
      <c r="M94" s="294">
        <v>541.00281298461096</v>
      </c>
      <c r="N94" s="294">
        <v>577.54979244424089</v>
      </c>
      <c r="O94" s="294">
        <v>648.66846087899091</v>
      </c>
      <c r="P94" s="294">
        <v>782.7814354170149</v>
      </c>
      <c r="Q94" s="294">
        <v>833.51036456604288</v>
      </c>
      <c r="R94" s="294">
        <v>957.07343371195213</v>
      </c>
      <c r="S94" s="294">
        <v>1147.8728362587785</v>
      </c>
      <c r="T94" s="294">
        <v>1423.690081187076</v>
      </c>
      <c r="U94" s="294">
        <v>1588.8510730364023</v>
      </c>
      <c r="V94" s="294">
        <v>1770.4600987433878</v>
      </c>
      <c r="W94" s="294">
        <v>2061.7737350725624</v>
      </c>
      <c r="X94" s="294">
        <v>1088.9945290217597</v>
      </c>
      <c r="Y94" s="294">
        <v>1052.0967475099519</v>
      </c>
      <c r="Z94" s="294">
        <v>1560.8903261928965</v>
      </c>
      <c r="AA94" s="294">
        <v>1754.0309385251821</v>
      </c>
      <c r="AB94" s="294">
        <v>1781.9554441794128</v>
      </c>
      <c r="AC94" s="294">
        <v>1980.6850508734062</v>
      </c>
      <c r="AD94" s="294">
        <v>2056.2590952100759</v>
      </c>
      <c r="AE94" s="294">
        <v>2079.0749707377349</v>
      </c>
      <c r="AF94" s="294">
        <v>2294.049461286837</v>
      </c>
      <c r="AG94" s="294">
        <v>2411.3611050770783</v>
      </c>
      <c r="AH94" s="294">
        <v>2275.6657592971578</v>
      </c>
      <c r="AI94" s="294">
        <v>2658.6084437532754</v>
      </c>
      <c r="AJ94" s="294">
        <v>2917.677729682116</v>
      </c>
      <c r="AK94" s="294">
        <v>3119.378567112868</v>
      </c>
      <c r="AL94" s="294">
        <v>3379.2545630071618</v>
      </c>
      <c r="AM94" s="294">
        <v>3329.4664190926383</v>
      </c>
      <c r="AN94" s="294">
        <v>3516.4614200850465</v>
      </c>
      <c r="AO94" s="294">
        <v>3768.3805292435059</v>
      </c>
      <c r="AP94" s="294">
        <v>4122.8110519630391</v>
      </c>
      <c r="AQ94" s="294">
        <v>4068.8213505971853</v>
      </c>
      <c r="AR94" s="294">
        <v>4097.8826617342702</v>
      </c>
      <c r="AS94" s="294">
        <v>4125.2917059706597</v>
      </c>
      <c r="AT94" s="294">
        <v>4210.5028128831664</v>
      </c>
      <c r="AU94" s="294">
        <v>4390.4863494478514</v>
      </c>
      <c r="AV94" s="294">
        <v>4632.8569092785792</v>
      </c>
      <c r="AW94" s="294">
        <v>5140.8922201499254</v>
      </c>
      <c r="AX94" s="294">
        <v>5911.5915084237777</v>
      </c>
      <c r="AY94" s="294">
        <v>6596.7153716447356</v>
      </c>
      <c r="AZ94" s="294">
        <v>6403.581949345451</v>
      </c>
      <c r="BA94" s="294">
        <v>7773.8582719506421</v>
      </c>
      <c r="BB94" s="294">
        <v>8646.804190241668</v>
      </c>
      <c r="BC94" s="298">
        <f t="shared" si="1"/>
        <v>8646.804190241668</v>
      </c>
    </row>
    <row r="95" spans="2:55">
      <c r="B95" s="72" t="s">
        <v>584</v>
      </c>
      <c r="C95" s="72" t="s">
        <v>585</v>
      </c>
      <c r="D95" s="294">
        <v>163.66342751747189</v>
      </c>
      <c r="E95" s="294">
        <v>164.32376574852012</v>
      </c>
      <c r="F95" s="294">
        <v>186.2842582180852</v>
      </c>
      <c r="G95" s="294">
        <v>216.65221855321957</v>
      </c>
      <c r="H95" s="294">
        <v>207.91729617443903</v>
      </c>
      <c r="I95" s="294">
        <v>222.51583675829997</v>
      </c>
      <c r="J95" s="294">
        <v>226.14953998547156</v>
      </c>
      <c r="K95" s="294">
        <v>257.0594119957434</v>
      </c>
      <c r="L95" s="294">
        <v>262.15704341030016</v>
      </c>
      <c r="M95" s="294">
        <v>268.71695143964928</v>
      </c>
      <c r="N95" s="294">
        <v>280.10594206535109</v>
      </c>
      <c r="O95" s="294">
        <v>312.93535778772548</v>
      </c>
      <c r="P95" s="294">
        <v>405.89336888667316</v>
      </c>
      <c r="Q95" s="294">
        <v>474.8031696555924</v>
      </c>
      <c r="R95" s="294">
        <v>575.30424260579287</v>
      </c>
      <c r="S95" s="294">
        <v>657.90075346853837</v>
      </c>
      <c r="T95" s="294">
        <v>844.40867376086703</v>
      </c>
      <c r="U95" s="294">
        <v>1017.1772135896776</v>
      </c>
      <c r="V95" s="294">
        <v>1124.8644143649606</v>
      </c>
      <c r="W95" s="294">
        <v>1196.9927707612462</v>
      </c>
      <c r="X95" s="294">
        <v>948.98674801652953</v>
      </c>
      <c r="Y95" s="294">
        <v>815.28147763327365</v>
      </c>
      <c r="Z95" s="294">
        <v>706.09740371775706</v>
      </c>
      <c r="AA95" s="294">
        <v>678.06298550042845</v>
      </c>
      <c r="AB95" s="294">
        <v>664.86571417508549</v>
      </c>
      <c r="AC95" s="294">
        <v>840.49890026394655</v>
      </c>
      <c r="AD95" s="294">
        <v>893.12448998752063</v>
      </c>
      <c r="AE95" s="294">
        <v>876.93611649667798</v>
      </c>
      <c r="AF95" s="294">
        <v>806.34819220413169</v>
      </c>
      <c r="AG95" s="294">
        <v>862.44475514023679</v>
      </c>
      <c r="AH95" s="294">
        <v>810.49944753197667</v>
      </c>
      <c r="AI95" s="294">
        <v>833.44334229442904</v>
      </c>
      <c r="AJ95" s="294">
        <v>799.24582064568438</v>
      </c>
      <c r="AK95" s="294">
        <v>583.24579142954076</v>
      </c>
      <c r="AL95" s="294">
        <v>749.47171590748246</v>
      </c>
      <c r="AM95" s="294">
        <v>804.46023942840509</v>
      </c>
      <c r="AN95" s="294">
        <v>756.65617165969604</v>
      </c>
      <c r="AO95" s="294">
        <v>805.02100132362227</v>
      </c>
      <c r="AP95" s="294">
        <v>773.04336236077677</v>
      </c>
      <c r="AQ95" s="294">
        <v>628.2281148276677</v>
      </c>
      <c r="AR95" s="294">
        <v>624.24494963052155</v>
      </c>
      <c r="AS95" s="294">
        <v>668.5815108254825</v>
      </c>
      <c r="AT95" s="294">
        <v>787.00017510353575</v>
      </c>
      <c r="AU95" s="294">
        <v>873.06746489330772</v>
      </c>
      <c r="AV95" s="294">
        <v>908.0232050681559</v>
      </c>
      <c r="AW95" s="294">
        <v>947.68760545101463</v>
      </c>
      <c r="AX95" s="294">
        <v>1061.6166891711487</v>
      </c>
      <c r="AY95" s="294">
        <v>1233.172417714323</v>
      </c>
      <c r="AZ95" s="294">
        <v>1190.7805002112946</v>
      </c>
      <c r="BA95" s="294">
        <v>1161.2631396241432</v>
      </c>
      <c r="BB95" s="294">
        <v>1194.5585993309694</v>
      </c>
      <c r="BC95" s="298">
        <f t="shared" si="1"/>
        <v>1194.5585993309694</v>
      </c>
    </row>
    <row r="96" spans="2:55">
      <c r="B96" s="72" t="s">
        <v>586</v>
      </c>
      <c r="C96" s="72" t="s">
        <v>587</v>
      </c>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v>5184.5529653652993</v>
      </c>
      <c r="AH96" s="294">
        <v>4025.822867018499</v>
      </c>
      <c r="AI96" s="294">
        <v>2299.6598838864152</v>
      </c>
      <c r="AJ96" s="294">
        <v>2349.2500836024515</v>
      </c>
      <c r="AK96" s="294">
        <v>3135.1369811442519</v>
      </c>
      <c r="AL96" s="294">
        <v>4721.6978794711058</v>
      </c>
      <c r="AM96" s="294">
        <v>5193.9042813159922</v>
      </c>
      <c r="AN96" s="294">
        <v>5140.3491294152218</v>
      </c>
      <c r="AO96" s="294">
        <v>5577.9605900284942</v>
      </c>
      <c r="AP96" s="294">
        <v>5067.5584746690547</v>
      </c>
      <c r="AQ96" s="294">
        <v>4861.6775099465976</v>
      </c>
      <c r="AR96" s="294">
        <v>5191.9019848116413</v>
      </c>
      <c r="AS96" s="294">
        <v>5974.0757653686296</v>
      </c>
      <c r="AT96" s="294">
        <v>7689.9569959556875</v>
      </c>
      <c r="AU96" s="294">
        <v>9237.1162234058556</v>
      </c>
      <c r="AV96" s="294">
        <v>10090.36668863918</v>
      </c>
      <c r="AW96" s="294">
        <v>11228.621375092249</v>
      </c>
      <c r="AX96" s="294">
        <v>13376.009230899692</v>
      </c>
      <c r="AY96" s="294">
        <v>15693.84080731133</v>
      </c>
      <c r="AZ96" s="294">
        <v>14044.393596781349</v>
      </c>
      <c r="BA96" s="294">
        <v>13461.396409294384</v>
      </c>
      <c r="BB96" s="294">
        <v>14180.444899890439</v>
      </c>
      <c r="BC96" s="298">
        <f t="shared" si="1"/>
        <v>14180.444899890439</v>
      </c>
    </row>
    <row r="97" spans="2:55">
      <c r="B97" s="72" t="s">
        <v>588</v>
      </c>
      <c r="C97" s="72" t="s">
        <v>589</v>
      </c>
      <c r="D97" s="294"/>
      <c r="E97" s="294"/>
      <c r="F97" s="294"/>
      <c r="G97" s="294"/>
      <c r="H97" s="294"/>
      <c r="I97" s="294"/>
      <c r="J97" s="294"/>
      <c r="K97" s="294"/>
      <c r="L97" s="294"/>
      <c r="M97" s="294">
        <v>654.22659455662824</v>
      </c>
      <c r="N97" s="294">
        <v>780.78895411907126</v>
      </c>
      <c r="O97" s="294">
        <v>902.84370947375658</v>
      </c>
      <c r="P97" s="294">
        <v>1090.2979964885358</v>
      </c>
      <c r="Q97" s="294">
        <v>1226.592768647741</v>
      </c>
      <c r="R97" s="294">
        <v>1382.8312386595983</v>
      </c>
      <c r="S97" s="294">
        <v>1447.6881419719984</v>
      </c>
      <c r="T97" s="294">
        <v>1477.6439069641149</v>
      </c>
      <c r="U97" s="294">
        <v>1841.6873374737513</v>
      </c>
      <c r="V97" s="294">
        <v>2007.7665117146364</v>
      </c>
      <c r="W97" s="294">
        <v>2029.3963771852043</v>
      </c>
      <c r="X97" s="294">
        <v>2043.1632436522443</v>
      </c>
      <c r="Y97" s="294">
        <v>2115.3245556399547</v>
      </c>
      <c r="Z97" s="294">
        <v>2231.9442507703707</v>
      </c>
      <c r="AA97" s="294">
        <v>2403.55547775582</v>
      </c>
      <c r="AB97" s="294">
        <v>2276.3994537944659</v>
      </c>
      <c r="AC97" s="294">
        <v>2385.6247290136635</v>
      </c>
      <c r="AD97" s="294">
        <v>2458.2593889550517</v>
      </c>
      <c r="AE97" s="294">
        <v>2648.8206757941498</v>
      </c>
      <c r="AF97" s="294">
        <v>2580.2913763828533</v>
      </c>
      <c r="AG97" s="294">
        <v>2709.9855889554151</v>
      </c>
      <c r="AH97" s="294">
        <v>2282.4861501061246</v>
      </c>
      <c r="AI97" s="294">
        <v>2058.8866432394379</v>
      </c>
      <c r="AJ97" s="294">
        <v>2072.8297395875807</v>
      </c>
      <c r="AK97" s="294">
        <v>2622.4872003063783</v>
      </c>
      <c r="AL97" s="294">
        <v>2791.4145990653269</v>
      </c>
      <c r="AM97" s="294">
        <v>2284.85060925879</v>
      </c>
      <c r="AN97" s="294">
        <v>2307.635624605974</v>
      </c>
      <c r="AO97" s="294">
        <v>2333.02503238701</v>
      </c>
      <c r="AP97" s="294">
        <v>2562.7322945666315</v>
      </c>
      <c r="AQ97" s="294">
        <v>2752.5520939476401</v>
      </c>
      <c r="AR97" s="294">
        <v>2844.059443268719</v>
      </c>
      <c r="AS97" s="294">
        <v>3005.7356161738326</v>
      </c>
      <c r="AT97" s="294">
        <v>3203.1947811698201</v>
      </c>
      <c r="AU97" s="294">
        <v>3400.3473084485317</v>
      </c>
      <c r="AV97" s="294">
        <v>3789.1667870657125</v>
      </c>
      <c r="AW97" s="294">
        <v>4681.8925384221247</v>
      </c>
      <c r="AX97" s="294">
        <v>5200.5615206101647</v>
      </c>
      <c r="AY97" s="294">
        <v>5396.8858351073341</v>
      </c>
      <c r="AZ97" s="294"/>
      <c r="BA97" s="294"/>
      <c r="BB97" s="294"/>
      <c r="BC97" s="298">
        <f t="shared" si="1"/>
        <v>0</v>
      </c>
    </row>
    <row r="98" spans="2:55">
      <c r="B98" s="72" t="s">
        <v>590</v>
      </c>
      <c r="C98" s="72" t="s">
        <v>591</v>
      </c>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8">
        <f t="shared" si="1"/>
        <v>0</v>
      </c>
    </row>
    <row r="99" spans="2:55">
      <c r="B99" s="72" t="s">
        <v>592</v>
      </c>
      <c r="C99" s="72" t="s">
        <v>593</v>
      </c>
      <c r="D99" s="294"/>
      <c r="E99" s="294"/>
      <c r="F99" s="294"/>
      <c r="G99" s="294"/>
      <c r="H99" s="294"/>
      <c r="I99" s="294"/>
      <c r="J99" s="294"/>
      <c r="K99" s="294"/>
      <c r="L99" s="294"/>
      <c r="M99" s="294"/>
      <c r="N99" s="294"/>
      <c r="O99" s="294"/>
      <c r="P99" s="294"/>
      <c r="Q99" s="294"/>
      <c r="R99" s="294">
        <v>976.32975810000005</v>
      </c>
      <c r="S99" s="294">
        <v>1157.411576</v>
      </c>
      <c r="T99" s="294">
        <v>1476.2478653000001</v>
      </c>
      <c r="U99" s="294">
        <v>1929.4000576000001</v>
      </c>
      <c r="V99" s="294">
        <v>2559.2275263000001</v>
      </c>
      <c r="W99" s="294">
        <v>4232.0230382</v>
      </c>
      <c r="X99" s="294">
        <v>4033.2403770999999</v>
      </c>
      <c r="Y99" s="294">
        <v>4122.7844108999998</v>
      </c>
      <c r="Z99" s="294">
        <v>4091.0485251999999</v>
      </c>
      <c r="AA99" s="294">
        <v>4258.7435466999996</v>
      </c>
      <c r="AB99" s="294">
        <v>4488.2869418999999</v>
      </c>
      <c r="AC99" s="294">
        <v>5642.6314615000001</v>
      </c>
      <c r="AD99" s="294">
        <v>6690.5779234000001</v>
      </c>
      <c r="AE99" s="294">
        <v>7645.6297033000001</v>
      </c>
      <c r="AF99" s="294">
        <v>8038.9141527000002</v>
      </c>
      <c r="AG99" s="294">
        <v>9641.5752811999992</v>
      </c>
      <c r="AH99" s="294">
        <v>9696.0995407999999</v>
      </c>
      <c r="AI99" s="294">
        <v>11310.071951</v>
      </c>
      <c r="AJ99" s="294">
        <v>10526.141845</v>
      </c>
      <c r="AK99" s="294">
        <v>11617.692745</v>
      </c>
      <c r="AL99" s="294">
        <v>14212.054013999999</v>
      </c>
      <c r="AM99" s="294">
        <v>14133.325201</v>
      </c>
      <c r="AN99" s="294">
        <v>13276.732382</v>
      </c>
      <c r="AO99" s="294">
        <v>14069.116410000001</v>
      </c>
      <c r="AP99" s="294">
        <v>14236.941535</v>
      </c>
      <c r="AQ99" s="294">
        <v>13421.655416</v>
      </c>
      <c r="AR99" s="294">
        <v>13797.145967</v>
      </c>
      <c r="AS99" s="294">
        <v>14862.45444</v>
      </c>
      <c r="AT99" s="294">
        <v>18428.928261000001</v>
      </c>
      <c r="AU99" s="294">
        <v>21380.903077999999</v>
      </c>
      <c r="AV99" s="294">
        <v>22430.60642</v>
      </c>
      <c r="AW99" s="294">
        <v>23863.555464000001</v>
      </c>
      <c r="AX99" s="294">
        <v>27860.276106000001</v>
      </c>
      <c r="AY99" s="294">
        <v>31928.396796000001</v>
      </c>
      <c r="AZ99" s="294">
        <v>29427.908787</v>
      </c>
      <c r="BA99" s="294">
        <v>28779.185548000001</v>
      </c>
      <c r="BB99" s="294">
        <v>30670.313598000001</v>
      </c>
      <c r="BC99" s="298">
        <f t="shared" si="1"/>
        <v>30670.313598000001</v>
      </c>
    </row>
    <row r="100" spans="2:55">
      <c r="B100" s="72" t="s">
        <v>594</v>
      </c>
      <c r="C100" s="72" t="s">
        <v>595</v>
      </c>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v>3786.8586701082313</v>
      </c>
      <c r="AH100" s="294">
        <v>2782.9640348337762</v>
      </c>
      <c r="AI100" s="294">
        <v>3240.5346787086273</v>
      </c>
      <c r="AJ100" s="294">
        <v>3800.9769541656005</v>
      </c>
      <c r="AK100" s="294">
        <v>4448.8813804067631</v>
      </c>
      <c r="AL100" s="294">
        <v>5595.6303753046641</v>
      </c>
      <c r="AM100" s="294">
        <v>6291.1563616840813</v>
      </c>
      <c r="AN100" s="294">
        <v>5770.8754057981405</v>
      </c>
      <c r="AO100" s="294">
        <v>6203.7040307303723</v>
      </c>
      <c r="AP100" s="294">
        <v>6044.9727048851883</v>
      </c>
      <c r="AQ100" s="294">
        <v>5724.8374726423408</v>
      </c>
      <c r="AR100" s="294">
        <v>6288.8119552017479</v>
      </c>
      <c r="AS100" s="294">
        <v>7685.0888161377597</v>
      </c>
      <c r="AT100" s="294">
        <v>9335.6772397838176</v>
      </c>
      <c r="AU100" s="294">
        <v>11156.657850091973</v>
      </c>
      <c r="AV100" s="294">
        <v>12705.62456169416</v>
      </c>
      <c r="AW100" s="294">
        <v>14445.729575966467</v>
      </c>
      <c r="AX100" s="294">
        <v>17467.417691085262</v>
      </c>
      <c r="AY100" s="294">
        <v>21627.155962775461</v>
      </c>
      <c r="AZ100" s="294">
        <v>18805.655642749087</v>
      </c>
      <c r="BA100" s="294">
        <v>18910.005005016043</v>
      </c>
      <c r="BB100" s="294">
        <v>20579.039794454427</v>
      </c>
      <c r="BC100" s="298">
        <f t="shared" si="1"/>
        <v>20579.039794454427</v>
      </c>
    </row>
    <row r="101" spans="2:55">
      <c r="B101" s="72" t="s">
        <v>596</v>
      </c>
      <c r="C101" s="72" t="s">
        <v>597</v>
      </c>
      <c r="D101" s="294">
        <v>1503.5370134281618</v>
      </c>
      <c r="E101" s="294">
        <v>1681.0299129875996</v>
      </c>
      <c r="F101" s="294">
        <v>1775.370384687885</v>
      </c>
      <c r="G101" s="294">
        <v>2013.2430769326788</v>
      </c>
      <c r="H101" s="294">
        <v>2243.9315948353569</v>
      </c>
      <c r="I101" s="294">
        <v>2443.2597913502009</v>
      </c>
      <c r="J101" s="294">
        <v>2644.7866468916036</v>
      </c>
      <c r="K101" s="294">
        <v>2712.6124003393297</v>
      </c>
      <c r="L101" s="294">
        <v>3068.2367411441319</v>
      </c>
      <c r="M101" s="294">
        <v>3366.0684292882229</v>
      </c>
      <c r="N101" s="294">
        <v>3730.6218096564107</v>
      </c>
      <c r="O101" s="294">
        <v>4525.81746123014</v>
      </c>
      <c r="P101" s="294">
        <v>5966.277247824105</v>
      </c>
      <c r="Q101" s="294">
        <v>6609.4361625228985</v>
      </c>
      <c r="R101" s="294">
        <v>7824.9755505952598</v>
      </c>
      <c r="S101" s="294">
        <v>8610.2058880824916</v>
      </c>
      <c r="T101" s="294">
        <v>9601.1703147923927</v>
      </c>
      <c r="U101" s="294">
        <v>11617.035814283377</v>
      </c>
      <c r="V101" s="294">
        <v>13516.415027754934</v>
      </c>
      <c r="W101" s="294">
        <v>13607.065352096073</v>
      </c>
      <c r="X101" s="294">
        <v>11788.173380756516</v>
      </c>
      <c r="Y101" s="294">
        <v>11516.090077987996</v>
      </c>
      <c r="Z101" s="294">
        <v>11576.334219998293</v>
      </c>
      <c r="AA101" s="294">
        <v>11290.864490245291</v>
      </c>
      <c r="AB101" s="294">
        <v>11968.616223755293</v>
      </c>
      <c r="AC101" s="294">
        <v>16866.496307559435</v>
      </c>
      <c r="AD101" s="294">
        <v>20941.260189424091</v>
      </c>
      <c r="AE101" s="294">
        <v>22074.359580533521</v>
      </c>
      <c r="AF101" s="294">
        <v>21443.038653469986</v>
      </c>
      <c r="AG101" s="294">
        <v>26422.829375167261</v>
      </c>
      <c r="AH101" s="294">
        <v>26520.386145044427</v>
      </c>
      <c r="AI101" s="294">
        <v>29043.655833115416</v>
      </c>
      <c r="AJ101" s="294">
        <v>27102.854364389652</v>
      </c>
      <c r="AK101" s="294">
        <v>29502.094525471977</v>
      </c>
      <c r="AL101" s="294">
        <v>34773.675441318192</v>
      </c>
      <c r="AM101" s="294">
        <v>35043.3647374391</v>
      </c>
      <c r="AN101" s="294">
        <v>32248.959491275349</v>
      </c>
      <c r="AO101" s="294">
        <v>32738.683280804904</v>
      </c>
      <c r="AP101" s="294">
        <v>32685.318946923686</v>
      </c>
      <c r="AQ101" s="294">
        <v>29980.155472954604</v>
      </c>
      <c r="AR101" s="294">
        <v>29946.381831210911</v>
      </c>
      <c r="AS101" s="294">
        <v>32344.319792028593</v>
      </c>
      <c r="AT101" s="294">
        <v>39443.268171985648</v>
      </c>
      <c r="AU101" s="294">
        <v>45282.068004999521</v>
      </c>
      <c r="AV101" s="294">
        <v>47546.59459413719</v>
      </c>
      <c r="AW101" s="294">
        <v>50462.233575607679</v>
      </c>
      <c r="AX101" s="294">
        <v>57021.173177950681</v>
      </c>
      <c r="AY101" s="294">
        <v>62596.488537966456</v>
      </c>
      <c r="AZ101" s="294">
        <v>56226.580145794542</v>
      </c>
      <c r="BA101" s="294">
        <v>56485.894435376424</v>
      </c>
      <c r="BB101" s="294">
        <v>59852.173465658263</v>
      </c>
      <c r="BC101" s="298">
        <f t="shared" si="1"/>
        <v>59852.173465658263</v>
      </c>
    </row>
    <row r="102" spans="2:55">
      <c r="B102" s="72" t="s">
        <v>598</v>
      </c>
      <c r="C102" s="72" t="s">
        <v>599</v>
      </c>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v>845.66414328803057</v>
      </c>
      <c r="AC102" s="294"/>
      <c r="AD102" s="294">
        <v>804.33034113799658</v>
      </c>
      <c r="AE102" s="294">
        <v>790.20466985176949</v>
      </c>
      <c r="AF102" s="294">
        <v>765.09474093669348</v>
      </c>
      <c r="AG102" s="294">
        <v>804.43917727882206</v>
      </c>
      <c r="AH102" s="294">
        <v>795.02995254839641</v>
      </c>
      <c r="AI102" s="294">
        <v>804.22033552373523</v>
      </c>
      <c r="AJ102" s="294">
        <v>772.19922568780544</v>
      </c>
      <c r="AK102" s="294">
        <v>801.81670821541377</v>
      </c>
      <c r="AL102" s="294">
        <v>794.40476791706431</v>
      </c>
      <c r="AM102" s="294">
        <v>766.57138989453472</v>
      </c>
      <c r="AN102" s="294">
        <v>755.04586774658526</v>
      </c>
      <c r="AO102" s="294">
        <v>746.46252131537415</v>
      </c>
      <c r="AP102" s="294">
        <v>753.37339821147452</v>
      </c>
      <c r="AQ102" s="294">
        <v>753.11964512522422</v>
      </c>
      <c r="AR102" s="294">
        <v>763.62644919205604</v>
      </c>
      <c r="AS102" s="294">
        <v>772.42280254676723</v>
      </c>
      <c r="AT102" s="294">
        <v>797.86140464194864</v>
      </c>
      <c r="AU102" s="294">
        <v>839.15864148812977</v>
      </c>
      <c r="AV102" s="294">
        <v>876.88344147713428</v>
      </c>
      <c r="AW102" s="294">
        <v>933.45937392444898</v>
      </c>
      <c r="AX102" s="294">
        <v>1010.0850543246421</v>
      </c>
      <c r="AY102" s="294">
        <v>1148.3088859409891</v>
      </c>
      <c r="AZ102" s="294">
        <v>1202.9199013339803</v>
      </c>
      <c r="BA102" s="294"/>
      <c r="BB102" s="294"/>
      <c r="BC102" s="298">
        <f t="shared" si="1"/>
        <v>0</v>
      </c>
    </row>
    <row r="103" spans="2:55">
      <c r="B103" s="72" t="s">
        <v>600</v>
      </c>
      <c r="C103" s="72" t="s">
        <v>601</v>
      </c>
      <c r="D103" s="294"/>
      <c r="E103" s="294"/>
      <c r="F103" s="294"/>
      <c r="G103" s="294"/>
      <c r="H103" s="294"/>
      <c r="I103" s="294"/>
      <c r="J103" s="294"/>
      <c r="K103" s="294"/>
      <c r="L103" s="294"/>
      <c r="M103" s="294"/>
      <c r="N103" s="294"/>
      <c r="O103" s="294"/>
      <c r="P103" s="294"/>
      <c r="Q103" s="294"/>
      <c r="R103" s="294"/>
      <c r="S103" s="294"/>
      <c r="T103" s="294">
        <v>495.42812793612046</v>
      </c>
      <c r="U103" s="294">
        <v>608.43709014861088</v>
      </c>
      <c r="V103" s="294">
        <v>591.23215496109947</v>
      </c>
      <c r="W103" s="294">
        <v>784.73548645974574</v>
      </c>
      <c r="X103" s="294">
        <v>878.53261534557441</v>
      </c>
      <c r="Y103" s="294">
        <v>958.56970677394395</v>
      </c>
      <c r="Z103" s="294">
        <v>1069.2860518065365</v>
      </c>
      <c r="AA103" s="294">
        <v>1210.6956632535528</v>
      </c>
      <c r="AB103" s="294">
        <v>1338.7995633188214</v>
      </c>
      <c r="AC103" s="294">
        <v>1534.7987194924074</v>
      </c>
      <c r="AD103" s="294">
        <v>1745.9841901023894</v>
      </c>
      <c r="AE103" s="294">
        <v>2003.995793166016</v>
      </c>
      <c r="AF103" s="294">
        <v>2152.9207929718709</v>
      </c>
      <c r="AG103" s="294">
        <v>2345.0106478694938</v>
      </c>
      <c r="AH103" s="294">
        <v>2547.0347230513548</v>
      </c>
      <c r="AI103" s="294">
        <v>2702.280964440045</v>
      </c>
      <c r="AJ103" s="294">
        <v>2815.6180589353066</v>
      </c>
      <c r="AK103" s="294">
        <v>3019.7514688992742</v>
      </c>
      <c r="AL103" s="294">
        <v>3139.3562752725279</v>
      </c>
      <c r="AM103" s="294">
        <v>3321.5953060896413</v>
      </c>
      <c r="AN103" s="294">
        <v>3469.235766886261</v>
      </c>
      <c r="AO103" s="294">
        <v>3670.0426056971401</v>
      </c>
      <c r="AP103" s="294">
        <v>3824.7037414434926</v>
      </c>
      <c r="AQ103" s="294">
        <v>4657.0190773718414</v>
      </c>
      <c r="AR103" s="294">
        <v>4765.5024653443697</v>
      </c>
      <c r="AS103" s="294">
        <v>4718.5189429018719</v>
      </c>
      <c r="AT103" s="294">
        <v>4924.9120356947205</v>
      </c>
      <c r="AU103" s="294">
        <v>5311.8075679198837</v>
      </c>
      <c r="AV103" s="294">
        <v>5246.5131342441455</v>
      </c>
      <c r="AW103" s="294">
        <v>5643.7371017305504</v>
      </c>
      <c r="AX103" s="294">
        <v>6119.179501417424</v>
      </c>
      <c r="AY103" s="294">
        <v>6780.7141580172283</v>
      </c>
      <c r="AZ103" s="294">
        <v>7085.4475776680656</v>
      </c>
      <c r="BA103" s="294">
        <v>6963.8723455660447</v>
      </c>
      <c r="BB103" s="294">
        <v>7153.8553380125595</v>
      </c>
      <c r="BC103" s="298">
        <f t="shared" si="1"/>
        <v>7153.8553380125595</v>
      </c>
    </row>
    <row r="104" spans="2:55">
      <c r="B104" s="72" t="s">
        <v>602</v>
      </c>
      <c r="C104" s="72" t="s">
        <v>603</v>
      </c>
      <c r="D104" s="294">
        <v>191.17993444175386</v>
      </c>
      <c r="E104" s="294">
        <v>233.0287082557372</v>
      </c>
      <c r="F104" s="294">
        <v>257.48468844430568</v>
      </c>
      <c r="G104" s="294">
        <v>271.83063804139852</v>
      </c>
      <c r="H104" s="294">
        <v>228.099041372714</v>
      </c>
      <c r="I104" s="294">
        <v>245.04304802758907</v>
      </c>
      <c r="J104" s="294">
        <v>250.07286139129252</v>
      </c>
      <c r="K104" s="294">
        <v>253.2087020631663</v>
      </c>
      <c r="L104" s="294">
        <v>280.53543809012473</v>
      </c>
      <c r="M104" s="294">
        <v>329.24187351784087</v>
      </c>
      <c r="N104" s="294">
        <v>359.32169620368347</v>
      </c>
      <c r="O104" s="294">
        <v>417.12151684217616</v>
      </c>
      <c r="P104" s="294">
        <v>479.34169559439846</v>
      </c>
      <c r="Q104" s="294">
        <v>582.90472886840848</v>
      </c>
      <c r="R104" s="294">
        <v>699.33563718562152</v>
      </c>
      <c r="S104" s="294">
        <v>749.13864146054163</v>
      </c>
      <c r="T104" s="294">
        <v>849.04114492743702</v>
      </c>
      <c r="U104" s="294">
        <v>863.12498101790322</v>
      </c>
      <c r="V104" s="294">
        <v>971.20596019624054</v>
      </c>
      <c r="W104" s="294">
        <v>1144.4451803687698</v>
      </c>
      <c r="X104" s="294">
        <v>1225.7884522189606</v>
      </c>
      <c r="Y104" s="294">
        <v>1313.1682302997565</v>
      </c>
      <c r="Z104" s="294">
        <v>1390.040290209196</v>
      </c>
      <c r="AA104" s="294">
        <v>1628.8995882969748</v>
      </c>
      <c r="AB104" s="294">
        <v>778.22611359180007</v>
      </c>
      <c r="AC104" s="294">
        <v>924.36076856011391</v>
      </c>
      <c r="AD104" s="294">
        <v>861.38450839064569</v>
      </c>
      <c r="AE104" s="294">
        <v>778.07545932916753</v>
      </c>
      <c r="AF104" s="294">
        <v>948.38829793345701</v>
      </c>
      <c r="AG104" s="294">
        <v>983.1831973288788</v>
      </c>
      <c r="AH104" s="294">
        <v>1324.8786850833187</v>
      </c>
      <c r="AI104" s="294">
        <v>1506.5814245887684</v>
      </c>
      <c r="AJ104" s="294">
        <v>1700.4689771141054</v>
      </c>
      <c r="AK104" s="294">
        <v>1866.400236122312</v>
      </c>
      <c r="AL104" s="294">
        <v>2066.4297116283619</v>
      </c>
      <c r="AM104" s="294">
        <v>2251.0658284171668</v>
      </c>
      <c r="AN104" s="294">
        <v>2392.1815324426057</v>
      </c>
      <c r="AO104" s="294">
        <v>2543.1891673734963</v>
      </c>
      <c r="AP104" s="294">
        <v>2566.6375337868094</v>
      </c>
      <c r="AQ104" s="294">
        <v>2792.9176957771738</v>
      </c>
      <c r="AR104" s="294">
        <v>2852.8738367456435</v>
      </c>
      <c r="AS104" s="294">
        <v>2998.6595640550054</v>
      </c>
      <c r="AT104" s="294">
        <v>2364.3214838599583</v>
      </c>
      <c r="AU104" s="294">
        <v>2413.9449176371782</v>
      </c>
      <c r="AV104" s="294">
        <v>3670.4505390381983</v>
      </c>
      <c r="AW104" s="294">
        <v>3825.4687512139558</v>
      </c>
      <c r="AX104" s="294">
        <v>4334.3334292805548</v>
      </c>
      <c r="AY104" s="294">
        <v>4739.3292267917168</v>
      </c>
      <c r="AZ104" s="294">
        <v>4775.8458834969852</v>
      </c>
      <c r="BA104" s="294">
        <v>5195.3812370880778</v>
      </c>
      <c r="BB104" s="294">
        <v>5530.0561531685498</v>
      </c>
      <c r="BC104" s="298">
        <f t="shared" si="1"/>
        <v>5530.0561531685498</v>
      </c>
    </row>
    <row r="105" spans="2:55">
      <c r="B105" s="72" t="s">
        <v>604</v>
      </c>
      <c r="C105" s="72" t="s">
        <v>605</v>
      </c>
      <c r="D105" s="294">
        <v>214.23983301655414</v>
      </c>
      <c r="E105" s="294">
        <v>203.67252536737223</v>
      </c>
      <c r="F105" s="294">
        <v>214.17784122426193</v>
      </c>
      <c r="G105" s="294">
        <v>231.46548021676927</v>
      </c>
      <c r="H105" s="294">
        <v>240.48241096814937</v>
      </c>
      <c r="I105" s="294">
        <v>251.51757219902754</v>
      </c>
      <c r="J105" s="294">
        <v>267.18886334419176</v>
      </c>
      <c r="K105" s="294">
        <v>276.93509821034303</v>
      </c>
      <c r="L105" s="294">
        <v>299.88326495310707</v>
      </c>
      <c r="M105" s="294">
        <v>280.42074987580668</v>
      </c>
      <c r="N105" s="294">
        <v>263.34874950170826</v>
      </c>
      <c r="O105" s="294">
        <v>305.0546667363983</v>
      </c>
      <c r="P105" s="294">
        <v>397.9028031216618</v>
      </c>
      <c r="Q105" s="294">
        <v>585.26550180172956</v>
      </c>
      <c r="R105" s="294">
        <v>673.33593178040849</v>
      </c>
      <c r="S105" s="294">
        <v>799.91989624133419</v>
      </c>
      <c r="T105" s="294">
        <v>946.70839462619745</v>
      </c>
      <c r="U105" s="294">
        <v>1033.6428490621211</v>
      </c>
      <c r="V105" s="294">
        <v>1238.8537090514808</v>
      </c>
      <c r="W105" s="294">
        <v>1495.4746708417861</v>
      </c>
      <c r="X105" s="294">
        <v>1708.6181391140155</v>
      </c>
      <c r="Y105" s="294">
        <v>1570.1857894932327</v>
      </c>
      <c r="Z105" s="294">
        <v>1296.4751579862145</v>
      </c>
      <c r="AA105" s="294">
        <v>1285.2802511197074</v>
      </c>
      <c r="AB105" s="294">
        <v>1302.519764865654</v>
      </c>
      <c r="AC105" s="294">
        <v>1105.7726934933685</v>
      </c>
      <c r="AD105" s="294">
        <v>952.01785798295202</v>
      </c>
      <c r="AE105" s="294">
        <v>929.10025105870079</v>
      </c>
      <c r="AF105" s="294">
        <v>950.18090007150636</v>
      </c>
      <c r="AG105" s="294">
        <v>1009.2954513032091</v>
      </c>
      <c r="AH105" s="294">
        <v>1081.4734552746743</v>
      </c>
      <c r="AI105" s="294">
        <v>1118.5488591372273</v>
      </c>
      <c r="AJ105" s="294">
        <v>1375.2369590386957</v>
      </c>
      <c r="AK105" s="294">
        <v>1663.0119179064802</v>
      </c>
      <c r="AL105" s="294">
        <v>1774.8407828518107</v>
      </c>
      <c r="AM105" s="294">
        <v>1836.8495130712197</v>
      </c>
      <c r="AN105" s="294">
        <v>2008.4360721058983</v>
      </c>
      <c r="AO105" s="294">
        <v>1945.397767328737</v>
      </c>
      <c r="AP105" s="294">
        <v>1373.2086261644999</v>
      </c>
      <c r="AQ105" s="294">
        <v>1291.3416130101693</v>
      </c>
      <c r="AR105" s="294">
        <v>1692.9525135205158</v>
      </c>
      <c r="AS105" s="294">
        <v>1936.0111659251304</v>
      </c>
      <c r="AT105" s="294">
        <v>2187.3634507936254</v>
      </c>
      <c r="AU105" s="294">
        <v>2471.4926009183678</v>
      </c>
      <c r="AV105" s="294">
        <v>2751.4731050060918</v>
      </c>
      <c r="AW105" s="294">
        <v>3057.6174357984792</v>
      </c>
      <c r="AX105" s="294">
        <v>3285.5219971579213</v>
      </c>
      <c r="AY105" s="294">
        <v>3856.4079580329435</v>
      </c>
      <c r="AZ105" s="294">
        <v>3647.6962628087267</v>
      </c>
      <c r="BA105" s="294">
        <v>4008.2379640586669</v>
      </c>
      <c r="BB105" s="294">
        <v>4496.4669987781599</v>
      </c>
      <c r="BC105" s="298">
        <f t="shared" si="1"/>
        <v>4496.4669987781599</v>
      </c>
    </row>
    <row r="106" spans="2:55">
      <c r="B106" s="72" t="s">
        <v>606</v>
      </c>
      <c r="C106" s="72" t="s">
        <v>607</v>
      </c>
      <c r="D106" s="294">
        <v>151.28211294863519</v>
      </c>
      <c r="E106" s="294">
        <v>136.12717501818628</v>
      </c>
      <c r="F106" s="294">
        <v>137.84398165551812</v>
      </c>
      <c r="G106" s="294">
        <v>154.39733195522894</v>
      </c>
      <c r="H106" s="294">
        <v>160.88837219568651</v>
      </c>
      <c r="I106" s="294">
        <v>163.8545186647124</v>
      </c>
      <c r="J106" s="294">
        <v>166.96136129956156</v>
      </c>
      <c r="K106" s="294">
        <v>178.35452245975577</v>
      </c>
      <c r="L106" s="294">
        <v>195.54757903842957</v>
      </c>
      <c r="M106" s="294">
        <v>213.85829503134087</v>
      </c>
      <c r="N106" s="294">
        <v>224.91815410987343</v>
      </c>
      <c r="O106" s="294">
        <v>233.22519485434503</v>
      </c>
      <c r="P106" s="294">
        <v>250.3749942063921</v>
      </c>
      <c r="Q106" s="294">
        <v>229.63847306031332</v>
      </c>
      <c r="R106" s="294">
        <v>285.00726519134298</v>
      </c>
      <c r="S106" s="294">
        <v>325.59998904701928</v>
      </c>
      <c r="T106" s="294">
        <v>348.79467971655004</v>
      </c>
      <c r="U106" s="294">
        <v>345.97788306934831</v>
      </c>
      <c r="V106" s="294">
        <v>413.27466736383724</v>
      </c>
      <c r="W106" s="294">
        <v>509.7047158862228</v>
      </c>
      <c r="X106" s="294">
        <v>508.53339074834116</v>
      </c>
      <c r="Y106" s="294">
        <v>542.97548847048211</v>
      </c>
      <c r="Z106" s="294">
        <v>582.83722302040155</v>
      </c>
      <c r="AA106" s="294">
        <v>619.63561816755384</v>
      </c>
      <c r="AB106" s="294">
        <v>684.75754610976514</v>
      </c>
      <c r="AC106" s="294">
        <v>691.33815987256139</v>
      </c>
      <c r="AD106" s="294">
        <v>761.90721976298926</v>
      </c>
      <c r="AE106" s="294">
        <v>643.80375402262655</v>
      </c>
      <c r="AF106" s="294">
        <v>712.24168194168931</v>
      </c>
      <c r="AG106" s="294">
        <v>758.7602078603062</v>
      </c>
      <c r="AH106" s="294">
        <v>637.94707471800496</v>
      </c>
      <c r="AI106" s="294">
        <v>709.36240968763923</v>
      </c>
      <c r="AJ106" s="294">
        <v>776.04636696100067</v>
      </c>
      <c r="AK106" s="294">
        <v>850.3394094584196</v>
      </c>
      <c r="AL106" s="294">
        <v>969.31278445857845</v>
      </c>
      <c r="AM106" s="294">
        <v>1071.4382795226898</v>
      </c>
      <c r="AN106" s="294">
        <v>1221.7613568463578</v>
      </c>
      <c r="AO106" s="294">
        <v>1298.8798817113518</v>
      </c>
      <c r="AP106" s="294">
        <v>1364.9505440538537</v>
      </c>
      <c r="AQ106" s="294">
        <v>1475.8444095688474</v>
      </c>
      <c r="AR106" s="294">
        <v>1417.256455387525</v>
      </c>
      <c r="AS106" s="294">
        <v>1251.8865873466857</v>
      </c>
      <c r="AT106" s="294">
        <v>1159.7971751568773</v>
      </c>
      <c r="AU106" s="294">
        <v>1082.3692480492855</v>
      </c>
      <c r="AV106" s="294">
        <v>1208.6501223587516</v>
      </c>
      <c r="AW106" s="294">
        <v>1422.3400159884857</v>
      </c>
      <c r="AX106" s="294">
        <v>1695.8038912229608</v>
      </c>
      <c r="AY106" s="294">
        <v>2078.7962965780862</v>
      </c>
      <c r="AZ106" s="294">
        <v>2370.7111103534999</v>
      </c>
      <c r="BA106" s="294">
        <v>2698.3650737251628</v>
      </c>
      <c r="BB106" s="294">
        <v>2780.949245526931</v>
      </c>
      <c r="BC106" s="298">
        <f t="shared" si="1"/>
        <v>2780.949245526931</v>
      </c>
    </row>
    <row r="107" spans="2:55">
      <c r="B107" s="72" t="s">
        <v>608</v>
      </c>
      <c r="C107" s="72" t="s">
        <v>609</v>
      </c>
      <c r="D107" s="294">
        <v>222.51584477610271</v>
      </c>
      <c r="E107" s="294">
        <v>239.23667075852811</v>
      </c>
      <c r="F107" s="294">
        <v>244.82577981296168</v>
      </c>
      <c r="G107" s="294">
        <v>261.41769493171813</v>
      </c>
      <c r="H107" s="294">
        <v>270.50264875150009</v>
      </c>
      <c r="I107" s="294">
        <v>278.05324017030432</v>
      </c>
      <c r="J107" s="294">
        <v>283.72091975336451</v>
      </c>
      <c r="K107" s="294">
        <v>285.37282113413761</v>
      </c>
      <c r="L107" s="294">
        <v>288.55180563476171</v>
      </c>
      <c r="M107" s="294">
        <v>303.21887358948436</v>
      </c>
      <c r="N107" s="294">
        <v>309.13626453132281</v>
      </c>
      <c r="O107" s="294">
        <v>320.92382501002476</v>
      </c>
      <c r="P107" s="294">
        <v>357.19246951721613</v>
      </c>
      <c r="Q107" s="294">
        <v>402.76266783490763</v>
      </c>
      <c r="R107" s="294">
        <v>445.27550351447456</v>
      </c>
      <c r="S107" s="294">
        <v>538.53199311742674</v>
      </c>
      <c r="T107" s="294">
        <v>666.70038114453052</v>
      </c>
      <c r="U107" s="294">
        <v>695.48318392185945</v>
      </c>
      <c r="V107" s="294">
        <v>756.43128649057564</v>
      </c>
      <c r="W107" s="294">
        <v>767.5597114681882</v>
      </c>
      <c r="X107" s="294">
        <v>726.76269423171777</v>
      </c>
      <c r="Y107" s="294">
        <v>708.32407420720517</v>
      </c>
      <c r="Z107" s="294">
        <v>720.63873835352115</v>
      </c>
      <c r="AA107" s="294">
        <v>742.60045715154058</v>
      </c>
      <c r="AB107" s="294">
        <v>760.69931644407006</v>
      </c>
      <c r="AC107" s="294">
        <v>745.34276246792729</v>
      </c>
      <c r="AD107" s="294">
        <v>772.41616538637743</v>
      </c>
      <c r="AE107" s="294">
        <v>807.36632070618452</v>
      </c>
      <c r="AF107" s="294">
        <v>831.43240368820898</v>
      </c>
      <c r="AG107" s="294">
        <v>900.25316608608375</v>
      </c>
      <c r="AH107" s="294">
        <v>981.10709691619968</v>
      </c>
      <c r="AI107" s="294">
        <v>1082.9650556069473</v>
      </c>
      <c r="AJ107" s="294">
        <v>1242.4659938834911</v>
      </c>
      <c r="AK107" s="294">
        <v>1427.5796698543184</v>
      </c>
      <c r="AL107" s="294">
        <v>1657.0429015119348</v>
      </c>
      <c r="AM107" s="294">
        <v>1781.182013605832</v>
      </c>
      <c r="AN107" s="294">
        <v>1906.9224245740102</v>
      </c>
      <c r="AO107" s="294">
        <v>2042.9091543451175</v>
      </c>
      <c r="AP107" s="294">
        <v>2108.6883585339706</v>
      </c>
      <c r="AQ107" s="294">
        <v>2211.0224589478148</v>
      </c>
      <c r="AR107" s="294">
        <v>2315.2332489238051</v>
      </c>
      <c r="AS107" s="294">
        <v>2389.1354928908077</v>
      </c>
      <c r="AT107" s="294">
        <v>2504.2260801864286</v>
      </c>
      <c r="AU107" s="294">
        <v>2620.4752129448157</v>
      </c>
      <c r="AV107" s="294">
        <v>2825.1819308544582</v>
      </c>
      <c r="AW107" s="294">
        <v>3053.8710511686008</v>
      </c>
      <c r="AX107" s="294">
        <v>3295.4163243656476</v>
      </c>
      <c r="AY107" s="294">
        <v>3496.2970020366652</v>
      </c>
      <c r="AZ107" s="294">
        <v>3353.8281381002571</v>
      </c>
      <c r="BA107" s="294">
        <v>3460.0232876090768</v>
      </c>
      <c r="BB107" s="294">
        <v>3701.988489425356</v>
      </c>
      <c r="BC107" s="298">
        <f t="shared" si="1"/>
        <v>3701.988489425356</v>
      </c>
    </row>
    <row r="108" spans="2:55">
      <c r="B108" s="72" t="s">
        <v>610</v>
      </c>
      <c r="C108" s="72" t="s">
        <v>611</v>
      </c>
      <c r="D108" s="294"/>
      <c r="E108" s="294">
        <v>35.367590567016791</v>
      </c>
      <c r="F108" s="294">
        <v>41.534364357697349</v>
      </c>
      <c r="G108" s="294">
        <v>48.01779556047228</v>
      </c>
      <c r="H108" s="294">
        <v>240.31686764725896</v>
      </c>
      <c r="I108" s="294">
        <v>250.87849218795375</v>
      </c>
      <c r="J108" s="294">
        <v>256.03990473477859</v>
      </c>
      <c r="K108" s="294">
        <v>233.85377261159641</v>
      </c>
      <c r="L108" s="294">
        <v>230.21322290195465</v>
      </c>
      <c r="M108" s="294">
        <v>228.01592457874364</v>
      </c>
      <c r="N108" s="294">
        <v>227.95363762551375</v>
      </c>
      <c r="O108" s="294">
        <v>238.01696746991726</v>
      </c>
      <c r="P108" s="294">
        <v>309.49064481198633</v>
      </c>
      <c r="Q108" s="294">
        <v>377.28989861468807</v>
      </c>
      <c r="R108" s="294">
        <v>437.77553470633376</v>
      </c>
      <c r="S108" s="294">
        <v>453.55636333311406</v>
      </c>
      <c r="T108" s="294">
        <v>471.7099727637692</v>
      </c>
      <c r="U108" s="294"/>
      <c r="V108" s="294"/>
      <c r="W108" s="294"/>
      <c r="X108" s="294"/>
      <c r="Y108" s="294"/>
      <c r="Z108" s="294"/>
      <c r="AA108" s="294"/>
      <c r="AB108" s="294">
        <v>254.58141881143925</v>
      </c>
      <c r="AC108" s="294">
        <v>301.25879078983445</v>
      </c>
      <c r="AD108" s="294">
        <v>351.2495571397306</v>
      </c>
      <c r="AE108" s="294">
        <v>361.686258015156</v>
      </c>
      <c r="AF108" s="294">
        <v>309.13488266685795</v>
      </c>
      <c r="AG108" s="294">
        <v>353.40675551784017</v>
      </c>
      <c r="AH108" s="294">
        <v>337.86463436199813</v>
      </c>
      <c r="AI108" s="294">
        <v>385.6090914035604</v>
      </c>
      <c r="AJ108" s="294">
        <v>367.70111905186758</v>
      </c>
      <c r="AK108" s="294">
        <v>293.79120325444995</v>
      </c>
      <c r="AL108" s="294">
        <v>370.55495818200473</v>
      </c>
      <c r="AM108" s="294">
        <v>566.50323407842927</v>
      </c>
      <c r="AN108" s="294">
        <v>1053.4545304523911</v>
      </c>
      <c r="AO108" s="294">
        <v>933.94168918861135</v>
      </c>
      <c r="AP108" s="294">
        <v>1730.1886730408653</v>
      </c>
      <c r="AQ108" s="294">
        <v>2388.348624766767</v>
      </c>
      <c r="AR108" s="294">
        <v>3231.8174013420644</v>
      </c>
      <c r="AS108" s="294">
        <v>3872.0202477651897</v>
      </c>
      <c r="AT108" s="294">
        <v>5161.4764534150545</v>
      </c>
      <c r="AU108" s="294">
        <v>8885.886023161147</v>
      </c>
      <c r="AV108" s="294">
        <v>13521.212930637192</v>
      </c>
      <c r="AW108" s="294">
        <v>15345.659128817597</v>
      </c>
      <c r="AX108" s="294">
        <v>19528.568515749826</v>
      </c>
      <c r="AY108" s="294">
        <v>27818.64440051921</v>
      </c>
      <c r="AZ108" s="294">
        <v>17944.393428634161</v>
      </c>
      <c r="BA108" s="294">
        <v>20703.100312379411</v>
      </c>
      <c r="BB108" s="294">
        <v>27477.706462078761</v>
      </c>
      <c r="BC108" s="298">
        <f t="shared" si="1"/>
        <v>27477.706462078761</v>
      </c>
    </row>
    <row r="109" spans="2:55">
      <c r="B109" s="72" t="s">
        <v>612</v>
      </c>
      <c r="C109" s="72" t="s">
        <v>613</v>
      </c>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v>149.84258939672645</v>
      </c>
      <c r="AJ109" s="294">
        <v>147.10588346662678</v>
      </c>
      <c r="AK109" s="294">
        <v>166.87940938026389</v>
      </c>
      <c r="AL109" s="294">
        <v>179.92687477645936</v>
      </c>
      <c r="AM109" s="294">
        <v>212.54445402353747</v>
      </c>
      <c r="AN109" s="294">
        <v>205.83573011345143</v>
      </c>
      <c r="AO109" s="294">
        <v>217.46462626549467</v>
      </c>
      <c r="AP109" s="294">
        <v>194.61686628578127</v>
      </c>
      <c r="AQ109" s="294">
        <v>172.75715622525613</v>
      </c>
      <c r="AR109" s="294">
        <v>180.35411426993764</v>
      </c>
      <c r="AS109" s="294">
        <v>169.97600561805012</v>
      </c>
      <c r="AT109" s="294">
        <v>209.92221154894094</v>
      </c>
      <c r="AU109" s="294">
        <v>256.8225939372175</v>
      </c>
      <c r="AV109" s="294">
        <v>244.84071647856962</v>
      </c>
      <c r="AW109" s="294">
        <v>260.70372074395175</v>
      </c>
      <c r="AX109" s="294">
        <v>274.6622872643274</v>
      </c>
      <c r="AY109" s="294">
        <v>278.96043324040795</v>
      </c>
      <c r="AZ109" s="294">
        <v>364.20482062850391</v>
      </c>
      <c r="BA109" s="294">
        <v>402.95749682342432</v>
      </c>
      <c r="BB109" s="294">
        <v>481.73232910476861</v>
      </c>
      <c r="BC109" s="298">
        <f t="shared" si="1"/>
        <v>481.73232910476861</v>
      </c>
    </row>
    <row r="110" spans="2:55">
      <c r="B110" s="72" t="s">
        <v>614</v>
      </c>
      <c r="C110" s="72" t="s">
        <v>615</v>
      </c>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v>2629.0165938981422</v>
      </c>
      <c r="AM110" s="294">
        <v>3339.8551185222159</v>
      </c>
      <c r="AN110" s="294">
        <v>3609.8277496637538</v>
      </c>
      <c r="AO110" s="294">
        <v>4035.5627503589585</v>
      </c>
      <c r="AP110" s="294">
        <v>4150.0358551270028</v>
      </c>
      <c r="AQ110" s="294">
        <v>4143.9271888777539</v>
      </c>
      <c r="AR110" s="294">
        <v>4572.9128479594383</v>
      </c>
      <c r="AS110" s="294">
        <v>5386.3935137245626</v>
      </c>
      <c r="AT110" s="294">
        <v>7270.2848280443504</v>
      </c>
      <c r="AU110" s="294">
        <v>8912.7900967188179</v>
      </c>
      <c r="AV110" s="294">
        <v>10330.244859903718</v>
      </c>
      <c r="AW110" s="294">
        <v>12503.123269989728</v>
      </c>
      <c r="AX110" s="294">
        <v>16392.721067851558</v>
      </c>
      <c r="AY110" s="294">
        <v>17738.523104375196</v>
      </c>
      <c r="AZ110" s="294">
        <v>14264.011479794857</v>
      </c>
      <c r="BA110" s="294">
        <v>14062.234235093278</v>
      </c>
      <c r="BB110" s="294">
        <v>16533.374792703151</v>
      </c>
      <c r="BC110" s="298">
        <f t="shared" si="1"/>
        <v>16533.374792703151</v>
      </c>
    </row>
    <row r="111" spans="2:55">
      <c r="B111" s="72" t="s">
        <v>616</v>
      </c>
      <c r="C111" s="72" t="s">
        <v>617</v>
      </c>
      <c r="D111" s="294"/>
      <c r="E111" s="294"/>
      <c r="F111" s="294"/>
      <c r="G111" s="294"/>
      <c r="H111" s="294"/>
      <c r="I111" s="294"/>
      <c r="J111" s="294"/>
      <c r="K111" s="294"/>
      <c r="L111" s="294"/>
      <c r="M111" s="294"/>
      <c r="N111" s="294"/>
      <c r="O111" s="294"/>
      <c r="P111" s="294"/>
      <c r="Q111" s="294"/>
      <c r="R111" s="294"/>
      <c r="S111" s="294"/>
      <c r="T111" s="294"/>
      <c r="U111" s="294"/>
      <c r="V111" s="294"/>
      <c r="W111" s="294"/>
      <c r="X111" s="294">
        <v>200.34810598913921</v>
      </c>
      <c r="Y111" s="294">
        <v>204.96115170685806</v>
      </c>
      <c r="Z111" s="294">
        <v>220.84576418380487</v>
      </c>
      <c r="AA111" s="294">
        <v>202.0402881225337</v>
      </c>
      <c r="AB111" s="294">
        <v>229.04878098634106</v>
      </c>
      <c r="AC111" s="294">
        <v>230.41583022942146</v>
      </c>
      <c r="AD111" s="294">
        <v>238.50678691738395</v>
      </c>
      <c r="AE111" s="294">
        <v>239.29788261982173</v>
      </c>
      <c r="AF111" s="294">
        <v>243.63321432336681</v>
      </c>
      <c r="AG111" s="294">
        <v>249.98472449994904</v>
      </c>
      <c r="AH111" s="294">
        <v>267.23510791441407</v>
      </c>
      <c r="AI111" s="294">
        <v>201.29719001872786</v>
      </c>
      <c r="AJ111" s="294">
        <v>139.93812225882442</v>
      </c>
      <c r="AK111" s="294">
        <v>131.61191060138628</v>
      </c>
      <c r="AL111" s="294">
        <v>135.38795144170692</v>
      </c>
      <c r="AM111" s="294">
        <v>143.57085222282581</v>
      </c>
      <c r="AN111" s="294">
        <v>142.37813272370315</v>
      </c>
      <c r="AO111" s="294">
        <v>125.52164082483073</v>
      </c>
      <c r="AP111" s="294">
        <v>115.89276777289884</v>
      </c>
      <c r="AQ111" s="294">
        <v>123.68091675358934</v>
      </c>
      <c r="AR111" s="294">
        <v>119.50899665712886</v>
      </c>
      <c r="AS111" s="294">
        <v>112.51731279492869</v>
      </c>
      <c r="AT111" s="294">
        <v>120.63380394131222</v>
      </c>
      <c r="AU111" s="294">
        <v>138.36757672117079</v>
      </c>
      <c r="AV111" s="294">
        <v>165.43223884421411</v>
      </c>
      <c r="AW111" s="294">
        <v>199.14326984265765</v>
      </c>
      <c r="AX111" s="294">
        <v>246.81960423974127</v>
      </c>
      <c r="AY111" s="294">
        <v>325.57201483091751</v>
      </c>
      <c r="AZ111" s="294">
        <v>350.75627754597042</v>
      </c>
      <c r="BA111" s="294">
        <v>320.37867257160661</v>
      </c>
      <c r="BB111" s="294">
        <v>356.96728724009165</v>
      </c>
      <c r="BC111" s="298">
        <f t="shared" si="1"/>
        <v>356.96728724009165</v>
      </c>
    </row>
    <row r="112" spans="2:55">
      <c r="B112" s="72" t="s">
        <v>618</v>
      </c>
      <c r="C112" s="72" t="s">
        <v>619</v>
      </c>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v>24926.481648640416</v>
      </c>
      <c r="AP112" s="294">
        <v>24976.358332712025</v>
      </c>
      <c r="AQ112" s="294">
        <v>23224.098634401555</v>
      </c>
      <c r="AR112" s="294">
        <v>24912.631980214421</v>
      </c>
      <c r="AS112" s="294">
        <v>27020.405577161953</v>
      </c>
      <c r="AT112" s="294">
        <v>31320.81814451122</v>
      </c>
      <c r="AU112" s="294">
        <v>35145.52708469631</v>
      </c>
      <c r="AV112" s="294">
        <v>35867.509954534988</v>
      </c>
      <c r="AW112" s="294">
        <v>40642.293940430318</v>
      </c>
      <c r="AX112" s="294">
        <v>46904.181018121955</v>
      </c>
      <c r="AY112" s="294">
        <v>49650.383620938315</v>
      </c>
      <c r="AZ112" s="294">
        <v>45205.930535490697</v>
      </c>
      <c r="BA112" s="294"/>
      <c r="BB112" s="294"/>
      <c r="BC112" s="298">
        <f t="shared" si="1"/>
        <v>0</v>
      </c>
    </row>
    <row r="113" spans="2:55">
      <c r="B113" s="72" t="s">
        <v>620</v>
      </c>
      <c r="C113" s="72" t="s">
        <v>621</v>
      </c>
      <c r="D113" s="294">
        <v>287.35776372132057</v>
      </c>
      <c r="E113" s="294">
        <v>291.564822352617</v>
      </c>
      <c r="F113" s="294">
        <v>296.79476916627959</v>
      </c>
      <c r="G113" s="294">
        <v>310.89152402885708</v>
      </c>
      <c r="H113" s="294">
        <v>317.07158030865878</v>
      </c>
      <c r="I113" s="294">
        <v>316.17294905644576</v>
      </c>
      <c r="J113" s="294">
        <v>333.3030399602473</v>
      </c>
      <c r="K113" s="294">
        <v>334.64007459366883</v>
      </c>
      <c r="L113" s="294">
        <v>357.4440191955112</v>
      </c>
      <c r="M113" s="294">
        <v>422.39241227836476</v>
      </c>
      <c r="N113" s="294">
        <v>466.01745895417577</v>
      </c>
      <c r="O113" s="294">
        <v>583.31554246972985</v>
      </c>
      <c r="P113" s="294">
        <v>768.68295654187671</v>
      </c>
      <c r="Q113" s="294">
        <v>987.90977228439135</v>
      </c>
      <c r="R113" s="294">
        <v>1186.6596747332896</v>
      </c>
      <c r="S113" s="294">
        <v>1182.0861097688455</v>
      </c>
      <c r="T113" s="294">
        <v>1202.6333870531191</v>
      </c>
      <c r="U113" s="294">
        <v>1360.7764685563018</v>
      </c>
      <c r="V113" s="294">
        <v>1640.5701081384982</v>
      </c>
      <c r="W113" s="294">
        <v>1892.9215068278734</v>
      </c>
      <c r="X113" s="294">
        <v>1898.4461528475456</v>
      </c>
      <c r="Y113" s="294">
        <v>1786.7554491528131</v>
      </c>
      <c r="Z113" s="294">
        <v>1638.469936151906</v>
      </c>
      <c r="AA113" s="294">
        <v>1681.810725398602</v>
      </c>
      <c r="AB113" s="294">
        <v>1603.4920814252991</v>
      </c>
      <c r="AC113" s="294">
        <v>1795.6378141970533</v>
      </c>
      <c r="AD113" s="294">
        <v>1632.2724471955387</v>
      </c>
      <c r="AE113" s="294">
        <v>1535.7624636870692</v>
      </c>
      <c r="AF113" s="294">
        <v>1632.6339683746287</v>
      </c>
      <c r="AG113" s="294">
        <v>1835.5891517278162</v>
      </c>
      <c r="AH113" s="294">
        <v>1882.1098603282844</v>
      </c>
      <c r="AI113" s="294">
        <v>2057.7798114788038</v>
      </c>
      <c r="AJ113" s="294">
        <v>2166.1818314740126</v>
      </c>
      <c r="AK113" s="294">
        <v>2383.734575882484</v>
      </c>
      <c r="AL113" s="294">
        <v>2540.2503457997486</v>
      </c>
      <c r="AM113" s="294">
        <v>2713.4337374630641</v>
      </c>
      <c r="AN113" s="294">
        <v>2640.0491665863824</v>
      </c>
      <c r="AO113" s="294">
        <v>2069.209214041723</v>
      </c>
      <c r="AP113" s="294">
        <v>2406.8732353579103</v>
      </c>
      <c r="AQ113" s="294">
        <v>2074.7473180259349</v>
      </c>
      <c r="AR113" s="294">
        <v>2037.4853894340708</v>
      </c>
      <c r="AS113" s="294">
        <v>2257.2708799954389</v>
      </c>
      <c r="AT113" s="294">
        <v>2833.5069692214997</v>
      </c>
      <c r="AU113" s="294">
        <v>3329.8749275738091</v>
      </c>
      <c r="AV113" s="294">
        <v>3655.3571803691084</v>
      </c>
      <c r="AW113" s="294">
        <v>3747.4970499584861</v>
      </c>
      <c r="AX113" s="294">
        <v>4046.4471524131654</v>
      </c>
      <c r="AY113" s="294">
        <v>4255.1415860388497</v>
      </c>
      <c r="AZ113" s="294">
        <v>3377.2690393956136</v>
      </c>
      <c r="BA113" s="294">
        <v>3687.2157645227471</v>
      </c>
      <c r="BB113" s="294">
        <v>4396.7006145265086</v>
      </c>
      <c r="BC113" s="298">
        <f t="shared" si="1"/>
        <v>4396.7006145265086</v>
      </c>
    </row>
    <row r="114" spans="2:55">
      <c r="B114" s="72" t="s">
        <v>622</v>
      </c>
      <c r="C114" s="72" t="s">
        <v>385</v>
      </c>
      <c r="D114" s="294">
        <v>1327.427224365998</v>
      </c>
      <c r="E114" s="294">
        <v>1411.7023981804352</v>
      </c>
      <c r="F114" s="294">
        <v>1522.3192420995049</v>
      </c>
      <c r="G114" s="294">
        <v>1707.5039382470122</v>
      </c>
      <c r="H114" s="294">
        <v>1882.0868576484877</v>
      </c>
      <c r="I114" s="294">
        <v>2010.2134561972505</v>
      </c>
      <c r="J114" s="294">
        <v>2034.189049654778</v>
      </c>
      <c r="K114" s="294">
        <v>1907.0772721766712</v>
      </c>
      <c r="L114" s="294">
        <v>2178.0352504498242</v>
      </c>
      <c r="M114" s="294">
        <v>2436.341683519724</v>
      </c>
      <c r="N114" s="294">
        <v>2683.9091768347052</v>
      </c>
      <c r="O114" s="294">
        <v>3139.8805098810217</v>
      </c>
      <c r="P114" s="294">
        <v>4123.5765003831748</v>
      </c>
      <c r="Q114" s="294">
        <v>5234.647834469677</v>
      </c>
      <c r="R114" s="294">
        <v>6181.2000835159788</v>
      </c>
      <c r="S114" s="294">
        <v>6659.5922896285138</v>
      </c>
      <c r="T114" s="294">
        <v>6985.0922016231289</v>
      </c>
      <c r="U114" s="294">
        <v>7538.1503818857545</v>
      </c>
      <c r="V114" s="294">
        <v>9221.3351847536887</v>
      </c>
      <c r="W114" s="294">
        <v>11090.54554922456</v>
      </c>
      <c r="X114" s="294">
        <v>10789.899055959646</v>
      </c>
      <c r="Y114" s="294">
        <v>10809.582580606124</v>
      </c>
      <c r="Z114" s="294">
        <v>10355.687514622135</v>
      </c>
      <c r="AA114" s="294">
        <v>10675.999063873216</v>
      </c>
      <c r="AB114" s="294">
        <v>11215.329217632921</v>
      </c>
      <c r="AC114" s="294">
        <v>14704.696613352431</v>
      </c>
      <c r="AD114" s="294">
        <v>18257.044572789295</v>
      </c>
      <c r="AE114" s="294">
        <v>21668.466559940698</v>
      </c>
      <c r="AF114" s="294">
        <v>23526.659712265398</v>
      </c>
      <c r="AG114" s="294">
        <v>27852.292127891833</v>
      </c>
      <c r="AH114" s="294">
        <v>24991.461678276482</v>
      </c>
      <c r="AI114" s="294">
        <v>21850.733556401061</v>
      </c>
      <c r="AJ114" s="294">
        <v>17240.232917737652</v>
      </c>
      <c r="AK114" s="294">
        <v>19776.736384124291</v>
      </c>
      <c r="AL114" s="294">
        <v>25609.138241365621</v>
      </c>
      <c r="AM114" s="294">
        <v>25037.853808294811</v>
      </c>
      <c r="AN114" s="294">
        <v>23928.211238456497</v>
      </c>
      <c r="AO114" s="294">
        <v>25179.599828403017</v>
      </c>
      <c r="AP114" s="294">
        <v>25229.595816975991</v>
      </c>
      <c r="AQ114" s="294">
        <v>23529.538458378953</v>
      </c>
      <c r="AR114" s="294">
        <v>24025.118232824847</v>
      </c>
      <c r="AS114" s="294">
        <v>25993.839966102722</v>
      </c>
      <c r="AT114" s="294">
        <v>31508.875225530486</v>
      </c>
      <c r="AU114" s="294">
        <v>36162.656014887798</v>
      </c>
      <c r="AV114" s="294">
        <v>37318.797317915691</v>
      </c>
      <c r="AW114" s="294">
        <v>39487.054058231093</v>
      </c>
      <c r="AX114" s="294">
        <v>46538.17127517792</v>
      </c>
      <c r="AY114" s="294">
        <v>51186.48516038579</v>
      </c>
      <c r="AZ114" s="294">
        <v>44837.710874646305</v>
      </c>
      <c r="BA114" s="294">
        <v>43863.966925318739</v>
      </c>
      <c r="BB114" s="294">
        <v>48823.298888270117</v>
      </c>
      <c r="BC114" s="298">
        <f t="shared" si="1"/>
        <v>48823.298888270117</v>
      </c>
    </row>
    <row r="115" spans="2:55">
      <c r="B115" s="72" t="s">
        <v>623</v>
      </c>
      <c r="C115" s="72" t="s">
        <v>328</v>
      </c>
      <c r="D115" s="294">
        <v>1446.3370567532822</v>
      </c>
      <c r="E115" s="294">
        <v>1592.5841938645169</v>
      </c>
      <c r="F115" s="294">
        <v>1760.4946756352442</v>
      </c>
      <c r="G115" s="294">
        <v>1927.3645528651393</v>
      </c>
      <c r="H115" s="294">
        <v>2050.2919474024875</v>
      </c>
      <c r="I115" s="294">
        <v>2197.1310135650074</v>
      </c>
      <c r="J115" s="294">
        <v>2352.6204546741751</v>
      </c>
      <c r="K115" s="294">
        <v>2537.2132135435095</v>
      </c>
      <c r="L115" s="294">
        <v>2729.2823709205577</v>
      </c>
      <c r="M115" s="294">
        <v>2818.5469506031782</v>
      </c>
      <c r="N115" s="294">
        <v>3125.7449370668996</v>
      </c>
      <c r="O115" s="294">
        <v>3806.440611751852</v>
      </c>
      <c r="P115" s="294">
        <v>4914.0398523162594</v>
      </c>
      <c r="Q115" s="294">
        <v>5264.6599735323853</v>
      </c>
      <c r="R115" s="294">
        <v>6592.9870789669649</v>
      </c>
      <c r="S115" s="294">
        <v>6773.1410865111247</v>
      </c>
      <c r="T115" s="294">
        <v>7442.3720251943014</v>
      </c>
      <c r="U115" s="294">
        <v>9143.039184162415</v>
      </c>
      <c r="V115" s="294">
        <v>11016.664251058037</v>
      </c>
      <c r="W115" s="294">
        <v>12513.574625337018</v>
      </c>
      <c r="X115" s="294">
        <v>10916.610349949038</v>
      </c>
      <c r="Y115" s="294">
        <v>10309.024329837241</v>
      </c>
      <c r="Z115" s="294">
        <v>9818.6587736567071</v>
      </c>
      <c r="AA115" s="294">
        <v>9254.237066145155</v>
      </c>
      <c r="AB115" s="294">
        <v>9586.0777946474955</v>
      </c>
      <c r="AC115" s="294">
        <v>13302.873048412204</v>
      </c>
      <c r="AD115" s="294">
        <v>16006.313445525091</v>
      </c>
      <c r="AE115" s="294">
        <v>17360.464622522351</v>
      </c>
      <c r="AF115" s="294">
        <v>17368.047380220556</v>
      </c>
      <c r="AG115" s="294">
        <v>21349.65978377638</v>
      </c>
      <c r="AH115" s="294">
        <v>21269.801861705462</v>
      </c>
      <c r="AI115" s="294">
        <v>23343.887555589932</v>
      </c>
      <c r="AJ115" s="294">
        <v>21958.703877163942</v>
      </c>
      <c r="AK115" s="294">
        <v>23065.134224997826</v>
      </c>
      <c r="AL115" s="294">
        <v>26396.611213928139</v>
      </c>
      <c r="AM115" s="294">
        <v>26301.220177000814</v>
      </c>
      <c r="AN115" s="294">
        <v>23674.8705149493</v>
      </c>
      <c r="AO115" s="294">
        <v>24359.760507588213</v>
      </c>
      <c r="AP115" s="294">
        <v>24075.086011921463</v>
      </c>
      <c r="AQ115" s="294">
        <v>21774.992990193008</v>
      </c>
      <c r="AR115" s="294">
        <v>21812.24901794066</v>
      </c>
      <c r="AS115" s="294">
        <v>23494.478355076244</v>
      </c>
      <c r="AT115" s="294">
        <v>28794.167314200316</v>
      </c>
      <c r="AU115" s="294">
        <v>32784.968309597309</v>
      </c>
      <c r="AV115" s="294">
        <v>33819.135768225664</v>
      </c>
      <c r="AW115" s="294">
        <v>35457.273577438718</v>
      </c>
      <c r="AX115" s="294">
        <v>40342.243265355246</v>
      </c>
      <c r="AY115" s="294">
        <v>43992.098641479613</v>
      </c>
      <c r="AZ115" s="294">
        <v>40477.064432604464</v>
      </c>
      <c r="BA115" s="294">
        <v>39170.264698844119</v>
      </c>
      <c r="BB115" s="294">
        <v>42377.418128632453</v>
      </c>
      <c r="BC115" s="298">
        <f t="shared" si="1"/>
        <v>42377.418128632453</v>
      </c>
    </row>
    <row r="116" spans="2:55">
      <c r="B116" s="72" t="s">
        <v>624</v>
      </c>
      <c r="C116" s="72" t="s">
        <v>625</v>
      </c>
      <c r="D116" s="294"/>
      <c r="E116" s="294"/>
      <c r="F116" s="294"/>
      <c r="G116" s="294"/>
      <c r="H116" s="294">
        <v>1901.1037121160946</v>
      </c>
      <c r="I116" s="294">
        <v>2242.3183819135725</v>
      </c>
      <c r="J116" s="294">
        <v>2216.3153320611191</v>
      </c>
      <c r="K116" s="294">
        <v>2510.8580023890886</v>
      </c>
      <c r="L116" s="294">
        <v>2267.7685487804356</v>
      </c>
      <c r="M116" s="294">
        <v>2291.2547732267653</v>
      </c>
      <c r="N116" s="294">
        <v>2588.4536907197717</v>
      </c>
      <c r="O116" s="294">
        <v>2754.3110036695812</v>
      </c>
      <c r="P116" s="294">
        <v>3533.682148183615</v>
      </c>
      <c r="Q116" s="294">
        <v>4412.276824482301</v>
      </c>
      <c r="R116" s="294">
        <v>5318.211096131774</v>
      </c>
      <c r="S116" s="294">
        <v>5470.3331217488512</v>
      </c>
      <c r="T116" s="294">
        <v>5746.6523753727124</v>
      </c>
      <c r="U116" s="294">
        <v>7067.0693246723595</v>
      </c>
      <c r="V116" s="294">
        <v>8285.1925678512489</v>
      </c>
      <c r="W116" s="294">
        <v>9015.0202099957205</v>
      </c>
      <c r="X116" s="294">
        <v>8224.0910990427546</v>
      </c>
      <c r="Y116" s="294">
        <v>8027.7979085121351</v>
      </c>
      <c r="Z116" s="294">
        <v>8101.588826643927</v>
      </c>
      <c r="AA116" s="294">
        <v>8135.6424978101304</v>
      </c>
      <c r="AB116" s="294">
        <v>8661.0512279870018</v>
      </c>
      <c r="AC116" s="294">
        <v>12897.25254860224</v>
      </c>
      <c r="AD116" s="294">
        <v>13913.381340073147</v>
      </c>
      <c r="AE116" s="294">
        <v>14368.131721038291</v>
      </c>
      <c r="AF116" s="294">
        <v>13786.356809117491</v>
      </c>
      <c r="AG116" s="294">
        <v>16281.899166332245</v>
      </c>
      <c r="AH116" s="294">
        <v>16380.73842846465</v>
      </c>
      <c r="AI116" s="294">
        <v>17486.71920350346</v>
      </c>
      <c r="AJ116" s="294">
        <v>17805.817999037314</v>
      </c>
      <c r="AK116" s="294">
        <v>16647.236882961661</v>
      </c>
      <c r="AL116" s="294">
        <v>18454.178657481007</v>
      </c>
      <c r="AM116" s="294">
        <v>17961.851978221195</v>
      </c>
      <c r="AN116" s="294">
        <v>15877.10928562246</v>
      </c>
      <c r="AO116" s="294">
        <v>16473.117442387029</v>
      </c>
      <c r="AP116" s="294">
        <v>16259.082561263072</v>
      </c>
      <c r="AQ116" s="294">
        <v>14507.541461977846</v>
      </c>
      <c r="AR116" s="294"/>
      <c r="AS116" s="294"/>
      <c r="AT116" s="294"/>
      <c r="AU116" s="294"/>
      <c r="AV116" s="294"/>
      <c r="AW116" s="294"/>
      <c r="AX116" s="294"/>
      <c r="AY116" s="294"/>
      <c r="AZ116" s="294"/>
      <c r="BA116" s="294"/>
      <c r="BB116" s="294"/>
      <c r="BC116" s="298">
        <f t="shared" si="1"/>
        <v>0</v>
      </c>
    </row>
    <row r="117" spans="2:55">
      <c r="B117" s="72" t="s">
        <v>626</v>
      </c>
      <c r="C117" s="72" t="s">
        <v>627</v>
      </c>
      <c r="D117" s="294">
        <v>343.2431756852215</v>
      </c>
      <c r="E117" s="294">
        <v>372.00267938904318</v>
      </c>
      <c r="F117" s="294">
        <v>312.29391395484845</v>
      </c>
      <c r="G117" s="294">
        <v>432.95123916792971</v>
      </c>
      <c r="H117" s="294">
        <v>451.25186416073575</v>
      </c>
      <c r="I117" s="294">
        <v>486.0948893528435</v>
      </c>
      <c r="J117" s="294">
        <v>532.46677820335492</v>
      </c>
      <c r="K117" s="294">
        <v>571.82470299952081</v>
      </c>
      <c r="L117" s="294">
        <v>610.20698825612772</v>
      </c>
      <c r="M117" s="294">
        <v>611.49495110208113</v>
      </c>
      <c r="N117" s="294">
        <v>707.18412432204275</v>
      </c>
      <c r="O117" s="294">
        <v>780.17356980640329</v>
      </c>
      <c r="P117" s="294">
        <v>1278.2601564685178</v>
      </c>
      <c r="Q117" s="294">
        <v>2661.9778348427844</v>
      </c>
      <c r="R117" s="294">
        <v>3623.667004165809</v>
      </c>
      <c r="S117" s="294">
        <v>4923.0237723450209</v>
      </c>
      <c r="T117" s="294">
        <v>4474.5830572118475</v>
      </c>
      <c r="U117" s="294">
        <v>3703.7002747080974</v>
      </c>
      <c r="V117" s="294">
        <v>4567.8482038295115</v>
      </c>
      <c r="W117" s="294">
        <v>6269.2365884067312</v>
      </c>
      <c r="X117" s="294">
        <v>5494.5835133166365</v>
      </c>
      <c r="Y117" s="294">
        <v>4995.9718089135695</v>
      </c>
      <c r="Z117" s="294">
        <v>4543.3637334270106</v>
      </c>
      <c r="AA117" s="294">
        <v>4627.4553031235009</v>
      </c>
      <c r="AB117" s="294">
        <v>4207.4485826389691</v>
      </c>
      <c r="AC117" s="294">
        <v>4156.5416847791148</v>
      </c>
      <c r="AD117" s="294">
        <v>3884.8178967361882</v>
      </c>
      <c r="AE117" s="294">
        <v>4399.0057972836739</v>
      </c>
      <c r="AF117" s="294">
        <v>4652.9176321459699</v>
      </c>
      <c r="AG117" s="294">
        <v>6406.9018969401632</v>
      </c>
      <c r="AH117" s="294">
        <v>5630.2055563116719</v>
      </c>
      <c r="AI117" s="294">
        <v>5641.534237422713</v>
      </c>
      <c r="AJ117" s="294">
        <v>4277.9799351633619</v>
      </c>
      <c r="AK117" s="294">
        <v>3969.6803628174785</v>
      </c>
      <c r="AL117" s="294">
        <v>4560.5835678146896</v>
      </c>
      <c r="AM117" s="294">
        <v>5092.079787780779</v>
      </c>
      <c r="AN117" s="294">
        <v>4638.403776455234</v>
      </c>
      <c r="AO117" s="294">
        <v>3806.1637585556055</v>
      </c>
      <c r="AP117" s="294">
        <v>3863.7323853785924</v>
      </c>
      <c r="AQ117" s="294">
        <v>4102.624602157749</v>
      </c>
      <c r="AR117" s="294">
        <v>3730.984692933413</v>
      </c>
      <c r="AS117" s="294">
        <v>3821.295276955128</v>
      </c>
      <c r="AT117" s="294">
        <v>4595.7925652854474</v>
      </c>
      <c r="AU117" s="294">
        <v>5340.1952627174824</v>
      </c>
      <c r="AV117" s="294">
        <v>6321.9911576618006</v>
      </c>
      <c r="AW117" s="294">
        <v>6832.26271986967</v>
      </c>
      <c r="AX117" s="294">
        <v>8127.6764176310407</v>
      </c>
      <c r="AY117" s="294">
        <v>10021.873423849</v>
      </c>
      <c r="AZ117" s="294">
        <v>7408.6519782330633</v>
      </c>
      <c r="BA117" s="294">
        <v>8767.8258514091995</v>
      </c>
      <c r="BB117" s="294">
        <v>11113.888468059946</v>
      </c>
      <c r="BC117" s="298">
        <f t="shared" si="1"/>
        <v>11113.888468059946</v>
      </c>
    </row>
    <row r="118" spans="2:55">
      <c r="B118" s="72" t="s">
        <v>628</v>
      </c>
      <c r="C118" s="72" t="s">
        <v>629</v>
      </c>
      <c r="D118" s="294"/>
      <c r="E118" s="294"/>
      <c r="F118" s="294"/>
      <c r="G118" s="294"/>
      <c r="H118" s="294"/>
      <c r="I118" s="294">
        <v>105.9352783487993</v>
      </c>
      <c r="J118" s="294">
        <v>109.61141011701845</v>
      </c>
      <c r="K118" s="294">
        <v>94.480315104598034</v>
      </c>
      <c r="L118" s="294">
        <v>101.16301500839181</v>
      </c>
      <c r="M118" s="294">
        <v>114.01853571384981</v>
      </c>
      <c r="N118" s="294">
        <v>117.96122150101485</v>
      </c>
      <c r="O118" s="294">
        <v>121.28287892494876</v>
      </c>
      <c r="P118" s="294">
        <v>149.10309091795494</v>
      </c>
      <c r="Q118" s="294">
        <v>183.80392730051057</v>
      </c>
      <c r="R118" s="294">
        <v>214.04496801128266</v>
      </c>
      <c r="S118" s="294">
        <v>202.17840883757614</v>
      </c>
      <c r="T118" s="294">
        <v>241.46756193930534</v>
      </c>
      <c r="U118" s="294">
        <v>291.45489352603113</v>
      </c>
      <c r="V118" s="294">
        <v>340.26528738115508</v>
      </c>
      <c r="W118" s="294">
        <v>382.80167175744998</v>
      </c>
      <c r="X118" s="294">
        <v>335.11336309133509</v>
      </c>
      <c r="Y118" s="294">
        <v>318.80671635697882</v>
      </c>
      <c r="Z118" s="294">
        <v>302.80950342360416</v>
      </c>
      <c r="AA118" s="294">
        <v>241.26177196036801</v>
      </c>
      <c r="AB118" s="294">
        <v>293.73859134205395</v>
      </c>
      <c r="AC118" s="294">
        <v>230.47679546729916</v>
      </c>
      <c r="AD118" s="294">
        <v>260.89820625955542</v>
      </c>
      <c r="AE118" s="294">
        <v>300.56919657970599</v>
      </c>
      <c r="AF118" s="294">
        <v>306.18493845088597</v>
      </c>
      <c r="AG118" s="294">
        <v>328.19268283045392</v>
      </c>
      <c r="AH118" s="294">
        <v>689.44790816780437</v>
      </c>
      <c r="AI118" s="294">
        <v>690.93653631009761</v>
      </c>
      <c r="AJ118" s="294">
        <v>709.27696988016339</v>
      </c>
      <c r="AK118" s="294">
        <v>681.74583066271009</v>
      </c>
      <c r="AL118" s="294">
        <v>697.93264694221989</v>
      </c>
      <c r="AM118" s="294">
        <v>732.3090239135106</v>
      </c>
      <c r="AN118" s="294">
        <v>674.66733242662815</v>
      </c>
      <c r="AO118" s="294">
        <v>685.92252103568262</v>
      </c>
      <c r="AP118" s="294">
        <v>646.46119937808828</v>
      </c>
      <c r="AQ118" s="294">
        <v>603.59534623166144</v>
      </c>
      <c r="AR118" s="294">
        <v>514.65449554831298</v>
      </c>
      <c r="AS118" s="294">
        <v>420.21846085241629</v>
      </c>
      <c r="AT118" s="294">
        <v>343.51283326866502</v>
      </c>
      <c r="AU118" s="294">
        <v>396.29467629628027</v>
      </c>
      <c r="AV118" s="294">
        <v>415.09817681631176</v>
      </c>
      <c r="AW118" s="294">
        <v>423.37327641792155</v>
      </c>
      <c r="AX118" s="294">
        <v>502.0053986025498</v>
      </c>
      <c r="AY118" s="294">
        <v>590.28615062407914</v>
      </c>
      <c r="AZ118" s="294">
        <v>535.53616267173868</v>
      </c>
      <c r="BA118" s="294">
        <v>550.68798047719997</v>
      </c>
      <c r="BB118" s="294">
        <v>505.76057013074836</v>
      </c>
      <c r="BC118" s="298">
        <f t="shared" si="1"/>
        <v>505.76057013074836</v>
      </c>
    </row>
    <row r="119" spans="2:55">
      <c r="B119" s="72" t="s">
        <v>630</v>
      </c>
      <c r="C119" s="72" t="s">
        <v>631</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v>1611.410842154399</v>
      </c>
      <c r="AH119" s="294">
        <v>1310.4726424949695</v>
      </c>
      <c r="AI119" s="294">
        <v>757.38393919697023</v>
      </c>
      <c r="AJ119" s="294">
        <v>550.01539449418624</v>
      </c>
      <c r="AK119" s="294">
        <v>517.08711304956569</v>
      </c>
      <c r="AL119" s="294">
        <v>569.01814110095984</v>
      </c>
      <c r="AM119" s="294">
        <v>670.46110484943608</v>
      </c>
      <c r="AN119" s="294">
        <v>774.68021087100783</v>
      </c>
      <c r="AO119" s="294">
        <v>805.27268997132569</v>
      </c>
      <c r="AP119" s="294">
        <v>628.86565797527635</v>
      </c>
      <c r="AQ119" s="294">
        <v>691.99770519198455</v>
      </c>
      <c r="AR119" s="294">
        <v>733.97041379006009</v>
      </c>
      <c r="AS119" s="294">
        <v>779.38459063659047</v>
      </c>
      <c r="AT119" s="294">
        <v>922.02973961527255</v>
      </c>
      <c r="AU119" s="294">
        <v>1186.873046626258</v>
      </c>
      <c r="AV119" s="294">
        <v>1470.0420350366198</v>
      </c>
      <c r="AW119" s="294">
        <v>1764.8704363604174</v>
      </c>
      <c r="AX119" s="294">
        <v>2317.9885011600304</v>
      </c>
      <c r="AY119" s="294">
        <v>2919.7566553298661</v>
      </c>
      <c r="AZ119" s="294">
        <v>2441.0166583304399</v>
      </c>
      <c r="BA119" s="294">
        <v>2613.6895083649861</v>
      </c>
      <c r="BB119" s="294">
        <v>3202.5251182090101</v>
      </c>
      <c r="BC119" s="298">
        <f t="shared" si="1"/>
        <v>3202.5251182090101</v>
      </c>
    </row>
    <row r="120" spans="2:55">
      <c r="B120" s="72" t="s">
        <v>632</v>
      </c>
      <c r="C120" s="72" t="s">
        <v>633</v>
      </c>
      <c r="D120" s="294"/>
      <c r="E120" s="294"/>
      <c r="F120" s="294"/>
      <c r="G120" s="294"/>
      <c r="H120" s="294"/>
      <c r="I120" s="294"/>
      <c r="J120" s="294"/>
      <c r="K120" s="294"/>
      <c r="L120" s="294"/>
      <c r="M120" s="294">
        <v>2672.0183042427066</v>
      </c>
      <c r="N120" s="294">
        <v>3089.0706583132405</v>
      </c>
      <c r="O120" s="294">
        <v>3686.9703171530446</v>
      </c>
      <c r="P120" s="294">
        <v>4883.8128308893893</v>
      </c>
      <c r="Q120" s="294">
        <v>5457.0112959770622</v>
      </c>
      <c r="R120" s="294">
        <v>6035.0084153742519</v>
      </c>
      <c r="S120" s="294">
        <v>6420.6403063883181</v>
      </c>
      <c r="T120" s="294">
        <v>7434.8977583240339</v>
      </c>
      <c r="U120" s="294">
        <v>9175.9004610991997</v>
      </c>
      <c r="V120" s="294">
        <v>10916.798076017743</v>
      </c>
      <c r="W120" s="294">
        <v>11746.404097107468</v>
      </c>
      <c r="X120" s="294">
        <v>9879.4574345207438</v>
      </c>
      <c r="Y120" s="294">
        <v>9593.6573261425419</v>
      </c>
      <c r="Z120" s="294">
        <v>9545.8593421636706</v>
      </c>
      <c r="AA120" s="294">
        <v>9012.4793689101534</v>
      </c>
      <c r="AB120" s="294">
        <v>9125.1210202011516</v>
      </c>
      <c r="AC120" s="294">
        <v>13027.19501861089</v>
      </c>
      <c r="AD120" s="294">
        <v>16139.051616963017</v>
      </c>
      <c r="AE120" s="294">
        <v>17352.343206354082</v>
      </c>
      <c r="AF120" s="294">
        <v>17190.826134534705</v>
      </c>
      <c r="AG120" s="294">
        <v>21583.843524629985</v>
      </c>
      <c r="AH120" s="294">
        <v>22603.616474269802</v>
      </c>
      <c r="AI120" s="294">
        <v>25604.725434453947</v>
      </c>
      <c r="AJ120" s="294">
        <v>24735.620240584834</v>
      </c>
      <c r="AK120" s="294">
        <v>26375.84572714577</v>
      </c>
      <c r="AL120" s="294">
        <v>30887.865485203634</v>
      </c>
      <c r="AM120" s="294">
        <v>29749.971259161255</v>
      </c>
      <c r="AN120" s="294">
        <v>26296.530612699415</v>
      </c>
      <c r="AO120" s="294">
        <v>26547.775353907025</v>
      </c>
      <c r="AP120" s="294">
        <v>25956.637413113138</v>
      </c>
      <c r="AQ120" s="294">
        <v>22945.708850150691</v>
      </c>
      <c r="AR120" s="294">
        <v>22840.274045011334</v>
      </c>
      <c r="AS120" s="294">
        <v>24325.666449403248</v>
      </c>
      <c r="AT120" s="294">
        <v>29367.408943658258</v>
      </c>
      <c r="AU120" s="294">
        <v>33040.051409262203</v>
      </c>
      <c r="AV120" s="294">
        <v>33542.781383458998</v>
      </c>
      <c r="AW120" s="294">
        <v>35237.603258242445</v>
      </c>
      <c r="AX120" s="294">
        <v>40402.990083871926</v>
      </c>
      <c r="AY120" s="294">
        <v>44132.041815745237</v>
      </c>
      <c r="AZ120" s="294">
        <v>40275.250763838412</v>
      </c>
      <c r="BA120" s="294">
        <v>40163.817401931403</v>
      </c>
      <c r="BB120" s="294">
        <v>44059.825922391079</v>
      </c>
      <c r="BC120" s="298">
        <f t="shared" si="1"/>
        <v>44059.825922391079</v>
      </c>
    </row>
    <row r="121" spans="2:55">
      <c r="B121" s="72" t="s">
        <v>634</v>
      </c>
      <c r="C121" s="72" t="s">
        <v>635</v>
      </c>
      <c r="D121" s="294">
        <v>187.16959616832125</v>
      </c>
      <c r="E121" s="294">
        <v>192.5622713536211</v>
      </c>
      <c r="F121" s="294">
        <v>208.2628100295245</v>
      </c>
      <c r="G121" s="294">
        <v>227.51711585728421</v>
      </c>
      <c r="H121" s="294">
        <v>263.07172569152209</v>
      </c>
      <c r="I121" s="294">
        <v>266.30224516974459</v>
      </c>
      <c r="J121" s="294">
        <v>214.41217377560307</v>
      </c>
      <c r="K121" s="294">
        <v>200.59717641773338</v>
      </c>
      <c r="L121" s="294">
        <v>231.22631481273584</v>
      </c>
      <c r="M121" s="294">
        <v>255.16808149886594</v>
      </c>
      <c r="N121" s="294">
        <v>271.29536768360151</v>
      </c>
      <c r="O121" s="294">
        <v>230.43568911460846</v>
      </c>
      <c r="P121" s="294">
        <v>261.30979604379866</v>
      </c>
      <c r="Q121" s="294">
        <v>298.63945009037218</v>
      </c>
      <c r="R121" s="294">
        <v>283.20081897629734</v>
      </c>
      <c r="S121" s="294">
        <v>273.28082220976847</v>
      </c>
      <c r="T121" s="294">
        <v>309.94385150415246</v>
      </c>
      <c r="U121" s="294">
        <v>350.0968920753125</v>
      </c>
      <c r="V121" s="294">
        <v>376.97851433598237</v>
      </c>
      <c r="W121" s="294">
        <v>406.9712410977213</v>
      </c>
      <c r="X121" s="294">
        <v>375.46143300936097</v>
      </c>
      <c r="Y121" s="294">
        <v>347.19050941895097</v>
      </c>
      <c r="Z121" s="294">
        <v>336.99240972345785</v>
      </c>
      <c r="AA121" s="294">
        <v>354.05080317677857</v>
      </c>
      <c r="AB121" s="294">
        <v>349.93430237359934</v>
      </c>
      <c r="AC121" s="294">
        <v>431.88307757793984</v>
      </c>
      <c r="AD121" s="294">
        <v>372.09023700609112</v>
      </c>
      <c r="AE121" s="294">
        <v>370.98416544375078</v>
      </c>
      <c r="AF121" s="294">
        <v>364.89289374886761</v>
      </c>
      <c r="AG121" s="294">
        <v>398.09441555543583</v>
      </c>
      <c r="AH121" s="294">
        <v>433.95593979303874</v>
      </c>
      <c r="AI121" s="294">
        <v>409.82002333981706</v>
      </c>
      <c r="AJ121" s="294">
        <v>370.61283025233905</v>
      </c>
      <c r="AK121" s="294">
        <v>328.98929737225103</v>
      </c>
      <c r="AL121" s="294">
        <v>380.32754654632674</v>
      </c>
      <c r="AM121" s="294">
        <v>397.77964883137037</v>
      </c>
      <c r="AN121" s="294">
        <v>385.96120697548992</v>
      </c>
      <c r="AO121" s="294">
        <v>409.27882127930991</v>
      </c>
      <c r="AP121" s="294">
        <v>412.38749703012803</v>
      </c>
      <c r="AQ121" s="294">
        <v>259.99069442095248</v>
      </c>
      <c r="AR121" s="294">
        <v>270.72126845857281</v>
      </c>
      <c r="AS121" s="294">
        <v>306.55695161241204</v>
      </c>
      <c r="AT121" s="294">
        <v>370.3245268869278</v>
      </c>
      <c r="AU121" s="294">
        <v>420.52352153321345</v>
      </c>
      <c r="AV121" s="294">
        <v>495.93250241821397</v>
      </c>
      <c r="AW121" s="294">
        <v>920.60197524330431</v>
      </c>
      <c r="AX121" s="294">
        <v>1090.0494438126932</v>
      </c>
      <c r="AY121" s="294">
        <v>1226.2650528207232</v>
      </c>
      <c r="AZ121" s="294">
        <v>1090.4171814484546</v>
      </c>
      <c r="BA121" s="294">
        <v>1319.0830268321181</v>
      </c>
      <c r="BB121" s="294">
        <v>1570.1331793254471</v>
      </c>
      <c r="BC121" s="298">
        <f t="shared" si="1"/>
        <v>1570.1331793254471</v>
      </c>
    </row>
    <row r="122" spans="2:55">
      <c r="B122" s="72" t="s">
        <v>636</v>
      </c>
      <c r="C122" s="72" t="s">
        <v>637</v>
      </c>
      <c r="D122" s="294">
        <v>597.28732101232174</v>
      </c>
      <c r="E122" s="294">
        <v>630.6139412938104</v>
      </c>
      <c r="F122" s="294">
        <v>701.62041775284979</v>
      </c>
      <c r="G122" s="294">
        <v>784.95434843291764</v>
      </c>
      <c r="H122" s="294">
        <v>888.92199790532152</v>
      </c>
      <c r="I122" s="294">
        <v>981.65239447005251</v>
      </c>
      <c r="J122" s="294">
        <v>1052.1209927656578</v>
      </c>
      <c r="K122" s="294">
        <v>1134.3561514753821</v>
      </c>
      <c r="L122" s="294">
        <v>1284.2123155908214</v>
      </c>
      <c r="M122" s="294">
        <v>1424.9944969872079</v>
      </c>
      <c r="N122" s="294">
        <v>1575.5991341523495</v>
      </c>
      <c r="O122" s="294">
        <v>1811.4619914075565</v>
      </c>
      <c r="P122" s="294">
        <v>2386.5937039545875</v>
      </c>
      <c r="Q122" s="294">
        <v>2697.3926753304463</v>
      </c>
      <c r="R122" s="294">
        <v>3006.8116516710074</v>
      </c>
      <c r="S122" s="294">
        <v>3233.1020879923012</v>
      </c>
      <c r="T122" s="294">
        <v>3705.9065847096699</v>
      </c>
      <c r="U122" s="294">
        <v>4476.6336628889876</v>
      </c>
      <c r="V122" s="294">
        <v>5440.9878598532205</v>
      </c>
      <c r="W122" s="294">
        <v>5619.9837094061722</v>
      </c>
      <c r="X122" s="294">
        <v>5130.429582124214</v>
      </c>
      <c r="Y122" s="294">
        <v>5320.1574091163175</v>
      </c>
      <c r="Z122" s="294">
        <v>4786.7755552757098</v>
      </c>
      <c r="AA122" s="294">
        <v>4627.2319956424908</v>
      </c>
      <c r="AB122" s="294">
        <v>4590.1816799181806</v>
      </c>
      <c r="AC122" s="294">
        <v>5393.8398821547726</v>
      </c>
      <c r="AD122" s="294">
        <v>6260.0375384664258</v>
      </c>
      <c r="AE122" s="294">
        <v>7245.2060359569059</v>
      </c>
      <c r="AF122" s="294">
        <v>7482.3098299424637</v>
      </c>
      <c r="AG122" s="294">
        <v>9190.3437095290192</v>
      </c>
      <c r="AH122" s="294">
        <v>9775.5408484408072</v>
      </c>
      <c r="AI122" s="294">
        <v>10687.473134345002</v>
      </c>
      <c r="AJ122" s="294">
        <v>9914.1105483017582</v>
      </c>
      <c r="AK122" s="294">
        <v>10536.047771452262</v>
      </c>
      <c r="AL122" s="294">
        <v>12273.608915175211</v>
      </c>
      <c r="AM122" s="294">
        <v>12888.819427513183</v>
      </c>
      <c r="AN122" s="294">
        <v>12495.064514271384</v>
      </c>
      <c r="AO122" s="294">
        <v>12485.061683081323</v>
      </c>
      <c r="AP122" s="294">
        <v>12238.59337035203</v>
      </c>
      <c r="AQ122" s="294">
        <v>11396.232616202442</v>
      </c>
      <c r="AR122" s="294">
        <v>11857.735820436936</v>
      </c>
      <c r="AS122" s="294">
        <v>13292.349001993836</v>
      </c>
      <c r="AT122" s="294">
        <v>17494.441359092561</v>
      </c>
      <c r="AU122" s="294">
        <v>20607.1760650291</v>
      </c>
      <c r="AV122" s="294">
        <v>21620.717494362485</v>
      </c>
      <c r="AW122" s="294">
        <v>23475.281139783605</v>
      </c>
      <c r="AX122" s="294">
        <v>27288.326497648432</v>
      </c>
      <c r="AY122" s="294">
        <v>30398.782419459469</v>
      </c>
      <c r="AZ122" s="294">
        <v>28451.917325303188</v>
      </c>
      <c r="BA122" s="294">
        <v>25832.212093233837</v>
      </c>
      <c r="BB122" s="294">
        <v>25621.670459203237</v>
      </c>
      <c r="BC122" s="298">
        <f t="shared" si="1"/>
        <v>25621.670459203237</v>
      </c>
    </row>
    <row r="123" spans="2:55">
      <c r="B123" s="72" t="s">
        <v>638</v>
      </c>
      <c r="C123" s="72" t="s">
        <v>639</v>
      </c>
      <c r="D123" s="294"/>
      <c r="E123" s="294"/>
      <c r="F123" s="294"/>
      <c r="G123" s="294"/>
      <c r="H123" s="294"/>
      <c r="I123" s="294"/>
      <c r="J123" s="294"/>
      <c r="K123" s="294"/>
      <c r="L123" s="294"/>
      <c r="M123" s="294">
        <v>1498.2764929543673</v>
      </c>
      <c r="N123" s="294">
        <v>1876.5042235484332</v>
      </c>
      <c r="O123" s="294">
        <v>2196.714336938956</v>
      </c>
      <c r="P123" s="294">
        <v>2860.2806882004202</v>
      </c>
      <c r="Q123" s="294">
        <v>3432.705940667794</v>
      </c>
      <c r="R123" s="294">
        <v>4257.9125743211243</v>
      </c>
      <c r="S123" s="294">
        <v>4844.6562510060776</v>
      </c>
      <c r="T123" s="294">
        <v>5713.9630170601904</v>
      </c>
      <c r="U123" s="294">
        <v>7235.5168374560099</v>
      </c>
      <c r="V123" s="294">
        <v>8480.7619953307167</v>
      </c>
      <c r="W123" s="294">
        <v>9483.1029684052137</v>
      </c>
      <c r="X123" s="294">
        <v>8544.0983111800997</v>
      </c>
      <c r="Y123" s="294">
        <v>7813.6515951700821</v>
      </c>
      <c r="Z123" s="294">
        <v>7988.1782385982733</v>
      </c>
      <c r="AA123" s="294">
        <v>7198.7080401509966</v>
      </c>
      <c r="AB123" s="294">
        <v>7760.8345080238578</v>
      </c>
      <c r="AC123" s="294">
        <v>11271.333038061737</v>
      </c>
      <c r="AD123" s="294">
        <v>14554.352076217096</v>
      </c>
      <c r="AE123" s="294">
        <v>16397.950193876142</v>
      </c>
      <c r="AF123" s="294">
        <v>16813.741450110741</v>
      </c>
      <c r="AG123" s="294">
        <v>18326.928515184674</v>
      </c>
      <c r="AH123" s="294">
        <v>18315.315608739715</v>
      </c>
      <c r="AI123" s="294">
        <v>18768.826496074704</v>
      </c>
      <c r="AJ123" s="294">
        <v>16797.357390114441</v>
      </c>
      <c r="AK123" s="294">
        <v>18124.10075739435</v>
      </c>
      <c r="AL123" s="294">
        <v>21665.830806399455</v>
      </c>
      <c r="AM123" s="294">
        <v>21422.462216825101</v>
      </c>
      <c r="AN123" s="294">
        <v>19145.614406947301</v>
      </c>
      <c r="AO123" s="294">
        <v>20496.579803163448</v>
      </c>
      <c r="AP123" s="294">
        <v>20170.322763798027</v>
      </c>
      <c r="AQ123" s="294">
        <v>19004.003451725483</v>
      </c>
      <c r="AR123" s="294">
        <v>19275.432807968275</v>
      </c>
      <c r="AS123" s="294">
        <v>20652.841268238593</v>
      </c>
      <c r="AT123" s="294">
        <v>25129.076545489497</v>
      </c>
      <c r="AU123" s="294">
        <v>28903.935832818119</v>
      </c>
      <c r="AV123" s="294">
        <v>29903.284035428009</v>
      </c>
      <c r="AW123" s="294">
        <v>30620.215528891331</v>
      </c>
      <c r="AX123" s="294">
        <v>37516.75092253906</v>
      </c>
      <c r="AY123" s="294">
        <v>30883.034966033381</v>
      </c>
      <c r="AZ123" s="294">
        <v>22507.888715520439</v>
      </c>
      <c r="BA123" s="294"/>
      <c r="BB123" s="294"/>
      <c r="BC123" s="298">
        <f t="shared" si="1"/>
        <v>0</v>
      </c>
    </row>
    <row r="124" spans="2:55">
      <c r="B124" s="72" t="s">
        <v>640</v>
      </c>
      <c r="C124" s="72" t="s">
        <v>641</v>
      </c>
      <c r="D124" s="294"/>
      <c r="E124" s="294"/>
      <c r="F124" s="294"/>
      <c r="G124" s="294"/>
      <c r="H124" s="294"/>
      <c r="I124" s="294"/>
      <c r="J124" s="294"/>
      <c r="K124" s="294"/>
      <c r="L124" s="294"/>
      <c r="M124" s="294"/>
      <c r="N124" s="294"/>
      <c r="O124" s="294"/>
      <c r="P124" s="294"/>
      <c r="Q124" s="294"/>
      <c r="R124" s="294"/>
      <c r="S124" s="294"/>
      <c r="T124" s="294">
        <v>591.58831606849617</v>
      </c>
      <c r="U124" s="294">
        <v>758.87414988265323</v>
      </c>
      <c r="V124" s="294">
        <v>884.83316120266329</v>
      </c>
      <c r="W124" s="294">
        <v>940.16836082265843</v>
      </c>
      <c r="X124" s="294">
        <v>971.10500460438391</v>
      </c>
      <c r="Y124" s="294">
        <v>1023.80936352001</v>
      </c>
      <c r="Z124" s="294">
        <v>1055.3487925256172</v>
      </c>
      <c r="AA124" s="294">
        <v>1119.3688831880124</v>
      </c>
      <c r="AB124" s="294">
        <v>1284.3715230895921</v>
      </c>
      <c r="AC124" s="294">
        <v>1439.2188292629473</v>
      </c>
      <c r="AD124" s="294">
        <v>1684.1527017830315</v>
      </c>
      <c r="AE124" s="294">
        <v>1883.4159716911672</v>
      </c>
      <c r="AF124" s="294">
        <v>2201.4430222015158</v>
      </c>
      <c r="AG124" s="294">
        <v>2298.0286958440861</v>
      </c>
      <c r="AH124" s="294">
        <v>2506.7487766072122</v>
      </c>
      <c r="AI124" s="294">
        <v>2583.7407588008327</v>
      </c>
      <c r="AJ124" s="294">
        <v>2548.153412899338</v>
      </c>
      <c r="AK124" s="294">
        <v>2635.8862702225847</v>
      </c>
      <c r="AL124" s="294">
        <v>2758.4666135871307</v>
      </c>
      <c r="AM124" s="294">
        <v>2925.8328283844471</v>
      </c>
      <c r="AN124" s="294">
        <v>3018.049933264826</v>
      </c>
      <c r="AO124" s="294">
        <v>3367.1031011550026</v>
      </c>
      <c r="AP124" s="294">
        <v>3745.5788399071325</v>
      </c>
      <c r="AQ124" s="294">
        <v>5154.1178750133731</v>
      </c>
      <c r="AR124" s="294">
        <v>5143.7599790153563</v>
      </c>
      <c r="AS124" s="294">
        <v>5339.4860588611245</v>
      </c>
      <c r="AT124" s="294">
        <v>5835.3059219188226</v>
      </c>
      <c r="AU124" s="294">
        <v>5856.3695334684762</v>
      </c>
      <c r="AV124" s="294">
        <v>6817.9160875039624</v>
      </c>
      <c r="AW124" s="294">
        <v>6839.8976670886677</v>
      </c>
      <c r="AX124" s="294">
        <v>7389.3705487263369</v>
      </c>
      <c r="AY124" s="294">
        <v>8024.6396777990485</v>
      </c>
      <c r="AZ124" s="294">
        <v>7449.854085597939</v>
      </c>
      <c r="BA124" s="294">
        <v>7499.5176349598587</v>
      </c>
      <c r="BB124" s="294">
        <v>7780.0973082470528</v>
      </c>
      <c r="BC124" s="298">
        <f t="shared" si="1"/>
        <v>7780.0973082470528</v>
      </c>
    </row>
    <row r="125" spans="2:55">
      <c r="B125" s="72" t="s">
        <v>642</v>
      </c>
      <c r="C125" s="72" t="s">
        <v>643</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8">
        <f t="shared" si="1"/>
        <v>0</v>
      </c>
    </row>
    <row r="126" spans="2:55">
      <c r="B126" s="72" t="s">
        <v>644</v>
      </c>
      <c r="C126" s="72" t="s">
        <v>645</v>
      </c>
      <c r="D126" s="294">
        <v>251.9430183323837</v>
      </c>
      <c r="E126" s="294">
        <v>260.42360509069397</v>
      </c>
      <c r="F126" s="294">
        <v>279.86763688038451</v>
      </c>
      <c r="G126" s="294">
        <v>280.21902944252133</v>
      </c>
      <c r="H126" s="294">
        <v>279.5322770145263</v>
      </c>
      <c r="I126" s="294">
        <v>284.23328588958663</v>
      </c>
      <c r="J126" s="294">
        <v>289.21454266595907</v>
      </c>
      <c r="K126" s="294">
        <v>311.98796449013167</v>
      </c>
      <c r="L126" s="294">
        <v>323.50142232005254</v>
      </c>
      <c r="M126" s="294">
        <v>349.50612984923691</v>
      </c>
      <c r="N126" s="294">
        <v>354.5715397387018</v>
      </c>
      <c r="O126" s="294">
        <v>365.29189244254474</v>
      </c>
      <c r="P126" s="294">
        <v>434.70575521492066</v>
      </c>
      <c r="Q126" s="294">
        <v>520.90420074691224</v>
      </c>
      <c r="R126" s="294">
        <v>585.38357515721975</v>
      </c>
      <c r="S126" s="294">
        <v>683.5303415709908</v>
      </c>
      <c r="T126" s="294">
        <v>837.43075003415117</v>
      </c>
      <c r="U126" s="294">
        <v>905.52519997523848</v>
      </c>
      <c r="V126" s="294">
        <v>1005.1237914481043</v>
      </c>
      <c r="W126" s="294">
        <v>1119.6927374523982</v>
      </c>
      <c r="X126" s="294">
        <v>1193.5072497850092</v>
      </c>
      <c r="Y126" s="294">
        <v>1179.0673910688179</v>
      </c>
      <c r="Z126" s="294">
        <v>1194.1480656451533</v>
      </c>
      <c r="AA126" s="294">
        <v>1219.3723011409179</v>
      </c>
      <c r="AB126" s="294">
        <v>1222.1295951220386</v>
      </c>
      <c r="AC126" s="294">
        <v>888.08046057249385</v>
      </c>
      <c r="AD126" s="294">
        <v>850.14933424727633</v>
      </c>
      <c r="AE126" s="294">
        <v>919.81338363437237</v>
      </c>
      <c r="AF126" s="294">
        <v>964.37457774531549</v>
      </c>
      <c r="AG126" s="294">
        <v>857.33646367657207</v>
      </c>
      <c r="AH126" s="294">
        <v>1030.1179291126698</v>
      </c>
      <c r="AI126" s="294">
        <v>1117.249550476771</v>
      </c>
      <c r="AJ126" s="294">
        <v>1191.8927488106763</v>
      </c>
      <c r="AK126" s="294">
        <v>1326.4056415509617</v>
      </c>
      <c r="AL126" s="294">
        <v>1463.39791378735</v>
      </c>
      <c r="AM126" s="294">
        <v>1540.2029282995297</v>
      </c>
      <c r="AN126" s="294">
        <v>1697.1456124328006</v>
      </c>
      <c r="AO126" s="294">
        <v>1808.5791031202739</v>
      </c>
      <c r="AP126" s="294">
        <v>1669.0874229669735</v>
      </c>
      <c r="AQ126" s="294">
        <v>1716.6853417129835</v>
      </c>
      <c r="AR126" s="294">
        <v>1624.5467279550076</v>
      </c>
      <c r="AS126" s="294">
        <v>1760.6799118378992</v>
      </c>
      <c r="AT126" s="294">
        <v>1811.5836198473562</v>
      </c>
      <c r="AU126" s="294">
        <v>1931.9416566157229</v>
      </c>
      <c r="AV126" s="294">
        <v>2139.7264178628766</v>
      </c>
      <c r="AW126" s="294">
        <v>2319.2445869170306</v>
      </c>
      <c r="AX126" s="294">
        <v>2553.5975712660738</v>
      </c>
      <c r="AY126" s="294">
        <v>2858.5732756191696</v>
      </c>
      <c r="AZ126" s="294">
        <v>2688.8132229972607</v>
      </c>
      <c r="BA126" s="294">
        <v>2873.077444556006</v>
      </c>
      <c r="BB126" s="294">
        <v>3178.0847043520948</v>
      </c>
      <c r="BC126" s="298">
        <f t="shared" si="1"/>
        <v>3178.0847043520948</v>
      </c>
    </row>
    <row r="127" spans="2:55">
      <c r="B127" s="72" t="s">
        <v>646</v>
      </c>
      <c r="C127" s="72" t="s">
        <v>647</v>
      </c>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v>381.03138035204103</v>
      </c>
      <c r="AD127" s="294">
        <v>394.87247047049715</v>
      </c>
      <c r="AE127" s="294">
        <v>448.58214896977944</v>
      </c>
      <c r="AF127" s="294">
        <v>441.67032549491944</v>
      </c>
      <c r="AG127" s="294">
        <v>463.00451696939382</v>
      </c>
      <c r="AH127" s="294">
        <v>495.56084138945954</v>
      </c>
      <c r="AI127" s="294">
        <v>507.9499410667334</v>
      </c>
      <c r="AJ127" s="294">
        <v>477.19586520237442</v>
      </c>
      <c r="AK127" s="294">
        <v>466.67933724971431</v>
      </c>
      <c r="AL127" s="294">
        <v>488.25362054978007</v>
      </c>
      <c r="AM127" s="294">
        <v>495.6653372060843</v>
      </c>
      <c r="AN127" s="294">
        <v>474.03095418241008</v>
      </c>
      <c r="AO127" s="294">
        <v>442.3185992842956</v>
      </c>
      <c r="AP127" s="294">
        <v>420.76636566228683</v>
      </c>
      <c r="AQ127" s="294">
        <v>358.96290906045908</v>
      </c>
      <c r="AR127" s="294">
        <v>334.43453459769603</v>
      </c>
      <c r="AS127" s="294">
        <v>342.78430880410428</v>
      </c>
      <c r="AT127" s="294">
        <v>394.15145812732885</v>
      </c>
      <c r="AU127" s="294">
        <v>412.44421811343653</v>
      </c>
      <c r="AV127" s="294">
        <v>324.8453133875804</v>
      </c>
      <c r="AW127" s="294">
        <v>306.60343111526453</v>
      </c>
      <c r="AX127" s="294">
        <v>449.061567349847</v>
      </c>
      <c r="AY127" s="294">
        <v>395.2522707793089</v>
      </c>
      <c r="AZ127" s="294">
        <v>426.65296461408025</v>
      </c>
      <c r="BA127" s="294">
        <v>474.4691452802648</v>
      </c>
      <c r="BB127" s="294">
        <v>497.90485542704988</v>
      </c>
      <c r="BC127" s="298">
        <f t="shared" si="1"/>
        <v>497.90485542704988</v>
      </c>
    </row>
    <row r="128" spans="2:55">
      <c r="B128" s="72" t="s">
        <v>648</v>
      </c>
      <c r="C128" s="72" t="s">
        <v>649</v>
      </c>
      <c r="D128" s="294"/>
      <c r="E128" s="294"/>
      <c r="F128" s="294"/>
      <c r="G128" s="294"/>
      <c r="H128" s="294"/>
      <c r="I128" s="294"/>
      <c r="J128" s="294"/>
      <c r="K128" s="294"/>
      <c r="L128" s="294"/>
      <c r="M128" s="294">
        <v>130.58790744712084</v>
      </c>
      <c r="N128" s="294">
        <v>127.94719205274281</v>
      </c>
      <c r="O128" s="294">
        <v>139.456593590067</v>
      </c>
      <c r="P128" s="294">
        <v>137.98636896370243</v>
      </c>
      <c r="Q128" s="294">
        <v>147.50155847737446</v>
      </c>
      <c r="R128" s="294">
        <v>157.01442306045266</v>
      </c>
      <c r="S128" s="294">
        <v>155.82840068187937</v>
      </c>
      <c r="T128" s="294">
        <v>153.16128205294751</v>
      </c>
      <c r="U128" s="294">
        <v>157.11988314074324</v>
      </c>
      <c r="V128" s="294">
        <v>146.48387124582015</v>
      </c>
      <c r="W128" s="294">
        <v>132.58132318652989</v>
      </c>
      <c r="X128" s="294">
        <v>180.73139628954473</v>
      </c>
      <c r="Y128" s="294">
        <v>189.32782656643639</v>
      </c>
      <c r="Z128" s="294">
        <v>183.76358118452666</v>
      </c>
      <c r="AA128" s="294">
        <v>152.91735082160983</v>
      </c>
      <c r="AB128" s="294">
        <v>156.0450904609994</v>
      </c>
      <c r="AC128" s="294">
        <v>138.63002301381809</v>
      </c>
      <c r="AD128" s="294">
        <v>181.51680717423605</v>
      </c>
      <c r="AE128" s="294">
        <v>168.36331636714345</v>
      </c>
      <c r="AF128" s="294">
        <v>213.88793625858114</v>
      </c>
      <c r="AG128" s="294">
        <v>239.95556475419207</v>
      </c>
      <c r="AH128" s="294">
        <v>247.87223267463548</v>
      </c>
      <c r="AI128" s="294">
        <v>213.73747512725018</v>
      </c>
      <c r="AJ128" s="294">
        <v>219.1785022963457</v>
      </c>
      <c r="AK128" s="294">
        <v>213.61751178797039</v>
      </c>
      <c r="AL128" s="294">
        <v>225.66401677621607</v>
      </c>
      <c r="AM128" s="294">
        <v>235.57559748163962</v>
      </c>
      <c r="AN128" s="294">
        <v>229.40916058482071</v>
      </c>
      <c r="AO128" s="294">
        <v>172.97269527436507</v>
      </c>
      <c r="AP128" s="294">
        <v>184.44076491960527</v>
      </c>
      <c r="AQ128" s="294">
        <v>173.66269456276069</v>
      </c>
      <c r="AR128" s="294">
        <v>157.35728663908975</v>
      </c>
      <c r="AS128" s="294">
        <v>157.89809763153025</v>
      </c>
      <c r="AT128" s="294">
        <v>361.44186323855638</v>
      </c>
      <c r="AU128" s="294">
        <v>389.80356141491518</v>
      </c>
      <c r="AV128" s="294">
        <v>418.84450596096315</v>
      </c>
      <c r="AW128" s="294">
        <v>414.56165296083418</v>
      </c>
      <c r="AX128" s="294">
        <v>484.99215055419666</v>
      </c>
      <c r="AY128" s="294">
        <v>582.52822130660513</v>
      </c>
      <c r="AZ128" s="294">
        <v>562.41501466810757</v>
      </c>
      <c r="BA128" s="294">
        <v>551.33161366789284</v>
      </c>
      <c r="BB128" s="294">
        <v>629.21077869621422</v>
      </c>
      <c r="BC128" s="298">
        <f t="shared" si="1"/>
        <v>629.21077869621422</v>
      </c>
    </row>
    <row r="129" spans="2:55">
      <c r="B129" s="72" t="s">
        <v>650</v>
      </c>
      <c r="C129" s="72" t="s">
        <v>651</v>
      </c>
      <c r="D129" s="294">
        <v>322.73220001796267</v>
      </c>
      <c r="E129" s="294">
        <v>329.55488430085143</v>
      </c>
      <c r="F129" s="294">
        <v>289.35007662846817</v>
      </c>
      <c r="G129" s="294">
        <v>312.2917816550061</v>
      </c>
      <c r="H129" s="294">
        <v>332.94759462774874</v>
      </c>
      <c r="I129" s="294">
        <v>347.63807646916035</v>
      </c>
      <c r="J129" s="294">
        <v>370.23413899289483</v>
      </c>
      <c r="K129" s="294">
        <v>331.54489096177599</v>
      </c>
      <c r="L129" s="294">
        <v>351.98143096758889</v>
      </c>
      <c r="M129" s="294">
        <v>371.56359176288748</v>
      </c>
      <c r="N129" s="294">
        <v>386.47784312328378</v>
      </c>
      <c r="O129" s="294">
        <v>387.83912721249521</v>
      </c>
      <c r="P129" s="294">
        <v>414.9460559098236</v>
      </c>
      <c r="Q129" s="294">
        <v>583.33889032253364</v>
      </c>
      <c r="R129" s="294">
        <v>660.77151895709892</v>
      </c>
      <c r="S129" s="294">
        <v>601.76858207512441</v>
      </c>
      <c r="T129" s="294">
        <v>590.0212763334431</v>
      </c>
      <c r="U129" s="294">
        <v>658.91340254947568</v>
      </c>
      <c r="V129" s="294">
        <v>684.66131851905391</v>
      </c>
      <c r="W129" s="294">
        <v>776.46307681217627</v>
      </c>
      <c r="X129" s="294">
        <v>735.3857903001782</v>
      </c>
      <c r="Y129" s="294">
        <v>624.73996171199485</v>
      </c>
      <c r="Z129" s="294">
        <v>639.28873466991706</v>
      </c>
      <c r="AA129" s="294">
        <v>576.97057119525141</v>
      </c>
      <c r="AB129" s="294">
        <v>603.33506109029611</v>
      </c>
      <c r="AC129" s="294">
        <v>677.37040279521182</v>
      </c>
      <c r="AD129" s="294">
        <v>480.09357892410685</v>
      </c>
      <c r="AE129" s="294">
        <v>564.67876518478283</v>
      </c>
      <c r="AF129" s="294">
        <v>521.56965225808631</v>
      </c>
      <c r="AG129" s="294">
        <v>547.06208438973385</v>
      </c>
      <c r="AH129" s="294">
        <v>465.42171673599978</v>
      </c>
      <c r="AI129" s="294">
        <v>508.94658552522378</v>
      </c>
      <c r="AJ129" s="294">
        <v>610.10891536800239</v>
      </c>
      <c r="AK129" s="294">
        <v>744.44075882814002</v>
      </c>
      <c r="AL129" s="294">
        <v>853.907580099867</v>
      </c>
      <c r="AM129" s="294">
        <v>967.64843449305181</v>
      </c>
      <c r="AN129" s="294">
        <v>1026.5778557303943</v>
      </c>
      <c r="AO129" s="294">
        <v>982.3024684882987</v>
      </c>
      <c r="AP129" s="294">
        <v>949.7727724692312</v>
      </c>
      <c r="AQ129" s="294">
        <v>972.12788562103287</v>
      </c>
      <c r="AR129" s="294">
        <v>946.90045217425416</v>
      </c>
      <c r="AS129" s="294">
        <v>978.9297335981621</v>
      </c>
      <c r="AT129" s="294">
        <v>1001.3555258841259</v>
      </c>
      <c r="AU129" s="294">
        <v>1056.7074510267671</v>
      </c>
      <c r="AV129" s="294">
        <v>1105.3897905404665</v>
      </c>
      <c r="AW129" s="294">
        <v>1948.9618197078362</v>
      </c>
      <c r="AX129" s="294">
        <v>2320.2363899396505</v>
      </c>
      <c r="AY129" s="294">
        <v>2558.0815384630487</v>
      </c>
      <c r="AZ129" s="294">
        <v>2689.9470387399906</v>
      </c>
      <c r="BA129" s="294">
        <v>2994.4453115134475</v>
      </c>
      <c r="BB129" s="294">
        <v>3408.1948935509208</v>
      </c>
      <c r="BC129" s="298">
        <f t="shared" si="1"/>
        <v>3408.1948935509208</v>
      </c>
    </row>
    <row r="130" spans="2:55">
      <c r="B130" s="72" t="s">
        <v>652</v>
      </c>
      <c r="C130" s="72" t="s">
        <v>653</v>
      </c>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v>477.94486052271361</v>
      </c>
      <c r="AI130" s="294">
        <v>284.44559810177196</v>
      </c>
      <c r="AJ130" s="294">
        <v>238.51147830569573</v>
      </c>
      <c r="AK130" s="294">
        <v>275.08333875248258</v>
      </c>
      <c r="AL130" s="294">
        <v>342.17405526238866</v>
      </c>
      <c r="AM130" s="294">
        <v>369.88310275449345</v>
      </c>
      <c r="AN130" s="294">
        <v>396.06529056981117</v>
      </c>
      <c r="AO130" s="294">
        <v>450.41901625464374</v>
      </c>
      <c r="AP130" s="294">
        <v>481.28673560998106</v>
      </c>
      <c r="AQ130" s="294">
        <v>423.86889418266981</v>
      </c>
      <c r="AR130" s="294">
        <v>399.00016794219351</v>
      </c>
      <c r="AS130" s="294">
        <v>359.76964932074424</v>
      </c>
      <c r="AT130" s="294">
        <v>311.44427610967495</v>
      </c>
      <c r="AU130" s="294">
        <v>397.33304130904065</v>
      </c>
      <c r="AV130" s="294">
        <v>444.43921999747249</v>
      </c>
      <c r="AW130" s="294">
        <v>514.78727976430184</v>
      </c>
      <c r="AX130" s="294">
        <v>621.4615752928562</v>
      </c>
      <c r="AY130" s="294">
        <v>658.12333478924177</v>
      </c>
      <c r="AZ130" s="294">
        <v>655.93026772990515</v>
      </c>
      <c r="BA130" s="294">
        <v>663.90625022689051</v>
      </c>
      <c r="BB130" s="294">
        <v>725.63327365978557</v>
      </c>
      <c r="BC130" s="298">
        <f t="shared" si="1"/>
        <v>725.63327365978557</v>
      </c>
    </row>
    <row r="131" spans="2:55">
      <c r="B131" s="72" t="s">
        <v>654</v>
      </c>
      <c r="C131" s="72" t="s">
        <v>338</v>
      </c>
      <c r="D131" s="294">
        <v>172.40227714271055</v>
      </c>
      <c r="E131" s="294">
        <v>181.52240812696036</v>
      </c>
      <c r="F131" s="294">
        <v>185.78159385389921</v>
      </c>
      <c r="G131" s="294">
        <v>200.47658152772806</v>
      </c>
      <c r="H131" s="294">
        <v>216.49701739339548</v>
      </c>
      <c r="I131" s="294">
        <v>227.52463219368988</v>
      </c>
      <c r="J131" s="294">
        <v>240.85555632963667</v>
      </c>
      <c r="K131" s="294">
        <v>253.72606843071921</v>
      </c>
      <c r="L131" s="294">
        <v>255.2524618678442</v>
      </c>
      <c r="M131" s="294">
        <v>268.95240249266425</v>
      </c>
      <c r="N131" s="294">
        <v>264.55581765843129</v>
      </c>
      <c r="O131" s="294">
        <v>282.58636849756601</v>
      </c>
      <c r="P131" s="294">
        <v>312.05989908751974</v>
      </c>
      <c r="Q131" s="294">
        <v>343.56820069563844</v>
      </c>
      <c r="R131" s="294">
        <v>362.2710786814751</v>
      </c>
      <c r="S131" s="294">
        <v>421.35123596889377</v>
      </c>
      <c r="T131" s="294">
        <v>505.79642655347976</v>
      </c>
      <c r="U131" s="294">
        <v>566.41064963589145</v>
      </c>
      <c r="V131" s="294">
        <v>640.40643779851507</v>
      </c>
      <c r="W131" s="294">
        <v>707.34693409489364</v>
      </c>
      <c r="X131" s="294">
        <v>753.48777048861393</v>
      </c>
      <c r="Y131" s="294">
        <v>752.45725350902671</v>
      </c>
      <c r="Z131" s="294">
        <v>773.48871013152075</v>
      </c>
      <c r="AA131" s="294">
        <v>809.42888317348809</v>
      </c>
      <c r="AB131" s="294">
        <v>861.24275853256256</v>
      </c>
      <c r="AC131" s="294">
        <v>874.66369761003341</v>
      </c>
      <c r="AD131" s="294">
        <v>925.83281320963329</v>
      </c>
      <c r="AE131" s="294">
        <v>859.71757585435114</v>
      </c>
      <c r="AF131" s="294">
        <v>749.70894208401285</v>
      </c>
      <c r="AG131" s="294">
        <v>623.58401436168913</v>
      </c>
      <c r="AH131" s="294">
        <v>610.415336250525</v>
      </c>
      <c r="AI131" s="294">
        <v>661.99872591525161</v>
      </c>
      <c r="AJ131" s="294">
        <v>656.50893215484007</v>
      </c>
      <c r="AK131" s="294">
        <v>630.86776639625123</v>
      </c>
      <c r="AL131" s="294">
        <v>701.5217452454649</v>
      </c>
      <c r="AM131" s="294">
        <v>706.90667431198801</v>
      </c>
      <c r="AN131" s="294">
        <v>799.09320767313659</v>
      </c>
      <c r="AO131" s="294">
        <v>872.41467013152919</v>
      </c>
      <c r="AP131" s="294">
        <v>882.16730354173853</v>
      </c>
      <c r="AQ131" s="294">
        <v>1142.7096584309566</v>
      </c>
      <c r="AR131" s="294">
        <v>1192.0871636805125</v>
      </c>
      <c r="AS131" s="294">
        <v>1200.5261331805675</v>
      </c>
      <c r="AT131" s="294">
        <v>1245.8055409829269</v>
      </c>
      <c r="AU131" s="294">
        <v>1315.5780887607025</v>
      </c>
      <c r="AV131" s="294">
        <v>1412.1384422514445</v>
      </c>
      <c r="AW131" s="294">
        <v>1549.9658518834153</v>
      </c>
      <c r="AX131" s="294">
        <v>1720.3531759963851</v>
      </c>
      <c r="AY131" s="294">
        <v>1894.6295168616186</v>
      </c>
      <c r="AZ131" s="294">
        <v>1895.7850448122811</v>
      </c>
      <c r="BA131" s="294">
        <v>2018.7500267576554</v>
      </c>
      <c r="BB131" s="294">
        <v>2247.231181032661</v>
      </c>
      <c r="BC131" s="298">
        <f t="shared" si="1"/>
        <v>2247.231181032661</v>
      </c>
    </row>
    <row r="132" spans="2:55">
      <c r="B132" s="72" t="s">
        <v>655</v>
      </c>
      <c r="C132" s="72" t="s">
        <v>337</v>
      </c>
      <c r="D132" s="294">
        <v>483.17756109966967</v>
      </c>
      <c r="E132" s="294">
        <v>521.85975980340095</v>
      </c>
      <c r="F132" s="294">
        <v>577.34670783448473</v>
      </c>
      <c r="G132" s="294">
        <v>649.06425747347248</v>
      </c>
      <c r="H132" s="294">
        <v>676.80550711009573</v>
      </c>
      <c r="I132" s="294">
        <v>685.92661413508426</v>
      </c>
      <c r="J132" s="294">
        <v>723.23922561666143</v>
      </c>
      <c r="K132" s="294">
        <v>714.48296958060951</v>
      </c>
      <c r="L132" s="294">
        <v>825.5234491420116</v>
      </c>
      <c r="M132" s="294">
        <v>960.03196151070404</v>
      </c>
      <c r="N132" s="294">
        <v>1106.4697169591536</v>
      </c>
      <c r="O132" s="294">
        <v>1384.7384373227121</v>
      </c>
      <c r="P132" s="294">
        <v>1893.1812418946447</v>
      </c>
      <c r="Q132" s="294">
        <v>2166.1814511925627</v>
      </c>
      <c r="R132" s="294">
        <v>2252.1118813685871</v>
      </c>
      <c r="S132" s="294">
        <v>2850.0146101832001</v>
      </c>
      <c r="T132" s="294">
        <v>3429.4202760725439</v>
      </c>
      <c r="U132" s="294">
        <v>3923.9437313275516</v>
      </c>
      <c r="V132" s="294">
        <v>4569.4537072422418</v>
      </c>
      <c r="W132" s="294">
        <v>5700.412634358222</v>
      </c>
      <c r="X132" s="294">
        <v>5991.3202614197162</v>
      </c>
      <c r="Y132" s="294">
        <v>6133.7840786051547</v>
      </c>
      <c r="Z132" s="294">
        <v>5595.2351386384571</v>
      </c>
      <c r="AA132" s="294">
        <v>6208.2261593719941</v>
      </c>
      <c r="AB132" s="294">
        <v>6542.9315367431254</v>
      </c>
      <c r="AC132" s="294">
        <v>7435.0306975942249</v>
      </c>
      <c r="AD132" s="294">
        <v>9055.1062670807478</v>
      </c>
      <c r="AE132" s="294">
        <v>10609.745639454548</v>
      </c>
      <c r="AF132" s="294">
        <v>12097.775158681765</v>
      </c>
      <c r="AG132" s="294">
        <v>13485.544892956465</v>
      </c>
      <c r="AH132" s="294">
        <v>15465.858855334902</v>
      </c>
      <c r="AI132" s="294">
        <v>17976.429382765476</v>
      </c>
      <c r="AJ132" s="294">
        <v>20395.517366677559</v>
      </c>
      <c r="AK132" s="294">
        <v>22502.579740969202</v>
      </c>
      <c r="AL132" s="294">
        <v>23497.492313819341</v>
      </c>
      <c r="AM132" s="294">
        <v>24818.154552351698</v>
      </c>
      <c r="AN132" s="294">
        <v>27330.033350280693</v>
      </c>
      <c r="AO132" s="294">
        <v>25808.97095245299</v>
      </c>
      <c r="AP132" s="294">
        <v>25091.666599796648</v>
      </c>
      <c r="AQ132" s="294">
        <v>25756.663778327784</v>
      </c>
      <c r="AR132" s="294">
        <v>25230.216332951622</v>
      </c>
      <c r="AS132" s="294">
        <v>24665.889998277908</v>
      </c>
      <c r="AT132" s="294">
        <v>23977.019451669821</v>
      </c>
      <c r="AU132" s="294">
        <v>24928.100372255118</v>
      </c>
      <c r="AV132" s="294">
        <v>26649.75080170697</v>
      </c>
      <c r="AW132" s="294">
        <v>28224.215060938866</v>
      </c>
      <c r="AX132" s="294">
        <v>30551.611428676097</v>
      </c>
      <c r="AY132" s="294">
        <v>31425.781909535213</v>
      </c>
      <c r="AZ132" s="294">
        <v>30561.905139595852</v>
      </c>
      <c r="BA132" s="294">
        <v>32374.480283529207</v>
      </c>
      <c r="BB132" s="294">
        <v>35156.385570072947</v>
      </c>
      <c r="BC132" s="298">
        <f t="shared" si="1"/>
        <v>35156.385570072947</v>
      </c>
    </row>
    <row r="133" spans="2:55">
      <c r="B133" s="72" t="s">
        <v>656</v>
      </c>
      <c r="C133" s="72" t="s">
        <v>657</v>
      </c>
      <c r="D133" s="294"/>
      <c r="E133" s="294"/>
      <c r="F133" s="294"/>
      <c r="G133" s="294"/>
      <c r="H133" s="294"/>
      <c r="I133" s="294"/>
      <c r="J133" s="294"/>
      <c r="K133" s="294">
        <v>456.78151794534773</v>
      </c>
      <c r="L133" s="294">
        <v>505.4834071628751</v>
      </c>
      <c r="M133" s="294">
        <v>536.13028810143123</v>
      </c>
      <c r="N133" s="294">
        <v>581.82046956678903</v>
      </c>
      <c r="O133" s="294">
        <v>680.37948270900176</v>
      </c>
      <c r="P133" s="294">
        <v>839.84733429228379</v>
      </c>
      <c r="Q133" s="294">
        <v>916.44454431467489</v>
      </c>
      <c r="R133" s="294">
        <v>1038.7808033555514</v>
      </c>
      <c r="S133" s="294">
        <v>1197.2857762797055</v>
      </c>
      <c r="T133" s="294">
        <v>1331.1251385962173</v>
      </c>
      <c r="U133" s="294">
        <v>1551.1427744799505</v>
      </c>
      <c r="V133" s="294">
        <v>1787.7545883283551</v>
      </c>
      <c r="W133" s="294">
        <v>2069.1955357192537</v>
      </c>
      <c r="X133" s="294">
        <v>2121.7645934115963</v>
      </c>
      <c r="Y133" s="294">
        <v>2162.0449897880112</v>
      </c>
      <c r="Z133" s="294">
        <v>1965.1642127942025</v>
      </c>
      <c r="AA133" s="294">
        <v>1909.1006586000972</v>
      </c>
      <c r="AB133" s="294">
        <v>1936.6960410382599</v>
      </c>
      <c r="AC133" s="294">
        <v>2234.6950069771242</v>
      </c>
      <c r="AD133" s="294">
        <v>2460.1295764687279</v>
      </c>
      <c r="AE133" s="294">
        <v>2696.2350853396329</v>
      </c>
      <c r="AF133" s="294">
        <v>2782.7116506496145</v>
      </c>
      <c r="AG133" s="294">
        <v>3186.4442873330941</v>
      </c>
      <c r="AH133" s="294">
        <v>3287.8887476608134</v>
      </c>
      <c r="AI133" s="294">
        <v>3665.5702427321944</v>
      </c>
      <c r="AJ133" s="294">
        <v>3801.8695972064202</v>
      </c>
      <c r="AK133" s="294">
        <v>4095.681356860538</v>
      </c>
      <c r="AL133" s="294">
        <v>4411.0337512819442</v>
      </c>
      <c r="AM133" s="294">
        <v>4454.4303791343636</v>
      </c>
      <c r="AN133" s="294">
        <v>4521.9639991362164</v>
      </c>
      <c r="AO133" s="294">
        <v>4670.6548393297771</v>
      </c>
      <c r="AP133" s="294">
        <v>4713.5404594458805</v>
      </c>
      <c r="AQ133" s="294">
        <v>4542.7207200800303</v>
      </c>
      <c r="AR133" s="294">
        <v>5175.025627624459</v>
      </c>
      <c r="AS133" s="294">
        <v>6535.2939363679625</v>
      </c>
      <c r="AT133" s="294">
        <v>8246.9958257473372</v>
      </c>
      <c r="AU133" s="294">
        <v>10084.52184246933</v>
      </c>
      <c r="AV133" s="294">
        <v>10936.948614181474</v>
      </c>
      <c r="AW133" s="294">
        <v>11173.56950607354</v>
      </c>
      <c r="AX133" s="294">
        <v>13534.705499395212</v>
      </c>
      <c r="AY133" s="294">
        <v>15364.679546972839</v>
      </c>
      <c r="AZ133" s="294">
        <v>12634.551144934985</v>
      </c>
      <c r="BA133" s="294">
        <v>12863.133827315041</v>
      </c>
      <c r="BB133" s="294">
        <v>14043.661064515723</v>
      </c>
      <c r="BC133" s="298">
        <f t="shared" si="1"/>
        <v>14043.661064515723</v>
      </c>
    </row>
    <row r="134" spans="2:55">
      <c r="B134" s="72" t="s">
        <v>658</v>
      </c>
      <c r="C134" s="72" t="s">
        <v>659</v>
      </c>
      <c r="D134" s="294">
        <v>1418.1258697152584</v>
      </c>
      <c r="E134" s="294">
        <v>1562.2307304583746</v>
      </c>
      <c r="F134" s="294">
        <v>1831.7056558197173</v>
      </c>
      <c r="G134" s="294">
        <v>2297.9206432037981</v>
      </c>
      <c r="H134" s="294">
        <v>2723.520949890732</v>
      </c>
      <c r="I134" s="294">
        <v>3215.6941780432885</v>
      </c>
      <c r="J134" s="294">
        <v>3125.6494918501435</v>
      </c>
      <c r="K134" s="294">
        <v>2354.4800267130499</v>
      </c>
      <c r="L134" s="294">
        <v>2039.1962951726166</v>
      </c>
      <c r="M134" s="294">
        <v>2538.1876206871329</v>
      </c>
      <c r="N134" s="294">
        <v>3203.9213614565924</v>
      </c>
      <c r="O134" s="294">
        <v>3955.3655736352425</v>
      </c>
      <c r="P134" s="294">
        <v>5356.7905768420833</v>
      </c>
      <c r="Q134" s="294">
        <v>6936.2498150691736</v>
      </c>
      <c r="R134" s="294">
        <v>6358.5617611705793</v>
      </c>
      <c r="S134" s="294">
        <v>7470.9327015830222</v>
      </c>
      <c r="T134" s="294">
        <v>9809.7434724435716</v>
      </c>
      <c r="U134" s="294">
        <v>11070.268533683926</v>
      </c>
      <c r="V134" s="294">
        <v>12453.375982293566</v>
      </c>
      <c r="W134" s="294">
        <v>14602.236555747008</v>
      </c>
      <c r="X134" s="294">
        <v>14913.002440028517</v>
      </c>
      <c r="Y134" s="294">
        <v>13508.603279049523</v>
      </c>
      <c r="Z134" s="294">
        <v>11498.896820551166</v>
      </c>
      <c r="AA134" s="294">
        <v>11782.365060535274</v>
      </c>
      <c r="AB134" s="294">
        <v>12178.06192026033</v>
      </c>
      <c r="AC134" s="294">
        <v>16163.000101840795</v>
      </c>
      <c r="AD134" s="294">
        <v>22120.554794743988</v>
      </c>
      <c r="AE134" s="294">
        <v>24089.728900052614</v>
      </c>
      <c r="AF134" s="294">
        <v>22101.992496014173</v>
      </c>
      <c r="AG134" s="294">
        <v>25008.849464496059</v>
      </c>
      <c r="AH134" s="294">
        <v>26405.915884007503</v>
      </c>
      <c r="AI134" s="294">
        <v>26722.441192658614</v>
      </c>
      <c r="AJ134" s="294">
        <v>23230.471797222479</v>
      </c>
      <c r="AK134" s="294">
        <v>23662.806681448299</v>
      </c>
      <c r="AL134" s="294">
        <v>26239.027296501994</v>
      </c>
      <c r="AM134" s="294">
        <v>27261.171661285181</v>
      </c>
      <c r="AN134" s="294">
        <v>27378.192978460731</v>
      </c>
      <c r="AO134" s="294">
        <v>30256.582900979043</v>
      </c>
      <c r="AP134" s="294">
        <v>31518.382291037517</v>
      </c>
      <c r="AQ134" s="294">
        <v>30928.675641685204</v>
      </c>
      <c r="AR134" s="294">
        <v>27803.062247903919</v>
      </c>
      <c r="AS134" s="294">
        <v>30979.11448138002</v>
      </c>
      <c r="AT134" s="294">
        <v>37889.821201445382</v>
      </c>
      <c r="AU134" s="294">
        <v>45370.126445426285</v>
      </c>
      <c r="AV134" s="294">
        <v>54885.261302824263</v>
      </c>
      <c r="AW134" s="294">
        <v>54813.954689686412</v>
      </c>
      <c r="AX134" s="294">
        <v>65566.309174529088</v>
      </c>
      <c r="AY134" s="294">
        <v>53028.787881203716</v>
      </c>
      <c r="AZ134" s="294">
        <v>38031.821838682408</v>
      </c>
      <c r="BA134" s="294">
        <v>39522.049420894626</v>
      </c>
      <c r="BB134" s="294">
        <v>43969.19210125973</v>
      </c>
      <c r="BC134" s="298">
        <f t="shared" si="1"/>
        <v>43969.19210125973</v>
      </c>
    </row>
    <row r="135" spans="2:55">
      <c r="B135" s="72" t="s">
        <v>660</v>
      </c>
      <c r="C135" s="72" t="s">
        <v>332</v>
      </c>
      <c r="D135" s="294">
        <v>59.430476163394964</v>
      </c>
      <c r="E135" s="294">
        <v>58.409723185608904</v>
      </c>
      <c r="F135" s="294">
        <v>65.717544883907848</v>
      </c>
      <c r="G135" s="294">
        <v>75.074947531394486</v>
      </c>
      <c r="H135" s="294">
        <v>122.07739240979033</v>
      </c>
      <c r="I135" s="294">
        <v>92.029941474432633</v>
      </c>
      <c r="J135" s="294">
        <v>98.446359034702667</v>
      </c>
      <c r="K135" s="294">
        <v>101.98352186168322</v>
      </c>
      <c r="L135" s="294">
        <v>109.82104066149842</v>
      </c>
      <c r="M135" s="294">
        <v>113.80103122623231</v>
      </c>
      <c r="N135" s="294">
        <v>120.43248694221155</v>
      </c>
      <c r="O135" s="294">
        <v>126.30948834627321</v>
      </c>
      <c r="P135" s="294">
        <v>147.93301345128768</v>
      </c>
      <c r="Q135" s="294">
        <v>167.40288481593626</v>
      </c>
      <c r="R135" s="294">
        <v>160.52791146368216</v>
      </c>
      <c r="S135" s="294">
        <v>163.36474330565002</v>
      </c>
      <c r="T135" s="294">
        <v>189.00241668455618</v>
      </c>
      <c r="U135" s="294">
        <v>208.64852002744593</v>
      </c>
      <c r="V135" s="294">
        <v>227.04884113037329</v>
      </c>
      <c r="W135" s="294">
        <v>270.8260770269294</v>
      </c>
      <c r="X135" s="294">
        <v>274.78759683217152</v>
      </c>
      <c r="Y135" s="294">
        <v>278.57037943043287</v>
      </c>
      <c r="Z135" s="294">
        <v>296.10713628252915</v>
      </c>
      <c r="AA135" s="294">
        <v>281.40407020365558</v>
      </c>
      <c r="AB135" s="294">
        <v>301.58299920401163</v>
      </c>
      <c r="AC135" s="294">
        <v>315.8803994807659</v>
      </c>
      <c r="AD135" s="294">
        <v>346.33686078778391</v>
      </c>
      <c r="AE135" s="294">
        <v>360.26151162455039</v>
      </c>
      <c r="AF135" s="294">
        <v>352.02891032153804</v>
      </c>
      <c r="AG135" s="294">
        <v>373.78513759825154</v>
      </c>
      <c r="AH135" s="294">
        <v>308.15025358763745</v>
      </c>
      <c r="AI135" s="294">
        <v>322.24345402988945</v>
      </c>
      <c r="AJ135" s="294">
        <v>306.16864981235096</v>
      </c>
      <c r="AK135" s="294">
        <v>351.88488280613205</v>
      </c>
      <c r="AL135" s="294">
        <v>380.09840131826127</v>
      </c>
      <c r="AM135" s="294">
        <v>406.88572074274134</v>
      </c>
      <c r="AN135" s="294">
        <v>422.92436674222563</v>
      </c>
      <c r="AO135" s="294">
        <v>420.96532035882325</v>
      </c>
      <c r="AP135" s="294">
        <v>448.0969889411495</v>
      </c>
      <c r="AQ135" s="294">
        <v>450.41510612385292</v>
      </c>
      <c r="AR135" s="294">
        <v>459.57663550489968</v>
      </c>
      <c r="AS135" s="294">
        <v>480.20694457254689</v>
      </c>
      <c r="AT135" s="294">
        <v>558.44160435903154</v>
      </c>
      <c r="AU135" s="294">
        <v>642.55650301691639</v>
      </c>
      <c r="AV135" s="294">
        <v>731.74004295546217</v>
      </c>
      <c r="AW135" s="294">
        <v>820.29831997502959</v>
      </c>
      <c r="AX135" s="294">
        <v>1055.1363977847273</v>
      </c>
      <c r="AY135" s="294">
        <v>1027.9054745416065</v>
      </c>
      <c r="AZ135" s="294">
        <v>1126.9447233667552</v>
      </c>
      <c r="BA135" s="294">
        <v>1375.3843494966368</v>
      </c>
      <c r="BB135" s="294">
        <v>1488.5128605113478</v>
      </c>
      <c r="BC135" s="298">
        <f t="shared" si="1"/>
        <v>1488.5128605113478</v>
      </c>
    </row>
    <row r="136" spans="2:55">
      <c r="B136" s="72" t="s">
        <v>661</v>
      </c>
      <c r="C136" s="72" t="s">
        <v>662</v>
      </c>
      <c r="D136" s="294"/>
      <c r="E136" s="294"/>
      <c r="F136" s="294"/>
      <c r="G136" s="294"/>
      <c r="H136" s="294"/>
      <c r="I136" s="294"/>
      <c r="J136" s="294">
        <v>54.563362501451429</v>
      </c>
      <c r="K136" s="294">
        <v>66.399577464646583</v>
      </c>
      <c r="L136" s="294">
        <v>76.261301572687657</v>
      </c>
      <c r="M136" s="294">
        <v>81.586668242117142</v>
      </c>
      <c r="N136" s="294">
        <v>81.125627982518054</v>
      </c>
      <c r="O136" s="294">
        <v>93.2077330043834</v>
      </c>
      <c r="P136" s="294">
        <v>134.50472147899569</v>
      </c>
      <c r="Q136" s="294">
        <v>208.06201328177642</v>
      </c>
      <c r="R136" s="294">
        <v>239.72059972691298</v>
      </c>
      <c r="S136" s="294">
        <v>286.27224279178023</v>
      </c>
      <c r="T136" s="294">
        <v>343.99611607021421</v>
      </c>
      <c r="U136" s="294">
        <v>377.00058947065952</v>
      </c>
      <c r="V136" s="294">
        <v>373.95687787778962</v>
      </c>
      <c r="W136" s="294">
        <v>517.26019943058441</v>
      </c>
      <c r="X136" s="294">
        <v>599.40769201632861</v>
      </c>
      <c r="Y136" s="294">
        <v>600.38096100759662</v>
      </c>
      <c r="Z136" s="294">
        <v>529.43557781737411</v>
      </c>
      <c r="AA136" s="294">
        <v>531.92931862975354</v>
      </c>
      <c r="AB136" s="294">
        <v>519.50562252570614</v>
      </c>
      <c r="AC136" s="294">
        <v>466.90128143923238</v>
      </c>
      <c r="AD136" s="294">
        <v>434.46104272704036</v>
      </c>
      <c r="AE136" s="294">
        <v>498.78781771066798</v>
      </c>
      <c r="AF136" s="294">
        <v>559.91382650667367</v>
      </c>
      <c r="AG136" s="294">
        <v>620.71613112668365</v>
      </c>
      <c r="AH136" s="294">
        <v>683.73843220774313</v>
      </c>
      <c r="AI136" s="294">
        <v>730.22144549838413</v>
      </c>
      <c r="AJ136" s="294">
        <v>816.46464699552223</v>
      </c>
      <c r="AK136" s="294">
        <v>900.26742968637211</v>
      </c>
      <c r="AL136" s="294">
        <v>1013.6995446339681</v>
      </c>
      <c r="AM136" s="294">
        <v>1124.1619697070173</v>
      </c>
      <c r="AN136" s="294">
        <v>1052.1077047556048</v>
      </c>
      <c r="AO136" s="294">
        <v>459.22765322686524</v>
      </c>
      <c r="AP136" s="294">
        <v>664.73974022687526</v>
      </c>
      <c r="AQ136" s="294">
        <v>773.31096994165762</v>
      </c>
      <c r="AR136" s="294">
        <v>742.11078164980802</v>
      </c>
      <c r="AS136" s="294">
        <v>893.31990253250615</v>
      </c>
      <c r="AT136" s="294">
        <v>1058.2999838513526</v>
      </c>
      <c r="AU136" s="294">
        <v>1143.4969506944276</v>
      </c>
      <c r="AV136" s="294">
        <v>1257.6533962475073</v>
      </c>
      <c r="AW136" s="294">
        <v>1585.6507913520093</v>
      </c>
      <c r="AX136" s="294">
        <v>1859.3026388731525</v>
      </c>
      <c r="AY136" s="294">
        <v>2171.7048002239931</v>
      </c>
      <c r="AZ136" s="294">
        <v>2272.7338490966986</v>
      </c>
      <c r="BA136" s="294">
        <v>2951.6991485089866</v>
      </c>
      <c r="BB136" s="294">
        <v>3494.6045738883286</v>
      </c>
      <c r="BC136" s="298">
        <f t="shared" si="1"/>
        <v>3494.6045738883286</v>
      </c>
    </row>
    <row r="137" spans="2:55">
      <c r="B137" s="72" t="s">
        <v>663</v>
      </c>
      <c r="C137" s="72" t="s">
        <v>664</v>
      </c>
      <c r="D137" s="294"/>
      <c r="E137" s="294"/>
      <c r="F137" s="294"/>
      <c r="G137" s="294"/>
      <c r="H137" s="294">
        <v>245.56475279635259</v>
      </c>
      <c r="I137" s="294">
        <v>260.49956634166097</v>
      </c>
      <c r="J137" s="294">
        <v>280.75198563771698</v>
      </c>
      <c r="K137" s="294">
        <v>310.88518989509993</v>
      </c>
      <c r="L137" s="294">
        <v>339.71450245626448</v>
      </c>
      <c r="M137" s="294">
        <v>369.41065982814501</v>
      </c>
      <c r="N137" s="294">
        <v>448.77363228177364</v>
      </c>
      <c r="O137" s="294">
        <v>541.32005372731635</v>
      </c>
      <c r="P137" s="294">
        <v>831.74650007397361</v>
      </c>
      <c r="Q137" s="294">
        <v>1391.1610470506505</v>
      </c>
      <c r="R137" s="294">
        <v>1492.4453457627644</v>
      </c>
      <c r="S137" s="294">
        <v>1883.0702693512212</v>
      </c>
      <c r="T137" s="294">
        <v>2146.6108268450816</v>
      </c>
      <c r="U137" s="294">
        <v>2028.781901262631</v>
      </c>
      <c r="V137" s="294">
        <v>2314.0309932748178</v>
      </c>
      <c r="W137" s="294">
        <v>2334.0928524829123</v>
      </c>
      <c r="X137" s="294">
        <v>2426.4072421427104</v>
      </c>
      <c r="Y137" s="294">
        <v>2926.0039805428951</v>
      </c>
      <c r="Z137" s="294">
        <v>3413.4224969337724</v>
      </c>
      <c r="AA137" s="294">
        <v>3417.3898833403618</v>
      </c>
      <c r="AB137" s="294">
        <v>3670.6054071014746</v>
      </c>
      <c r="AC137" s="294">
        <v>4119.072720948403</v>
      </c>
      <c r="AD137" s="294">
        <v>2554.348170166566</v>
      </c>
      <c r="AE137" s="294">
        <v>2244.8206289599757</v>
      </c>
      <c r="AF137" s="294">
        <v>2133.3802852157528</v>
      </c>
      <c r="AG137" s="294">
        <v>2114.7037867102053</v>
      </c>
      <c r="AH137" s="294"/>
      <c r="AI137" s="294"/>
      <c r="AJ137" s="294">
        <v>1037.0702283645501</v>
      </c>
      <c r="AK137" s="294">
        <v>1141.4683097695647</v>
      </c>
      <c r="AL137" s="294">
        <v>1519.9779422319355</v>
      </c>
      <c r="AM137" s="294">
        <v>1818.173014294591</v>
      </c>
      <c r="AN137" s="294">
        <v>1699.5800221400054</v>
      </c>
      <c r="AO137" s="294">
        <v>1626.1200380386449</v>
      </c>
      <c r="AP137" s="294">
        <v>1628.1704520889275</v>
      </c>
      <c r="AQ137" s="294">
        <v>1550.0906078564083</v>
      </c>
      <c r="AR137" s="294">
        <v>1740.7962846136272</v>
      </c>
      <c r="AS137" s="294">
        <v>1732.1216608680602</v>
      </c>
      <c r="AT137" s="294">
        <v>1989.5138011492106</v>
      </c>
      <c r="AU137" s="294">
        <v>2369.2655850131623</v>
      </c>
      <c r="AV137" s="294">
        <v>2753.6127036190655</v>
      </c>
      <c r="AW137" s="294">
        <v>3157.7493120745498</v>
      </c>
      <c r="AX137" s="294">
        <v>4004.4227496743733</v>
      </c>
      <c r="AY137" s="294">
        <v>4678.2488018142922</v>
      </c>
      <c r="AZ137" s="294">
        <v>4525.9486080334427</v>
      </c>
      <c r="BA137" s="294"/>
      <c r="BB137" s="294"/>
      <c r="BC137" s="298">
        <f t="shared" si="1"/>
        <v>0</v>
      </c>
    </row>
    <row r="138" spans="2:55">
      <c r="B138" s="72" t="s">
        <v>665</v>
      </c>
      <c r="C138" s="72" t="s">
        <v>666</v>
      </c>
      <c r="D138" s="294">
        <v>241.93700471966505</v>
      </c>
      <c r="E138" s="294">
        <v>251.42814495465001</v>
      </c>
      <c r="F138" s="294">
        <v>247.53424759950954</v>
      </c>
      <c r="G138" s="294">
        <v>284.4320074582227</v>
      </c>
      <c r="H138" s="294">
        <v>301.65200321654487</v>
      </c>
      <c r="I138" s="294">
        <v>316.47810109052773</v>
      </c>
      <c r="J138" s="294">
        <v>308.70621123413912</v>
      </c>
      <c r="K138" s="294">
        <v>338.77673978808656</v>
      </c>
      <c r="L138" s="294">
        <v>340.98941272403681</v>
      </c>
      <c r="M138" s="294">
        <v>358.36242154459268</v>
      </c>
      <c r="N138" s="294">
        <v>400.12230339386133</v>
      </c>
      <c r="O138" s="294">
        <v>500.55695963985119</v>
      </c>
      <c r="P138" s="294">
        <v>586.65765498505834</v>
      </c>
      <c r="Q138" s="294">
        <v>1138.9701227316864</v>
      </c>
      <c r="R138" s="294">
        <v>1365.8378604849781</v>
      </c>
      <c r="S138" s="294">
        <v>1594.3573391206949</v>
      </c>
      <c r="T138" s="294">
        <v>1859.7519835023352</v>
      </c>
      <c r="U138" s="294">
        <v>2140.7171863337153</v>
      </c>
      <c r="V138" s="294">
        <v>2963.4466241960758</v>
      </c>
      <c r="W138" s="294">
        <v>3452.9921763169064</v>
      </c>
      <c r="X138" s="294">
        <v>2304.5722572078062</v>
      </c>
      <c r="Y138" s="294">
        <v>2534.6587401209981</v>
      </c>
      <c r="Z138" s="294">
        <v>2517.8464505430097</v>
      </c>
      <c r="AA138" s="294">
        <v>2782.6915613231613</v>
      </c>
      <c r="AB138" s="294">
        <v>2817.9665098327209</v>
      </c>
      <c r="AC138" s="294">
        <v>2474.9009267625647</v>
      </c>
      <c r="AD138" s="294">
        <v>2625.5038281986749</v>
      </c>
      <c r="AE138" s="294">
        <v>2531.7802263102685</v>
      </c>
      <c r="AF138" s="294">
        <v>2741.5363427489406</v>
      </c>
      <c r="AG138" s="294"/>
      <c r="AH138" s="294"/>
      <c r="AI138" s="294"/>
      <c r="AJ138" s="294"/>
      <c r="AK138" s="294"/>
      <c r="AL138" s="294"/>
      <c r="AM138" s="294"/>
      <c r="AN138" s="294">
        <v>455.44408980176871</v>
      </c>
      <c r="AO138" s="294">
        <v>457.39280983540817</v>
      </c>
      <c r="AP138" s="294">
        <v>760.592949369743</v>
      </c>
      <c r="AQ138" s="294">
        <v>1063.4814726330499</v>
      </c>
      <c r="AR138" s="294">
        <v>759.33520759417843</v>
      </c>
      <c r="AS138" s="294">
        <v>741.64175620788637</v>
      </c>
      <c r="AT138" s="294"/>
      <c r="AU138" s="294">
        <v>957.16191861610685</v>
      </c>
      <c r="AV138" s="294">
        <v>1134.7368691410031</v>
      </c>
      <c r="AW138" s="294">
        <v>1585.4895524076251</v>
      </c>
      <c r="AX138" s="294">
        <v>1945.5396367153128</v>
      </c>
      <c r="AY138" s="294">
        <v>2867.2950983615087</v>
      </c>
      <c r="AZ138" s="294">
        <v>2065.92971670014</v>
      </c>
      <c r="BA138" s="294">
        <v>2532.3236709232006</v>
      </c>
      <c r="BB138" s="294">
        <v>3500.6556793047093</v>
      </c>
      <c r="BC138" s="298">
        <f t="shared" si="1"/>
        <v>3500.6556793047093</v>
      </c>
    </row>
    <row r="139" spans="2:55">
      <c r="B139" s="72" t="s">
        <v>667</v>
      </c>
      <c r="C139" s="72" t="s">
        <v>668</v>
      </c>
      <c r="D139" s="294">
        <v>739.27640644266637</v>
      </c>
      <c r="E139" s="294">
        <v>797.00628835395923</v>
      </c>
      <c r="F139" s="294">
        <v>852.13530171788807</v>
      </c>
      <c r="G139" s="294">
        <v>965.13542267674484</v>
      </c>
      <c r="H139" s="294">
        <v>1023.773726409361</v>
      </c>
      <c r="I139" s="294">
        <v>1074.5065055495788</v>
      </c>
      <c r="J139" s="294">
        <v>1152.0049521499373</v>
      </c>
      <c r="K139" s="294">
        <v>1124.5166360824637</v>
      </c>
      <c r="L139" s="294">
        <v>1291.3499202863707</v>
      </c>
      <c r="M139" s="294">
        <v>1441.2921703111224</v>
      </c>
      <c r="N139" s="294">
        <v>1652.0954537248272</v>
      </c>
      <c r="O139" s="294">
        <v>2017.1740030698772</v>
      </c>
      <c r="P139" s="294">
        <v>2350.5185976492621</v>
      </c>
      <c r="Q139" s="294">
        <v>2440.3582039086491</v>
      </c>
      <c r="R139" s="294">
        <v>2882.9441108583396</v>
      </c>
      <c r="S139" s="294">
        <v>2830.7644784982654</v>
      </c>
      <c r="T139" s="294">
        <v>3322.8158415532439</v>
      </c>
      <c r="U139" s="294">
        <v>4266.1316017084155</v>
      </c>
      <c r="V139" s="294">
        <v>5264.7732859575326</v>
      </c>
      <c r="W139" s="294">
        <v>6178.577449873138</v>
      </c>
      <c r="X139" s="294">
        <v>5804.0449426960313</v>
      </c>
      <c r="Y139" s="294">
        <v>5973.2212803384373</v>
      </c>
      <c r="Z139" s="294">
        <v>5735.2900451488213</v>
      </c>
      <c r="AA139" s="294">
        <v>5518.8662359150221</v>
      </c>
      <c r="AB139" s="294">
        <v>5828.8481963068571</v>
      </c>
      <c r="AC139" s="294">
        <v>7865.385099629294</v>
      </c>
      <c r="AD139" s="294">
        <v>9290.41490805801</v>
      </c>
      <c r="AE139" s="294">
        <v>10389.875338351223</v>
      </c>
      <c r="AF139" s="294">
        <v>10835.829084265157</v>
      </c>
      <c r="AG139" s="294">
        <v>13604.446237942004</v>
      </c>
      <c r="AH139" s="294">
        <v>13658.650644552758</v>
      </c>
      <c r="AI139" s="294">
        <v>15236.32611729446</v>
      </c>
      <c r="AJ139" s="294">
        <v>14211.168521598091</v>
      </c>
      <c r="AK139" s="294">
        <v>15419.135310878561</v>
      </c>
      <c r="AL139" s="294">
        <v>18575.623451230917</v>
      </c>
      <c r="AM139" s="294">
        <v>20339.194858229966</v>
      </c>
      <c r="AN139" s="294">
        <v>22086.789816085908</v>
      </c>
      <c r="AO139" s="294">
        <v>23733.799242609854</v>
      </c>
      <c r="AP139" s="294">
        <v>25679.528355923867</v>
      </c>
      <c r="AQ139" s="294">
        <v>25629.650096607689</v>
      </c>
      <c r="AR139" s="294">
        <v>27339.708784257036</v>
      </c>
      <c r="AS139" s="294">
        <v>31434.557339277726</v>
      </c>
      <c r="AT139" s="294">
        <v>39814.926994096233</v>
      </c>
      <c r="AU139" s="294">
        <v>45929.92863491048</v>
      </c>
      <c r="AV139" s="294">
        <v>48866.392171399471</v>
      </c>
      <c r="AW139" s="294">
        <v>52500.702857845601</v>
      </c>
      <c r="AX139" s="294">
        <v>59664.677722776636</v>
      </c>
      <c r="AY139" s="294">
        <v>59573.570781898932</v>
      </c>
      <c r="AZ139" s="294">
        <v>50033.954954385925</v>
      </c>
      <c r="BA139" s="294">
        <v>45873.185132234961</v>
      </c>
      <c r="BB139" s="294">
        <v>48423.211782185579</v>
      </c>
      <c r="BC139" s="298">
        <f t="shared" si="1"/>
        <v>48423.211782185579</v>
      </c>
    </row>
    <row r="140" spans="2:55">
      <c r="B140" s="72" t="s">
        <v>669</v>
      </c>
      <c r="C140" s="72" t="s">
        <v>670</v>
      </c>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v>12672.333937953092</v>
      </c>
      <c r="AM140" s="294">
        <v>14032.574184282712</v>
      </c>
      <c r="AN140" s="294">
        <v>15994.686848624422</v>
      </c>
      <c r="AO140" s="294">
        <v>18465.984370015103</v>
      </c>
      <c r="AP140" s="294">
        <v>20653.898393117874</v>
      </c>
      <c r="AQ140" s="294">
        <v>20359.462515992633</v>
      </c>
      <c r="AR140" s="294">
        <v>20812.809091846801</v>
      </c>
      <c r="AS140" s="294">
        <v>24251.805733628971</v>
      </c>
      <c r="AT140" s="294">
        <v>28727.952903393409</v>
      </c>
      <c r="AU140" s="294">
        <v>34732.620136615456</v>
      </c>
      <c r="AV140" s="294">
        <v>36449.113412043233</v>
      </c>
      <c r="AW140" s="294">
        <v>42649.330151496084</v>
      </c>
      <c r="AX140" s="294">
        <v>50191.061724992629</v>
      </c>
      <c r="AY140" s="294"/>
      <c r="AZ140" s="294"/>
      <c r="BA140" s="294"/>
      <c r="BB140" s="294"/>
      <c r="BC140" s="298">
        <f t="shared" si="1"/>
        <v>0</v>
      </c>
    </row>
    <row r="141" spans="2:55">
      <c r="B141" s="72" t="s">
        <v>671</v>
      </c>
      <c r="C141" s="72" t="s">
        <v>672</v>
      </c>
      <c r="D141" s="294">
        <v>1595.8601652298125</v>
      </c>
      <c r="E141" s="294">
        <v>1132.382866258911</v>
      </c>
      <c r="F141" s="294">
        <v>1257.7431616190113</v>
      </c>
      <c r="G141" s="294">
        <v>1375.9428290730061</v>
      </c>
      <c r="H141" s="294">
        <v>1429.319390569317</v>
      </c>
      <c r="I141" s="294">
        <v>1513.8886743565477</v>
      </c>
      <c r="J141" s="294">
        <v>1428.4464108917928</v>
      </c>
      <c r="K141" s="294">
        <v>1412.4702788970242</v>
      </c>
      <c r="L141" s="294">
        <v>1587.7695786231614</v>
      </c>
      <c r="M141" s="294">
        <v>1806.422694878657</v>
      </c>
      <c r="N141" s="294">
        <v>1815.9362700280649</v>
      </c>
      <c r="O141" s="294">
        <v>2278.8400383871544</v>
      </c>
      <c r="P141" s="294">
        <v>2819.4511843951859</v>
      </c>
      <c r="Q141" s="294">
        <v>3721.5246679481588</v>
      </c>
      <c r="R141" s="294">
        <v>3570.7631721187299</v>
      </c>
      <c r="S141" s="294">
        <v>3531.2617373658263</v>
      </c>
      <c r="T141" s="294">
        <v>3812.9719251436127</v>
      </c>
      <c r="U141" s="294">
        <v>3690.7436364604941</v>
      </c>
      <c r="V141" s="294">
        <v>4625.2866514800753</v>
      </c>
      <c r="W141" s="294">
        <v>5616.5468401544131</v>
      </c>
      <c r="X141" s="294">
        <v>5863.5827111964518</v>
      </c>
      <c r="Y141" s="294">
        <v>6095.9345197145631</v>
      </c>
      <c r="Z141" s="294">
        <v>6683.4352830076496</v>
      </c>
      <c r="AA141" s="294">
        <v>6261.7857962697972</v>
      </c>
      <c r="AB141" s="294">
        <v>5698.7150859883259</v>
      </c>
      <c r="AC141" s="294">
        <v>6908.9193478583693</v>
      </c>
      <c r="AD141" s="294">
        <v>8120.0147095914526</v>
      </c>
      <c r="AE141" s="294">
        <v>9881.24270633366</v>
      </c>
      <c r="AF141" s="294">
        <v>9871.5743253431374</v>
      </c>
      <c r="AG141" s="294">
        <v>11264.018379448689</v>
      </c>
      <c r="AH141" s="294">
        <v>11956.008904802726</v>
      </c>
      <c r="AI141" s="294">
        <v>12838.418157529222</v>
      </c>
      <c r="AJ141" s="294">
        <v>12530.998379204058</v>
      </c>
      <c r="AK141" s="294">
        <v>13830.286754328034</v>
      </c>
      <c r="AL141" s="294">
        <v>17310.091211396055</v>
      </c>
      <c r="AM141" s="294">
        <v>18464.529865798941</v>
      </c>
      <c r="AN141" s="294">
        <v>18586.737439150398</v>
      </c>
      <c r="AO141" s="294">
        <v>18392.141757624857</v>
      </c>
      <c r="AP141" s="294">
        <v>18088.977446379435</v>
      </c>
      <c r="AQ141" s="294">
        <v>19859.302147082522</v>
      </c>
      <c r="AR141" s="294">
        <v>19093.109657718574</v>
      </c>
      <c r="AS141" s="294">
        <v>17195.491064352227</v>
      </c>
      <c r="AT141" s="294">
        <v>17739.701842376307</v>
      </c>
      <c r="AU141" s="294">
        <v>18588.805049672752</v>
      </c>
      <c r="AV141" s="294">
        <v>19330.024354992162</v>
      </c>
      <c r="AW141" s="294">
        <v>20624.579954203229</v>
      </c>
      <c r="AX141" s="294">
        <v>23274.300289708848</v>
      </c>
      <c r="AY141" s="294">
        <v>27591.622420131709</v>
      </c>
      <c r="AZ141" s="294">
        <v>26032.163513560849</v>
      </c>
      <c r="BA141" s="294">
        <v>28522.40858298988</v>
      </c>
      <c r="BB141" s="294">
        <v>31282.27090084759</v>
      </c>
      <c r="BC141" s="298">
        <f t="shared" si="1"/>
        <v>31282.27090084759</v>
      </c>
    </row>
    <row r="142" spans="2:55">
      <c r="B142" s="72" t="s">
        <v>673</v>
      </c>
      <c r="C142" s="72" t="s">
        <v>674</v>
      </c>
      <c r="D142" s="294">
        <v>887.33674460447548</v>
      </c>
      <c r="E142" s="294">
        <v>990.26015216342</v>
      </c>
      <c r="F142" s="294">
        <v>1126.0193369982469</v>
      </c>
      <c r="G142" s="294">
        <v>1222.5445404628979</v>
      </c>
      <c r="H142" s="294">
        <v>1304.4538166196512</v>
      </c>
      <c r="I142" s="294">
        <v>1402.4423544103229</v>
      </c>
      <c r="J142" s="294">
        <v>1533.6928774854725</v>
      </c>
      <c r="K142" s="294">
        <v>1651.9393767975566</v>
      </c>
      <c r="L142" s="294">
        <v>1813.3881257570581</v>
      </c>
      <c r="M142" s="294">
        <v>2029.9332984997495</v>
      </c>
      <c r="N142" s="294">
        <v>2221.4220563336826</v>
      </c>
      <c r="O142" s="294">
        <v>2573.6026095783845</v>
      </c>
      <c r="P142" s="294">
        <v>3088.2145367064031</v>
      </c>
      <c r="Q142" s="294">
        <v>3488.9222444792786</v>
      </c>
      <c r="R142" s="294">
        <v>3957.0298618396791</v>
      </c>
      <c r="S142" s="294">
        <v>3885.8335776992408</v>
      </c>
      <c r="T142" s="294">
        <v>4435.5024856376904</v>
      </c>
      <c r="U142" s="294">
        <v>5405.6347131727362</v>
      </c>
      <c r="V142" s="294">
        <v>6735.0404220099481</v>
      </c>
      <c r="W142" s="294">
        <v>8148.1205324485791</v>
      </c>
      <c r="X142" s="294">
        <v>7344.4909298502853</v>
      </c>
      <c r="Y142" s="294">
        <v>7280.6022886862565</v>
      </c>
      <c r="Z142" s="294">
        <v>7546.5744063630664</v>
      </c>
      <c r="AA142" s="294">
        <v>7457.1050184524529</v>
      </c>
      <c r="AB142" s="294">
        <v>7698.9122602575972</v>
      </c>
      <c r="AC142" s="294">
        <v>10901.855341803703</v>
      </c>
      <c r="AD142" s="294">
        <v>13714.957538699151</v>
      </c>
      <c r="AE142" s="294">
        <v>15169.756033564994</v>
      </c>
      <c r="AF142" s="294">
        <v>15788.314766752983</v>
      </c>
      <c r="AG142" s="294">
        <v>20065.345340250013</v>
      </c>
      <c r="AH142" s="294">
        <v>21154.80251087555</v>
      </c>
      <c r="AI142" s="294">
        <v>22394.755409470705</v>
      </c>
      <c r="AJ142" s="294">
        <v>18054.53111421008</v>
      </c>
      <c r="AK142" s="294">
        <v>18631.530909513243</v>
      </c>
      <c r="AL142" s="294">
        <v>19910.000672169786</v>
      </c>
      <c r="AM142" s="294">
        <v>22271.330922435343</v>
      </c>
      <c r="AN142" s="294">
        <v>21069.547792121579</v>
      </c>
      <c r="AO142" s="294">
        <v>21519.064120256822</v>
      </c>
      <c r="AP142" s="294">
        <v>21227.310873050272</v>
      </c>
      <c r="AQ142" s="294">
        <v>19388.278750800535</v>
      </c>
      <c r="AR142" s="294">
        <v>19721.965202988704</v>
      </c>
      <c r="AS142" s="294">
        <v>21435.139299277023</v>
      </c>
      <c r="AT142" s="294">
        <v>26291.338043904187</v>
      </c>
      <c r="AU142" s="294">
        <v>29832.612903508067</v>
      </c>
      <c r="AV142" s="294">
        <v>30478.845588688309</v>
      </c>
      <c r="AW142" s="294">
        <v>31776.977752640974</v>
      </c>
      <c r="AX142" s="294">
        <v>35826.023457385716</v>
      </c>
      <c r="AY142" s="294">
        <v>38563.053086972512</v>
      </c>
      <c r="AZ142" s="294">
        <v>35073.158021785661</v>
      </c>
      <c r="BA142" s="294">
        <v>33786.642892528514</v>
      </c>
      <c r="BB142" s="294">
        <v>36102.864293008242</v>
      </c>
      <c r="BC142" s="298">
        <f t="shared" si="1"/>
        <v>36102.864293008242</v>
      </c>
    </row>
    <row r="143" spans="2:55">
      <c r="B143" s="72" t="s">
        <v>675</v>
      </c>
      <c r="C143" s="72" t="s">
        <v>676</v>
      </c>
      <c r="D143" s="294">
        <v>452.83402810137801</v>
      </c>
      <c r="E143" s="294">
        <v>463.35588625535769</v>
      </c>
      <c r="F143" s="294">
        <v>484.2984009821476</v>
      </c>
      <c r="G143" s="294">
        <v>517.62046922978186</v>
      </c>
      <c r="H143" s="294">
        <v>552.36339273029989</v>
      </c>
      <c r="I143" s="294">
        <v>615.07726001426556</v>
      </c>
      <c r="J143" s="294">
        <v>636.40996536840532</v>
      </c>
      <c r="K143" s="294">
        <v>594.30595353448462</v>
      </c>
      <c r="L143" s="294">
        <v>645.68069330145238</v>
      </c>
      <c r="M143" s="294">
        <v>751.58933068931435</v>
      </c>
      <c r="N143" s="294">
        <v>812.32266638647013</v>
      </c>
      <c r="O143" s="294">
        <v>974.01998761694051</v>
      </c>
      <c r="P143" s="294">
        <v>974.32687458462681</v>
      </c>
      <c r="Q143" s="294">
        <v>1196.021580021096</v>
      </c>
      <c r="R143" s="294">
        <v>1420.9849849359416</v>
      </c>
      <c r="S143" s="294">
        <v>1455.5723737750616</v>
      </c>
      <c r="T143" s="294">
        <v>1578.0007388253453</v>
      </c>
      <c r="U143" s="294">
        <v>1271.2199817611786</v>
      </c>
      <c r="V143" s="294">
        <v>1152.5200074923266</v>
      </c>
      <c r="W143" s="294">
        <v>1256.1553684182834</v>
      </c>
      <c r="X143" s="294">
        <v>1377.7126028402195</v>
      </c>
      <c r="Y143" s="294">
        <v>1496.975729940064</v>
      </c>
      <c r="Z143" s="294">
        <v>1615.1652482958168</v>
      </c>
      <c r="AA143" s="294">
        <v>1041.0827231740579</v>
      </c>
      <c r="AB143" s="294">
        <v>908.76164014299968</v>
      </c>
      <c r="AC143" s="294">
        <v>1179.2746288700116</v>
      </c>
      <c r="AD143" s="294">
        <v>1398.369451353572</v>
      </c>
      <c r="AE143" s="294">
        <v>1624.6574522501162</v>
      </c>
      <c r="AF143" s="294">
        <v>1854.7888451712508</v>
      </c>
      <c r="AG143" s="294">
        <v>1921.4260299317955</v>
      </c>
      <c r="AH143" s="294">
        <v>1706.622732812509</v>
      </c>
      <c r="AI143" s="294">
        <v>1459.0956487959334</v>
      </c>
      <c r="AJ143" s="294">
        <v>2003.7558445852085</v>
      </c>
      <c r="AK143" s="294">
        <v>2007.3692655917725</v>
      </c>
      <c r="AL143" s="294">
        <v>2344.141928080629</v>
      </c>
      <c r="AM143" s="294">
        <v>2600.5983459533495</v>
      </c>
      <c r="AN143" s="294">
        <v>2948.8278401898538</v>
      </c>
      <c r="AO143" s="294">
        <v>3419.2043204095626</v>
      </c>
      <c r="AP143" s="294">
        <v>3430.425938708247</v>
      </c>
      <c r="AQ143" s="294">
        <v>3479.0567543913708</v>
      </c>
      <c r="AR143" s="294">
        <v>3495.299335838246</v>
      </c>
      <c r="AS143" s="294">
        <v>3713.0877741183212</v>
      </c>
      <c r="AT143" s="294">
        <v>3591.5131451126786</v>
      </c>
      <c r="AU143" s="294">
        <v>3856.2734244765661</v>
      </c>
      <c r="AV143" s="294">
        <v>4178.9082708318201</v>
      </c>
      <c r="AW143" s="294">
        <v>4441.2977017394251</v>
      </c>
      <c r="AX143" s="294">
        <v>4747.1159485362341</v>
      </c>
      <c r="AY143" s="294">
        <v>4865.6760051144847</v>
      </c>
      <c r="AZ143" s="294">
        <v>4456.5192353626808</v>
      </c>
      <c r="BA143" s="294">
        <v>4964.1864079608322</v>
      </c>
      <c r="BB143" s="294">
        <v>5329.5432013246364</v>
      </c>
      <c r="BC143" s="298">
        <f t="shared" si="1"/>
        <v>5329.5432013246364</v>
      </c>
    </row>
    <row r="144" spans="2:55">
      <c r="B144" s="72" t="s">
        <v>677</v>
      </c>
      <c r="C144" s="72" t="s">
        <v>678</v>
      </c>
      <c r="D144" s="294">
        <v>563.58675983882722</v>
      </c>
      <c r="E144" s="294">
        <v>633.64031517377634</v>
      </c>
      <c r="F144" s="294">
        <v>717.86691523089416</v>
      </c>
      <c r="G144" s="294">
        <v>835.65725248411582</v>
      </c>
      <c r="H144" s="294">
        <v>919.77668818480197</v>
      </c>
      <c r="I144" s="294">
        <v>1058.5035609090201</v>
      </c>
      <c r="J144" s="294">
        <v>1228.9092104005958</v>
      </c>
      <c r="K144" s="294">
        <v>1450.6196523437441</v>
      </c>
      <c r="L144" s="294">
        <v>1669.0981999078131</v>
      </c>
      <c r="M144" s="294">
        <v>2003.6470473595036</v>
      </c>
      <c r="N144" s="294">
        <v>2234.2616658496554</v>
      </c>
      <c r="O144" s="294">
        <v>2917.658975723602</v>
      </c>
      <c r="P144" s="294">
        <v>3931.3016274214015</v>
      </c>
      <c r="Q144" s="294">
        <v>4281.3599284105048</v>
      </c>
      <c r="R144" s="294">
        <v>4581.57438948033</v>
      </c>
      <c r="S144" s="294">
        <v>5111.2951492201282</v>
      </c>
      <c r="T144" s="294">
        <v>6230.33568811024</v>
      </c>
      <c r="U144" s="294">
        <v>8675.013996733609</v>
      </c>
      <c r="V144" s="294">
        <v>8953.5915202795204</v>
      </c>
      <c r="W144" s="294">
        <v>9307.8392945914875</v>
      </c>
      <c r="X144" s="294">
        <v>10212.378135896775</v>
      </c>
      <c r="Y144" s="294">
        <v>9428.874650371421</v>
      </c>
      <c r="Z144" s="294">
        <v>10213.958279306709</v>
      </c>
      <c r="AA144" s="294">
        <v>10786.786180946268</v>
      </c>
      <c r="AB144" s="294">
        <v>11465.725781626912</v>
      </c>
      <c r="AC144" s="294">
        <v>16882.273952066702</v>
      </c>
      <c r="AD144" s="294">
        <v>20355.605222435599</v>
      </c>
      <c r="AE144" s="294">
        <v>24592.772005353392</v>
      </c>
      <c r="AF144" s="294">
        <v>24505.767295867867</v>
      </c>
      <c r="AG144" s="294">
        <v>25123.63178621421</v>
      </c>
      <c r="AH144" s="294">
        <v>28540.771482601569</v>
      </c>
      <c r="AI144" s="294">
        <v>31013.64714836267</v>
      </c>
      <c r="AJ144" s="294">
        <v>35451.297511574652</v>
      </c>
      <c r="AK144" s="294">
        <v>38814.894378981378</v>
      </c>
      <c r="AL144" s="294">
        <v>42522.066590605355</v>
      </c>
      <c r="AM144" s="294">
        <v>37421.673857711154</v>
      </c>
      <c r="AN144" s="294">
        <v>34294.898976658827</v>
      </c>
      <c r="AO144" s="294">
        <v>30967.288089092821</v>
      </c>
      <c r="AP144" s="294">
        <v>34998.809971753093</v>
      </c>
      <c r="AQ144" s="294">
        <v>37291.706158044806</v>
      </c>
      <c r="AR144" s="294">
        <v>32716.418674889748</v>
      </c>
      <c r="AS144" s="294">
        <v>31235.588184391381</v>
      </c>
      <c r="AT144" s="294">
        <v>33690.937729715421</v>
      </c>
      <c r="AU144" s="294">
        <v>36441.504493942208</v>
      </c>
      <c r="AV144" s="294">
        <v>35781.234980593836</v>
      </c>
      <c r="AW144" s="294">
        <v>34102.206167125485</v>
      </c>
      <c r="AX144" s="294">
        <v>34094.887105768161</v>
      </c>
      <c r="AY144" s="294">
        <v>37972.237212883534</v>
      </c>
      <c r="AZ144" s="294">
        <v>39473.362905816502</v>
      </c>
      <c r="BA144" s="294">
        <v>43063.136365675367</v>
      </c>
      <c r="BB144" s="294">
        <v>45902.671607675584</v>
      </c>
      <c r="BC144" s="298">
        <f t="shared" si="1"/>
        <v>45902.671607675584</v>
      </c>
    </row>
    <row r="145" spans="2:55">
      <c r="B145" s="72" t="s">
        <v>679</v>
      </c>
      <c r="C145" s="72" t="s">
        <v>680</v>
      </c>
      <c r="D145" s="294"/>
      <c r="E145" s="294"/>
      <c r="F145" s="294"/>
      <c r="G145" s="294"/>
      <c r="H145" s="294">
        <v>531.70191497880853</v>
      </c>
      <c r="I145" s="294">
        <v>548.20081487009895</v>
      </c>
      <c r="J145" s="294">
        <v>494.11126529087619</v>
      </c>
      <c r="K145" s="294">
        <v>412.91646029083853</v>
      </c>
      <c r="L145" s="294">
        <v>486.50995271904372</v>
      </c>
      <c r="M145" s="294">
        <v>424.08471100272038</v>
      </c>
      <c r="N145" s="294">
        <v>430.89321088519728</v>
      </c>
      <c r="O145" s="294">
        <v>482.67615324198158</v>
      </c>
      <c r="P145" s="294">
        <v>558.47365419512835</v>
      </c>
      <c r="Q145" s="294">
        <v>685.17298328456968</v>
      </c>
      <c r="R145" s="294">
        <v>753.07928053787441</v>
      </c>
      <c r="S145" s="294">
        <v>878.80552777878358</v>
      </c>
      <c r="T145" s="294">
        <v>1055.29016536684</v>
      </c>
      <c r="U145" s="294">
        <v>1261.6138573529133</v>
      </c>
      <c r="V145" s="294">
        <v>1555.9260960256527</v>
      </c>
      <c r="W145" s="294">
        <v>1816.4765410703876</v>
      </c>
      <c r="X145" s="294">
        <v>1961.2291710576228</v>
      </c>
      <c r="Y145" s="294">
        <v>2045.0956638971602</v>
      </c>
      <c r="Z145" s="294">
        <v>2050.8380312103177</v>
      </c>
      <c r="AA145" s="294">
        <v>2020.010764366139</v>
      </c>
      <c r="AB145" s="294">
        <v>1936.1915528108659</v>
      </c>
      <c r="AC145" s="294">
        <v>2253.0301944033913</v>
      </c>
      <c r="AD145" s="294">
        <v>2292.8524356445291</v>
      </c>
      <c r="AE145" s="294">
        <v>2052.1784477805086</v>
      </c>
      <c r="AF145" s="294">
        <v>1350.9278720035177</v>
      </c>
      <c r="AG145" s="294">
        <v>1268.2232892773834</v>
      </c>
      <c r="AH145" s="294">
        <v>1182.8874848204703</v>
      </c>
      <c r="AI145" s="294">
        <v>1422.6716183207488</v>
      </c>
      <c r="AJ145" s="294">
        <v>1435.1958161598661</v>
      </c>
      <c r="AK145" s="294">
        <v>1535.955013288549</v>
      </c>
      <c r="AL145" s="294">
        <v>1603.6839834675166</v>
      </c>
      <c r="AM145" s="294">
        <v>1601.9465325674864</v>
      </c>
      <c r="AN145" s="294">
        <v>1625.4431042867068</v>
      </c>
      <c r="AO145" s="294">
        <v>1721.4334791293213</v>
      </c>
      <c r="AP145" s="294">
        <v>1741.5962150365126</v>
      </c>
      <c r="AQ145" s="294">
        <v>1764.2298924925417</v>
      </c>
      <c r="AR145" s="294">
        <v>1826.2206243009664</v>
      </c>
      <c r="AS145" s="294">
        <v>1902.3882810639143</v>
      </c>
      <c r="AT145" s="294">
        <v>1974.7784972889237</v>
      </c>
      <c r="AU145" s="294">
        <v>2157.1626742635858</v>
      </c>
      <c r="AV145" s="294">
        <v>2326.2802305854111</v>
      </c>
      <c r="AW145" s="294">
        <v>2719.3312606345689</v>
      </c>
      <c r="AX145" s="294">
        <v>3022.008124359902</v>
      </c>
      <c r="AY145" s="294">
        <v>3796.7574314070898</v>
      </c>
      <c r="AZ145" s="294">
        <v>4027.0520809155792</v>
      </c>
      <c r="BA145" s="294">
        <v>4369.9982415434479</v>
      </c>
      <c r="BB145" s="294">
        <v>4665.94353968012</v>
      </c>
      <c r="BC145" s="298">
        <f t="shared" si="1"/>
        <v>4665.94353968012</v>
      </c>
    </row>
    <row r="146" spans="2:55">
      <c r="B146" s="72" t="s">
        <v>681</v>
      </c>
      <c r="C146" s="72" t="s">
        <v>682</v>
      </c>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v>1647.4632308848927</v>
      </c>
      <c r="AH146" s="294">
        <v>1512.4850664925607</v>
      </c>
      <c r="AI146" s="294">
        <v>1515.1040431796143</v>
      </c>
      <c r="AJ146" s="294">
        <v>1433.4615339107963</v>
      </c>
      <c r="AK146" s="294">
        <v>1320.3216276674516</v>
      </c>
      <c r="AL146" s="294">
        <v>1288.2390210018548</v>
      </c>
      <c r="AM146" s="294">
        <v>1350.3338439627757</v>
      </c>
      <c r="AN146" s="294">
        <v>1445.5694104086697</v>
      </c>
      <c r="AO146" s="294">
        <v>1468.7017861456859</v>
      </c>
      <c r="AP146" s="294">
        <v>1130.1136034123911</v>
      </c>
      <c r="AQ146" s="294">
        <v>1229.0009584738254</v>
      </c>
      <c r="AR146" s="294">
        <v>1490.9267512181852</v>
      </c>
      <c r="AS146" s="294">
        <v>1658.0311459791569</v>
      </c>
      <c r="AT146" s="294">
        <v>2068.1235185281193</v>
      </c>
      <c r="AU146" s="294">
        <v>2874.2884827299908</v>
      </c>
      <c r="AV146" s="294">
        <v>3771.2789573384489</v>
      </c>
      <c r="AW146" s="294">
        <v>5291.5740220078505</v>
      </c>
      <c r="AX146" s="294">
        <v>6771.4166383821494</v>
      </c>
      <c r="AY146" s="294">
        <v>8513.5675469951511</v>
      </c>
      <c r="AZ146" s="294">
        <v>7164.9313905030713</v>
      </c>
      <c r="BA146" s="294">
        <v>9070.0097292678147</v>
      </c>
      <c r="BB146" s="294">
        <v>11356.732311822989</v>
      </c>
      <c r="BC146" s="298">
        <f t="shared" ref="BC146:BC209" si="2">BB146</f>
        <v>11356.732311822989</v>
      </c>
    </row>
    <row r="147" spans="2:55">
      <c r="B147" s="72" t="s">
        <v>683</v>
      </c>
      <c r="C147" s="72" t="s">
        <v>684</v>
      </c>
      <c r="D147" s="294">
        <v>94.835411737596459</v>
      </c>
      <c r="E147" s="294">
        <v>100.60453493569881</v>
      </c>
      <c r="F147" s="294">
        <v>104.01313405830444</v>
      </c>
      <c r="G147" s="294">
        <v>108.55953423556205</v>
      </c>
      <c r="H147" s="294">
        <v>104.99291345475771</v>
      </c>
      <c r="I147" s="294">
        <v>118.55732006450177</v>
      </c>
      <c r="J147" s="294">
        <v>121.3820305279234</v>
      </c>
      <c r="K147" s="294">
        <v>128.8592275597974</v>
      </c>
      <c r="L147" s="294">
        <v>134.19546505992017</v>
      </c>
      <c r="M147" s="294">
        <v>142.49929278945828</v>
      </c>
      <c r="N147" s="294">
        <v>152.55574494350293</v>
      </c>
      <c r="O147" s="294">
        <v>174.4004862855835</v>
      </c>
      <c r="P147" s="294">
        <v>199.69815882249421</v>
      </c>
      <c r="Q147" s="294">
        <v>228.76406791376891</v>
      </c>
      <c r="R147" s="294">
        <v>241.68151421458685</v>
      </c>
      <c r="S147" s="294">
        <v>248.25284799923043</v>
      </c>
      <c r="T147" s="294">
        <v>309.37274664955544</v>
      </c>
      <c r="U147" s="294">
        <v>351.66171333135674</v>
      </c>
      <c r="V147" s="294">
        <v>398.06876448000583</v>
      </c>
      <c r="W147" s="294">
        <v>446.61376536187714</v>
      </c>
      <c r="X147" s="294">
        <v>405.59221827147189</v>
      </c>
      <c r="Y147" s="294">
        <v>366.31592265664813</v>
      </c>
      <c r="Z147" s="294">
        <v>327.84593692466399</v>
      </c>
      <c r="AA147" s="294">
        <v>326.93247467216077</v>
      </c>
      <c r="AB147" s="294">
        <v>312.13301494609198</v>
      </c>
      <c r="AC147" s="294">
        <v>355.07322365244568</v>
      </c>
      <c r="AD147" s="294">
        <v>377.14905661720633</v>
      </c>
      <c r="AE147" s="294">
        <v>381.62834369199834</v>
      </c>
      <c r="AF147" s="294">
        <v>365.45119310380937</v>
      </c>
      <c r="AG147" s="294">
        <v>365.60303881651777</v>
      </c>
      <c r="AH147" s="294">
        <v>336.28104635376621</v>
      </c>
      <c r="AI147" s="294">
        <v>327.80977962100235</v>
      </c>
      <c r="AJ147" s="294">
        <v>222.53693350616049</v>
      </c>
      <c r="AK147" s="294">
        <v>268.29481970337469</v>
      </c>
      <c r="AL147" s="294">
        <v>329.84804762729857</v>
      </c>
      <c r="AM147" s="294">
        <v>427.28567191260225</v>
      </c>
      <c r="AN147" s="294">
        <v>453.13056215052387</v>
      </c>
      <c r="AO147" s="294">
        <v>474.60278342511378</v>
      </c>
      <c r="AP147" s="294">
        <v>423.34532615440747</v>
      </c>
      <c r="AQ147" s="294">
        <v>406.52305956984605</v>
      </c>
      <c r="AR147" s="294">
        <v>404.84837327508347</v>
      </c>
      <c r="AS147" s="294">
        <v>399.28909309665431</v>
      </c>
      <c r="AT147" s="294">
        <v>440.89251030180247</v>
      </c>
      <c r="AU147" s="294">
        <v>463.81303670023232</v>
      </c>
      <c r="AV147" s="294">
        <v>526.12995872195722</v>
      </c>
      <c r="AW147" s="294">
        <v>615.86076098039803</v>
      </c>
      <c r="AX147" s="294">
        <v>726.59893697742496</v>
      </c>
      <c r="AY147" s="294">
        <v>792.22880365138474</v>
      </c>
      <c r="AZ147" s="294">
        <v>774.92834354012484</v>
      </c>
      <c r="BA147" s="294">
        <v>794.76720936968343</v>
      </c>
      <c r="BB147" s="294">
        <v>808.00057178552743</v>
      </c>
      <c r="BC147" s="298">
        <f t="shared" si="2"/>
        <v>808.00057178552743</v>
      </c>
    </row>
    <row r="148" spans="2:55">
      <c r="B148" s="72" t="s">
        <v>685</v>
      </c>
      <c r="C148" s="72" t="s">
        <v>686</v>
      </c>
      <c r="D148" s="294"/>
      <c r="E148" s="294"/>
      <c r="F148" s="294"/>
      <c r="G148" s="294"/>
      <c r="H148" s="294"/>
      <c r="I148" s="294"/>
      <c r="J148" s="294"/>
      <c r="K148" s="294"/>
      <c r="L148" s="294"/>
      <c r="M148" s="294">
        <v>292.3370050039606</v>
      </c>
      <c r="N148" s="294">
        <v>307.13041503772098</v>
      </c>
      <c r="O148" s="294">
        <v>374.51203535590685</v>
      </c>
      <c r="P148" s="294">
        <v>617.2174546834591</v>
      </c>
      <c r="Q148" s="294">
        <v>1640.1315820440095</v>
      </c>
      <c r="R148" s="294">
        <v>1037.3223538936506</v>
      </c>
      <c r="S148" s="294">
        <v>763.3498732144418</v>
      </c>
      <c r="T148" s="294">
        <v>707.51363126016008</v>
      </c>
      <c r="U148" s="294">
        <v>810.19113268319973</v>
      </c>
      <c r="V148" s="294">
        <v>748.71312904424451</v>
      </c>
      <c r="W148" s="294">
        <v>480.81841632724741</v>
      </c>
      <c r="X148" s="294">
        <v>493.78845482485445</v>
      </c>
      <c r="Y148" s="294">
        <v>488.60067695085252</v>
      </c>
      <c r="Z148" s="294">
        <v>473.81884185308917</v>
      </c>
      <c r="AA148" s="294">
        <v>450.6919711045208</v>
      </c>
      <c r="AB148" s="294">
        <v>327.61204854228112</v>
      </c>
      <c r="AC148" s="294">
        <v>309.60457107768298</v>
      </c>
      <c r="AD148" s="294">
        <v>352.31036072867204</v>
      </c>
      <c r="AE148" s="294">
        <v>444.57112199155227</v>
      </c>
      <c r="AF148" s="294">
        <v>417.19367462628412</v>
      </c>
      <c r="AG148" s="294">
        <v>395.48838591982906</v>
      </c>
      <c r="AH148" s="294">
        <v>653.29866839392685</v>
      </c>
      <c r="AI148" s="294">
        <v>669.57027213699723</v>
      </c>
      <c r="AJ148" s="294">
        <v>646.22125504718167</v>
      </c>
      <c r="AK148" s="294">
        <v>737.65255461378979</v>
      </c>
      <c r="AL148" s="294">
        <v>745.78795187781225</v>
      </c>
      <c r="AM148" s="294">
        <v>865.3010347829927</v>
      </c>
      <c r="AN148" s="294">
        <v>867.51792354969098</v>
      </c>
      <c r="AO148" s="294">
        <v>827.49458732676169</v>
      </c>
      <c r="AP148" s="294">
        <v>855.46178935884643</v>
      </c>
      <c r="AQ148" s="294">
        <v>812.28207675350302</v>
      </c>
      <c r="AR148" s="294">
        <v>745.8876865469407</v>
      </c>
      <c r="AS148" s="294">
        <v>851.13860571052032</v>
      </c>
      <c r="AT148" s="294">
        <v>1053.4071312153173</v>
      </c>
      <c r="AU148" s="294">
        <v>1132.8318915771436</v>
      </c>
      <c r="AV148" s="294">
        <v>1145.7908341813861</v>
      </c>
      <c r="AW148" s="294">
        <v>1114.4230523994754</v>
      </c>
      <c r="AX148" s="294">
        <v>1304.2765248194266</v>
      </c>
      <c r="AY148" s="294">
        <v>1360.5181629459762</v>
      </c>
      <c r="AZ148" s="294">
        <v>1227.1388084278317</v>
      </c>
      <c r="BA148" s="294">
        <v>1422.6184508828721</v>
      </c>
      <c r="BB148" s="294">
        <v>1648.8795918506696</v>
      </c>
      <c r="BC148" s="298">
        <f t="shared" si="2"/>
        <v>1648.8795918506696</v>
      </c>
    </row>
    <row r="149" spans="2:55">
      <c r="B149" s="72" t="s">
        <v>687</v>
      </c>
      <c r="C149" s="72" t="s">
        <v>688</v>
      </c>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8">
        <f t="shared" si="2"/>
        <v>0</v>
      </c>
    </row>
    <row r="150" spans="2:55">
      <c r="B150" s="72" t="s">
        <v>689</v>
      </c>
      <c r="C150" s="72" t="s">
        <v>690</v>
      </c>
      <c r="D150" s="294">
        <v>91.623606005276287</v>
      </c>
      <c r="E150" s="294">
        <v>103.8672749488739</v>
      </c>
      <c r="F150" s="294">
        <v>142.36265268091077</v>
      </c>
      <c r="G150" s="294">
        <v>120.6360499990672</v>
      </c>
      <c r="H150" s="294">
        <v>105.7698691365264</v>
      </c>
      <c r="I150" s="294">
        <v>130.26484011968483</v>
      </c>
      <c r="J150" s="294">
        <v>157.29025386734787</v>
      </c>
      <c r="K150" s="294">
        <v>194.77956080580765</v>
      </c>
      <c r="L150" s="294">
        <v>239.23146398011562</v>
      </c>
      <c r="M150" s="294">
        <v>278.78737965935323</v>
      </c>
      <c r="N150" s="294">
        <v>302.22777926790621</v>
      </c>
      <c r="O150" s="294">
        <v>322.72255279173663</v>
      </c>
      <c r="P150" s="294">
        <v>403.46415092227755</v>
      </c>
      <c r="Q150" s="294">
        <v>555.66772963622714</v>
      </c>
      <c r="R150" s="294">
        <v>608.22777975456086</v>
      </c>
      <c r="S150" s="294">
        <v>824.42333303901648</v>
      </c>
      <c r="T150" s="294">
        <v>1041.5862811551544</v>
      </c>
      <c r="U150" s="294">
        <v>1382.9210043974749</v>
      </c>
      <c r="V150" s="294">
        <v>1746.7303474051296</v>
      </c>
      <c r="W150" s="294">
        <v>1674.387558579253</v>
      </c>
      <c r="X150" s="294">
        <v>1845.653619658045</v>
      </c>
      <c r="Y150" s="294">
        <v>1938.112132809287</v>
      </c>
      <c r="Z150" s="294">
        <v>2117.5295074568762</v>
      </c>
      <c r="AA150" s="294">
        <v>2306.8603126146727</v>
      </c>
      <c r="AB150" s="294">
        <v>2367.7825045263912</v>
      </c>
      <c r="AC150" s="294">
        <v>2702.6412208498541</v>
      </c>
      <c r="AD150" s="294">
        <v>3367.5428076784788</v>
      </c>
      <c r="AE150" s="294">
        <v>4465.6703232559021</v>
      </c>
      <c r="AF150" s="294">
        <v>5438.2526678954628</v>
      </c>
      <c r="AG150" s="294">
        <v>6153.0939968068469</v>
      </c>
      <c r="AH150" s="294">
        <v>7122.7013323717874</v>
      </c>
      <c r="AI150" s="294">
        <v>7555.2725269407974</v>
      </c>
      <c r="AJ150" s="294">
        <v>8219.8961990324242</v>
      </c>
      <c r="AK150" s="294">
        <v>9525.4356298874336</v>
      </c>
      <c r="AL150" s="294">
        <v>11467.813847776817</v>
      </c>
      <c r="AM150" s="294">
        <v>12249.1731451653</v>
      </c>
      <c r="AN150" s="294">
        <v>11234.776996783463</v>
      </c>
      <c r="AO150" s="294">
        <v>7462.8386453181665</v>
      </c>
      <c r="AP150" s="294">
        <v>9554.4394429295025</v>
      </c>
      <c r="AQ150" s="294">
        <v>11346.664987420338</v>
      </c>
      <c r="AR150" s="294">
        <v>10654.935553429088</v>
      </c>
      <c r="AS150" s="294">
        <v>12093.757296847849</v>
      </c>
      <c r="AT150" s="294">
        <v>13451.22941768531</v>
      </c>
      <c r="AU150" s="294">
        <v>15028.940149122587</v>
      </c>
      <c r="AV150" s="294">
        <v>17550.85388540092</v>
      </c>
      <c r="AW150" s="294">
        <v>19676.124183099888</v>
      </c>
      <c r="AX150" s="294">
        <v>21590.105584323755</v>
      </c>
      <c r="AY150" s="294">
        <v>19028.012931451616</v>
      </c>
      <c r="AZ150" s="294">
        <v>16958.652389918629</v>
      </c>
      <c r="BA150" s="294">
        <v>20540.176925139524</v>
      </c>
      <c r="BB150" s="294">
        <v>22424.062301746617</v>
      </c>
      <c r="BC150" s="298">
        <f t="shared" si="2"/>
        <v>22424.062301746617</v>
      </c>
    </row>
    <row r="151" spans="2:55">
      <c r="B151" s="72" t="s">
        <v>691</v>
      </c>
      <c r="C151" s="72" t="s">
        <v>692</v>
      </c>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v>1087.7624012088665</v>
      </c>
      <c r="AR151" s="294">
        <v>1490.3610325022637</v>
      </c>
      <c r="AS151" s="294">
        <v>1587.5058285127263</v>
      </c>
      <c r="AT151" s="294">
        <v>1969.5627130740459</v>
      </c>
      <c r="AU151" s="294">
        <v>2135.3328465238328</v>
      </c>
      <c r="AV151" s="294">
        <v>2194.3726507473721</v>
      </c>
      <c r="AW151" s="294">
        <v>2277.0647001680727</v>
      </c>
      <c r="AX151" s="294">
        <v>2698.3676375874124</v>
      </c>
      <c r="AY151" s="294">
        <v>3228.5753887280789</v>
      </c>
      <c r="AZ151" s="294">
        <v>3093.5344757433636</v>
      </c>
      <c r="BA151" s="294">
        <v>3150.147704022093</v>
      </c>
      <c r="BB151" s="294">
        <v>3596.1117202587193</v>
      </c>
      <c r="BC151" s="298">
        <f t="shared" si="2"/>
        <v>3596.1117202587193</v>
      </c>
    </row>
    <row r="152" spans="2:55">
      <c r="B152" s="72" t="s">
        <v>693</v>
      </c>
      <c r="C152" s="72" t="s">
        <v>694</v>
      </c>
      <c r="D152" s="294"/>
      <c r="E152" s="294">
        <v>5425.0085508447119</v>
      </c>
      <c r="F152" s="294">
        <v>4956.5616396859214</v>
      </c>
      <c r="G152" s="294">
        <v>4781.4608758812374</v>
      </c>
      <c r="H152" s="294">
        <v>4331.2214350930626</v>
      </c>
      <c r="I152" s="294">
        <v>4463.7070612610623</v>
      </c>
      <c r="J152" s="294">
        <v>4151.1718923124226</v>
      </c>
      <c r="K152" s="294">
        <v>4149.6395875723974</v>
      </c>
      <c r="L152" s="294">
        <v>3975.2498221061851</v>
      </c>
      <c r="M152" s="294">
        <v>3815.5338861882133</v>
      </c>
      <c r="N152" s="294">
        <v>4783.5977863685321</v>
      </c>
      <c r="O152" s="294">
        <v>5112.9396489196697</v>
      </c>
      <c r="P152" s="294">
        <v>5811.2698048813781</v>
      </c>
      <c r="Q152" s="294">
        <v>13113.363756345891</v>
      </c>
      <c r="R152" s="294">
        <v>11409.515819764185</v>
      </c>
      <c r="S152" s="294">
        <v>11766.376069901968</v>
      </c>
      <c r="T152" s="294">
        <v>11991.727461847475</v>
      </c>
      <c r="U152" s="294">
        <v>12473.977950365394</v>
      </c>
      <c r="V152" s="294">
        <v>18910.922263412478</v>
      </c>
      <c r="W152" s="294">
        <v>20798.575774022283</v>
      </c>
      <c r="X152" s="294">
        <v>17332.806608058319</v>
      </c>
      <c r="Y152" s="294">
        <v>14251.630225679361</v>
      </c>
      <c r="Z152" s="294">
        <v>13173.609679881924</v>
      </c>
      <c r="AA152" s="294">
        <v>13072.646371444993</v>
      </c>
      <c r="AB152" s="294">
        <v>12310.533248344283</v>
      </c>
      <c r="AC152" s="294">
        <v>9752.5899342351204</v>
      </c>
      <c r="AD152" s="294">
        <v>11546.233703008027</v>
      </c>
      <c r="AE152" s="294">
        <v>10201.492966069836</v>
      </c>
      <c r="AF152" s="294">
        <v>11669.437697865851</v>
      </c>
      <c r="AG152" s="294">
        <v>8826.8876373963558</v>
      </c>
      <c r="AH152" s="294">
        <v>5420.9423236001312</v>
      </c>
      <c r="AI152" s="294"/>
      <c r="AJ152" s="294"/>
      <c r="AK152" s="294"/>
      <c r="AL152" s="294">
        <v>16703.424004183071</v>
      </c>
      <c r="AM152" s="294">
        <v>19343.130236641118</v>
      </c>
      <c r="AN152" s="294">
        <v>18078.518059179278</v>
      </c>
      <c r="AO152" s="294">
        <v>14711.282515467319</v>
      </c>
      <c r="AP152" s="294">
        <v>16218.292727064512</v>
      </c>
      <c r="AQ152" s="294">
        <v>19434.400015547773</v>
      </c>
      <c r="AR152" s="294">
        <v>17362.152710017079</v>
      </c>
      <c r="AS152" s="294">
        <v>18426.179668746314</v>
      </c>
      <c r="AT152" s="294">
        <v>22510.886220876895</v>
      </c>
      <c r="AU152" s="294">
        <v>27148.170451844882</v>
      </c>
      <c r="AV152" s="294">
        <v>35687.917656639693</v>
      </c>
      <c r="AW152" s="294">
        <v>43191.027887320735</v>
      </c>
      <c r="AX152" s="294">
        <v>46866.977441098767</v>
      </c>
      <c r="AY152" s="294">
        <v>57842.272825931366</v>
      </c>
      <c r="AZ152" s="294">
        <v>40022.634971578169</v>
      </c>
      <c r="BA152" s="294">
        <v>45436.790180785152</v>
      </c>
      <c r="BB152" s="294">
        <v>62664.103379069471</v>
      </c>
      <c r="BC152" s="298">
        <f t="shared" si="2"/>
        <v>62664.103379069471</v>
      </c>
    </row>
    <row r="153" spans="2:55">
      <c r="B153" s="72" t="s">
        <v>695</v>
      </c>
      <c r="C153" s="72" t="s">
        <v>696</v>
      </c>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v>608.94516305337947</v>
      </c>
      <c r="AH153" s="294">
        <v>575.95513337515308</v>
      </c>
      <c r="AI153" s="294">
        <v>513.03592151304429</v>
      </c>
      <c r="AJ153" s="294">
        <v>449.0657901887339</v>
      </c>
      <c r="AK153" s="294">
        <v>372.30781001683084</v>
      </c>
      <c r="AL153" s="294">
        <v>364.22649735078465</v>
      </c>
      <c r="AM153" s="294">
        <v>394.86012146051439</v>
      </c>
      <c r="AN153" s="294">
        <v>376.42961326109986</v>
      </c>
      <c r="AO153" s="294">
        <v>345.13813164845078</v>
      </c>
      <c r="AP153" s="294">
        <v>258.04933995910545</v>
      </c>
      <c r="AQ153" s="294">
        <v>279.62027499226787</v>
      </c>
      <c r="AR153" s="294">
        <v>308.40903138669466</v>
      </c>
      <c r="AS153" s="294">
        <v>321.72653804514169</v>
      </c>
      <c r="AT153" s="294">
        <v>380.50736243548067</v>
      </c>
      <c r="AU153" s="294">
        <v>433.23511893516621</v>
      </c>
      <c r="AV153" s="294">
        <v>476.4800976123073</v>
      </c>
      <c r="AW153" s="294">
        <v>543.11070240307208</v>
      </c>
      <c r="AX153" s="294">
        <v>721.76869083885708</v>
      </c>
      <c r="AY153" s="294">
        <v>966.39362718537234</v>
      </c>
      <c r="AZ153" s="294">
        <v>871.21829748441257</v>
      </c>
      <c r="BA153" s="294">
        <v>880.03851414418637</v>
      </c>
      <c r="BB153" s="294">
        <v>1074.7432283302055</v>
      </c>
      <c r="BC153" s="298">
        <f t="shared" si="2"/>
        <v>1074.7432283302055</v>
      </c>
    </row>
    <row r="154" spans="2:55">
      <c r="B154" s="72" t="s">
        <v>697</v>
      </c>
      <c r="C154" s="72" t="s">
        <v>698</v>
      </c>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v>494.87654465760033</v>
      </c>
      <c r="AB154" s="294">
        <v>648.80104729284562</v>
      </c>
      <c r="AC154" s="294">
        <v>474.0109884793282</v>
      </c>
      <c r="AD154" s="294">
        <v>282.14476759098329</v>
      </c>
      <c r="AE154" s="294">
        <v>151.14925766043359</v>
      </c>
      <c r="AF154" s="294">
        <v>175.19323435179402</v>
      </c>
      <c r="AG154" s="294">
        <v>206.45858357447761</v>
      </c>
      <c r="AH154" s="294">
        <v>238.40560809624267</v>
      </c>
      <c r="AI154" s="294">
        <v>254.3215954958834</v>
      </c>
      <c r="AJ154" s="294">
        <v>291.3508279271669</v>
      </c>
      <c r="AK154" s="294">
        <v>329.9727771166863</v>
      </c>
      <c r="AL154" s="294">
        <v>367.77791618296186</v>
      </c>
      <c r="AM154" s="294">
        <v>381.76177282903421</v>
      </c>
      <c r="AN154" s="294">
        <v>348.24786555848374</v>
      </c>
      <c r="AO154" s="294">
        <v>249.99347709114892</v>
      </c>
      <c r="AP154" s="294">
        <v>278.57746182989274</v>
      </c>
      <c r="AQ154" s="294">
        <v>325.59309514132281</v>
      </c>
      <c r="AR154" s="294">
        <v>326.98240576782808</v>
      </c>
      <c r="AS154" s="294">
        <v>319.86039861688982</v>
      </c>
      <c r="AT154" s="294">
        <v>362.47120353064588</v>
      </c>
      <c r="AU154" s="294">
        <v>417.57105231651343</v>
      </c>
      <c r="AV154" s="294">
        <v>475.47158720412278</v>
      </c>
      <c r="AW154" s="294">
        <v>591.09017851239537</v>
      </c>
      <c r="AX154" s="294">
        <v>711.96618153126258</v>
      </c>
      <c r="AY154" s="294">
        <v>904.00684499234774</v>
      </c>
      <c r="AZ154" s="294">
        <v>954.31061110742075</v>
      </c>
      <c r="BA154" s="294">
        <v>1158.1299651143668</v>
      </c>
      <c r="BB154" s="294">
        <v>1319.5954064794214</v>
      </c>
      <c r="BC154" s="298">
        <f t="shared" si="2"/>
        <v>1319.5954064794214</v>
      </c>
    </row>
    <row r="155" spans="2:55">
      <c r="B155" s="72" t="s">
        <v>699</v>
      </c>
      <c r="C155" s="72" t="s">
        <v>700</v>
      </c>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v>2176.1557327058867</v>
      </c>
      <c r="AE155" s="294">
        <v>2572.8965027835679</v>
      </c>
      <c r="AF155" s="294">
        <v>2883.5565613767963</v>
      </c>
      <c r="AG155" s="294">
        <v>2796.3126599863481</v>
      </c>
      <c r="AH155" s="294">
        <v>2549.0329341734923</v>
      </c>
      <c r="AI155" s="294">
        <v>1854.4108574765976</v>
      </c>
      <c r="AJ155" s="294">
        <v>1743.0674138712443</v>
      </c>
      <c r="AK155" s="294">
        <v>2007.6845353688584</v>
      </c>
      <c r="AL155" s="294">
        <v>2106.8820093678355</v>
      </c>
      <c r="AM155" s="294">
        <v>2273.0110598754304</v>
      </c>
      <c r="AN155" s="294">
        <v>2521.0069090765255</v>
      </c>
      <c r="AO155" s="294">
        <v>2745.6039480360851</v>
      </c>
      <c r="AP155" s="294">
        <v>3048.9769312218259</v>
      </c>
      <c r="AQ155" s="294">
        <v>3300.9346563048607</v>
      </c>
      <c r="AR155" s="294">
        <v>3529.9400909682395</v>
      </c>
      <c r="AS155" s="294">
        <v>3983.0191086839604</v>
      </c>
      <c r="AT155" s="294">
        <v>4810.669828664425</v>
      </c>
      <c r="AU155" s="294">
        <v>5950.1281963666952</v>
      </c>
      <c r="AV155" s="294">
        <v>6973.1609425495744</v>
      </c>
      <c r="AW155" s="294">
        <v>8713.067953124928</v>
      </c>
      <c r="AX155" s="294">
        <v>12638.147287751173</v>
      </c>
      <c r="AY155" s="294">
        <v>14857.886619207275</v>
      </c>
      <c r="AZ155" s="294">
        <v>11475.692334779411</v>
      </c>
      <c r="BA155" s="294">
        <v>10723.356263124922</v>
      </c>
      <c r="BB155" s="294">
        <v>12726.350834604531</v>
      </c>
      <c r="BC155" s="298">
        <f t="shared" si="2"/>
        <v>12726.350834604531</v>
      </c>
    </row>
    <row r="156" spans="2:55">
      <c r="B156" s="72" t="s">
        <v>701</v>
      </c>
      <c r="C156" s="72" t="s">
        <v>702</v>
      </c>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v>1148.6044214214057</v>
      </c>
      <c r="AF156" s="294">
        <v>936.30688869537948</v>
      </c>
      <c r="AG156" s="294">
        <v>962.7297362363089</v>
      </c>
      <c r="AH156" s="294">
        <v>1471.0534048784455</v>
      </c>
      <c r="AI156" s="294">
        <v>1771.4157378917855</v>
      </c>
      <c r="AJ156" s="294">
        <v>2318.6849138754978</v>
      </c>
      <c r="AK156" s="294">
        <v>2852.7305013598511</v>
      </c>
      <c r="AL156" s="294">
        <v>3384.0263750342606</v>
      </c>
      <c r="AM156" s="294">
        <v>3868.2359910227988</v>
      </c>
      <c r="AN156" s="294">
        <v>4378.7419876977838</v>
      </c>
      <c r="AO156" s="294">
        <v>4732.8128902885474</v>
      </c>
      <c r="AP156" s="294">
        <v>4712.9812759958886</v>
      </c>
      <c r="AQ156" s="294">
        <v>4612.1986715904441</v>
      </c>
      <c r="AR156" s="294">
        <v>4641.1258040978419</v>
      </c>
      <c r="AS156" s="294">
        <v>4950.812718810721</v>
      </c>
      <c r="AT156" s="294">
        <v>5103.1182533292267</v>
      </c>
      <c r="AU156" s="294">
        <v>5449.9314230236105</v>
      </c>
      <c r="AV156" s="294">
        <v>5394.4794758225789</v>
      </c>
      <c r="AW156" s="294">
        <v>5476.1951852553202</v>
      </c>
      <c r="AX156" s="294">
        <v>6059.8529816425862</v>
      </c>
      <c r="AY156" s="294">
        <v>7218.6742446269609</v>
      </c>
      <c r="AZ156" s="294">
        <v>8256.0945507748929</v>
      </c>
      <c r="BA156" s="294">
        <v>8781.4373293984117</v>
      </c>
      <c r="BB156" s="294">
        <v>9413.1289131249523</v>
      </c>
      <c r="BC156" s="298">
        <f t="shared" si="2"/>
        <v>9413.1289131249523</v>
      </c>
    </row>
    <row r="157" spans="2:55">
      <c r="B157" s="72" t="s">
        <v>703</v>
      </c>
      <c r="C157" s="72" t="s">
        <v>704</v>
      </c>
      <c r="D157" s="294">
        <v>41.218423438936405</v>
      </c>
      <c r="E157" s="294">
        <v>47.470802683568017</v>
      </c>
      <c r="F157" s="294">
        <v>52.3671823195209</v>
      </c>
      <c r="G157" s="294">
        <v>56.737214640012205</v>
      </c>
      <c r="H157" s="294">
        <v>58.802697556029507</v>
      </c>
      <c r="I157" s="294">
        <v>59.567953431995207</v>
      </c>
      <c r="J157" s="294">
        <v>61.020152200473525</v>
      </c>
      <c r="K157" s="294">
        <v>61.992816874110652</v>
      </c>
      <c r="L157" s="294">
        <v>65.206251036882819</v>
      </c>
      <c r="M157" s="294">
        <v>66.567840565086129</v>
      </c>
      <c r="N157" s="294">
        <v>72.561040306647115</v>
      </c>
      <c r="O157" s="294">
        <v>75.164265339270699</v>
      </c>
      <c r="P157" s="294">
        <v>110.2804436249391</v>
      </c>
      <c r="Q157" s="294">
        <v>134.39199409580701</v>
      </c>
      <c r="R157" s="294">
        <v>129.98769133447217</v>
      </c>
      <c r="S157" s="294">
        <v>125.22683030912397</v>
      </c>
      <c r="T157" s="294">
        <v>159.77837387689428</v>
      </c>
      <c r="U157" s="294">
        <v>214.56987670288143</v>
      </c>
      <c r="V157" s="294">
        <v>227.48764148131022</v>
      </c>
      <c r="W157" s="294">
        <v>329.35636958007547</v>
      </c>
      <c r="X157" s="294">
        <v>322.53709617373477</v>
      </c>
      <c r="Y157" s="294">
        <v>290.86563250190079</v>
      </c>
      <c r="Z157" s="294">
        <v>294.87000389960497</v>
      </c>
      <c r="AA157" s="294">
        <v>251.52573412863327</v>
      </c>
      <c r="AB157" s="294">
        <v>194.94981466428828</v>
      </c>
      <c r="AC157" s="294">
        <v>212.71641202001004</v>
      </c>
      <c r="AD157" s="294">
        <v>234.95547230793946</v>
      </c>
      <c r="AE157" s="294">
        <v>268.11212573662021</v>
      </c>
      <c r="AF157" s="294">
        <v>278.77820447020639</v>
      </c>
      <c r="AG157" s="294">
        <v>329.91016112717153</v>
      </c>
      <c r="AH157" s="294">
        <v>358.86611772405189</v>
      </c>
      <c r="AI157" s="294">
        <v>416.75625951073692</v>
      </c>
      <c r="AJ157" s="294">
        <v>408.04468037891439</v>
      </c>
      <c r="AK157" s="294">
        <v>419.0671863727984</v>
      </c>
      <c r="AL157" s="294">
        <v>453.7566876945109</v>
      </c>
      <c r="AM157" s="294">
        <v>435.20210916912839</v>
      </c>
      <c r="AN157" s="294">
        <v>449.09179526684267</v>
      </c>
      <c r="AO157" s="294">
        <v>420.90151524358458</v>
      </c>
      <c r="AP157" s="294">
        <v>404.87638072918628</v>
      </c>
      <c r="AQ157" s="294">
        <v>379.77562256525647</v>
      </c>
      <c r="AR157" s="294">
        <v>345.14332173071443</v>
      </c>
      <c r="AS157" s="294">
        <v>317.67079164890572</v>
      </c>
      <c r="AT157" s="294">
        <v>466.81833631920415</v>
      </c>
      <c r="AU157" s="294">
        <v>602.92823002873763</v>
      </c>
      <c r="AV157" s="294">
        <v>662.42477376008208</v>
      </c>
      <c r="AW157" s="294">
        <v>685.15436630623412</v>
      </c>
      <c r="AX157" s="294">
        <v>758.48368381669059</v>
      </c>
      <c r="AY157" s="294">
        <v>764.32985257694531</v>
      </c>
      <c r="AZ157" s="294">
        <v>796.27271505936267</v>
      </c>
      <c r="BA157" s="294">
        <v>1003.6995808693759</v>
      </c>
      <c r="BB157" s="294">
        <v>1105.9132385359908</v>
      </c>
      <c r="BC157" s="298">
        <f t="shared" si="2"/>
        <v>1105.9132385359908</v>
      </c>
    </row>
    <row r="158" spans="2:55">
      <c r="B158" s="72" t="s">
        <v>705</v>
      </c>
      <c r="C158" s="72" t="s">
        <v>706</v>
      </c>
      <c r="D158" s="294">
        <v>160.9511259607618</v>
      </c>
      <c r="E158" s="294">
        <v>163.88527967691346</v>
      </c>
      <c r="F158" s="294">
        <v>166.88791408460682</v>
      </c>
      <c r="G158" s="294">
        <v>177.98563621611689</v>
      </c>
      <c r="H158" s="294">
        <v>181.72872050762749</v>
      </c>
      <c r="I158" s="294">
        <v>188.86394904694802</v>
      </c>
      <c r="J158" s="294">
        <v>196.47956727331302</v>
      </c>
      <c r="K158" s="294">
        <v>202.94084803591667</v>
      </c>
      <c r="L158" s="294">
        <v>219.08990298177758</v>
      </c>
      <c r="M158" s="294">
        <v>224.4251509192687</v>
      </c>
      <c r="N158" s="294">
        <v>230.79868985039508</v>
      </c>
      <c r="O158" s="294">
        <v>241.92067509439295</v>
      </c>
      <c r="P158" s="294">
        <v>247.25713015097338</v>
      </c>
      <c r="Q158" s="294">
        <v>302.36751664416812</v>
      </c>
      <c r="R158" s="294">
        <v>348.34705311492178</v>
      </c>
      <c r="S158" s="294">
        <v>349.64083914870974</v>
      </c>
      <c r="T158" s="294">
        <v>383.3038264281829</v>
      </c>
      <c r="U158" s="294">
        <v>396.88730408529608</v>
      </c>
      <c r="V158" s="294">
        <v>437.08412523617488</v>
      </c>
      <c r="W158" s="294">
        <v>444.57503214504175</v>
      </c>
      <c r="X158" s="294">
        <v>425.61280205296214</v>
      </c>
      <c r="Y158" s="294">
        <v>419.49030509113203</v>
      </c>
      <c r="Z158" s="294">
        <v>387.20544003987857</v>
      </c>
      <c r="AA158" s="294">
        <v>389.30471476794139</v>
      </c>
      <c r="AB158" s="294">
        <v>384.93900770921573</v>
      </c>
      <c r="AC158" s="294">
        <v>378.58258086298872</v>
      </c>
      <c r="AD158" s="294">
        <v>439.64586092041816</v>
      </c>
      <c r="AE158" s="294">
        <v>474.14617840372159</v>
      </c>
      <c r="AF158" s="294">
        <v>364.15185915200738</v>
      </c>
      <c r="AG158" s="294">
        <v>180.71569810135688</v>
      </c>
      <c r="AH158" s="294">
        <v>166.39929615010365</v>
      </c>
      <c r="AI158" s="294">
        <v>108.80259217916257</v>
      </c>
      <c r="AJ158" s="294">
        <v>78.991781210494878</v>
      </c>
      <c r="AK158" s="294">
        <v>64.806399460371523</v>
      </c>
      <c r="AL158" s="294">
        <v>64.356239475869032</v>
      </c>
      <c r="AM158" s="294">
        <v>72.329317105066721</v>
      </c>
      <c r="AN158" s="294">
        <v>125.35421355799656</v>
      </c>
      <c r="AO158" s="294">
        <v>141.52827674222007</v>
      </c>
      <c r="AP158" s="294">
        <v>162.96792666602926</v>
      </c>
      <c r="AQ158" s="294">
        <v>185.81340385982008</v>
      </c>
      <c r="AR158" s="294">
        <v>175.21202356291931</v>
      </c>
      <c r="AS158" s="294">
        <v>178.90031046937602</v>
      </c>
      <c r="AT158" s="294">
        <v>134.65410685039839</v>
      </c>
      <c r="AU158" s="294">
        <v>150.99971837385468</v>
      </c>
      <c r="AV158" s="294">
        <v>170.30427592843401</v>
      </c>
      <c r="AW158" s="294">
        <v>182.27260134921698</v>
      </c>
      <c r="AX158" s="294">
        <v>212.52750419347922</v>
      </c>
      <c r="AY158" s="294">
        <v>232.5295342849177</v>
      </c>
      <c r="AZ158" s="294">
        <v>301.13858462208083</v>
      </c>
      <c r="BA158" s="294">
        <v>323.64972225907837</v>
      </c>
      <c r="BB158" s="294">
        <v>374.3332221925163</v>
      </c>
      <c r="BC158" s="298">
        <f t="shared" si="2"/>
        <v>374.3332221925163</v>
      </c>
    </row>
    <row r="159" spans="2:55">
      <c r="B159" s="72" t="s">
        <v>707</v>
      </c>
      <c r="C159" s="72" t="s">
        <v>708</v>
      </c>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v>6668.6287995199546</v>
      </c>
      <c r="AH159" s="294">
        <v>7235.0893278221374</v>
      </c>
      <c r="AI159" s="294">
        <v>7513.8078322637693</v>
      </c>
      <c r="AJ159" s="294">
        <v>6667.2157963827185</v>
      </c>
      <c r="AK159" s="294">
        <v>6104.097019241407</v>
      </c>
      <c r="AL159" s="294">
        <v>5348.9698525480853</v>
      </c>
      <c r="AM159" s="294">
        <v>5734.4306845352048</v>
      </c>
      <c r="AN159" s="294">
        <v>6200.8536881418004</v>
      </c>
      <c r="AO159" s="294">
        <v>5405.7280291526204</v>
      </c>
      <c r="AP159" s="294">
        <v>5937.3736241902834</v>
      </c>
      <c r="AQ159" s="294">
        <v>6479.7125224820993</v>
      </c>
      <c r="AR159" s="294">
        <v>5330.8317506785843</v>
      </c>
      <c r="AS159" s="294">
        <v>3651.3525650971287</v>
      </c>
      <c r="AT159" s="294">
        <v>4342.5790940437046</v>
      </c>
      <c r="AU159" s="294">
        <v>5905.8578230591656</v>
      </c>
      <c r="AV159" s="294">
        <v>7626.0345192452514</v>
      </c>
      <c r="AW159" s="294">
        <v>9583.7946987124305</v>
      </c>
      <c r="AX159" s="294">
        <v>11921.409074189551</v>
      </c>
      <c r="AY159" s="294">
        <v>15150.155922374721</v>
      </c>
      <c r="AZ159" s="294">
        <v>9957.4904063992035</v>
      </c>
      <c r="BA159" s="294"/>
      <c r="BB159" s="294"/>
      <c r="BC159" s="298">
        <f t="shared" si="2"/>
        <v>0</v>
      </c>
    </row>
    <row r="160" spans="2:55">
      <c r="B160" s="72" t="s">
        <v>709</v>
      </c>
      <c r="C160" s="72" t="s">
        <v>710</v>
      </c>
      <c r="D160" s="294"/>
      <c r="E160" s="294"/>
      <c r="F160" s="294"/>
      <c r="G160" s="294"/>
      <c r="H160" s="294"/>
      <c r="I160" s="294"/>
      <c r="J160" s="294"/>
      <c r="K160" s="294"/>
      <c r="L160" s="294"/>
      <c r="M160" s="294">
        <v>4218.5298611232811</v>
      </c>
      <c r="N160" s="294">
        <v>4811.6793355907794</v>
      </c>
      <c r="O160" s="294">
        <v>5628.954987628299</v>
      </c>
      <c r="P160" s="294">
        <v>7354.0244655474216</v>
      </c>
      <c r="Q160" s="294">
        <v>8462.632489587173</v>
      </c>
      <c r="R160" s="294">
        <v>10580.087174670207</v>
      </c>
      <c r="S160" s="294">
        <v>11514.445557039289</v>
      </c>
      <c r="T160" s="294">
        <v>12620.305448230754</v>
      </c>
      <c r="U160" s="294">
        <v>17879.853213905157</v>
      </c>
      <c r="V160" s="294">
        <v>20268.805124996597</v>
      </c>
      <c r="W160" s="294">
        <v>21207.284209440535</v>
      </c>
      <c r="X160" s="294">
        <v>19986.243638549033</v>
      </c>
      <c r="Y160" s="294">
        <v>20088.370932159309</v>
      </c>
      <c r="Z160" s="294">
        <v>19866.690993355922</v>
      </c>
      <c r="AA160" s="294">
        <v>18781.843752346078</v>
      </c>
      <c r="AB160" s="294">
        <v>19494.237746999959</v>
      </c>
      <c r="AC160" s="294">
        <v>28328.957398302493</v>
      </c>
      <c r="AD160" s="294">
        <v>37766.311475696537</v>
      </c>
      <c r="AE160" s="294">
        <v>41134.357930020291</v>
      </c>
      <c r="AF160" s="294">
        <v>39145.216575197694</v>
      </c>
      <c r="AG160" s="294">
        <v>49041.223390366795</v>
      </c>
      <c r="AH160" s="294">
        <v>50533.218936706864</v>
      </c>
      <c r="AI160" s="294">
        <v>54811.042244354037</v>
      </c>
      <c r="AJ160" s="294">
        <v>55484.699303358051</v>
      </c>
      <c r="AK160" s="294">
        <v>63770.627383298393</v>
      </c>
      <c r="AL160" s="294">
        <v>78488.890135870199</v>
      </c>
      <c r="AM160" s="294">
        <v>79928.913557842738</v>
      </c>
      <c r="AN160" s="294">
        <v>72481.569990060685</v>
      </c>
      <c r="AO160" s="294">
        <v>77273.249568787985</v>
      </c>
      <c r="AP160" s="294">
        <v>82048.226091426724</v>
      </c>
      <c r="AQ160" s="294">
        <v>75606.203199264972</v>
      </c>
      <c r="AR160" s="294">
        <v>74966.171027309349</v>
      </c>
      <c r="AS160" s="294">
        <v>79956.518315434485</v>
      </c>
      <c r="AT160" s="294">
        <v>90301.812370640371</v>
      </c>
      <c r="AU160" s="294">
        <v>100520.12980464745</v>
      </c>
      <c r="AV160" s="294">
        <v>105440.29218958475</v>
      </c>
      <c r="AW160" s="294">
        <v>113981.30715450927</v>
      </c>
      <c r="AX160" s="294">
        <v>130503.79752178372</v>
      </c>
      <c r="AY160" s="294">
        <v>138774.66610553456</v>
      </c>
      <c r="AZ160" s="294">
        <v>134914.67282690664</v>
      </c>
      <c r="BA160" s="294"/>
      <c r="BB160" s="294"/>
      <c r="BC160" s="298">
        <f t="shared" si="2"/>
        <v>0</v>
      </c>
    </row>
    <row r="161" spans="2:55">
      <c r="B161" s="72" t="s">
        <v>711</v>
      </c>
      <c r="C161" s="72" t="s">
        <v>712</v>
      </c>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v>2841.3075623662799</v>
      </c>
      <c r="AH161" s="294">
        <v>2777.1736244514873</v>
      </c>
      <c r="AI161" s="294">
        <v>2314.0668171004286</v>
      </c>
      <c r="AJ161" s="294">
        <v>2016.1222165754893</v>
      </c>
      <c r="AK161" s="294">
        <v>1902.7516963527512</v>
      </c>
      <c r="AL161" s="294">
        <v>2178.196091205959</v>
      </c>
      <c r="AM161" s="294">
        <v>2339.6739183249283</v>
      </c>
      <c r="AN161" s="294">
        <v>2833.0942282771261</v>
      </c>
      <c r="AO161" s="294">
        <v>3170.7524601114969</v>
      </c>
      <c r="AP161" s="294">
        <v>3113.1197722741767</v>
      </c>
      <c r="AQ161" s="294">
        <v>3267.3474426323946</v>
      </c>
      <c r="AR161" s="294">
        <v>3492.7334449394075</v>
      </c>
      <c r="AS161" s="294">
        <v>4082.9239945864133</v>
      </c>
      <c r="AT161" s="294">
        <v>5387.2627295074062</v>
      </c>
      <c r="AU161" s="294">
        <v>6564.0942284621533</v>
      </c>
      <c r="AV161" s="294">
        <v>7603.9667764800279</v>
      </c>
      <c r="AW161" s="294">
        <v>8864.9923007456146</v>
      </c>
      <c r="AX161" s="294">
        <v>11584.241182097367</v>
      </c>
      <c r="AY161" s="294">
        <v>14071.265108154375</v>
      </c>
      <c r="AZ161" s="294">
        <v>11033.58845641408</v>
      </c>
      <c r="BA161" s="294">
        <v>11046.051851366215</v>
      </c>
      <c r="BB161" s="294">
        <v>13339.183282751537</v>
      </c>
      <c r="BC161" s="298">
        <f t="shared" si="2"/>
        <v>13339.183282751537</v>
      </c>
    </row>
    <row r="162" spans="2:55">
      <c r="B162" s="72" t="s">
        <v>713</v>
      </c>
      <c r="C162" s="72" t="s">
        <v>714</v>
      </c>
      <c r="D162" s="294">
        <v>2222.3663663627735</v>
      </c>
      <c r="E162" s="294">
        <v>2311.7988489361937</v>
      </c>
      <c r="F162" s="294">
        <v>2441.0385553000779</v>
      </c>
      <c r="G162" s="294">
        <v>2755.6331165327915</v>
      </c>
      <c r="H162" s="294">
        <v>2780.0927188658402</v>
      </c>
      <c r="I162" s="294">
        <v>2900.4332184397813</v>
      </c>
      <c r="J162" s="294">
        <v>2909.6606293685777</v>
      </c>
      <c r="K162" s="294">
        <v>3175.36736882691</v>
      </c>
      <c r="L162" s="294">
        <v>3658.9006829688751</v>
      </c>
      <c r="M162" s="294">
        <v>4260.9911538651113</v>
      </c>
      <c r="N162" s="294">
        <v>4397.1722322215037</v>
      </c>
      <c r="O162" s="294">
        <v>5439.4342717520258</v>
      </c>
      <c r="P162" s="294">
        <v>7383.0295554282984</v>
      </c>
      <c r="Q162" s="294">
        <v>8889.4491863272779</v>
      </c>
      <c r="R162" s="294">
        <v>8626.3125294513338</v>
      </c>
      <c r="S162" s="294">
        <v>9408.8937663777415</v>
      </c>
      <c r="T162" s="294">
        <v>10395.959422833816</v>
      </c>
      <c r="U162" s="294">
        <v>12922.05054839371</v>
      </c>
      <c r="V162" s="294">
        <v>15073.292820243718</v>
      </c>
      <c r="W162" s="294">
        <v>16388.642932956584</v>
      </c>
      <c r="X162" s="294">
        <v>13717.874558815258</v>
      </c>
      <c r="Y162" s="294">
        <v>12482.461492395885</v>
      </c>
      <c r="Z162" s="294">
        <v>12267.385792390669</v>
      </c>
      <c r="AA162" s="294">
        <v>12022.423649719607</v>
      </c>
      <c r="AB162" s="294">
        <v>12374.390384617554</v>
      </c>
      <c r="AC162" s="294">
        <v>17993.445146359158</v>
      </c>
      <c r="AD162" s="294">
        <v>22250.001617706006</v>
      </c>
      <c r="AE162" s="294">
        <v>25002.002639204002</v>
      </c>
      <c r="AF162" s="294">
        <v>26388.662578272488</v>
      </c>
      <c r="AG162" s="294">
        <v>33177.054947252305</v>
      </c>
      <c r="AH162" s="294">
        <v>35439.248425125377</v>
      </c>
      <c r="AI162" s="294">
        <v>39229.820534940402</v>
      </c>
      <c r="AJ162" s="294">
        <v>39721.410773744276</v>
      </c>
      <c r="AK162" s="294">
        <v>43554.596876240823</v>
      </c>
      <c r="AL162" s="294">
        <v>50592.527739393277</v>
      </c>
      <c r="AM162" s="294">
        <v>49681.09866488634</v>
      </c>
      <c r="AN162" s="294">
        <v>44139.787625965713</v>
      </c>
      <c r="AO162" s="294">
        <v>45565.157901033708</v>
      </c>
      <c r="AP162" s="294">
        <v>49213.967093446685</v>
      </c>
      <c r="AQ162" s="294">
        <v>46453.245778644916</v>
      </c>
      <c r="AR162" s="294">
        <v>45743.430177110124</v>
      </c>
      <c r="AS162" s="294">
        <v>50582.828543318799</v>
      </c>
      <c r="AT162" s="294">
        <v>64531.98944440476</v>
      </c>
      <c r="AU162" s="294">
        <v>74388.708626917258</v>
      </c>
      <c r="AV162" s="294">
        <v>80925.219991003149</v>
      </c>
      <c r="AW162" s="294">
        <v>90015.527795914459</v>
      </c>
      <c r="AX162" s="294">
        <v>106919.53138988354</v>
      </c>
      <c r="AY162" s="294">
        <v>112028.52748754248</v>
      </c>
      <c r="AZ162" s="294">
        <v>100541.23732363179</v>
      </c>
      <c r="BA162" s="294">
        <v>103574.17125868722</v>
      </c>
      <c r="BB162" s="294">
        <v>114508.38168923276</v>
      </c>
      <c r="BC162" s="298">
        <f t="shared" si="2"/>
        <v>114508.38168923276</v>
      </c>
    </row>
    <row r="163" spans="2:55">
      <c r="B163" s="72" t="s">
        <v>715</v>
      </c>
      <c r="C163" s="72" t="s">
        <v>716</v>
      </c>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v>3915.6911245534939</v>
      </c>
      <c r="Z163" s="294">
        <v>3742.0561620482626</v>
      </c>
      <c r="AA163" s="294">
        <v>4169.3757824989962</v>
      </c>
      <c r="AB163" s="294">
        <v>4125.6973801037584</v>
      </c>
      <c r="AC163" s="294">
        <v>4450.2647629028215</v>
      </c>
      <c r="AD163" s="294">
        <v>5537.9095207261344</v>
      </c>
      <c r="AE163" s="294">
        <v>6212.9508023910694</v>
      </c>
      <c r="AF163" s="294">
        <v>7113.9550542181869</v>
      </c>
      <c r="AG163" s="294">
        <v>8312.7764829823191</v>
      </c>
      <c r="AH163" s="294">
        <v>9377.5697299806689</v>
      </c>
      <c r="AI163" s="294">
        <v>12123.195542397281</v>
      </c>
      <c r="AJ163" s="294">
        <v>13707.980505381252</v>
      </c>
      <c r="AK163" s="294">
        <v>14974.371432730555</v>
      </c>
      <c r="AL163" s="294">
        <v>16466.47621133702</v>
      </c>
      <c r="AM163" s="294">
        <v>16374.49280367</v>
      </c>
      <c r="AN163" s="294">
        <v>16237.812637612784</v>
      </c>
      <c r="AO163" s="294">
        <v>14820.213177031268</v>
      </c>
      <c r="AP163" s="294">
        <v>13945.483358086381</v>
      </c>
      <c r="AQ163" s="294">
        <v>14128.875183529555</v>
      </c>
      <c r="AR163" s="294">
        <v>14796.251094553052</v>
      </c>
      <c r="AS163" s="294">
        <v>15591.686554643513</v>
      </c>
      <c r="AT163" s="294">
        <v>17251.289591384626</v>
      </c>
      <c r="AU163" s="294">
        <v>21820.32616535337</v>
      </c>
      <c r="AV163" s="294">
        <v>24493.340940893129</v>
      </c>
      <c r="AW163" s="294">
        <v>29533.352334828101</v>
      </c>
      <c r="AX163" s="294">
        <v>35715.630123802839</v>
      </c>
      <c r="AY163" s="294">
        <v>39978.363854994859</v>
      </c>
      <c r="AZ163" s="294">
        <v>40120.953318144937</v>
      </c>
      <c r="BA163" s="294">
        <v>51998.907834466969</v>
      </c>
      <c r="BB163" s="294">
        <v>65550.498199836191</v>
      </c>
      <c r="BC163" s="298">
        <f t="shared" si="2"/>
        <v>65550.498199836191</v>
      </c>
    </row>
    <row r="164" spans="2:55">
      <c r="B164" s="72" t="s">
        <v>717</v>
      </c>
      <c r="C164" s="72" t="s">
        <v>718</v>
      </c>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v>2342.0648889483127</v>
      </c>
      <c r="AH164" s="294">
        <v>2441.6519084336419</v>
      </c>
      <c r="AI164" s="294">
        <v>1197.6738010316442</v>
      </c>
      <c r="AJ164" s="294">
        <v>1311.5972640832729</v>
      </c>
      <c r="AK164" s="294">
        <v>1730.5467326520202</v>
      </c>
      <c r="AL164" s="294">
        <v>2266.0615139007505</v>
      </c>
      <c r="AM164" s="294">
        <v>2241.0165439722982</v>
      </c>
      <c r="AN164" s="294">
        <v>1883.672971644492</v>
      </c>
      <c r="AO164" s="294">
        <v>1792.3288657864646</v>
      </c>
      <c r="AP164" s="294">
        <v>1835.5629363654991</v>
      </c>
      <c r="AQ164" s="294">
        <v>1785.3267915472495</v>
      </c>
      <c r="AR164" s="294">
        <v>1704.7785349316928</v>
      </c>
      <c r="AS164" s="294">
        <v>1874.7916349136897</v>
      </c>
      <c r="AT164" s="294">
        <v>2345.4862729913816</v>
      </c>
      <c r="AU164" s="294">
        <v>2712.3203457392938</v>
      </c>
      <c r="AV164" s="294">
        <v>2936.9425580133739</v>
      </c>
      <c r="AW164" s="294">
        <v>3211.0889334058479</v>
      </c>
      <c r="AX164" s="294">
        <v>3984.4416048995035</v>
      </c>
      <c r="AY164" s="294">
        <v>4791.1928761312256</v>
      </c>
      <c r="AZ164" s="294">
        <v>4528.2547359378077</v>
      </c>
      <c r="BA164" s="294">
        <v>4434.4889104900876</v>
      </c>
      <c r="BB164" s="294">
        <v>4925.3392584333878</v>
      </c>
      <c r="BC164" s="298">
        <f t="shared" si="2"/>
        <v>4925.3392584333878</v>
      </c>
    </row>
    <row r="165" spans="2:55">
      <c r="B165" s="72" t="s">
        <v>719</v>
      </c>
      <c r="C165" s="72" t="s">
        <v>720</v>
      </c>
      <c r="D165" s="294">
        <v>133.761694413958</v>
      </c>
      <c r="E165" s="294">
        <v>138.06681502868906</v>
      </c>
      <c r="F165" s="294">
        <v>138.39944645203735</v>
      </c>
      <c r="G165" s="294">
        <v>142.7101560519051</v>
      </c>
      <c r="H165" s="294">
        <v>144.60847881861423</v>
      </c>
      <c r="I165" s="294">
        <v>152.32913573044257</v>
      </c>
      <c r="J165" s="294">
        <v>157.81251190815084</v>
      </c>
      <c r="K165" s="294">
        <v>165.95028946069704</v>
      </c>
      <c r="L165" s="294">
        <v>165.59647054796915</v>
      </c>
      <c r="M165" s="294">
        <v>169.77749466845574</v>
      </c>
      <c r="N165" s="294">
        <v>178.34778444397506</v>
      </c>
      <c r="O165" s="294">
        <v>194.16958658869927</v>
      </c>
      <c r="P165" s="294">
        <v>232.82319067688505</v>
      </c>
      <c r="Q165" s="294">
        <v>262.75474461690487</v>
      </c>
      <c r="R165" s="294">
        <v>304.32147624437556</v>
      </c>
      <c r="S165" s="294">
        <v>282.84275373148813</v>
      </c>
      <c r="T165" s="294">
        <v>297.35186512675676</v>
      </c>
      <c r="U165" s="294">
        <v>327.28757484980781</v>
      </c>
      <c r="V165" s="294">
        <v>413.15932844719714</v>
      </c>
      <c r="W165" s="294">
        <v>469.52686776950338</v>
      </c>
      <c r="X165" s="294">
        <v>406.94125839196391</v>
      </c>
      <c r="Y165" s="294">
        <v>389.22403060085054</v>
      </c>
      <c r="Z165" s="294">
        <v>377.99984891473798</v>
      </c>
      <c r="AA165" s="294">
        <v>308.43910906029458</v>
      </c>
      <c r="AB165" s="294">
        <v>292.08160661346858</v>
      </c>
      <c r="AC165" s="294">
        <v>324.06136114937783</v>
      </c>
      <c r="AD165" s="294">
        <v>248.13337958952306</v>
      </c>
      <c r="AE165" s="294">
        <v>229.56321267087947</v>
      </c>
      <c r="AF165" s="294">
        <v>228.05695361818209</v>
      </c>
      <c r="AG165" s="294">
        <v>273.16569784720724</v>
      </c>
      <c r="AH165" s="294">
        <v>228.31136238741593</v>
      </c>
      <c r="AI165" s="294">
        <v>252.570271669167</v>
      </c>
      <c r="AJ165" s="294">
        <v>273.08650732857348</v>
      </c>
      <c r="AK165" s="294">
        <v>233.894839614342</v>
      </c>
      <c r="AL165" s="294">
        <v>240.67685847341889</v>
      </c>
      <c r="AM165" s="294">
        <v>294.89543900716848</v>
      </c>
      <c r="AN165" s="294">
        <v>253.60188214856916</v>
      </c>
      <c r="AO165" s="294">
        <v>259.07921846714544</v>
      </c>
      <c r="AP165" s="294">
        <v>249.62881724296392</v>
      </c>
      <c r="AQ165" s="294">
        <v>252.38251669773473</v>
      </c>
      <c r="AR165" s="294">
        <v>285.84232399013041</v>
      </c>
      <c r="AS165" s="294">
        <v>269.12683315637605</v>
      </c>
      <c r="AT165" s="294">
        <v>325.01327462223338</v>
      </c>
      <c r="AU165" s="294">
        <v>251.40893473471357</v>
      </c>
      <c r="AV165" s="294">
        <v>281.70562539327995</v>
      </c>
      <c r="AW165" s="294">
        <v>299.30304678246193</v>
      </c>
      <c r="AX165" s="294">
        <v>386.86893329616856</v>
      </c>
      <c r="AY165" s="294">
        <v>480.64880011789916</v>
      </c>
      <c r="AZ165" s="294">
        <v>421.78112621053987</v>
      </c>
      <c r="BA165" s="294">
        <v>426.62542274284709</v>
      </c>
      <c r="BB165" s="294">
        <v>465.01142482286639</v>
      </c>
      <c r="BC165" s="298">
        <f t="shared" si="2"/>
        <v>465.01142482286639</v>
      </c>
    </row>
    <row r="166" spans="2:55">
      <c r="B166" s="72" t="s">
        <v>721</v>
      </c>
      <c r="C166" s="72" t="s">
        <v>722</v>
      </c>
      <c r="D166" s="294">
        <v>48.392160733686481</v>
      </c>
      <c r="E166" s="294">
        <v>49.572023828201765</v>
      </c>
      <c r="F166" s="294">
        <v>50.425173766278839</v>
      </c>
      <c r="G166" s="294">
        <v>50.219068301868965</v>
      </c>
      <c r="H166" s="294">
        <v>57.730450814860916</v>
      </c>
      <c r="I166" s="294">
        <v>63.907396312242355</v>
      </c>
      <c r="J166" s="294">
        <v>64.573569408624607</v>
      </c>
      <c r="K166" s="294">
        <v>57.178504126658261</v>
      </c>
      <c r="L166" s="294">
        <v>60.344532720141714</v>
      </c>
      <c r="M166" s="294">
        <v>64.114359798147689</v>
      </c>
      <c r="N166" s="294">
        <v>78.277261352264262</v>
      </c>
      <c r="O166" s="294">
        <v>84.353560360524511</v>
      </c>
      <c r="P166" s="294">
        <v>89.411667180171065</v>
      </c>
      <c r="Q166" s="294">
        <v>106.89974467389777</v>
      </c>
      <c r="R166" s="294">
        <v>115.65691227301861</v>
      </c>
      <c r="S166" s="294">
        <v>122.29523866718091</v>
      </c>
      <c r="T166" s="294">
        <v>142.19355684790935</v>
      </c>
      <c r="U166" s="294">
        <v>161.83393410304865</v>
      </c>
      <c r="V166" s="294">
        <v>174.77945455115943</v>
      </c>
      <c r="W166" s="294">
        <v>198.34652845190234</v>
      </c>
      <c r="X166" s="294">
        <v>193.11366659304764</v>
      </c>
      <c r="Y166" s="294">
        <v>179.69168605153737</v>
      </c>
      <c r="Z166" s="294">
        <v>181.45377065458388</v>
      </c>
      <c r="AA166" s="294">
        <v>173.38292416408848</v>
      </c>
      <c r="AB166" s="294">
        <v>155.65629746071474</v>
      </c>
      <c r="AC166" s="294">
        <v>154.50600899115082</v>
      </c>
      <c r="AD166" s="294">
        <v>145.54895310628541</v>
      </c>
      <c r="AE166" s="294">
        <v>160.14709838602019</v>
      </c>
      <c r="AF166" s="294">
        <v>175.68911050037292</v>
      </c>
      <c r="AG166" s="294">
        <v>200.4909760479749</v>
      </c>
      <c r="AH166" s="294">
        <v>229.9254944045488</v>
      </c>
      <c r="AI166" s="294">
        <v>185.86861444090647</v>
      </c>
      <c r="AJ166" s="294">
        <v>212.99404111793939</v>
      </c>
      <c r="AK166" s="294">
        <v>120.93553844264056</v>
      </c>
      <c r="AL166" s="294">
        <v>141.39478244407843</v>
      </c>
      <c r="AM166" s="294">
        <v>226.50467362310948</v>
      </c>
      <c r="AN166" s="294">
        <v>258.08767517577019</v>
      </c>
      <c r="AO166" s="294">
        <v>164.95731009386205</v>
      </c>
      <c r="AP166" s="294">
        <v>162.59631487501565</v>
      </c>
      <c r="AQ166" s="294">
        <v>155.27154447436686</v>
      </c>
      <c r="AR166" s="294">
        <v>148.88124696949805</v>
      </c>
      <c r="AS166" s="294">
        <v>225.22910247006257</v>
      </c>
      <c r="AT166" s="294">
        <v>199.64328089302964</v>
      </c>
      <c r="AU166" s="294">
        <v>210.4682477494456</v>
      </c>
      <c r="AV166" s="294">
        <v>214.85491785725401</v>
      </c>
      <c r="AW166" s="294">
        <v>236.20401263905674</v>
      </c>
      <c r="AX166" s="294">
        <v>268.43099363109269</v>
      </c>
      <c r="AY166" s="294">
        <v>305.37202465212607</v>
      </c>
      <c r="AZ166" s="294">
        <v>348.32702669436225</v>
      </c>
      <c r="BA166" s="294">
        <v>362.30283811440489</v>
      </c>
      <c r="BB166" s="294">
        <v>365.45358615830372</v>
      </c>
      <c r="BC166" s="298">
        <f t="shared" si="2"/>
        <v>365.45358615830372</v>
      </c>
    </row>
    <row r="167" spans="2:55">
      <c r="B167" s="72" t="s">
        <v>723</v>
      </c>
      <c r="C167" s="72" t="s">
        <v>724</v>
      </c>
      <c r="D167" s="294">
        <v>287.4431034080207</v>
      </c>
      <c r="E167" s="294">
        <v>292.05886740523624</v>
      </c>
      <c r="F167" s="294">
        <v>300.98777572725982</v>
      </c>
      <c r="G167" s="294">
        <v>312.23849267885726</v>
      </c>
      <c r="H167" s="294">
        <v>333.12624558803236</v>
      </c>
      <c r="I167" s="294">
        <v>344.65234581912489</v>
      </c>
      <c r="J167" s="294">
        <v>347.68951083259714</v>
      </c>
      <c r="K167" s="294">
        <v>353.42478052910621</v>
      </c>
      <c r="L167" s="294">
        <v>380.67921772607411</v>
      </c>
      <c r="M167" s="294">
        <v>392.01823295603072</v>
      </c>
      <c r="N167" s="294">
        <v>403.67951680955457</v>
      </c>
      <c r="O167" s="294">
        <v>468.04844200249158</v>
      </c>
      <c r="P167" s="294">
        <v>694.09055766466213</v>
      </c>
      <c r="Q167" s="294">
        <v>839.84618083597991</v>
      </c>
      <c r="R167" s="294">
        <v>803.26251006116695</v>
      </c>
      <c r="S167" s="294">
        <v>932.8017850832739</v>
      </c>
      <c r="T167" s="294">
        <v>1084.035861302073</v>
      </c>
      <c r="U167" s="294">
        <v>1262.8201248172074</v>
      </c>
      <c r="V167" s="294">
        <v>1599.7658924305676</v>
      </c>
      <c r="W167" s="294">
        <v>1802.7753533688444</v>
      </c>
      <c r="X167" s="294">
        <v>1795.8605789046173</v>
      </c>
      <c r="Y167" s="294">
        <v>1876.4180169096155</v>
      </c>
      <c r="Z167" s="294">
        <v>2055.7080743193278</v>
      </c>
      <c r="AA167" s="294">
        <v>2254.499817527194</v>
      </c>
      <c r="AB167" s="294">
        <v>2015.6400741440746</v>
      </c>
      <c r="AC167" s="294">
        <v>1741.2335851581574</v>
      </c>
      <c r="AD167" s="294">
        <v>1926.846306107258</v>
      </c>
      <c r="AE167" s="294">
        <v>2050.6828255857777</v>
      </c>
      <c r="AF167" s="294">
        <v>2194.2343519850747</v>
      </c>
      <c r="AG167" s="294">
        <v>2417.7734776375455</v>
      </c>
      <c r="AH167" s="294">
        <v>2626.3868699851805</v>
      </c>
      <c r="AI167" s="294">
        <v>3080.1406441740573</v>
      </c>
      <c r="AJ167" s="294">
        <v>3395.4396858815599</v>
      </c>
      <c r="AK167" s="294">
        <v>3686.1753058243476</v>
      </c>
      <c r="AL167" s="294">
        <v>4287.1129319627853</v>
      </c>
      <c r="AM167" s="294">
        <v>4746.6136721857019</v>
      </c>
      <c r="AN167" s="294">
        <v>4598.8041417713976</v>
      </c>
      <c r="AO167" s="294">
        <v>3233.306235410882</v>
      </c>
      <c r="AP167" s="294">
        <v>3461.1452010200874</v>
      </c>
      <c r="AQ167" s="294">
        <v>4005.556324908428</v>
      </c>
      <c r="AR167" s="294">
        <v>3871.7051844225307</v>
      </c>
      <c r="AS167" s="294">
        <v>4113.5711863061924</v>
      </c>
      <c r="AT167" s="294">
        <v>4397.5083511379107</v>
      </c>
      <c r="AU167" s="294">
        <v>4874.8442899471347</v>
      </c>
      <c r="AV167" s="294">
        <v>5499.2935918462254</v>
      </c>
      <c r="AW167" s="294">
        <v>6119.443660252321</v>
      </c>
      <c r="AX167" s="294">
        <v>7155.0157938302882</v>
      </c>
      <c r="AY167" s="294">
        <v>8398.936503238283</v>
      </c>
      <c r="AZ167" s="294">
        <v>7236.3522971046796</v>
      </c>
      <c r="BA167" s="294">
        <v>8690.570239124967</v>
      </c>
      <c r="BB167" s="294">
        <v>9977.3185180985074</v>
      </c>
      <c r="BC167" s="298">
        <f t="shared" si="2"/>
        <v>9977.3185180985074</v>
      </c>
    </row>
    <row r="168" spans="2:55">
      <c r="B168" s="72" t="s">
        <v>725</v>
      </c>
      <c r="C168" s="72" t="s">
        <v>726</v>
      </c>
      <c r="D168" s="294"/>
      <c r="E168" s="294"/>
      <c r="F168" s="294"/>
      <c r="G168" s="294"/>
      <c r="H168" s="294"/>
      <c r="I168" s="294"/>
      <c r="J168" s="294"/>
      <c r="K168" s="294"/>
      <c r="L168" s="294"/>
      <c r="M168" s="294"/>
      <c r="N168" s="294"/>
      <c r="O168" s="294"/>
      <c r="P168" s="294"/>
      <c r="Q168" s="294"/>
      <c r="R168" s="294"/>
      <c r="S168" s="294"/>
      <c r="T168" s="294"/>
      <c r="U168" s="294"/>
      <c r="V168" s="294"/>
      <c r="W168" s="294">
        <v>271.11447753846994</v>
      </c>
      <c r="X168" s="294">
        <v>276.54653496638929</v>
      </c>
      <c r="Y168" s="294">
        <v>285.82920190798518</v>
      </c>
      <c r="Z168" s="294">
        <v>332.62081337414691</v>
      </c>
      <c r="AA168" s="294">
        <v>607.54971814651071</v>
      </c>
      <c r="AB168" s="294">
        <v>680.992553435437</v>
      </c>
      <c r="AC168" s="294">
        <v>734.19789368567001</v>
      </c>
      <c r="AD168" s="294">
        <v>706.70532210038834</v>
      </c>
      <c r="AE168" s="294">
        <v>816.42865341178617</v>
      </c>
      <c r="AF168" s="294">
        <v>889.55773644012686</v>
      </c>
      <c r="AG168" s="294">
        <v>980.02043629588047</v>
      </c>
      <c r="AH168" s="294">
        <v>1083.1127366783196</v>
      </c>
      <c r="AI168" s="294">
        <v>1229.1088841797746</v>
      </c>
      <c r="AJ168" s="294">
        <v>1356.5593559748759</v>
      </c>
      <c r="AK168" s="294">
        <v>1463.0035151810014</v>
      </c>
      <c r="AL168" s="294">
        <v>1604.2207652636923</v>
      </c>
      <c r="AM168" s="294">
        <v>1773.4380530493834</v>
      </c>
      <c r="AN168" s="294">
        <v>1962.2381419006308</v>
      </c>
      <c r="AO168" s="294">
        <v>2046.8508762745003</v>
      </c>
      <c r="AP168" s="294">
        <v>2193.7444415835657</v>
      </c>
      <c r="AQ168" s="294">
        <v>2284.9739550622417</v>
      </c>
      <c r="AR168" s="294">
        <v>2888.6566175920611</v>
      </c>
      <c r="AS168" s="294">
        <v>2934.2612553407071</v>
      </c>
      <c r="AT168" s="294">
        <v>3313.5094535433345</v>
      </c>
      <c r="AU168" s="294">
        <v>3696.4045768210372</v>
      </c>
      <c r="AV168" s="294">
        <v>3361.5924756130607</v>
      </c>
      <c r="AW168" s="294">
        <v>4353.0136698071929</v>
      </c>
      <c r="AX168" s="294">
        <v>5079.9948688636387</v>
      </c>
      <c r="AY168" s="294">
        <v>6149.0118469470017</v>
      </c>
      <c r="AZ168" s="294">
        <v>6229.6704935859807</v>
      </c>
      <c r="BA168" s="294">
        <v>6570.4291118603287</v>
      </c>
      <c r="BB168" s="294">
        <v>6405.0530573545229</v>
      </c>
      <c r="BC168" s="298">
        <f t="shared" si="2"/>
        <v>6405.0530573545229</v>
      </c>
    </row>
    <row r="169" spans="2:55">
      <c r="B169" s="72" t="s">
        <v>727</v>
      </c>
      <c r="C169" s="72" t="s">
        <v>728</v>
      </c>
      <c r="D169" s="294"/>
      <c r="E169" s="294"/>
      <c r="F169" s="294"/>
      <c r="G169" s="294"/>
      <c r="H169" s="294"/>
      <c r="I169" s="294"/>
      <c r="J169" s="294">
        <v>47.682164715480347</v>
      </c>
      <c r="K169" s="294">
        <v>58.991482496957232</v>
      </c>
      <c r="L169" s="294">
        <v>57.316804172497875</v>
      </c>
      <c r="M169" s="294">
        <v>59.623991037785167</v>
      </c>
      <c r="N169" s="294">
        <v>70.066267520093646</v>
      </c>
      <c r="O169" s="294">
        <v>77.729215165826133</v>
      </c>
      <c r="P169" s="294">
        <v>88.563699764808135</v>
      </c>
      <c r="Q169" s="294">
        <v>83.094475209308442</v>
      </c>
      <c r="R169" s="294">
        <v>125.78460620191606</v>
      </c>
      <c r="S169" s="294">
        <v>139.64633535201045</v>
      </c>
      <c r="T169" s="294">
        <v>153.29429240144515</v>
      </c>
      <c r="U169" s="294">
        <v>175.31252883049396</v>
      </c>
      <c r="V169" s="294">
        <v>224.51057690394256</v>
      </c>
      <c r="W169" s="294">
        <v>246.67981096858</v>
      </c>
      <c r="X169" s="294">
        <v>201.98966426501593</v>
      </c>
      <c r="Y169" s="294">
        <v>175.75801233071488</v>
      </c>
      <c r="Z169" s="294">
        <v>167.84177735614679</v>
      </c>
      <c r="AA169" s="294">
        <v>166.6987904696368</v>
      </c>
      <c r="AB169" s="294">
        <v>164.01238081718296</v>
      </c>
      <c r="AC169" s="294">
        <v>206.20830614349785</v>
      </c>
      <c r="AD169" s="294">
        <v>233.88369094243092</v>
      </c>
      <c r="AE169" s="294">
        <v>232.47144563719348</v>
      </c>
      <c r="AF169" s="294">
        <v>235.84088396968562</v>
      </c>
      <c r="AG169" s="294">
        <v>279.16710324134783</v>
      </c>
      <c r="AH169" s="294">
        <v>273.41713168856643</v>
      </c>
      <c r="AI169" s="294">
        <v>313.61716986788559</v>
      </c>
      <c r="AJ169" s="294">
        <v>287.55279594268939</v>
      </c>
      <c r="AK169" s="294">
        <v>184.30315293894472</v>
      </c>
      <c r="AL169" s="294">
        <v>251.02040389887381</v>
      </c>
      <c r="AM169" s="294">
        <v>259.50292579890231</v>
      </c>
      <c r="AN169" s="294">
        <v>238.65608952351249</v>
      </c>
      <c r="AO169" s="294">
        <v>243.54813661235315</v>
      </c>
      <c r="AP169" s="294">
        <v>234.32000629526118</v>
      </c>
      <c r="AQ169" s="294">
        <v>214.46659179259967</v>
      </c>
      <c r="AR169" s="294">
        <v>225.92606088752441</v>
      </c>
      <c r="AS169" s="294">
        <v>278.52417242316017</v>
      </c>
      <c r="AT169" s="294">
        <v>352.37525004303552</v>
      </c>
      <c r="AU169" s="294">
        <v>381.622700892517</v>
      </c>
      <c r="AV169" s="294">
        <v>402.63057852081721</v>
      </c>
      <c r="AW169" s="294">
        <v>431.55916380194753</v>
      </c>
      <c r="AX169" s="294">
        <v>509.69217953018091</v>
      </c>
      <c r="AY169" s="294">
        <v>604.29370162200246</v>
      </c>
      <c r="AZ169" s="294">
        <v>601.26090409556275</v>
      </c>
      <c r="BA169" s="294">
        <v>613.04452897790088</v>
      </c>
      <c r="BB169" s="294">
        <v>668.57539355549238</v>
      </c>
      <c r="BC169" s="298">
        <f t="shared" si="2"/>
        <v>668.57539355549238</v>
      </c>
    </row>
    <row r="170" spans="2:55">
      <c r="B170" s="72" t="s">
        <v>729</v>
      </c>
      <c r="C170" s="72" t="s">
        <v>730</v>
      </c>
      <c r="D170" s="294"/>
      <c r="E170" s="294"/>
      <c r="F170" s="294"/>
      <c r="G170" s="294"/>
      <c r="H170" s="294"/>
      <c r="I170" s="294"/>
      <c r="J170" s="294"/>
      <c r="K170" s="294"/>
      <c r="L170" s="294"/>
      <c r="M170" s="294">
        <v>828.44483433707899</v>
      </c>
      <c r="N170" s="294">
        <v>874.06114610909287</v>
      </c>
      <c r="O170" s="294">
        <v>975.72086299377156</v>
      </c>
      <c r="P170" s="294">
        <v>1143.6666760870494</v>
      </c>
      <c r="Q170" s="294">
        <v>1245.3184208317473</v>
      </c>
      <c r="R170" s="294">
        <v>1560.1050965826223</v>
      </c>
      <c r="S170" s="294">
        <v>1726.5591345249459</v>
      </c>
      <c r="T170" s="294">
        <v>2037.8647666015936</v>
      </c>
      <c r="U170" s="294">
        <v>2558.7354342813364</v>
      </c>
      <c r="V170" s="294">
        <v>3195.5123956826096</v>
      </c>
      <c r="W170" s="294">
        <v>3948.2671648639343</v>
      </c>
      <c r="X170" s="294">
        <v>3898.3699967232888</v>
      </c>
      <c r="Y170" s="294">
        <v>3787.9175142046147</v>
      </c>
      <c r="Z170" s="294">
        <v>3526.9153612874784</v>
      </c>
      <c r="AA170" s="294">
        <v>3332.8210243691519</v>
      </c>
      <c r="AB170" s="294">
        <v>3322.308159395976</v>
      </c>
      <c r="AC170" s="294">
        <v>4194.5336223800168</v>
      </c>
      <c r="AD170" s="294">
        <v>5083.8010817702771</v>
      </c>
      <c r="AE170" s="294">
        <v>5814.4498416010056</v>
      </c>
      <c r="AF170" s="294">
        <v>6040.8394672581626</v>
      </c>
      <c r="AG170" s="294">
        <v>7192.3942853549997</v>
      </c>
      <c r="AH170" s="294">
        <v>7688.0275070728339</v>
      </c>
      <c r="AI170" s="294">
        <v>8365.0130995209947</v>
      </c>
      <c r="AJ170" s="294">
        <v>7428.475601288691</v>
      </c>
      <c r="AK170" s="294">
        <v>8149.4163242972809</v>
      </c>
      <c r="AL170" s="294">
        <v>9717.5019381882466</v>
      </c>
      <c r="AM170" s="294">
        <v>9852.310010759169</v>
      </c>
      <c r="AN170" s="294">
        <v>9683.1454079746618</v>
      </c>
      <c r="AO170" s="294">
        <v>10091.279796991643</v>
      </c>
      <c r="AP170" s="294">
        <v>10301.423285188583</v>
      </c>
      <c r="AQ170" s="294">
        <v>10377.037318248616</v>
      </c>
      <c r="AR170" s="294">
        <v>9967.7904065929379</v>
      </c>
      <c r="AS170" s="294">
        <v>10849.750279142085</v>
      </c>
      <c r="AT170" s="294">
        <v>12844.58798771769</v>
      </c>
      <c r="AU170" s="294">
        <v>14064.229597013489</v>
      </c>
      <c r="AV170" s="294">
        <v>14809.925182043818</v>
      </c>
      <c r="AW170" s="294">
        <v>15723.419790305323</v>
      </c>
      <c r="AX170" s="294">
        <v>18368.988386766814</v>
      </c>
      <c r="AY170" s="294">
        <v>20765.368921196128</v>
      </c>
      <c r="AZ170" s="294">
        <v>19564.195745743928</v>
      </c>
      <c r="BA170" s="294">
        <v>19624.853807383861</v>
      </c>
      <c r="BB170" s="294">
        <v>21209.002729004478</v>
      </c>
      <c r="BC170" s="298">
        <f t="shared" si="2"/>
        <v>21209.002729004478</v>
      </c>
    </row>
    <row r="171" spans="2:55">
      <c r="B171" s="72" t="s">
        <v>731</v>
      </c>
      <c r="C171" s="72" t="s">
        <v>732</v>
      </c>
      <c r="D171" s="294"/>
      <c r="E171" s="294"/>
      <c r="F171" s="294"/>
      <c r="G171" s="294"/>
      <c r="H171" s="294"/>
      <c r="I171" s="294"/>
      <c r="J171" s="294"/>
      <c r="K171" s="294"/>
      <c r="L171" s="294"/>
      <c r="M171" s="294"/>
      <c r="N171" s="294"/>
      <c r="O171" s="294"/>
      <c r="P171" s="294"/>
      <c r="Q171" s="294"/>
      <c r="R171" s="294"/>
      <c r="S171" s="294"/>
      <c r="T171" s="294"/>
      <c r="U171" s="294"/>
      <c r="V171" s="294"/>
      <c r="W171" s="294"/>
      <c r="X171" s="294">
        <v>972.68821924680947</v>
      </c>
      <c r="Y171" s="294">
        <v>1047.6447644764476</v>
      </c>
      <c r="Z171" s="294">
        <v>1196.5892805961594</v>
      </c>
      <c r="AA171" s="294">
        <v>1234.7245774301186</v>
      </c>
      <c r="AB171" s="294">
        <v>1144.8587157878258</v>
      </c>
      <c r="AC171" s="294">
        <v>1392.8997910239825</v>
      </c>
      <c r="AD171" s="294">
        <v>1494.6131941148553</v>
      </c>
      <c r="AE171" s="294">
        <v>1604.5762019339902</v>
      </c>
      <c r="AF171" s="294">
        <v>1589.4065761320467</v>
      </c>
      <c r="AG171" s="294">
        <v>1659.5330739299611</v>
      </c>
      <c r="AH171" s="294">
        <v>1702.2633023169449</v>
      </c>
      <c r="AI171" s="294">
        <v>1844.5380704490672</v>
      </c>
      <c r="AJ171" s="294">
        <v>1987.6298960831334</v>
      </c>
      <c r="AK171" s="294">
        <v>2137.2688618609709</v>
      </c>
      <c r="AL171" s="294">
        <v>2357.0812421580927</v>
      </c>
      <c r="AM171" s="294">
        <v>2157.2320924711512</v>
      </c>
      <c r="AN171" s="294">
        <v>2056.0014959483983</v>
      </c>
      <c r="AO171" s="294">
        <v>2093.2422105253477</v>
      </c>
      <c r="AP171" s="294">
        <v>2073.3274412306523</v>
      </c>
      <c r="AQ171" s="294">
        <v>2127.4854619357743</v>
      </c>
      <c r="AR171" s="294">
        <v>2208.8995556829695</v>
      </c>
      <c r="AS171" s="294">
        <v>2395.7106730958294</v>
      </c>
      <c r="AT171" s="294">
        <v>2440.5213388936509</v>
      </c>
      <c r="AU171" s="294">
        <v>2522.828770389729</v>
      </c>
      <c r="AV171" s="294">
        <v>2643.4426037540225</v>
      </c>
      <c r="AW171" s="294">
        <v>2745.6815010933637</v>
      </c>
      <c r="AX171" s="294">
        <v>2852.8781878312011</v>
      </c>
      <c r="AY171" s="294">
        <v>2885.1316783179145</v>
      </c>
      <c r="AZ171" s="294">
        <v>2838.4294400616741</v>
      </c>
      <c r="BA171" s="294">
        <v>3015.2087384454771</v>
      </c>
      <c r="BB171" s="294">
        <v>3168.7828371278461</v>
      </c>
      <c r="BC171" s="298">
        <f t="shared" si="2"/>
        <v>3168.7828371278461</v>
      </c>
    </row>
    <row r="172" spans="2:55">
      <c r="B172" s="72" t="s">
        <v>733</v>
      </c>
      <c r="C172" s="72" t="s">
        <v>734</v>
      </c>
      <c r="D172" s="294">
        <v>122.61271336006227</v>
      </c>
      <c r="E172" s="294">
        <v>122.98285786611682</v>
      </c>
      <c r="F172" s="294">
        <v>122.40170739935073</v>
      </c>
      <c r="G172" s="294">
        <v>158.82694652919321</v>
      </c>
      <c r="H172" s="294">
        <v>175.61694886762302</v>
      </c>
      <c r="I172" s="294">
        <v>178.21983775279108</v>
      </c>
      <c r="J172" s="294">
        <v>183.72717872628672</v>
      </c>
      <c r="K172" s="294">
        <v>196.80378888869038</v>
      </c>
      <c r="L172" s="294">
        <v>181.25396077641625</v>
      </c>
      <c r="M172" s="294">
        <v>184.68553186493432</v>
      </c>
      <c r="N172" s="294">
        <v>194.57911001744185</v>
      </c>
      <c r="O172" s="294">
        <v>220.57243240473966</v>
      </c>
      <c r="P172" s="294">
        <v>269.73855978590234</v>
      </c>
      <c r="Q172" s="294">
        <v>325.52866702238538</v>
      </c>
      <c r="R172" s="294">
        <v>362.70475386332794</v>
      </c>
      <c r="S172" s="294">
        <v>388.11481652228633</v>
      </c>
      <c r="T172" s="294">
        <v>388.59379383399715</v>
      </c>
      <c r="U172" s="294">
        <v>380.0770207973739</v>
      </c>
      <c r="V172" s="294">
        <v>436.77721068226475</v>
      </c>
      <c r="W172" s="294">
        <v>467.1455463306865</v>
      </c>
      <c r="X172" s="294">
        <v>478.82569151654627</v>
      </c>
      <c r="Y172" s="294">
        <v>466.68098031662032</v>
      </c>
      <c r="Z172" s="294">
        <v>476.69807400893563</v>
      </c>
      <c r="AA172" s="294">
        <v>427.4497690540806</v>
      </c>
      <c r="AB172" s="294">
        <v>390.87918567061547</v>
      </c>
      <c r="AC172" s="294">
        <v>447.20743993597586</v>
      </c>
      <c r="AD172" s="294">
        <v>493.56853876844019</v>
      </c>
      <c r="AE172" s="294">
        <v>505.92577363458622</v>
      </c>
      <c r="AF172" s="294">
        <v>505.18781233338609</v>
      </c>
      <c r="AG172" s="294">
        <v>510.93773257054596</v>
      </c>
      <c r="AH172" s="294">
        <v>704.08185113463674</v>
      </c>
      <c r="AI172" s="294">
        <v>694.81844634602089</v>
      </c>
      <c r="AJ172" s="294">
        <v>576.82279499019671</v>
      </c>
      <c r="AK172" s="294">
        <v>590.51399226275896</v>
      </c>
      <c r="AL172" s="294">
        <v>617.47989474481778</v>
      </c>
      <c r="AM172" s="294">
        <v>611.8725413588769</v>
      </c>
      <c r="AN172" s="294">
        <v>578.03327743333023</v>
      </c>
      <c r="AO172" s="294">
        <v>551.07813520205684</v>
      </c>
      <c r="AP172" s="294">
        <v>547.43160543568274</v>
      </c>
      <c r="AQ172" s="294">
        <v>489.5116449916402</v>
      </c>
      <c r="AR172" s="294">
        <v>476.23604795438968</v>
      </c>
      <c r="AS172" s="294">
        <v>472.95248936825368</v>
      </c>
      <c r="AT172" s="294">
        <v>542.35635886205137</v>
      </c>
      <c r="AU172" s="294">
        <v>618.46152910072908</v>
      </c>
      <c r="AV172" s="294">
        <v>716.85800830485243</v>
      </c>
      <c r="AW172" s="294">
        <v>971.48829763609979</v>
      </c>
      <c r="AX172" s="294">
        <v>1044.8494379653691</v>
      </c>
      <c r="AY172" s="294">
        <v>1088.0145475101992</v>
      </c>
      <c r="AZ172" s="294">
        <v>896.19647845273141</v>
      </c>
      <c r="BA172" s="294">
        <v>1044.5479600443111</v>
      </c>
      <c r="BB172" s="294">
        <v>1150.8199971682891</v>
      </c>
      <c r="BC172" s="298">
        <f t="shared" si="2"/>
        <v>1150.8199971682891</v>
      </c>
    </row>
    <row r="173" spans="2:55">
      <c r="B173" s="72" t="s">
        <v>735</v>
      </c>
      <c r="C173" s="72" t="s">
        <v>736</v>
      </c>
      <c r="D173" s="294"/>
      <c r="E173" s="294"/>
      <c r="F173" s="294"/>
      <c r="G173" s="294"/>
      <c r="H173" s="294"/>
      <c r="I173" s="294"/>
      <c r="J173" s="294"/>
      <c r="K173" s="294"/>
      <c r="L173" s="294"/>
      <c r="M173" s="294"/>
      <c r="N173" s="294"/>
      <c r="O173" s="294"/>
      <c r="P173" s="294"/>
      <c r="Q173" s="294"/>
      <c r="R173" s="294"/>
      <c r="S173" s="294">
        <v>779.90404009518784</v>
      </c>
      <c r="T173" s="294">
        <v>897.66909251336676</v>
      </c>
      <c r="U173" s="294">
        <v>1088.8473418731214</v>
      </c>
      <c r="V173" s="294">
        <v>1278.3301046095651</v>
      </c>
      <c r="W173" s="294">
        <v>1176.5468233587067</v>
      </c>
      <c r="X173" s="294">
        <v>1171.6360426372019</v>
      </c>
      <c r="Y173" s="294">
        <v>1093.0411007252671</v>
      </c>
      <c r="Z173" s="294">
        <v>1093.9779487184232</v>
      </c>
      <c r="AA173" s="294">
        <v>1035.3660460292265</v>
      </c>
      <c r="AB173" s="294">
        <v>1063.625199097529</v>
      </c>
      <c r="AC173" s="294">
        <v>1433.6677383050201</v>
      </c>
      <c r="AD173" s="294">
        <v>1828.8394274633038</v>
      </c>
      <c r="AE173" s="294">
        <v>2059.3743054935017</v>
      </c>
      <c r="AF173" s="294">
        <v>2088.9101178021374</v>
      </c>
      <c r="AG173" s="294">
        <v>2506.184932712983</v>
      </c>
      <c r="AH173" s="294">
        <v>2669.3262815884846</v>
      </c>
      <c r="AI173" s="294">
        <v>2973.2053880177159</v>
      </c>
      <c r="AJ173" s="294">
        <v>2973.7936089484378</v>
      </c>
      <c r="AK173" s="294">
        <v>3197.3369560051929</v>
      </c>
      <c r="AL173" s="294">
        <v>3599.5517508175471</v>
      </c>
      <c r="AM173" s="294">
        <v>3899.4424332067292</v>
      </c>
      <c r="AN173" s="294">
        <v>3646.6378419097337</v>
      </c>
      <c r="AO173" s="294">
        <v>3593.2415685611222</v>
      </c>
      <c r="AP173" s="294">
        <v>3651.2310783088847</v>
      </c>
      <c r="AQ173" s="294">
        <v>3861.0385424077781</v>
      </c>
      <c r="AR173" s="294">
        <v>3780.8288480751712</v>
      </c>
      <c r="AS173" s="294">
        <v>3939.2818626440599</v>
      </c>
      <c r="AT173" s="294">
        <v>4587.6561083958986</v>
      </c>
      <c r="AU173" s="294">
        <v>5177.3664653444785</v>
      </c>
      <c r="AV173" s="294">
        <v>5054.3181116290625</v>
      </c>
      <c r="AW173" s="294">
        <v>5194.4671409688608</v>
      </c>
      <c r="AX173" s="294">
        <v>6182.1973286412931</v>
      </c>
      <c r="AY173" s="294">
        <v>7599.9762426449952</v>
      </c>
      <c r="AZ173" s="294">
        <v>6928.9615831244</v>
      </c>
      <c r="BA173" s="294">
        <v>7577.1062464634551</v>
      </c>
      <c r="BB173" s="294">
        <v>8755.3730766032713</v>
      </c>
      <c r="BC173" s="298">
        <f t="shared" si="2"/>
        <v>8755.3730766032713</v>
      </c>
    </row>
    <row r="174" spans="2:55">
      <c r="B174" s="72" t="s">
        <v>737</v>
      </c>
      <c r="C174" s="72" t="s">
        <v>738</v>
      </c>
      <c r="D174" s="294">
        <v>356.66538283907977</v>
      </c>
      <c r="E174" s="294">
        <v>371.54650641415651</v>
      </c>
      <c r="F174" s="294">
        <v>400.72555213842594</v>
      </c>
      <c r="G174" s="294">
        <v>460.59159853360995</v>
      </c>
      <c r="H174" s="294">
        <v>486.20219780257253</v>
      </c>
      <c r="I174" s="294">
        <v>526.43848899245575</v>
      </c>
      <c r="J174" s="294">
        <v>558.23294466154266</v>
      </c>
      <c r="K174" s="294">
        <v>599.94537481889859</v>
      </c>
      <c r="L174" s="294">
        <v>645.53474655274374</v>
      </c>
      <c r="M174" s="294">
        <v>685.22946553783299</v>
      </c>
      <c r="N174" s="294">
        <v>733.52272045687835</v>
      </c>
      <c r="O174" s="294">
        <v>820.2094091374953</v>
      </c>
      <c r="P174" s="294">
        <v>973.5726642107004</v>
      </c>
      <c r="Q174" s="294">
        <v>1230.5340512283385</v>
      </c>
      <c r="R174" s="294">
        <v>1461.2630258627796</v>
      </c>
      <c r="S174" s="294">
        <v>1436.5795159679217</v>
      </c>
      <c r="T174" s="294">
        <v>1284.0782696939775</v>
      </c>
      <c r="U174" s="294">
        <v>1566.0731184264544</v>
      </c>
      <c r="V174" s="294">
        <v>2003.502655897543</v>
      </c>
      <c r="W174" s="294">
        <v>2825.9227674616327</v>
      </c>
      <c r="X174" s="294">
        <v>3556.4386713189006</v>
      </c>
      <c r="Y174" s="294">
        <v>2419.8890351559021</v>
      </c>
      <c r="Z174" s="294">
        <v>2033.0528499025927</v>
      </c>
      <c r="AA174" s="294">
        <v>2352.0076473444569</v>
      </c>
      <c r="AB174" s="294">
        <v>2421.6964142408006</v>
      </c>
      <c r="AC174" s="294">
        <v>1665.015991412999</v>
      </c>
      <c r="AD174" s="294">
        <v>1767.4625784825662</v>
      </c>
      <c r="AE174" s="294">
        <v>2260.7587463711448</v>
      </c>
      <c r="AF174" s="294">
        <v>2697.3097727715794</v>
      </c>
      <c r="AG174" s="294">
        <v>3116.1235224817992</v>
      </c>
      <c r="AH174" s="294">
        <v>3659.6833388587966</v>
      </c>
      <c r="AI174" s="294">
        <v>4154.4269064976188</v>
      </c>
      <c r="AJ174" s="294">
        <v>4524.7093768662435</v>
      </c>
      <c r="AK174" s="294">
        <v>4650.1142326155104</v>
      </c>
      <c r="AL174" s="294">
        <v>3107.0739176094194</v>
      </c>
      <c r="AM174" s="294">
        <v>3546.9289611031204</v>
      </c>
      <c r="AN174" s="294">
        <v>4206.5640361239803</v>
      </c>
      <c r="AO174" s="294">
        <v>4342.3341184388873</v>
      </c>
      <c r="AP174" s="294">
        <v>4884.6250143188272</v>
      </c>
      <c r="AQ174" s="294">
        <v>5816.614480961709</v>
      </c>
      <c r="AR174" s="294">
        <v>6139.3017153068304</v>
      </c>
      <c r="AS174" s="294">
        <v>6324.167504959888</v>
      </c>
      <c r="AT174" s="294">
        <v>6740.2054796832945</v>
      </c>
      <c r="AU174" s="294">
        <v>7223.8696143431098</v>
      </c>
      <c r="AV174" s="294">
        <v>7972.553641293669</v>
      </c>
      <c r="AW174" s="294">
        <v>8830.844747604986</v>
      </c>
      <c r="AX174" s="294">
        <v>9484.7315555174646</v>
      </c>
      <c r="AY174" s="294">
        <v>9893.4145937441372</v>
      </c>
      <c r="AZ174" s="294">
        <v>7852.15477635558</v>
      </c>
      <c r="BA174" s="294">
        <v>9127.5412743318557</v>
      </c>
      <c r="BB174" s="294">
        <v>10047.125202159128</v>
      </c>
      <c r="BC174" s="298">
        <f t="shared" si="2"/>
        <v>10047.125202159128</v>
      </c>
    </row>
    <row r="175" spans="2:55">
      <c r="B175" s="72" t="s">
        <v>739</v>
      </c>
      <c r="C175" s="72" t="s">
        <v>740</v>
      </c>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v>1320.2424783368663</v>
      </c>
      <c r="AA175" s="294"/>
      <c r="AB175" s="294"/>
      <c r="AC175" s="294">
        <v>1275.8385446276293</v>
      </c>
      <c r="AD175" s="294">
        <v>1296.1338116552083</v>
      </c>
      <c r="AE175" s="294">
        <v>1354.8457192524988</v>
      </c>
      <c r="AF175" s="294">
        <v>1436.6930556293503</v>
      </c>
      <c r="AG175" s="294">
        <v>1528.2550690933253</v>
      </c>
      <c r="AH175" s="294">
        <v>1683.055018278666</v>
      </c>
      <c r="AI175" s="294">
        <v>1757.9011785143218</v>
      </c>
      <c r="AJ175" s="294">
        <v>1911.7363653883215</v>
      </c>
      <c r="AK175" s="294">
        <v>1913.5364989369241</v>
      </c>
      <c r="AL175" s="294">
        <v>2071.2242232979279</v>
      </c>
      <c r="AM175" s="294">
        <v>2028.152092084033</v>
      </c>
      <c r="AN175" s="294">
        <v>1916.6844127307195</v>
      </c>
      <c r="AO175" s="294">
        <v>2041.2267054252031</v>
      </c>
      <c r="AP175" s="294">
        <v>2057.6900132311789</v>
      </c>
      <c r="AQ175" s="294">
        <v>2177.5890762937838</v>
      </c>
      <c r="AR175" s="294">
        <v>2237.4116881743239</v>
      </c>
      <c r="AS175" s="294">
        <v>2242.159845382605</v>
      </c>
      <c r="AT175" s="294">
        <v>2261.6292047496054</v>
      </c>
      <c r="AU175" s="294">
        <v>2199.321653592744</v>
      </c>
      <c r="AV175" s="294">
        <v>2283.3839883744595</v>
      </c>
      <c r="AW175" s="294">
        <v>2304.3401889373977</v>
      </c>
      <c r="AX175" s="294">
        <v>2324.3363403258636</v>
      </c>
      <c r="AY175" s="294">
        <v>2367.9147060515984</v>
      </c>
      <c r="AZ175" s="294">
        <v>2507.4173515574162</v>
      </c>
      <c r="BA175" s="294">
        <v>2648.1779019043893</v>
      </c>
      <c r="BB175" s="294">
        <v>2781.799853614918</v>
      </c>
      <c r="BC175" s="298">
        <f t="shared" si="2"/>
        <v>2781.799853614918</v>
      </c>
    </row>
    <row r="176" spans="2:55">
      <c r="B176" s="72" t="s">
        <v>741</v>
      </c>
      <c r="C176" s="72" t="s">
        <v>742</v>
      </c>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v>972.093095245982</v>
      </c>
      <c r="AH176" s="294">
        <v>835.01541017616171</v>
      </c>
      <c r="AI176" s="294">
        <v>625.30153859962866</v>
      </c>
      <c r="AJ176" s="294">
        <v>640.16543154758085</v>
      </c>
      <c r="AK176" s="294">
        <v>460.83225575105286</v>
      </c>
      <c r="AL176" s="294">
        <v>476.99267795694504</v>
      </c>
      <c r="AM176" s="294">
        <v>462.17201504552173</v>
      </c>
      <c r="AN176" s="294">
        <v>527.39163806750571</v>
      </c>
      <c r="AO176" s="294">
        <v>448.83657001873661</v>
      </c>
      <c r="AP176" s="294">
        <v>321.02697253128031</v>
      </c>
      <c r="AQ176" s="294">
        <v>354.00166803161954</v>
      </c>
      <c r="AR176" s="294">
        <v>407.73046774151936</v>
      </c>
      <c r="AS176" s="294">
        <v>458.6781966351096</v>
      </c>
      <c r="AT176" s="294">
        <v>548.29044549145215</v>
      </c>
      <c r="AU176" s="294">
        <v>720.94313254257997</v>
      </c>
      <c r="AV176" s="294">
        <v>831.1602651732469</v>
      </c>
      <c r="AW176" s="294">
        <v>950.61642325016032</v>
      </c>
      <c r="AX176" s="294">
        <v>1230.811875659319</v>
      </c>
      <c r="AY176" s="294">
        <v>1695.9732861919281</v>
      </c>
      <c r="AZ176" s="294">
        <v>1525.5265466728265</v>
      </c>
      <c r="BA176" s="294">
        <v>1631.5331945336395</v>
      </c>
      <c r="BB176" s="294">
        <v>1966.9361470328731</v>
      </c>
      <c r="BC176" s="298">
        <f t="shared" si="2"/>
        <v>1966.9361470328731</v>
      </c>
    </row>
    <row r="177" spans="2:55">
      <c r="B177" s="72" t="s">
        <v>743</v>
      </c>
      <c r="C177" s="72" t="s">
        <v>333</v>
      </c>
      <c r="D177" s="294"/>
      <c r="E177" s="294"/>
      <c r="F177" s="294"/>
      <c r="G177" s="294"/>
      <c r="H177" s="294"/>
      <c r="I177" s="294"/>
      <c r="J177" s="294"/>
      <c r="K177" s="294"/>
      <c r="L177" s="294"/>
      <c r="M177" s="294">
        <v>12371.728144844503</v>
      </c>
      <c r="N177" s="294">
        <v>13670.372495108342</v>
      </c>
      <c r="O177" s="294">
        <v>16574.430987465501</v>
      </c>
      <c r="P177" s="294">
        <v>21278.309901204117</v>
      </c>
      <c r="Q177" s="294">
        <v>22646.36056157816</v>
      </c>
      <c r="R177" s="294">
        <v>28303.701118178546</v>
      </c>
      <c r="S177" s="294">
        <v>29017.793770374694</v>
      </c>
      <c r="T177" s="294">
        <v>31836.234494505854</v>
      </c>
      <c r="U177" s="294">
        <v>39057.490548757101</v>
      </c>
      <c r="V177" s="294">
        <v>46891.647680944079</v>
      </c>
      <c r="W177" s="294">
        <v>52846.498798187211</v>
      </c>
      <c r="X177" s="294">
        <v>45548.434389656381</v>
      </c>
      <c r="Y177" s="294">
        <v>42451.877897490936</v>
      </c>
      <c r="Z177" s="294">
        <v>39788.47667485573</v>
      </c>
      <c r="AA177" s="294">
        <v>37041.671055950363</v>
      </c>
      <c r="AB177" s="294">
        <v>37950.831546685433</v>
      </c>
      <c r="AC177" s="294">
        <v>52183.826568321994</v>
      </c>
      <c r="AD177" s="294">
        <v>62297.875927527944</v>
      </c>
      <c r="AE177" s="294">
        <v>66711.392700320474</v>
      </c>
      <c r="AF177" s="294">
        <v>66020.194147299888</v>
      </c>
      <c r="AG177" s="294">
        <v>80311.886776707674</v>
      </c>
      <c r="AH177" s="294">
        <v>79173.238041774937</v>
      </c>
      <c r="AI177" s="294">
        <v>86220.411274615268</v>
      </c>
      <c r="AJ177" s="294">
        <v>80065.931864585262</v>
      </c>
      <c r="AK177" s="294">
        <v>83511.320038651582</v>
      </c>
      <c r="AL177" s="294">
        <v>94816.469339995543</v>
      </c>
      <c r="AM177" s="294">
        <v>93709.087146006903</v>
      </c>
      <c r="AN177" s="294">
        <v>83598.698762908534</v>
      </c>
      <c r="AO177" s="294">
        <v>85198.548045081348</v>
      </c>
      <c r="AP177" s="294">
        <v>83410.140862947665</v>
      </c>
      <c r="AQ177" s="294">
        <v>75382.446626039193</v>
      </c>
      <c r="AR177" s="294">
        <v>75702.819166979141</v>
      </c>
      <c r="AS177" s="294">
        <v>82226.677857859118</v>
      </c>
      <c r="AT177" s="294">
        <v>101604.8637064503</v>
      </c>
      <c r="AU177" s="294">
        <v>116499.87088300299</v>
      </c>
      <c r="AV177" s="294">
        <v>121386.06426478227</v>
      </c>
      <c r="AW177" s="294">
        <v>132233.76990097537</v>
      </c>
      <c r="AX177" s="294">
        <v>169269.63297777175</v>
      </c>
      <c r="AY177" s="294">
        <v>186242.92967833232</v>
      </c>
      <c r="AZ177" s="294">
        <v>172676.3407245258</v>
      </c>
      <c r="BA177" s="294"/>
      <c r="BB177" s="294"/>
      <c r="BC177" s="298">
        <f t="shared" si="2"/>
        <v>0</v>
      </c>
    </row>
    <row r="178" spans="2:55">
      <c r="B178" s="72" t="s">
        <v>744</v>
      </c>
      <c r="C178" s="72" t="s">
        <v>745</v>
      </c>
      <c r="D178" s="294"/>
      <c r="E178" s="294"/>
      <c r="F178" s="294"/>
      <c r="G178" s="294"/>
      <c r="H178" s="294"/>
      <c r="I178" s="294"/>
      <c r="J178" s="294"/>
      <c r="K178" s="294"/>
      <c r="L178" s="294"/>
      <c r="M178" s="294"/>
      <c r="N178" s="294"/>
      <c r="O178" s="294"/>
      <c r="P178" s="294"/>
      <c r="Q178" s="294"/>
      <c r="R178" s="294"/>
      <c r="S178" s="294"/>
      <c r="T178" s="294"/>
      <c r="U178" s="294"/>
      <c r="V178" s="294"/>
      <c r="W178" s="294"/>
      <c r="X178" s="294">
        <v>1329.9407566558471</v>
      </c>
      <c r="Y178" s="294">
        <v>1432.9571589697582</v>
      </c>
      <c r="Z178" s="294">
        <v>1492.1504637372218</v>
      </c>
      <c r="AA178" s="294">
        <v>1119.4600479844503</v>
      </c>
      <c r="AB178" s="294">
        <v>1135.2560755388624</v>
      </c>
      <c r="AC178" s="294">
        <v>1461.8527731929448</v>
      </c>
      <c r="AD178" s="294">
        <v>1481.2699386623408</v>
      </c>
      <c r="AE178" s="294">
        <v>1528.3700106789252</v>
      </c>
      <c r="AF178" s="294">
        <v>1664.5958511141619</v>
      </c>
      <c r="AG178" s="294">
        <v>1167.9469837217162</v>
      </c>
      <c r="AH178" s="294">
        <v>1068.5162574745743</v>
      </c>
      <c r="AI178" s="294">
        <v>585.12131200369515</v>
      </c>
      <c r="AJ178" s="294">
        <v>338.31872417443606</v>
      </c>
      <c r="AK178" s="294">
        <v>404.57491119409383</v>
      </c>
      <c r="AL178" s="294">
        <v>629.69755514733151</v>
      </c>
      <c r="AM178" s="294">
        <v>578.71221089385404</v>
      </c>
      <c r="AN178" s="294">
        <v>503.46399857305772</v>
      </c>
      <c r="AO178" s="294">
        <v>475.06975937711547</v>
      </c>
      <c r="AP178" s="294">
        <v>442.64114391853013</v>
      </c>
      <c r="AQ178" s="294">
        <v>471.47332579737628</v>
      </c>
      <c r="AR178" s="294">
        <v>520.84210735694785</v>
      </c>
      <c r="AS178" s="294">
        <v>567.97042037376559</v>
      </c>
      <c r="AT178" s="294">
        <v>641.92502239466035</v>
      </c>
      <c r="AU178" s="294">
        <v>792.24373200004266</v>
      </c>
      <c r="AV178" s="294">
        <v>990.5866241904472</v>
      </c>
      <c r="AW178" s="294">
        <v>1321.1549248285596</v>
      </c>
      <c r="AX178" s="294">
        <v>1613.5948355011333</v>
      </c>
      <c r="AY178" s="294">
        <v>2108.0755454399923</v>
      </c>
      <c r="AZ178" s="294">
        <v>1690.4169836211215</v>
      </c>
      <c r="BA178" s="294">
        <v>2249.76589999408</v>
      </c>
      <c r="BB178" s="294">
        <v>3128.9534537393261</v>
      </c>
      <c r="BC178" s="298">
        <f t="shared" si="2"/>
        <v>3128.9534537393261</v>
      </c>
    </row>
    <row r="179" spans="2:55">
      <c r="B179" s="72" t="s">
        <v>746</v>
      </c>
      <c r="C179" s="72" t="s">
        <v>747</v>
      </c>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v>1555.9125212217398</v>
      </c>
      <c r="AR179" s="294">
        <v>1840.2243379729296</v>
      </c>
      <c r="AS179" s="294">
        <v>2043.4565213529429</v>
      </c>
      <c r="AT179" s="294">
        <v>2721.3746737051783</v>
      </c>
      <c r="AU179" s="294">
        <v>3307.0917851386912</v>
      </c>
      <c r="AV179" s="294">
        <v>3601.4703768944637</v>
      </c>
      <c r="AW179" s="294">
        <v>4299.1698410471172</v>
      </c>
      <c r="AX179" s="294">
        <v>5842.4826721208319</v>
      </c>
      <c r="AY179" s="294">
        <v>7183.470595583638</v>
      </c>
      <c r="AZ179" s="294">
        <v>6569.0869454020831</v>
      </c>
      <c r="BA179" s="294">
        <v>6509.7174471834869</v>
      </c>
      <c r="BB179" s="294">
        <v>7110.6329226779017</v>
      </c>
      <c r="BC179" s="298">
        <f t="shared" si="2"/>
        <v>7110.6329226779017</v>
      </c>
    </row>
    <row r="180" spans="2:55">
      <c r="B180" s="72" t="s">
        <v>748</v>
      </c>
      <c r="C180" s="72" t="s">
        <v>749</v>
      </c>
      <c r="D180" s="294">
        <v>169.04091136</v>
      </c>
      <c r="E180" s="294">
        <v>193.24528759</v>
      </c>
      <c r="F180" s="294">
        <v>210.00544937000001</v>
      </c>
      <c r="G180" s="294">
        <v>215.16290165999999</v>
      </c>
      <c r="H180" s="294">
        <v>220.45303816000001</v>
      </c>
      <c r="I180" s="294">
        <v>209.0414423</v>
      </c>
      <c r="J180" s="294">
        <v>215.11466958</v>
      </c>
      <c r="K180" s="294">
        <v>224.50034388</v>
      </c>
      <c r="L180" s="294">
        <v>243.72646639000001</v>
      </c>
      <c r="M180" s="294">
        <v>257.12674099999998</v>
      </c>
      <c r="N180" s="294">
        <v>276.04341484000003</v>
      </c>
      <c r="O180" s="294">
        <v>313.74536726000002</v>
      </c>
      <c r="P180" s="294">
        <v>376.86151870999998</v>
      </c>
      <c r="Q180" s="294">
        <v>452.45990007</v>
      </c>
      <c r="R180" s="294">
        <v>516.96984166000004</v>
      </c>
      <c r="S180" s="294">
        <v>538.08331404</v>
      </c>
      <c r="T180" s="294">
        <v>605.17750582999997</v>
      </c>
      <c r="U180" s="294">
        <v>706.95993383999996</v>
      </c>
      <c r="V180" s="294">
        <v>828.35641189</v>
      </c>
      <c r="W180" s="294">
        <v>954.53654075999998</v>
      </c>
      <c r="X180" s="294">
        <v>754.62427085000002</v>
      </c>
      <c r="Y180" s="294">
        <v>741.49559182999997</v>
      </c>
      <c r="Z180" s="294">
        <v>652.57344331000002</v>
      </c>
      <c r="AA180" s="294">
        <v>581.58084558999997</v>
      </c>
      <c r="AB180" s="294">
        <v>572.62682167000003</v>
      </c>
      <c r="AC180" s="294">
        <v>738.60733834999996</v>
      </c>
      <c r="AD180" s="294">
        <v>796.73676279999995</v>
      </c>
      <c r="AE180" s="294">
        <v>923.66173683</v>
      </c>
      <c r="AF180" s="294">
        <v>931.63101597000002</v>
      </c>
      <c r="AG180" s="294">
        <v>1032.750579</v>
      </c>
      <c r="AH180" s="294">
        <v>1093.0834697</v>
      </c>
      <c r="AI180" s="294">
        <v>1097.8280184</v>
      </c>
      <c r="AJ180" s="294">
        <v>1017.0819579</v>
      </c>
      <c r="AK180" s="294">
        <v>1133.5865748000001</v>
      </c>
      <c r="AL180" s="294">
        <v>1213.2782305000001</v>
      </c>
      <c r="AM180" s="294">
        <v>1327.9301823999999</v>
      </c>
      <c r="AN180" s="294">
        <v>1194.0524682</v>
      </c>
      <c r="AO180" s="294">
        <v>1410.7910096000001</v>
      </c>
      <c r="AP180" s="294">
        <v>1382.3945834000001</v>
      </c>
      <c r="AQ180" s="294">
        <v>1271.8110919000001</v>
      </c>
      <c r="AR180" s="294">
        <v>1280.2797637000001</v>
      </c>
      <c r="AS180" s="294">
        <v>1355.5176191999999</v>
      </c>
      <c r="AT180" s="294">
        <v>1651.9595833999999</v>
      </c>
      <c r="AU180" s="294">
        <v>1867.2506507999999</v>
      </c>
      <c r="AV180" s="294">
        <v>1930.5280005</v>
      </c>
      <c r="AW180" s="294">
        <v>2106.2043472</v>
      </c>
      <c r="AX180" s="294">
        <v>2388.7938952999998</v>
      </c>
      <c r="AY180" s="294">
        <v>2793.4476524000002</v>
      </c>
      <c r="AZ180" s="294">
        <v>2827.8185536999999</v>
      </c>
      <c r="BA180" s="294">
        <v>2795.4902278</v>
      </c>
      <c r="BB180" s="294">
        <v>3053.5306724000002</v>
      </c>
      <c r="BC180" s="298">
        <f t="shared" si="2"/>
        <v>3053.5306724000002</v>
      </c>
    </row>
    <row r="181" spans="2:55">
      <c r="B181" s="72" t="s">
        <v>750</v>
      </c>
      <c r="C181" s="72" t="s">
        <v>751</v>
      </c>
      <c r="D181" s="294"/>
      <c r="E181" s="294"/>
      <c r="F181" s="294"/>
      <c r="G181" s="294"/>
      <c r="H181" s="294"/>
      <c r="I181" s="294"/>
      <c r="J181" s="294"/>
      <c r="K181" s="294"/>
      <c r="L181" s="294"/>
      <c r="M181" s="294"/>
      <c r="N181" s="294"/>
      <c r="O181" s="294"/>
      <c r="P181" s="294"/>
      <c r="Q181" s="294"/>
      <c r="R181" s="294"/>
      <c r="S181" s="294"/>
      <c r="T181" s="294"/>
      <c r="U181" s="294"/>
      <c r="V181" s="294"/>
      <c r="W181" s="294">
        <v>290.33694860412879</v>
      </c>
      <c r="X181" s="294">
        <v>283.89301539729297</v>
      </c>
      <c r="Y181" s="294">
        <v>283.95071527852906</v>
      </c>
      <c r="Z181" s="294">
        <v>249.1964250146614</v>
      </c>
      <c r="AA181" s="294">
        <v>255.52588074276218</v>
      </c>
      <c r="AB181" s="294">
        <v>334.32398462904786</v>
      </c>
      <c r="AC181" s="294">
        <v>391.75651410028019</v>
      </c>
      <c r="AD181" s="294">
        <v>176.11902971541906</v>
      </c>
      <c r="AE181" s="294">
        <v>156.97045925499557</v>
      </c>
      <c r="AF181" s="294">
        <v>172.97701596825678</v>
      </c>
      <c r="AG181" s="294">
        <v>181.82807883045436</v>
      </c>
      <c r="AH181" s="294">
        <v>194.37468803742286</v>
      </c>
      <c r="AI181" s="294">
        <v>137.51071976071123</v>
      </c>
      <c r="AJ181" s="294">
        <v>136.4999315243486</v>
      </c>
      <c r="AK181" s="294">
        <v>140.35420646603191</v>
      </c>
      <c r="AL181" s="294">
        <v>141.01096165486115</v>
      </c>
      <c r="AM181" s="294">
        <v>193.66779869230217</v>
      </c>
      <c r="AN181" s="294">
        <v>222.49715755192983</v>
      </c>
      <c r="AO181" s="294">
        <v>245.16964609207415</v>
      </c>
      <c r="AP181" s="294">
        <v>250.7907785242005</v>
      </c>
      <c r="AQ181" s="294">
        <v>233.43926556618007</v>
      </c>
      <c r="AR181" s="294">
        <v>218.01707575467202</v>
      </c>
      <c r="AS181" s="294">
        <v>218.81878131200114</v>
      </c>
      <c r="AT181" s="294">
        <v>236.61013822961957</v>
      </c>
      <c r="AU181" s="294">
        <v>281.43389546360521</v>
      </c>
      <c r="AV181" s="294">
        <v>316.73140386428372</v>
      </c>
      <c r="AW181" s="294">
        <v>333.29315198593372</v>
      </c>
      <c r="AX181" s="294">
        <v>368.15805283577816</v>
      </c>
      <c r="AY181" s="294">
        <v>442.90105248863591</v>
      </c>
      <c r="AZ181" s="294">
        <v>423.21653994667662</v>
      </c>
      <c r="BA181" s="294">
        <v>393.7180597111917</v>
      </c>
      <c r="BB181" s="294">
        <v>534.80611758830651</v>
      </c>
      <c r="BC181" s="298">
        <f t="shared" si="2"/>
        <v>534.80611758830651</v>
      </c>
    </row>
    <row r="182" spans="2:55">
      <c r="B182" s="72" t="s">
        <v>752</v>
      </c>
      <c r="C182" s="72" t="s">
        <v>753</v>
      </c>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8">
        <f t="shared" si="2"/>
        <v>0</v>
      </c>
    </row>
    <row r="183" spans="2:55">
      <c r="B183" s="72" t="s">
        <v>754</v>
      </c>
      <c r="C183" s="72" t="s">
        <v>755</v>
      </c>
      <c r="D183" s="294"/>
      <c r="E183" s="294"/>
      <c r="F183" s="294"/>
      <c r="G183" s="294"/>
      <c r="H183" s="294"/>
      <c r="I183" s="294"/>
      <c r="J183" s="294"/>
      <c r="K183" s="294"/>
      <c r="L183" s="294"/>
      <c r="M183" s="294"/>
      <c r="N183" s="294"/>
      <c r="O183" s="294"/>
      <c r="P183" s="294"/>
      <c r="Q183" s="294"/>
      <c r="R183" s="294"/>
      <c r="S183" s="294"/>
      <c r="T183" s="294"/>
      <c r="U183" s="294"/>
      <c r="V183" s="294"/>
      <c r="W183" s="294">
        <v>2141.1680942337734</v>
      </c>
      <c r="X183" s="294">
        <v>1885.5148298350889</v>
      </c>
      <c r="Y183" s="294">
        <v>1705.8176957729834</v>
      </c>
      <c r="Z183" s="294">
        <v>1782.2927019604667</v>
      </c>
      <c r="AA183" s="294">
        <v>1460.8473342953412</v>
      </c>
      <c r="AB183" s="294">
        <v>1178.2812997625197</v>
      </c>
      <c r="AC183" s="294">
        <v>1277.7483768854604</v>
      </c>
      <c r="AD183" s="294">
        <v>1550.7287576592698</v>
      </c>
      <c r="AE183" s="294">
        <v>1632.2517304981604</v>
      </c>
      <c r="AF183" s="294">
        <v>1594.4150514393989</v>
      </c>
      <c r="AG183" s="294">
        <v>1661.1942910867801</v>
      </c>
      <c r="AH183" s="294">
        <v>1700.9890183795983</v>
      </c>
      <c r="AI183" s="294">
        <v>1876.098398758091</v>
      </c>
      <c r="AJ183" s="294">
        <v>1827.0304716889616</v>
      </c>
      <c r="AK183" s="294">
        <v>2027.5678163256473</v>
      </c>
      <c r="AL183" s="294">
        <v>2121.3457629677155</v>
      </c>
      <c r="AM183" s="294">
        <v>2052.6220686280667</v>
      </c>
      <c r="AN183" s="294">
        <v>2075.0543594508658</v>
      </c>
      <c r="AO183" s="294">
        <v>1885.467338326556</v>
      </c>
      <c r="AP183" s="294">
        <v>1829.1528917418091</v>
      </c>
      <c r="AQ183" s="294">
        <v>2061.6209714655042</v>
      </c>
      <c r="AR183" s="294">
        <v>1831.6832197892782</v>
      </c>
      <c r="AS183" s="294">
        <v>1703.2266921760151</v>
      </c>
      <c r="AT183" s="294">
        <v>2456.9478377644518</v>
      </c>
      <c r="AU183" s="294">
        <v>3232.847904740202</v>
      </c>
      <c r="AV183" s="294">
        <v>3491.2728060460122</v>
      </c>
      <c r="AW183" s="294">
        <v>3766.7811650408598</v>
      </c>
      <c r="AX183" s="294">
        <v>4078.6849753573347</v>
      </c>
      <c r="AY183" s="294">
        <v>4017.3186838664537</v>
      </c>
      <c r="AZ183" s="294">
        <v>3983.2375544435527</v>
      </c>
      <c r="BA183" s="294">
        <v>4875.9709195969062</v>
      </c>
      <c r="BB183" s="294">
        <v>5292.8905868805086</v>
      </c>
      <c r="BC183" s="298">
        <f t="shared" si="2"/>
        <v>5292.8905868805086</v>
      </c>
    </row>
    <row r="184" spans="2:55">
      <c r="B184" s="72" t="s">
        <v>756</v>
      </c>
      <c r="C184" s="72" t="s">
        <v>757</v>
      </c>
      <c r="D184" s="294">
        <v>53.637462976706047</v>
      </c>
      <c r="E184" s="294">
        <v>56.829129753595154</v>
      </c>
      <c r="F184" s="294">
        <v>48.273343612550697</v>
      </c>
      <c r="G184" s="294">
        <v>47.265634069249273</v>
      </c>
      <c r="H184" s="294">
        <v>68.669616986888073</v>
      </c>
      <c r="I184" s="294">
        <v>82.973382417241581</v>
      </c>
      <c r="J184" s="294">
        <v>75.439130693527829</v>
      </c>
      <c r="K184" s="294">
        <v>67.719861144356628</v>
      </c>
      <c r="L184" s="294">
        <v>67.6615719271458</v>
      </c>
      <c r="M184" s="294">
        <v>72.661907146005206</v>
      </c>
      <c r="N184" s="294">
        <v>72.417373862235848</v>
      </c>
      <c r="O184" s="294">
        <v>82.111835285360186</v>
      </c>
      <c r="P184" s="294">
        <v>76.162496551594941</v>
      </c>
      <c r="Q184" s="294">
        <v>93.229444855890065</v>
      </c>
      <c r="R184" s="294">
        <v>117.8330333970182</v>
      </c>
      <c r="S184" s="294">
        <v>106.11626306021232</v>
      </c>
      <c r="T184" s="294">
        <v>98.626287915276137</v>
      </c>
      <c r="U184" s="294">
        <v>111.78040593239864</v>
      </c>
      <c r="V184" s="294">
        <v>125.98739788016775</v>
      </c>
      <c r="W184" s="294">
        <v>129.336924879919</v>
      </c>
      <c r="X184" s="294">
        <v>147.71281793497923</v>
      </c>
      <c r="Y184" s="294">
        <v>151.85396384956118</v>
      </c>
      <c r="Z184" s="294">
        <v>151.50348188976338</v>
      </c>
      <c r="AA184" s="294">
        <v>156.06199864447456</v>
      </c>
      <c r="AB184" s="294">
        <v>154.69491305975885</v>
      </c>
      <c r="AC184" s="294">
        <v>164.39154980607594</v>
      </c>
      <c r="AD184" s="294">
        <v>166.54466888822915</v>
      </c>
      <c r="AE184" s="294">
        <v>191.77034721206306</v>
      </c>
      <c r="AF184" s="294">
        <v>189.28225139113343</v>
      </c>
      <c r="AG184" s="294">
        <v>190.11304884286167</v>
      </c>
      <c r="AH184" s="294">
        <v>200.54423608318424</v>
      </c>
      <c r="AI184" s="294">
        <v>169.69737577122481</v>
      </c>
      <c r="AJ184" s="294">
        <v>178.1350680960594</v>
      </c>
      <c r="AK184" s="294">
        <v>193.06620538707148</v>
      </c>
      <c r="AL184" s="294">
        <v>203.8032185451566</v>
      </c>
      <c r="AM184" s="294">
        <v>204.24719933446769</v>
      </c>
      <c r="AN184" s="294">
        <v>216.7608791574801</v>
      </c>
      <c r="AO184" s="294">
        <v>208.82586275643735</v>
      </c>
      <c r="AP184" s="294">
        <v>211.27235218429999</v>
      </c>
      <c r="AQ184" s="294">
        <v>225.16867851171503</v>
      </c>
      <c r="AR184" s="294">
        <v>240.47305754392343</v>
      </c>
      <c r="AS184" s="294">
        <v>236.70840203230057</v>
      </c>
      <c r="AT184" s="294">
        <v>242.14313960468877</v>
      </c>
      <c r="AU184" s="294">
        <v>272.24972018715863</v>
      </c>
      <c r="AV184" s="294">
        <v>298.00877378903351</v>
      </c>
      <c r="AW184" s="294">
        <v>326.02336728995601</v>
      </c>
      <c r="AX184" s="294">
        <v>362.22168258879327</v>
      </c>
      <c r="AY184" s="294">
        <v>434.9576418628572</v>
      </c>
      <c r="AZ184" s="294">
        <v>438.28871673220101</v>
      </c>
      <c r="BA184" s="294">
        <v>534.52198867746517</v>
      </c>
      <c r="BB184" s="294">
        <v>619.45223240542009</v>
      </c>
      <c r="BC184" s="298">
        <f t="shared" si="2"/>
        <v>619.45223240542009</v>
      </c>
    </row>
    <row r="185" spans="2:55">
      <c r="B185" s="72" t="s">
        <v>758</v>
      </c>
      <c r="C185" s="72" t="s">
        <v>759</v>
      </c>
      <c r="D185" s="294">
        <v>1159.3923571607356</v>
      </c>
      <c r="E185" s="294">
        <v>1240.6778943729407</v>
      </c>
      <c r="F185" s="294">
        <v>1328.0366487996835</v>
      </c>
      <c r="G185" s="294">
        <v>1541.9473651902895</v>
      </c>
      <c r="H185" s="294">
        <v>1708.096356488621</v>
      </c>
      <c r="I185" s="294">
        <v>1835.8014235103449</v>
      </c>
      <c r="J185" s="294">
        <v>1991.3606856504159</v>
      </c>
      <c r="K185" s="294">
        <v>2185.248658886575</v>
      </c>
      <c r="L185" s="294">
        <v>2446.3354539953862</v>
      </c>
      <c r="M185" s="294">
        <v>2711.3620143907574</v>
      </c>
      <c r="N185" s="294">
        <v>3129.6274233964964</v>
      </c>
      <c r="O185" s="294">
        <v>3801.9730917045213</v>
      </c>
      <c r="P185" s="294">
        <v>4980.9597579259989</v>
      </c>
      <c r="Q185" s="294">
        <v>5845.028883199363</v>
      </c>
      <c r="R185" s="294">
        <v>6821.6976561334586</v>
      </c>
      <c r="S185" s="294">
        <v>7384.4450204750729</v>
      </c>
      <c r="T185" s="294">
        <v>8575.2426842386412</v>
      </c>
      <c r="U185" s="294">
        <v>10424.123751854098</v>
      </c>
      <c r="V185" s="294">
        <v>11855.35325190631</v>
      </c>
      <c r="W185" s="294">
        <v>12775.469559351759</v>
      </c>
      <c r="X185" s="294">
        <v>10671.447280388935</v>
      </c>
      <c r="Y185" s="294">
        <v>10256.657771962247</v>
      </c>
      <c r="Z185" s="294">
        <v>9893.2688917091673</v>
      </c>
      <c r="AA185" s="294">
        <v>9241.8923637837452</v>
      </c>
      <c r="AB185" s="294">
        <v>9194.6228163636533</v>
      </c>
      <c r="AC185" s="294">
        <v>12768.047870297862</v>
      </c>
      <c r="AD185" s="294">
        <v>15478.146963504227</v>
      </c>
      <c r="AE185" s="294">
        <v>16436.894064535529</v>
      </c>
      <c r="AF185" s="294">
        <v>16115.566993854101</v>
      </c>
      <c r="AG185" s="294">
        <v>19721.828242555905</v>
      </c>
      <c r="AH185" s="294">
        <v>20130.671820840987</v>
      </c>
      <c r="AI185" s="294">
        <v>22142.426901437044</v>
      </c>
      <c r="AJ185" s="294">
        <v>21418.40235078186</v>
      </c>
      <c r="AK185" s="294">
        <v>22830.001637751153</v>
      </c>
      <c r="AL185" s="294">
        <v>27101.953133830444</v>
      </c>
      <c r="AM185" s="294">
        <v>26913.521521129762</v>
      </c>
      <c r="AN185" s="294">
        <v>24760.901695152745</v>
      </c>
      <c r="AO185" s="294">
        <v>25634.617860989427</v>
      </c>
      <c r="AP185" s="294">
        <v>26021.637652279995</v>
      </c>
      <c r="AQ185" s="294">
        <v>24179.731407438598</v>
      </c>
      <c r="AR185" s="294">
        <v>24968.817419626408</v>
      </c>
      <c r="AS185" s="294">
        <v>27110.606851919998</v>
      </c>
      <c r="AT185" s="294">
        <v>33177.357258652039</v>
      </c>
      <c r="AU185" s="294">
        <v>37458.432870626064</v>
      </c>
      <c r="AV185" s="294">
        <v>39122.291079479655</v>
      </c>
      <c r="AW185" s="294">
        <v>41458.932710176283</v>
      </c>
      <c r="AX185" s="294">
        <v>47770.80120631442</v>
      </c>
      <c r="AY185" s="294">
        <v>52951.033588442915</v>
      </c>
      <c r="AZ185" s="294">
        <v>48173.906573578359</v>
      </c>
      <c r="BA185" s="294">
        <v>46622.902516596478</v>
      </c>
      <c r="BB185" s="294">
        <v>50076.282409625725</v>
      </c>
      <c r="BC185" s="298">
        <f t="shared" si="2"/>
        <v>50076.282409625725</v>
      </c>
    </row>
    <row r="186" spans="2:55">
      <c r="B186" s="72" t="s">
        <v>760</v>
      </c>
      <c r="C186" s="72" t="s">
        <v>761</v>
      </c>
      <c r="D186" s="294"/>
      <c r="E186" s="294"/>
      <c r="F186" s="294"/>
      <c r="G186" s="294"/>
      <c r="H186" s="294">
        <v>1734.722755965304</v>
      </c>
      <c r="I186" s="294">
        <v>1740.6561393495012</v>
      </c>
      <c r="J186" s="294">
        <v>1855.437060691419</v>
      </c>
      <c r="K186" s="294">
        <v>2151.1135913345206</v>
      </c>
      <c r="L186" s="294">
        <v>2533.7907794364801</v>
      </c>
      <c r="M186" s="294">
        <v>3322.3674250297795</v>
      </c>
      <c r="N186" s="294">
        <v>3640.82682219961</v>
      </c>
      <c r="O186" s="294">
        <v>4246.2733373224928</v>
      </c>
      <c r="P186" s="294">
        <v>4361.737833285848</v>
      </c>
      <c r="Q186" s="294">
        <v>4941.3166434910881</v>
      </c>
      <c r="R186" s="294">
        <v>6140.2095175295481</v>
      </c>
      <c r="S186" s="294">
        <v>5861.1815426050325</v>
      </c>
      <c r="T186" s="294">
        <v>6050.3081184448092</v>
      </c>
      <c r="U186" s="294">
        <v>6042.5661227958126</v>
      </c>
      <c r="V186" s="294">
        <v>7405.3851121058269</v>
      </c>
      <c r="W186" s="294">
        <v>8268.9310671781768</v>
      </c>
      <c r="X186" s="294">
        <v>6753.9153488216998</v>
      </c>
      <c r="Y186" s="294">
        <v>6260.3434588046493</v>
      </c>
      <c r="Z186" s="294">
        <v>5665.976206674768</v>
      </c>
      <c r="AA186" s="294">
        <v>5285.0890906099085</v>
      </c>
      <c r="AB186" s="294">
        <v>5587.0838021122572</v>
      </c>
      <c r="AC186" s="294">
        <v>7800.4059602366406</v>
      </c>
      <c r="AD186" s="294">
        <v>9493.4866909036518</v>
      </c>
      <c r="AE186" s="294">
        <v>12978.121515983923</v>
      </c>
      <c r="AF186" s="294">
        <v>13307.38610433523</v>
      </c>
      <c r="AG186" s="294">
        <v>15055.417284738598</v>
      </c>
      <c r="AH186" s="294">
        <v>15413.996854566078</v>
      </c>
      <c r="AI186" s="294">
        <v>16544.243715608387</v>
      </c>
      <c r="AJ186" s="294">
        <v>16897.243038066361</v>
      </c>
      <c r="AK186" s="294">
        <v>16240.240376242</v>
      </c>
      <c r="AL186" s="294">
        <v>18800.208677046663</v>
      </c>
      <c r="AM186" s="294">
        <v>18309.484436176732</v>
      </c>
      <c r="AN186" s="294">
        <v>16323.433811266634</v>
      </c>
      <c r="AO186" s="294">
        <v>15408.812098834498</v>
      </c>
      <c r="AP186" s="294">
        <v>14611.832803213287</v>
      </c>
      <c r="AQ186" s="294">
        <v>12579.595105586423</v>
      </c>
      <c r="AR186" s="294"/>
      <c r="AS186" s="294"/>
      <c r="AT186" s="294"/>
      <c r="AU186" s="294"/>
      <c r="AV186" s="294"/>
      <c r="AW186" s="294"/>
      <c r="AX186" s="294"/>
      <c r="AY186" s="294"/>
      <c r="AZ186" s="294"/>
      <c r="BA186" s="294"/>
      <c r="BB186" s="294"/>
      <c r="BC186" s="298">
        <f t="shared" si="2"/>
        <v>0</v>
      </c>
    </row>
    <row r="187" spans="2:55">
      <c r="B187" s="72" t="s">
        <v>762</v>
      </c>
      <c r="C187" s="72" t="s">
        <v>763</v>
      </c>
      <c r="D187" s="294">
        <v>2343.2922131742489</v>
      </c>
      <c r="E187" s="294">
        <v>2448.6286332646832</v>
      </c>
      <c r="F187" s="294">
        <v>2622.2202714035971</v>
      </c>
      <c r="G187" s="294">
        <v>2813.5469756393927</v>
      </c>
      <c r="H187" s="294">
        <v>2151.2949269531509</v>
      </c>
      <c r="I187" s="294">
        <v>2191.3125419395928</v>
      </c>
      <c r="J187" s="294">
        <v>2188.3991386256102</v>
      </c>
      <c r="K187" s="294">
        <v>1885.1561517562504</v>
      </c>
      <c r="L187" s="294">
        <v>2077.8955430230139</v>
      </c>
      <c r="M187" s="294"/>
      <c r="N187" s="294">
        <v>2748.3348702704898</v>
      </c>
      <c r="O187" s="294">
        <v>3262.5301739536139</v>
      </c>
      <c r="P187" s="294">
        <v>4277.3920192156847</v>
      </c>
      <c r="Q187" s="294">
        <v>4557.5396133735258</v>
      </c>
      <c r="R187" s="294">
        <v>4119.0831745456226</v>
      </c>
      <c r="S187" s="294">
        <v>4319.9340747772703</v>
      </c>
      <c r="T187" s="294">
        <v>4881.1654104278778</v>
      </c>
      <c r="U187" s="294">
        <v>5851.3078559046198</v>
      </c>
      <c r="V187" s="294">
        <v>6565.5262482727558</v>
      </c>
      <c r="W187" s="294">
        <v>7346.9058459555163</v>
      </c>
      <c r="X187" s="294">
        <v>7673.8700400714042</v>
      </c>
      <c r="Y187" s="294">
        <v>7504.8274935648142</v>
      </c>
      <c r="Z187" s="294">
        <v>7449.6268189154025</v>
      </c>
      <c r="AA187" s="294">
        <v>6585.2633397336513</v>
      </c>
      <c r="AB187" s="294">
        <v>7451.4956891299662</v>
      </c>
      <c r="AC187" s="294">
        <v>9235.0657495470368</v>
      </c>
      <c r="AD187" s="294">
        <v>12064.118202201176</v>
      </c>
      <c r="AE187" s="294">
        <v>13466.873500300197</v>
      </c>
      <c r="AF187" s="294">
        <v>13032.320171433506</v>
      </c>
      <c r="AG187" s="294">
        <v>13365.237820230244</v>
      </c>
      <c r="AH187" s="294">
        <v>11965.386676873813</v>
      </c>
      <c r="AI187" s="294">
        <v>11536.769638173029</v>
      </c>
      <c r="AJ187" s="294">
        <v>12829.050568128001</v>
      </c>
      <c r="AK187" s="294">
        <v>14989.885298146562</v>
      </c>
      <c r="AL187" s="294">
        <v>17094.618174940304</v>
      </c>
      <c r="AM187" s="294">
        <v>18454.078460101387</v>
      </c>
      <c r="AN187" s="294">
        <v>17169.972244975936</v>
      </c>
      <c r="AO187" s="294">
        <v>14469.151835748822</v>
      </c>
      <c r="AP187" s="294">
        <v>15044.729779708954</v>
      </c>
      <c r="AQ187" s="294">
        <v>13375.780521549583</v>
      </c>
      <c r="AR187" s="294">
        <v>13625.300947852935</v>
      </c>
      <c r="AS187" s="294">
        <v>16579.44686116065</v>
      </c>
      <c r="AT187" s="294">
        <v>21537.960777789573</v>
      </c>
      <c r="AU187" s="294">
        <v>25005.597808444476</v>
      </c>
      <c r="AV187" s="294">
        <v>27354.293186974483</v>
      </c>
      <c r="AW187" s="294">
        <v>26172.548711385156</v>
      </c>
      <c r="AX187" s="294">
        <v>31694.787451082411</v>
      </c>
      <c r="AY187" s="294">
        <v>30611.35269533762</v>
      </c>
      <c r="AZ187" s="294">
        <v>27196.883167663007</v>
      </c>
      <c r="BA187" s="294">
        <v>32407.070705498842</v>
      </c>
      <c r="BB187" s="294">
        <v>36253.915563083639</v>
      </c>
      <c r="BC187" s="298">
        <f t="shared" si="2"/>
        <v>36253.915563083639</v>
      </c>
    </row>
    <row r="188" spans="2:55">
      <c r="B188" s="72" t="s">
        <v>764</v>
      </c>
      <c r="C188" s="72" t="s">
        <v>765</v>
      </c>
      <c r="D188" s="294">
        <v>133.50334198403817</v>
      </c>
      <c r="E188" s="294">
        <v>142.84900577203285</v>
      </c>
      <c r="F188" s="294">
        <v>153.07539835781043</v>
      </c>
      <c r="G188" s="294">
        <v>173.46412015290423</v>
      </c>
      <c r="H188" s="294">
        <v>273.67769595868668</v>
      </c>
      <c r="I188" s="294">
        <v>285.74602541424377</v>
      </c>
      <c r="J188" s="294">
        <v>300.10792027132754</v>
      </c>
      <c r="K188" s="294">
        <v>307.00991873115822</v>
      </c>
      <c r="L188" s="294">
        <v>322.40578460585925</v>
      </c>
      <c r="M188" s="294">
        <v>324.65304185321827</v>
      </c>
      <c r="N188" s="294">
        <v>335.11749092600132</v>
      </c>
      <c r="O188" s="294">
        <v>344.64742474078821</v>
      </c>
      <c r="P188" s="294">
        <v>415.81426385041885</v>
      </c>
      <c r="Q188" s="294">
        <v>561.40574000434322</v>
      </c>
      <c r="R188" s="294">
        <v>566.05332003770775</v>
      </c>
      <c r="S188" s="294">
        <v>637.68606950138087</v>
      </c>
      <c r="T188" s="294">
        <v>750.03793087722022</v>
      </c>
      <c r="U188" s="294">
        <v>695.46133722405398</v>
      </c>
      <c r="V188" s="294">
        <v>497.55664696493341</v>
      </c>
      <c r="W188" s="294">
        <v>661.37394976586017</v>
      </c>
      <c r="X188" s="294">
        <v>742.19772534003482</v>
      </c>
      <c r="Y188" s="294">
        <v>716.2696290720894</v>
      </c>
      <c r="Z188" s="294">
        <v>782.41499049868742</v>
      </c>
      <c r="AA188" s="294">
        <v>863.86166688403478</v>
      </c>
      <c r="AB188" s="294">
        <v>725.97827592271528</v>
      </c>
      <c r="AC188" s="294">
        <v>763.22310719499762</v>
      </c>
      <c r="AD188" s="294">
        <v>997.01664362709789</v>
      </c>
      <c r="AE188" s="294">
        <v>667.01250603199719</v>
      </c>
      <c r="AF188" s="294">
        <v>251.44502393466831</v>
      </c>
      <c r="AG188" s="294">
        <v>244.96608348185444</v>
      </c>
      <c r="AH188" s="294">
        <v>352.86608657978252</v>
      </c>
      <c r="AI188" s="294">
        <v>414.68677709406069</v>
      </c>
      <c r="AJ188" s="294">
        <v>396.4745198302968</v>
      </c>
      <c r="AK188" s="294">
        <v>851.70938149916446</v>
      </c>
      <c r="AL188" s="294">
        <v>892.9122887258635</v>
      </c>
      <c r="AM188" s="294">
        <v>910.24775502897</v>
      </c>
      <c r="AN188" s="294">
        <v>909.87533171315863</v>
      </c>
      <c r="AO188" s="294">
        <v>943.68379599581749</v>
      </c>
      <c r="AP188" s="294">
        <v>972.16823975946022</v>
      </c>
      <c r="AQ188" s="294">
        <v>1006.6273100808439</v>
      </c>
      <c r="AR188" s="294">
        <v>1033.8947250566375</v>
      </c>
      <c r="AS188" s="294">
        <v>1000.8600107769109</v>
      </c>
      <c r="AT188" s="294">
        <v>1006.4608352292324</v>
      </c>
      <c r="AU188" s="294">
        <v>1082.0678151029244</v>
      </c>
      <c r="AV188" s="294">
        <v>1165.5956595159621</v>
      </c>
      <c r="AW188" s="294">
        <v>1235.325613851508</v>
      </c>
      <c r="AX188" s="294">
        <v>1338.443521958761</v>
      </c>
      <c r="AY188" s="294">
        <v>1458.8885528441629</v>
      </c>
      <c r="AZ188" s="294">
        <v>1411.84533986168</v>
      </c>
      <c r="BA188" s="294">
        <v>1455.8355725414108</v>
      </c>
      <c r="BB188" s="294">
        <v>1587.2196486940666</v>
      </c>
      <c r="BC188" s="298">
        <f t="shared" si="2"/>
        <v>1587.2196486940666</v>
      </c>
    </row>
    <row r="189" spans="2:55">
      <c r="B189" s="72" t="s">
        <v>766</v>
      </c>
      <c r="C189" s="72" t="s">
        <v>767</v>
      </c>
      <c r="D189" s="294">
        <v>145.272145417373</v>
      </c>
      <c r="E189" s="294">
        <v>154.43122526323947</v>
      </c>
      <c r="F189" s="294">
        <v>165.30506228508867</v>
      </c>
      <c r="G189" s="294">
        <v>159.49617287356895</v>
      </c>
      <c r="H189" s="294">
        <v>177.52530866088466</v>
      </c>
      <c r="I189" s="294">
        <v>180.14707818953053</v>
      </c>
      <c r="J189" s="294">
        <v>165.91320437791543</v>
      </c>
      <c r="K189" s="294">
        <v>156.10978725112878</v>
      </c>
      <c r="L189" s="294">
        <v>147.60139580401452</v>
      </c>
      <c r="M189" s="294">
        <v>147.92238017165732</v>
      </c>
      <c r="N189" s="294">
        <v>152.96944014844104</v>
      </c>
      <c r="O189" s="294">
        <v>159.77318742941276</v>
      </c>
      <c r="P189" s="294">
        <v>197.99499277827576</v>
      </c>
      <c r="Q189" s="294">
        <v>208.4236684431047</v>
      </c>
      <c r="R189" s="294">
        <v>206.79415328982091</v>
      </c>
      <c r="S189" s="294">
        <v>203.78058152370249</v>
      </c>
      <c r="T189" s="294">
        <v>239.99773517257847</v>
      </c>
      <c r="U189" s="294">
        <v>320.15795089740084</v>
      </c>
      <c r="V189" s="294">
        <v>369.6785984704656</v>
      </c>
      <c r="W189" s="294">
        <v>427.27278010863569</v>
      </c>
      <c r="X189" s="294">
        <v>359.52677887598418</v>
      </c>
      <c r="Y189" s="294">
        <v>324.99650606888338</v>
      </c>
      <c r="Z189" s="294">
        <v>282.54952138461613</v>
      </c>
      <c r="AA189" s="294">
        <v>222.76402264289672</v>
      </c>
      <c r="AB189" s="294">
        <v>213.62611895535051</v>
      </c>
      <c r="AC189" s="294">
        <v>274.62234147397174</v>
      </c>
      <c r="AD189" s="294">
        <v>313.16117937869353</v>
      </c>
      <c r="AE189" s="294">
        <v>310.8067530283522</v>
      </c>
      <c r="AF189" s="294">
        <v>288.47862110339776</v>
      </c>
      <c r="AG189" s="294">
        <v>318.51790157374307</v>
      </c>
      <c r="AH189" s="294">
        <v>289.6832828256982</v>
      </c>
      <c r="AI189" s="294">
        <v>282.53397546776461</v>
      </c>
      <c r="AJ189" s="294">
        <v>187.27911382999952</v>
      </c>
      <c r="AK189" s="294">
        <v>176.2044045641027</v>
      </c>
      <c r="AL189" s="294">
        <v>204.91169194978465</v>
      </c>
      <c r="AM189" s="294">
        <v>209.24240238340676</v>
      </c>
      <c r="AN189" s="294">
        <v>187.63806744086588</v>
      </c>
      <c r="AO189" s="294">
        <v>203.88592416766107</v>
      </c>
      <c r="AP189" s="294">
        <v>191.33000110740142</v>
      </c>
      <c r="AQ189" s="294">
        <v>164.64894757451702</v>
      </c>
      <c r="AR189" s="294">
        <v>172.02869933970064</v>
      </c>
      <c r="AS189" s="294">
        <v>185.41327213852989</v>
      </c>
      <c r="AT189" s="294">
        <v>225.39570712577694</v>
      </c>
      <c r="AU189" s="294">
        <v>243.31809372463195</v>
      </c>
      <c r="AV189" s="294">
        <v>262.05678590118612</v>
      </c>
      <c r="AW189" s="294">
        <v>270.80897134589804</v>
      </c>
      <c r="AX189" s="294">
        <v>307.65913443937745</v>
      </c>
      <c r="AY189" s="294">
        <v>371.61998235225195</v>
      </c>
      <c r="AZ189" s="294">
        <v>350.94282062349561</v>
      </c>
      <c r="BA189" s="294">
        <v>348.79601682978313</v>
      </c>
      <c r="BB189" s="294">
        <v>374.44540634568256</v>
      </c>
      <c r="BC189" s="298">
        <f t="shared" si="2"/>
        <v>374.44540634568256</v>
      </c>
    </row>
    <row r="190" spans="2:55">
      <c r="B190" s="72" t="s">
        <v>768</v>
      </c>
      <c r="C190" s="72" t="s">
        <v>769</v>
      </c>
      <c r="D190" s="294">
        <v>95.22529578556184</v>
      </c>
      <c r="E190" s="294">
        <v>102.41596127605956</v>
      </c>
      <c r="F190" s="294">
        <v>105.43561574412584</v>
      </c>
      <c r="G190" s="294">
        <v>110.88133020621456</v>
      </c>
      <c r="H190" s="294">
        <v>114.7444379720004</v>
      </c>
      <c r="I190" s="294">
        <v>121.63835878024405</v>
      </c>
      <c r="J190" s="294">
        <v>97.211179544381139</v>
      </c>
      <c r="K190" s="294">
        <v>94.996233720913764</v>
      </c>
      <c r="L190" s="294">
        <v>118.4179310646404</v>
      </c>
      <c r="M190" s="294">
        <v>218.73160959997384</v>
      </c>
      <c r="N190" s="294">
        <v>156.29765381170668</v>
      </c>
      <c r="O190" s="294">
        <v>203.92271975969686</v>
      </c>
      <c r="P190" s="294">
        <v>245.67071618974384</v>
      </c>
      <c r="Q190" s="294">
        <v>392.12702791993905</v>
      </c>
      <c r="R190" s="294">
        <v>426.44279165219172</v>
      </c>
      <c r="S190" s="294">
        <v>541.37822030207167</v>
      </c>
      <c r="T190" s="294">
        <v>521.29162096629955</v>
      </c>
      <c r="U190" s="294">
        <v>512.5306227428166</v>
      </c>
      <c r="V190" s="294">
        <v>643.64993139140802</v>
      </c>
      <c r="W190" s="294">
        <v>849.8664115597827</v>
      </c>
      <c r="X190" s="294">
        <v>772.10463172099674</v>
      </c>
      <c r="Y190" s="294">
        <v>624.98280142437864</v>
      </c>
      <c r="Z190" s="294">
        <v>428.12792607627841</v>
      </c>
      <c r="AA190" s="294">
        <v>336.74288631144617</v>
      </c>
      <c r="AB190" s="294">
        <v>330.98402494979882</v>
      </c>
      <c r="AC190" s="294">
        <v>229.51811708254692</v>
      </c>
      <c r="AD190" s="294">
        <v>259.41033223390514</v>
      </c>
      <c r="AE190" s="294">
        <v>246.38634344246447</v>
      </c>
      <c r="AF190" s="294">
        <v>250.63210856349497</v>
      </c>
      <c r="AG190" s="294">
        <v>291.86950974192894</v>
      </c>
      <c r="AH190" s="294">
        <v>273.1713944999475</v>
      </c>
      <c r="AI190" s="294">
        <v>319.29758921113245</v>
      </c>
      <c r="AJ190" s="294">
        <v>203.49225328767352</v>
      </c>
      <c r="AK190" s="294">
        <v>220.22159999372573</v>
      </c>
      <c r="AL190" s="294">
        <v>255.50066585219349</v>
      </c>
      <c r="AM190" s="294">
        <v>313.44060529555469</v>
      </c>
      <c r="AN190" s="294">
        <v>314.3035731062493</v>
      </c>
      <c r="AO190" s="294">
        <v>272.4436395290748</v>
      </c>
      <c r="AP190" s="294">
        <v>287.91828991813492</v>
      </c>
      <c r="AQ190" s="294">
        <v>371.7680803881828</v>
      </c>
      <c r="AR190" s="294">
        <v>378.83092754559976</v>
      </c>
      <c r="AS190" s="294">
        <v>455.33200379905657</v>
      </c>
      <c r="AT190" s="294">
        <v>508.43402765768911</v>
      </c>
      <c r="AU190" s="294">
        <v>644.03054185035512</v>
      </c>
      <c r="AV190" s="294">
        <v>802.7867467066867</v>
      </c>
      <c r="AW190" s="294">
        <v>1014.5754710274609</v>
      </c>
      <c r="AX190" s="294">
        <v>1129.0851026817143</v>
      </c>
      <c r="AY190" s="294">
        <v>1374.6722345870521</v>
      </c>
      <c r="AZ190" s="294">
        <v>1091.2639763818609</v>
      </c>
      <c r="BA190" s="294">
        <v>1443.2095913017333</v>
      </c>
      <c r="BB190" s="294">
        <v>1501.7215825168407</v>
      </c>
      <c r="BC190" s="298">
        <f t="shared" si="2"/>
        <v>1501.7215825168407</v>
      </c>
    </row>
    <row r="191" spans="2:55">
      <c r="B191" s="72" t="s">
        <v>770</v>
      </c>
      <c r="C191" s="72" t="s">
        <v>771</v>
      </c>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8">
        <f t="shared" si="2"/>
        <v>0</v>
      </c>
    </row>
    <row r="192" spans="2:55">
      <c r="B192" s="72" t="s">
        <v>772</v>
      </c>
      <c r="C192" s="72" t="s">
        <v>773</v>
      </c>
      <c r="D192" s="294">
        <v>1560.3249311722964</v>
      </c>
      <c r="E192" s="294">
        <v>1667.2474297782023</v>
      </c>
      <c r="F192" s="294">
        <v>1775.5826554497855</v>
      </c>
      <c r="G192" s="294">
        <v>1937.8846138592774</v>
      </c>
      <c r="H192" s="294">
        <v>2164.4688233673587</v>
      </c>
      <c r="I192" s="294">
        <v>2317.1948838265644</v>
      </c>
      <c r="J192" s="294">
        <v>2514.0437721470475</v>
      </c>
      <c r="K192" s="294">
        <v>2662.1174915311713</v>
      </c>
      <c r="L192" s="294">
        <v>2875.2358439685754</v>
      </c>
      <c r="M192" s="294">
        <v>3284.4380891654801</v>
      </c>
      <c r="N192" s="294">
        <v>3708.9698348295256</v>
      </c>
      <c r="O192" s="294">
        <v>4378.2630724770488</v>
      </c>
      <c r="P192" s="294">
        <v>5641.0253408800454</v>
      </c>
      <c r="Q192" s="294">
        <v>6743.8102126778213</v>
      </c>
      <c r="R192" s="294">
        <v>8126.6317048169531</v>
      </c>
      <c r="S192" s="294">
        <v>8836.163006636476</v>
      </c>
      <c r="T192" s="294">
        <v>10157.73004731117</v>
      </c>
      <c r="U192" s="294">
        <v>11337.52862167557</v>
      </c>
      <c r="V192" s="294">
        <v>12903.012559273462</v>
      </c>
      <c r="W192" s="294">
        <v>15594.785295514655</v>
      </c>
      <c r="X192" s="294">
        <v>15334.607963588114</v>
      </c>
      <c r="Y192" s="294">
        <v>15031.309096911205</v>
      </c>
      <c r="Z192" s="294">
        <v>14722.290129921772</v>
      </c>
      <c r="AA192" s="294">
        <v>14757.756412664883</v>
      </c>
      <c r="AB192" s="294">
        <v>15474.281139099936</v>
      </c>
      <c r="AC192" s="294">
        <v>18525.630774087957</v>
      </c>
      <c r="AD192" s="294">
        <v>22080.222075206439</v>
      </c>
      <c r="AE192" s="294">
        <v>23769.418389886898</v>
      </c>
      <c r="AF192" s="294">
        <v>23840.282037581994</v>
      </c>
      <c r="AG192" s="294">
        <v>27731.801672713202</v>
      </c>
      <c r="AH192" s="294">
        <v>28077.177637548823</v>
      </c>
      <c r="AI192" s="294">
        <v>29931.6322005697</v>
      </c>
      <c r="AJ192" s="294">
        <v>27404.588058934227</v>
      </c>
      <c r="AK192" s="294">
        <v>28713.477930485355</v>
      </c>
      <c r="AL192" s="294">
        <v>34162.321360456051</v>
      </c>
      <c r="AM192" s="294">
        <v>36554.671790101122</v>
      </c>
      <c r="AN192" s="294">
        <v>35917.689436632449</v>
      </c>
      <c r="AO192" s="294">
        <v>34105.918475669292</v>
      </c>
      <c r="AP192" s="294">
        <v>35645.089157065901</v>
      </c>
      <c r="AQ192" s="294">
        <v>37472.671674319601</v>
      </c>
      <c r="AR192" s="294">
        <v>37867.142222459333</v>
      </c>
      <c r="AS192" s="294">
        <v>42291.82521593912</v>
      </c>
      <c r="AT192" s="294">
        <v>49263.513151643121</v>
      </c>
      <c r="AU192" s="294">
        <v>56627.657381784316</v>
      </c>
      <c r="AV192" s="294">
        <v>65767.019607604467</v>
      </c>
      <c r="AW192" s="294">
        <v>72959.768013036912</v>
      </c>
      <c r="AX192" s="294">
        <v>83556.249304661746</v>
      </c>
      <c r="AY192" s="294">
        <v>95189.865927292631</v>
      </c>
      <c r="AZ192" s="294">
        <v>77610.021160484204</v>
      </c>
      <c r="BA192" s="294">
        <v>85443.059389579939</v>
      </c>
      <c r="BB192" s="294">
        <v>98102.462208631434</v>
      </c>
      <c r="BC192" s="298">
        <f t="shared" si="2"/>
        <v>98102.462208631434</v>
      </c>
    </row>
    <row r="193" spans="2:55">
      <c r="B193" s="72" t="s">
        <v>774</v>
      </c>
      <c r="C193" s="72" t="s">
        <v>775</v>
      </c>
      <c r="D193" s="294">
        <v>79.978992065476874</v>
      </c>
      <c r="E193" s="294">
        <v>96.287815480007637</v>
      </c>
      <c r="F193" s="294">
        <v>100.0156239558323</v>
      </c>
      <c r="G193" s="294">
        <v>100.70561440583593</v>
      </c>
      <c r="H193" s="294">
        <v>100.35630960256488</v>
      </c>
      <c r="I193" s="294">
        <v>104.61984213268597</v>
      </c>
      <c r="J193" s="294">
        <v>160.88357096145265</v>
      </c>
      <c r="K193" s="294">
        <v>275.37840124447763</v>
      </c>
      <c r="L193" s="294">
        <v>339.14419678372428</v>
      </c>
      <c r="M193" s="294">
        <v>350.30577448787665</v>
      </c>
      <c r="N193" s="294">
        <v>397.08588301840388</v>
      </c>
      <c r="O193" s="294">
        <v>466.17867458719491</v>
      </c>
      <c r="P193" s="294">
        <v>589.55544219620617</v>
      </c>
      <c r="Q193" s="294">
        <v>1922.284499795041</v>
      </c>
      <c r="R193" s="294">
        <v>2334.110822626425</v>
      </c>
      <c r="S193" s="294">
        <v>2707.2823717510528</v>
      </c>
      <c r="T193" s="294">
        <v>2746.3881221078213</v>
      </c>
      <c r="U193" s="294">
        <v>2596.907871888191</v>
      </c>
      <c r="V193" s="294">
        <v>3343.8329145836633</v>
      </c>
      <c r="W193" s="294">
        <v>5063.5509500450753</v>
      </c>
      <c r="X193" s="294">
        <v>5807.9558011534355</v>
      </c>
      <c r="Y193" s="294">
        <v>5716.126984792244</v>
      </c>
      <c r="Z193" s="294">
        <v>5686.2792926939956</v>
      </c>
      <c r="AA193" s="294">
        <v>6009.7879287562046</v>
      </c>
      <c r="AB193" s="294">
        <v>6503.1899433745493</v>
      </c>
      <c r="AC193" s="294">
        <v>4562.0252985693942</v>
      </c>
      <c r="AD193" s="294">
        <v>4680.9037578920615</v>
      </c>
      <c r="AE193" s="294">
        <v>4844.253089451995</v>
      </c>
      <c r="AF193" s="294">
        <v>5215.9711574347421</v>
      </c>
      <c r="AG193" s="294">
        <v>6255.1935611354347</v>
      </c>
      <c r="AH193" s="294">
        <v>5824.9809396805558</v>
      </c>
      <c r="AI193" s="294">
        <v>6129.9678928548201</v>
      </c>
      <c r="AJ193" s="294">
        <v>5911.3844343983374</v>
      </c>
      <c r="AK193" s="294">
        <v>5918.9697199733855</v>
      </c>
      <c r="AL193" s="294">
        <v>6183.9111084678843</v>
      </c>
      <c r="AM193" s="294">
        <v>6763.8732684990755</v>
      </c>
      <c r="AN193" s="294">
        <v>6987.7202738008918</v>
      </c>
      <c r="AO193" s="294">
        <v>6224.2890833720639</v>
      </c>
      <c r="AP193" s="294">
        <v>6953.2452184523108</v>
      </c>
      <c r="AQ193" s="294">
        <v>8774.933849847097</v>
      </c>
      <c r="AR193" s="294">
        <v>8752.868904902145</v>
      </c>
      <c r="AS193" s="294">
        <v>8706.2579134008156</v>
      </c>
      <c r="AT193" s="294">
        <v>9221.9893741885444</v>
      </c>
      <c r="AU193" s="294">
        <v>10374.31308255741</v>
      </c>
      <c r="AV193" s="294">
        <v>12720.701610852055</v>
      </c>
      <c r="AW193" s="294">
        <v>14776.899482458428</v>
      </c>
      <c r="AX193" s="294">
        <v>16360.059101061053</v>
      </c>
      <c r="AY193" s="294">
        <v>22968.456735743206</v>
      </c>
      <c r="AZ193" s="294">
        <v>17280.097235258461</v>
      </c>
      <c r="BA193" s="294">
        <v>20790.83795766802</v>
      </c>
      <c r="BB193" s="294">
        <v>25220.617726421748</v>
      </c>
      <c r="BC193" s="298">
        <f t="shared" si="2"/>
        <v>25220.617726421748</v>
      </c>
    </row>
    <row r="194" spans="2:55">
      <c r="B194" s="72" t="s">
        <v>776</v>
      </c>
      <c r="C194" s="72" t="s">
        <v>777</v>
      </c>
      <c r="D194" s="294">
        <v>86.206705239212212</v>
      </c>
      <c r="E194" s="294">
        <v>87.826570181052944</v>
      </c>
      <c r="F194" s="294">
        <v>91.887552307473811</v>
      </c>
      <c r="G194" s="294">
        <v>101.23344508241698</v>
      </c>
      <c r="H194" s="294">
        <v>113.18264617683717</v>
      </c>
      <c r="I194" s="294">
        <v>121.19021758693472</v>
      </c>
      <c r="J194" s="294">
        <v>135.15433255984394</v>
      </c>
      <c r="K194" s="294">
        <v>143.80433897801072</v>
      </c>
      <c r="L194" s="294">
        <v>149.38224320818091</v>
      </c>
      <c r="M194" s="294">
        <v>168.85552443103398</v>
      </c>
      <c r="N194" s="294">
        <v>173.70810913040657</v>
      </c>
      <c r="O194" s="294">
        <v>148.34932843166555</v>
      </c>
      <c r="P194" s="294">
        <v>97.981372635809677</v>
      </c>
      <c r="Q194" s="294">
        <v>132.01076004907665</v>
      </c>
      <c r="R194" s="294">
        <v>165.58969630607419</v>
      </c>
      <c r="S194" s="294">
        <v>188.84443852495428</v>
      </c>
      <c r="T194" s="294">
        <v>207.47824600261006</v>
      </c>
      <c r="U194" s="294">
        <v>236.64385826808342</v>
      </c>
      <c r="V194" s="294">
        <v>253.20877447658805</v>
      </c>
      <c r="W194" s="294">
        <v>294.308779190694</v>
      </c>
      <c r="X194" s="294">
        <v>337.42267499339783</v>
      </c>
      <c r="Y194" s="294">
        <v>356.50257440456267</v>
      </c>
      <c r="Z194" s="294">
        <v>321.65796573169098</v>
      </c>
      <c r="AA194" s="294">
        <v>337.50521732605125</v>
      </c>
      <c r="AB194" s="294">
        <v>326.22600712925902</v>
      </c>
      <c r="AC194" s="294">
        <v>323.15637112401686</v>
      </c>
      <c r="AD194" s="294">
        <v>326.93763131314228</v>
      </c>
      <c r="AE194" s="294">
        <v>365.25055628929186</v>
      </c>
      <c r="AF194" s="294">
        <v>369.82588345632382</v>
      </c>
      <c r="AG194" s="294">
        <v>357.73204362402299</v>
      </c>
      <c r="AH194" s="294">
        <v>395.33722631637278</v>
      </c>
      <c r="AI194" s="294">
        <v>412.12708583721536</v>
      </c>
      <c r="AJ194" s="294">
        <v>425.33579039801759</v>
      </c>
      <c r="AK194" s="294">
        <v>418.0956814205428</v>
      </c>
      <c r="AL194" s="294">
        <v>476.14948400114417</v>
      </c>
      <c r="AM194" s="294">
        <v>484.33130543784921</v>
      </c>
      <c r="AN194" s="294">
        <v>465.03219811083517</v>
      </c>
      <c r="AO194" s="294">
        <v>451.29350710545981</v>
      </c>
      <c r="AP194" s="294">
        <v>445.7976721023353</v>
      </c>
      <c r="AQ194" s="294">
        <v>511.70255547881163</v>
      </c>
      <c r="AR194" s="294">
        <v>490.04313216053458</v>
      </c>
      <c r="AS194" s="294">
        <v>480.74028507372367</v>
      </c>
      <c r="AT194" s="294">
        <v>543.58664078168249</v>
      </c>
      <c r="AU194" s="294">
        <v>628.62648985194448</v>
      </c>
      <c r="AV194" s="294">
        <v>690.84862515103873</v>
      </c>
      <c r="AW194" s="294">
        <v>789.40855678259709</v>
      </c>
      <c r="AX194" s="294">
        <v>870.6294733675727</v>
      </c>
      <c r="AY194" s="294">
        <v>978.79528130987501</v>
      </c>
      <c r="AZ194" s="294">
        <v>949.11658486786894</v>
      </c>
      <c r="BA194" s="294">
        <v>1016.6143746497177</v>
      </c>
      <c r="BB194" s="294">
        <v>1189.3731930783247</v>
      </c>
      <c r="BC194" s="298">
        <f t="shared" si="2"/>
        <v>1189.3731930783247</v>
      </c>
    </row>
    <row r="195" spans="2:55">
      <c r="B195" s="72" t="s">
        <v>778</v>
      </c>
      <c r="C195" s="72" t="s">
        <v>779</v>
      </c>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v>5095.6325800251843</v>
      </c>
      <c r="AH195" s="294">
        <v>5420.1409087971042</v>
      </c>
      <c r="AI195" s="294">
        <v>5187.5550522209642</v>
      </c>
      <c r="AJ195" s="294">
        <v>4644.0501682471713</v>
      </c>
      <c r="AK195" s="294">
        <v>4970.6617472030466</v>
      </c>
      <c r="AL195" s="294">
        <v>5519.7055755187203</v>
      </c>
      <c r="AM195" s="294">
        <v>6115.2368034361934</v>
      </c>
      <c r="AN195" s="294">
        <v>6247.2685134091162</v>
      </c>
      <c r="AO195" s="294">
        <v>6334.0891912320485</v>
      </c>
      <c r="AP195" s="294">
        <v>6012.1318075863528</v>
      </c>
      <c r="AQ195" s="294">
        <v>6251.9820571667015</v>
      </c>
      <c r="AR195" s="294">
        <v>6424.9046490052569</v>
      </c>
      <c r="AS195" s="294">
        <v>6103.0501200633526</v>
      </c>
      <c r="AT195" s="294">
        <v>6230.4802518022134</v>
      </c>
      <c r="AU195" s="294">
        <v>6744.4326617179213</v>
      </c>
      <c r="AV195" s="294">
        <v>7305.7369637295287</v>
      </c>
      <c r="AW195" s="294">
        <v>7826.3954824846332</v>
      </c>
      <c r="AX195" s="294">
        <v>7885.2712367034501</v>
      </c>
      <c r="AY195" s="294">
        <v>7923.6696198424652</v>
      </c>
      <c r="AZ195" s="294">
        <v>7530.3707751937127</v>
      </c>
      <c r="BA195" s="294">
        <v>7626.578915811011</v>
      </c>
      <c r="BB195" s="294">
        <v>8031.3122525054832</v>
      </c>
      <c r="BC195" s="298">
        <f t="shared" si="2"/>
        <v>8031.3122525054832</v>
      </c>
    </row>
    <row r="196" spans="2:55">
      <c r="B196" s="72" t="s">
        <v>780</v>
      </c>
      <c r="C196" s="72" t="s">
        <v>781</v>
      </c>
      <c r="D196" s="294">
        <v>399.1536875015064</v>
      </c>
      <c r="E196" s="294">
        <v>422.0679589570708</v>
      </c>
      <c r="F196" s="294">
        <v>454.36940270932462</v>
      </c>
      <c r="G196" s="294">
        <v>473.8517888141638</v>
      </c>
      <c r="H196" s="294">
        <v>505.41220081383693</v>
      </c>
      <c r="I196" s="294">
        <v>534.70487488723973</v>
      </c>
      <c r="J196" s="294">
        <v>578.20584473870258</v>
      </c>
      <c r="K196" s="294">
        <v>604.121971763224</v>
      </c>
      <c r="L196" s="294">
        <v>644.17570856602424</v>
      </c>
      <c r="M196" s="294">
        <v>673.12572740362771</v>
      </c>
      <c r="N196" s="294">
        <v>738.66701881162669</v>
      </c>
      <c r="O196" s="294">
        <v>789.81316530789547</v>
      </c>
      <c r="P196" s="294">
        <v>879.51842521530261</v>
      </c>
      <c r="Q196" s="294">
        <v>979.01925228156472</v>
      </c>
      <c r="R196" s="294">
        <v>1068.4136882974879</v>
      </c>
      <c r="S196" s="294">
        <v>1106.0380590451482</v>
      </c>
      <c r="T196" s="294">
        <v>1143.5189844292286</v>
      </c>
      <c r="U196" s="294">
        <v>1322.6703785210796</v>
      </c>
      <c r="V196" s="294">
        <v>1477.7906287595438</v>
      </c>
      <c r="W196" s="294">
        <v>1950.9694940525717</v>
      </c>
      <c r="X196" s="294">
        <v>2158.2265780095795</v>
      </c>
      <c r="Y196" s="294">
        <v>2331.7361688508395</v>
      </c>
      <c r="Z196" s="294">
        <v>2342.2021555211886</v>
      </c>
      <c r="AA196" s="294">
        <v>2392.8897952948223</v>
      </c>
      <c r="AB196" s="294">
        <v>2478.4091201051192</v>
      </c>
      <c r="AC196" s="294">
        <v>2522.2925242874617</v>
      </c>
      <c r="AD196" s="294">
        <v>2481.6144512239939</v>
      </c>
      <c r="AE196" s="294">
        <v>2101.9518894712674</v>
      </c>
      <c r="AF196" s="294">
        <v>2064.9084701594848</v>
      </c>
      <c r="AG196" s="294">
        <v>2199.2395462443801</v>
      </c>
      <c r="AH196" s="294">
        <v>2369.0605709540191</v>
      </c>
      <c r="AI196" s="294">
        <v>2638.2442530972971</v>
      </c>
      <c r="AJ196" s="294">
        <v>2822.4224725957242</v>
      </c>
      <c r="AK196" s="294">
        <v>2948.6031317208453</v>
      </c>
      <c r="AL196" s="294">
        <v>2953.4249359153</v>
      </c>
      <c r="AM196" s="294">
        <v>3412.5423680417848</v>
      </c>
      <c r="AN196" s="294">
        <v>3617.9315075767036</v>
      </c>
      <c r="AO196" s="294">
        <v>3845.0365001498271</v>
      </c>
      <c r="AP196" s="294">
        <v>3950.9441874773247</v>
      </c>
      <c r="AQ196" s="294">
        <v>3930.9894097883512</v>
      </c>
      <c r="AR196" s="294">
        <v>3919.3264368235782</v>
      </c>
      <c r="AS196" s="294">
        <v>3998.6667201021269</v>
      </c>
      <c r="AT196" s="294">
        <v>4137.8758720423348</v>
      </c>
      <c r="AU196" s="294">
        <v>4456.1402075255919</v>
      </c>
      <c r="AV196" s="294">
        <v>4775.5302825136851</v>
      </c>
      <c r="AW196" s="294">
        <v>5201.5687569564952</v>
      </c>
      <c r="AX196" s="294">
        <v>5907.3683974587748</v>
      </c>
      <c r="AY196" s="294">
        <v>6752.2934917996163</v>
      </c>
      <c r="AZ196" s="294">
        <v>6955.7448349909482</v>
      </c>
      <c r="BA196" s="294">
        <v>7614.0092469901783</v>
      </c>
      <c r="BB196" s="294">
        <v>7498.3793894743621</v>
      </c>
      <c r="BC196" s="298">
        <f t="shared" si="2"/>
        <v>7498.3793894743621</v>
      </c>
    </row>
    <row r="197" spans="2:55">
      <c r="B197" s="72" t="s">
        <v>782</v>
      </c>
      <c r="C197" s="72" t="s">
        <v>783</v>
      </c>
      <c r="D197" s="294">
        <v>122.35184396958972</v>
      </c>
      <c r="E197" s="294">
        <v>128.20975325608677</v>
      </c>
      <c r="F197" s="294">
        <v>132.95659836316517</v>
      </c>
      <c r="G197" s="294">
        <v>144.23132586265552</v>
      </c>
      <c r="H197" s="294">
        <v>159.25295017967505</v>
      </c>
      <c r="I197" s="294">
        <v>177.0392987517659</v>
      </c>
      <c r="J197" s="294">
        <v>195.54529615708003</v>
      </c>
      <c r="K197" s="294">
        <v>209.75591631249824</v>
      </c>
      <c r="L197" s="294">
        <v>232.4457078965774</v>
      </c>
      <c r="M197" s="294">
        <v>265.14054621001713</v>
      </c>
      <c r="N197" s="294">
        <v>286.74133395283769</v>
      </c>
      <c r="O197" s="294">
        <v>333.38330071171856</v>
      </c>
      <c r="P197" s="294">
        <v>489.76544292317652</v>
      </c>
      <c r="Q197" s="294">
        <v>537.33785925872417</v>
      </c>
      <c r="R197" s="294">
        <v>482.8422668555109</v>
      </c>
      <c r="S197" s="294">
        <v>523.4230229185481</v>
      </c>
      <c r="T197" s="294">
        <v>552.90980507306188</v>
      </c>
      <c r="U197" s="294">
        <v>639.16503344652995</v>
      </c>
      <c r="V197" s="294">
        <v>732.78865459689519</v>
      </c>
      <c r="W197" s="294">
        <v>791.82411565396762</v>
      </c>
      <c r="X197" s="294">
        <v>756.06640450281452</v>
      </c>
      <c r="Y197" s="294">
        <v>697.53856483690583</v>
      </c>
      <c r="Z197" s="294">
        <v>734.40119732670644</v>
      </c>
      <c r="AA197" s="294">
        <v>712.29560497190528</v>
      </c>
      <c r="AB197" s="294">
        <v>658.94465555926558</v>
      </c>
      <c r="AC197" s="294">
        <v>702.13828570701116</v>
      </c>
      <c r="AD197" s="294">
        <v>813.36643245545361</v>
      </c>
      <c r="AE197" s="294">
        <v>923.2069056947081</v>
      </c>
      <c r="AF197" s="294">
        <v>874.10916443225528</v>
      </c>
      <c r="AG197" s="294">
        <v>774.4103682028375</v>
      </c>
      <c r="AH197" s="294">
        <v>888.7291807314275</v>
      </c>
      <c r="AI197" s="294">
        <v>1002.0987613345949</v>
      </c>
      <c r="AJ197" s="294">
        <v>1110.4259905057165</v>
      </c>
      <c r="AK197" s="294">
        <v>1197.4089444306273</v>
      </c>
      <c r="AL197" s="294">
        <v>983.14037802476651</v>
      </c>
      <c r="AM197" s="294">
        <v>1065.0304449590164</v>
      </c>
      <c r="AN197" s="294">
        <v>993.18517856833546</v>
      </c>
      <c r="AO197" s="294">
        <v>742.42056615466026</v>
      </c>
      <c r="AP197" s="294">
        <v>663.49018775347054</v>
      </c>
      <c r="AQ197" s="294">
        <v>654.66878165128003</v>
      </c>
      <c r="AR197" s="294">
        <v>558.30056213354908</v>
      </c>
      <c r="AS197" s="294">
        <v>529.95953838096125</v>
      </c>
      <c r="AT197" s="294">
        <v>609.41606872584987</v>
      </c>
      <c r="AU197" s="294">
        <v>660.22618128927957</v>
      </c>
      <c r="AV197" s="294">
        <v>804.13996832860914</v>
      </c>
      <c r="AW197" s="294">
        <v>896.52133742782848</v>
      </c>
      <c r="AX197" s="294">
        <v>989.52300589901779</v>
      </c>
      <c r="AY197" s="294">
        <v>1223.0939962100147</v>
      </c>
      <c r="AZ197" s="294">
        <v>1180.6904331869566</v>
      </c>
      <c r="BA197" s="294">
        <v>1382.2805879515881</v>
      </c>
      <c r="BB197" s="294">
        <v>1844.5250399157769</v>
      </c>
      <c r="BC197" s="298">
        <f t="shared" si="2"/>
        <v>1844.5250399157769</v>
      </c>
    </row>
    <row r="198" spans="2:55">
      <c r="B198" s="72" t="s">
        <v>784</v>
      </c>
      <c r="C198" s="72" t="s">
        <v>785</v>
      </c>
      <c r="D198" s="294"/>
      <c r="E198" s="294"/>
      <c r="F198" s="294"/>
      <c r="G198" s="294"/>
      <c r="H198" s="294">
        <v>203.83582123115207</v>
      </c>
      <c r="I198" s="294">
        <v>208.42202730041478</v>
      </c>
      <c r="J198" s="294">
        <v>214.56988280163745</v>
      </c>
      <c r="K198" s="294">
        <v>219.52390031630361</v>
      </c>
      <c r="L198" s="294">
        <v>229.83873253538863</v>
      </c>
      <c r="M198" s="294">
        <v>239.51966855024571</v>
      </c>
      <c r="N198" s="294">
        <v>261.19374872321191</v>
      </c>
      <c r="O198" s="294">
        <v>295.06305883092637</v>
      </c>
      <c r="P198" s="294">
        <v>372.95821156078568</v>
      </c>
      <c r="Q198" s="294">
        <v>487.69412774862167</v>
      </c>
      <c r="R198" s="294">
        <v>539.38218463384976</v>
      </c>
      <c r="S198" s="294">
        <v>591.3421640767765</v>
      </c>
      <c r="T198" s="294">
        <v>709.91291025657426</v>
      </c>
      <c r="U198" s="294">
        <v>846.27379910615844</v>
      </c>
      <c r="V198" s="294">
        <v>1099.6115464741479</v>
      </c>
      <c r="W198" s="294">
        <v>1433.2137756342731</v>
      </c>
      <c r="X198" s="294">
        <v>1758.4760943790045</v>
      </c>
      <c r="Y198" s="294">
        <v>1601.059329127108</v>
      </c>
      <c r="Z198" s="294">
        <v>1606.6586579217928</v>
      </c>
      <c r="AA198" s="294">
        <v>1222.7487439474139</v>
      </c>
      <c r="AB198" s="294">
        <v>855.19260577139244</v>
      </c>
      <c r="AC198" s="294">
        <v>931.27530734590471</v>
      </c>
      <c r="AD198" s="294">
        <v>953.6653257414066</v>
      </c>
      <c r="AE198" s="294">
        <v>982.03246845644685</v>
      </c>
      <c r="AF198" s="294">
        <v>1055.5545514888747</v>
      </c>
      <c r="AG198" s="294">
        <v>1240.5206272702285</v>
      </c>
      <c r="AH198" s="294">
        <v>1435.0752469378076</v>
      </c>
      <c r="AI198" s="294">
        <v>1443.6346018886566</v>
      </c>
      <c r="AJ198" s="294">
        <v>1502.6470732127575</v>
      </c>
      <c r="AK198" s="294">
        <v>1481.3692393041488</v>
      </c>
      <c r="AL198" s="294">
        <v>1682.0015989512297</v>
      </c>
      <c r="AM198" s="294">
        <v>1782.6995699829895</v>
      </c>
      <c r="AN198" s="294">
        <v>1769.2352707361772</v>
      </c>
      <c r="AO198" s="294">
        <v>1544.7026381293424</v>
      </c>
      <c r="AP198" s="294">
        <v>1393.3081529519357</v>
      </c>
      <c r="AQ198" s="294">
        <v>1323.4819338489472</v>
      </c>
      <c r="AR198" s="294">
        <v>1181.829950566871</v>
      </c>
      <c r="AS198" s="294">
        <v>915.01015917357824</v>
      </c>
      <c r="AT198" s="294">
        <v>978.20636791921083</v>
      </c>
      <c r="AU198" s="294">
        <v>1200.8754103741385</v>
      </c>
      <c r="AV198" s="294">
        <v>1267.1098283609754</v>
      </c>
      <c r="AW198" s="294">
        <v>1543.7832311591342</v>
      </c>
      <c r="AX198" s="294">
        <v>1997.2345446199845</v>
      </c>
      <c r="AY198" s="294">
        <v>2710.5664375049523</v>
      </c>
      <c r="AZ198" s="294">
        <v>2254.2413060801377</v>
      </c>
      <c r="BA198" s="294">
        <v>2840.3495957240602</v>
      </c>
      <c r="BB198" s="294">
        <v>3629.0677971791633</v>
      </c>
      <c r="BC198" s="298">
        <f t="shared" si="2"/>
        <v>3629.0677971791633</v>
      </c>
    </row>
    <row r="199" spans="2:55">
      <c r="B199" s="72" t="s">
        <v>786</v>
      </c>
      <c r="C199" s="72" t="s">
        <v>339</v>
      </c>
      <c r="D199" s="294">
        <v>276.29657901335543</v>
      </c>
      <c r="E199" s="294">
        <v>304.27066126096815</v>
      </c>
      <c r="F199" s="294">
        <v>323.81785759306217</v>
      </c>
      <c r="G199" s="294">
        <v>380.62778813729977</v>
      </c>
      <c r="H199" s="294">
        <v>438.31237535863482</v>
      </c>
      <c r="I199" s="294">
        <v>504.15415487762192</v>
      </c>
      <c r="J199" s="294">
        <v>497.04390113301031</v>
      </c>
      <c r="K199" s="294">
        <v>447.66438259981737</v>
      </c>
      <c r="L199" s="294">
        <v>487.37525217868864</v>
      </c>
      <c r="M199" s="294">
        <v>548.64957898683406</v>
      </c>
      <c r="N199" s="294">
        <v>595.12818776281483</v>
      </c>
      <c r="O199" s="294">
        <v>641.64132613063714</v>
      </c>
      <c r="P199" s="294">
        <v>746.6912431492799</v>
      </c>
      <c r="Q199" s="294">
        <v>915.60174323218087</v>
      </c>
      <c r="R199" s="294">
        <v>1083.8313049316157</v>
      </c>
      <c r="S199" s="294">
        <v>997.26960659573911</v>
      </c>
      <c r="T199" s="294">
        <v>890.13028473838392</v>
      </c>
      <c r="U199" s="294">
        <v>740.74198820784477</v>
      </c>
      <c r="V199" s="294">
        <v>922.26845814211549</v>
      </c>
      <c r="W199" s="294">
        <v>1195.1999116030311</v>
      </c>
      <c r="X199" s="294">
        <v>1408.9630848939937</v>
      </c>
      <c r="Y199" s="294">
        <v>1367.1754281088647</v>
      </c>
      <c r="Z199" s="294">
        <v>1029.3093447900987</v>
      </c>
      <c r="AA199" s="294">
        <v>1043.3686655702631</v>
      </c>
      <c r="AB199" s="294">
        <v>968.05205663513561</v>
      </c>
      <c r="AC199" s="294">
        <v>903.21801103083317</v>
      </c>
      <c r="AD199" s="294">
        <v>1174.679628598243</v>
      </c>
      <c r="AE199" s="294">
        <v>595.03898208252576</v>
      </c>
      <c r="AF199" s="294">
        <v>968.59996773997432</v>
      </c>
      <c r="AG199" s="294">
        <v>1212.5303341605218</v>
      </c>
      <c r="AH199" s="294">
        <v>1561.5396895785925</v>
      </c>
      <c r="AI199" s="294">
        <v>1599.9453799402497</v>
      </c>
      <c r="AJ199" s="294">
        <v>1515.8569197528816</v>
      </c>
      <c r="AK199" s="294">
        <v>1918.8598132239756</v>
      </c>
      <c r="AL199" s="294">
        <v>2252.6427527872484</v>
      </c>
      <c r="AM199" s="294">
        <v>2304.2954060133638</v>
      </c>
      <c r="AN199" s="294">
        <v>2400.860444550784</v>
      </c>
      <c r="AO199" s="294">
        <v>2262.9040966299699</v>
      </c>
      <c r="AP199" s="294">
        <v>2021.67943705688</v>
      </c>
      <c r="AQ199" s="294">
        <v>2060.5762571781743</v>
      </c>
      <c r="AR199" s="294">
        <v>2056.3976487820037</v>
      </c>
      <c r="AS199" s="294">
        <v>2135.9645040216219</v>
      </c>
      <c r="AT199" s="294">
        <v>2279.1627915135045</v>
      </c>
      <c r="AU199" s="294">
        <v>2559.4642648303825</v>
      </c>
      <c r="AV199" s="294">
        <v>2880.5739988723772</v>
      </c>
      <c r="AW199" s="294">
        <v>3312.370916097841</v>
      </c>
      <c r="AX199" s="294">
        <v>3817.1202559816315</v>
      </c>
      <c r="AY199" s="294">
        <v>4457.9277582800405</v>
      </c>
      <c r="AZ199" s="294">
        <v>4412.386794628369</v>
      </c>
      <c r="BA199" s="294">
        <v>5283.2245953131369</v>
      </c>
      <c r="BB199" s="294">
        <v>6017.9062315946721</v>
      </c>
      <c r="BC199" s="298">
        <f t="shared" si="2"/>
        <v>6017.9062315946721</v>
      </c>
    </row>
    <row r="200" spans="2:55">
      <c r="B200" s="72" t="s">
        <v>787</v>
      </c>
      <c r="C200" s="72" t="s">
        <v>334</v>
      </c>
      <c r="D200" s="294">
        <v>269.84873340566241</v>
      </c>
      <c r="E200" s="294">
        <v>158.26299457388646</v>
      </c>
      <c r="F200" s="294">
        <v>169.70878477691016</v>
      </c>
      <c r="G200" s="294">
        <v>177.70125070581196</v>
      </c>
      <c r="H200" s="294">
        <v>188.9945838359408</v>
      </c>
      <c r="I200" s="294">
        <v>201.94188830999892</v>
      </c>
      <c r="J200" s="294">
        <v>209.49730259085874</v>
      </c>
      <c r="K200" s="294">
        <v>226.85991302610552</v>
      </c>
      <c r="L200" s="294">
        <v>244.10711028036204</v>
      </c>
      <c r="M200" s="294">
        <v>188.63077804892751</v>
      </c>
      <c r="N200" s="294">
        <v>203.04993406343962</v>
      </c>
      <c r="O200" s="294">
        <v>213.5379620877402</v>
      </c>
      <c r="P200" s="294">
        <v>260.98746259502144</v>
      </c>
      <c r="Q200" s="294">
        <v>346.70236964557989</v>
      </c>
      <c r="R200" s="294">
        <v>364.21952414457741</v>
      </c>
      <c r="S200" s="294">
        <v>406.46320856012682</v>
      </c>
      <c r="T200" s="294">
        <v>454.12847405533029</v>
      </c>
      <c r="U200" s="294">
        <v>510.28199201090115</v>
      </c>
      <c r="V200" s="294">
        <v>600.97037811579787</v>
      </c>
      <c r="W200" s="294">
        <v>689.49625682432122</v>
      </c>
      <c r="X200" s="294">
        <v>736.5143530426534</v>
      </c>
      <c r="Y200" s="294">
        <v>746.27706742551527</v>
      </c>
      <c r="Z200" s="294">
        <v>649.0932600938379</v>
      </c>
      <c r="AA200" s="294">
        <v>597.16147320068399</v>
      </c>
      <c r="AB200" s="294">
        <v>568.59660555867708</v>
      </c>
      <c r="AC200" s="294">
        <v>537.80911360224366</v>
      </c>
      <c r="AD200" s="294">
        <v>581.91050265964259</v>
      </c>
      <c r="AE200" s="294">
        <v>646.81826263030325</v>
      </c>
      <c r="AF200" s="294">
        <v>708.3810680172777</v>
      </c>
      <c r="AG200" s="294">
        <v>719.00945887486967</v>
      </c>
      <c r="AH200" s="294">
        <v>719.23598094211059</v>
      </c>
      <c r="AI200" s="294">
        <v>819.31639526520439</v>
      </c>
      <c r="AJ200" s="294">
        <v>821.59590462657059</v>
      </c>
      <c r="AK200" s="294">
        <v>946.55322552758776</v>
      </c>
      <c r="AL200" s="294">
        <v>1070.2397673720977</v>
      </c>
      <c r="AM200" s="294">
        <v>1169.6531788352327</v>
      </c>
      <c r="AN200" s="294">
        <v>1136.9272041282586</v>
      </c>
      <c r="AO200" s="294">
        <v>975.23237745626432</v>
      </c>
      <c r="AP200" s="294">
        <v>1096.8098134423381</v>
      </c>
      <c r="AQ200" s="294">
        <v>1048.0705130476242</v>
      </c>
      <c r="AR200" s="294">
        <v>965.77710014183617</v>
      </c>
      <c r="AS200" s="294">
        <v>1009.0194473313104</v>
      </c>
      <c r="AT200" s="294">
        <v>1019.6152321670301</v>
      </c>
      <c r="AU200" s="294">
        <v>1088.5731642578908</v>
      </c>
      <c r="AV200" s="294">
        <v>1204.7957585400827</v>
      </c>
      <c r="AW200" s="294">
        <v>1402.8460152358705</v>
      </c>
      <c r="AX200" s="294">
        <v>1684.7770711553924</v>
      </c>
      <c r="AY200" s="294">
        <v>1925.2133758543939</v>
      </c>
      <c r="AZ200" s="294">
        <v>1835.636513285584</v>
      </c>
      <c r="BA200" s="294">
        <v>2140.1215913222945</v>
      </c>
      <c r="BB200" s="294">
        <v>2369.517867279269</v>
      </c>
      <c r="BC200" s="298">
        <f t="shared" si="2"/>
        <v>2369.517867279269</v>
      </c>
    </row>
    <row r="201" spans="2:55">
      <c r="B201" s="72" t="s">
        <v>788</v>
      </c>
      <c r="C201" s="72" t="s">
        <v>789</v>
      </c>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v>1908.6333573573779</v>
      </c>
      <c r="AC201" s="294">
        <v>1972.7210252093789</v>
      </c>
      <c r="AD201" s="294">
        <v>1695.7982489646977</v>
      </c>
      <c r="AE201" s="294">
        <v>1819.5600555753238</v>
      </c>
      <c r="AF201" s="294">
        <v>2165.6513600754629</v>
      </c>
      <c r="AG201" s="294">
        <v>1693.7358096138128</v>
      </c>
      <c r="AH201" s="294">
        <v>2187.1505805637184</v>
      </c>
      <c r="AI201" s="294">
        <v>2405.7926905357681</v>
      </c>
      <c r="AJ201" s="294">
        <v>2443.0777302491992</v>
      </c>
      <c r="AK201" s="294">
        <v>2812.6030983031847</v>
      </c>
      <c r="AL201" s="294">
        <v>3603.1033207427408</v>
      </c>
      <c r="AM201" s="294">
        <v>4056.6124251212045</v>
      </c>
      <c r="AN201" s="294">
        <v>4066.1117103991492</v>
      </c>
      <c r="AO201" s="294">
        <v>4471.9598970869329</v>
      </c>
      <c r="AP201" s="294">
        <v>4340.4183557962606</v>
      </c>
      <c r="AQ201" s="294">
        <v>4454.0802196318955</v>
      </c>
      <c r="AR201" s="294">
        <v>4978.5738261707493</v>
      </c>
      <c r="AS201" s="294">
        <v>5183.8226063263664</v>
      </c>
      <c r="AT201" s="294">
        <v>5674.7370443390382</v>
      </c>
      <c r="AU201" s="294">
        <v>6620.0704241166031</v>
      </c>
      <c r="AV201" s="294">
        <v>7963.0212080808969</v>
      </c>
      <c r="AW201" s="294">
        <v>8958.0124224472129</v>
      </c>
      <c r="AX201" s="294">
        <v>11157.273191961935</v>
      </c>
      <c r="AY201" s="294">
        <v>13885.64174984232</v>
      </c>
      <c r="AZ201" s="294">
        <v>11293.846217491333</v>
      </c>
      <c r="BA201" s="294">
        <v>12303.207918544058</v>
      </c>
      <c r="BB201" s="294">
        <v>13462.854740753246</v>
      </c>
      <c r="BC201" s="298">
        <f t="shared" si="2"/>
        <v>13462.854740753246</v>
      </c>
    </row>
    <row r="202" spans="2:55">
      <c r="B202" s="72" t="s">
        <v>790</v>
      </c>
      <c r="C202" s="72" t="s">
        <v>791</v>
      </c>
      <c r="D202" s="294">
        <v>382.72994699436811</v>
      </c>
      <c r="E202" s="294">
        <v>407.85284361237183</v>
      </c>
      <c r="F202" s="294">
        <v>432.51172957507521</v>
      </c>
      <c r="G202" s="294">
        <v>468.78108163544283</v>
      </c>
      <c r="H202" s="294">
        <v>520.91065936788448</v>
      </c>
      <c r="I202" s="294">
        <v>575.00768066822127</v>
      </c>
      <c r="J202" s="294">
        <v>646.82272006083997</v>
      </c>
      <c r="K202" s="294">
        <v>719.08049185329003</v>
      </c>
      <c r="L202" s="294">
        <v>795.75937139109908</v>
      </c>
      <c r="M202" s="294">
        <v>921.62125294206407</v>
      </c>
      <c r="N202" s="294">
        <v>1050.3368874271862</v>
      </c>
      <c r="O202" s="294">
        <v>1284.8937143167025</v>
      </c>
      <c r="P202" s="294">
        <v>1724.6708755222821</v>
      </c>
      <c r="Q202" s="294">
        <v>1973.7319530464133</v>
      </c>
      <c r="R202" s="294">
        <v>2099.2545533482271</v>
      </c>
      <c r="S202" s="294">
        <v>2144.2921840387758</v>
      </c>
      <c r="T202" s="294">
        <v>2237.1240673526727</v>
      </c>
      <c r="U202" s="294">
        <v>2424.5320988101394</v>
      </c>
      <c r="V202" s="294">
        <v>2718.8640246576419</v>
      </c>
      <c r="W202" s="294">
        <v>3323.4322088740992</v>
      </c>
      <c r="X202" s="294">
        <v>3202.6732161634186</v>
      </c>
      <c r="Y202" s="294">
        <v>3038.8624646715034</v>
      </c>
      <c r="Z202" s="294">
        <v>2698.9991230105275</v>
      </c>
      <c r="AA202" s="294">
        <v>2489.0936194706946</v>
      </c>
      <c r="AB202" s="294">
        <v>2669.1051865794457</v>
      </c>
      <c r="AC202" s="294">
        <v>3810.4294054243483</v>
      </c>
      <c r="AD202" s="294">
        <v>4739.7815897002092</v>
      </c>
      <c r="AE202" s="294">
        <v>5548.6759106061354</v>
      </c>
      <c r="AF202" s="294">
        <v>5975.5878412447064</v>
      </c>
      <c r="AG202" s="294">
        <v>7779.435720516115</v>
      </c>
      <c r="AH202" s="294">
        <v>8832.6931301240184</v>
      </c>
      <c r="AI202" s="294">
        <v>10647.673154706248</v>
      </c>
      <c r="AJ202" s="294">
        <v>9390.5785279856227</v>
      </c>
      <c r="AK202" s="294">
        <v>9831.8652667884435</v>
      </c>
      <c r="AL202" s="294">
        <v>11619.328981929972</v>
      </c>
      <c r="AM202" s="294">
        <v>12045.781498162694</v>
      </c>
      <c r="AN202" s="294">
        <v>11461.701626579636</v>
      </c>
      <c r="AO202" s="294">
        <v>12129.0802716575</v>
      </c>
      <c r="AP202" s="294">
        <v>12428.672490855139</v>
      </c>
      <c r="AQ202" s="294">
        <v>11470.897921103837</v>
      </c>
      <c r="AR202" s="294">
        <v>11690.672517981666</v>
      </c>
      <c r="AS202" s="294">
        <v>12758.542881262842</v>
      </c>
      <c r="AT202" s="294">
        <v>15509.125383090828</v>
      </c>
      <c r="AU202" s="294">
        <v>17653.573979724886</v>
      </c>
      <c r="AV202" s="294">
        <v>18185.624023508568</v>
      </c>
      <c r="AW202" s="294">
        <v>19064.988669719365</v>
      </c>
      <c r="AX202" s="294">
        <v>21845.235261011443</v>
      </c>
      <c r="AY202" s="294">
        <v>23716.39041719522</v>
      </c>
      <c r="AZ202" s="294">
        <v>22015.915103869876</v>
      </c>
      <c r="BA202" s="294">
        <v>21358.426592893615</v>
      </c>
      <c r="BB202" s="294">
        <v>22315.841977165659</v>
      </c>
      <c r="BC202" s="298">
        <f t="shared" si="2"/>
        <v>22315.841977165659</v>
      </c>
    </row>
    <row r="203" spans="2:55">
      <c r="B203" s="72" t="s">
        <v>792</v>
      </c>
      <c r="C203" s="72" t="s">
        <v>793</v>
      </c>
      <c r="D203" s="294">
        <v>777.21511695356673</v>
      </c>
      <c r="E203" s="294">
        <v>852.50022364411268</v>
      </c>
      <c r="F203" s="294">
        <v>929.11651273756149</v>
      </c>
      <c r="G203" s="294">
        <v>1006.3953502212318</v>
      </c>
      <c r="H203" s="294">
        <v>1111.0253939861218</v>
      </c>
      <c r="I203" s="294">
        <v>1207.545040844265</v>
      </c>
      <c r="J203" s="294">
        <v>1341.8133393325616</v>
      </c>
      <c r="K203" s="294">
        <v>1497.6724706844007</v>
      </c>
      <c r="L203" s="294">
        <v>1661.8666971865659</v>
      </c>
      <c r="M203" s="294">
        <v>1852.3178572479765</v>
      </c>
      <c r="N203" s="294">
        <v>2044.2834179714766</v>
      </c>
      <c r="O203" s="294">
        <v>2246.5121863259851</v>
      </c>
      <c r="P203" s="294">
        <v>2432.3797868101046</v>
      </c>
      <c r="Q203" s="294">
        <v>2614.5007626307656</v>
      </c>
      <c r="R203" s="294">
        <v>2738.2765531062123</v>
      </c>
      <c r="S203" s="294">
        <v>2946.4614181282782</v>
      </c>
      <c r="T203" s="294">
        <v>3208.7716784490094</v>
      </c>
      <c r="U203" s="294">
        <v>3567.7527547589634</v>
      </c>
      <c r="V203" s="294">
        <v>4024.509460595792</v>
      </c>
      <c r="W203" s="294">
        <v>4502.8384578914538</v>
      </c>
      <c r="X203" s="294">
        <v>4920.7228479296555</v>
      </c>
      <c r="Y203" s="294">
        <v>5115.0088068392624</v>
      </c>
      <c r="Z203" s="294">
        <v>5217.723455527791</v>
      </c>
      <c r="AA203" s="294">
        <v>5730.1161512813396</v>
      </c>
      <c r="AB203" s="294">
        <v>6008.0545241338468</v>
      </c>
      <c r="AC203" s="294">
        <v>6443.4827503518345</v>
      </c>
      <c r="AD203" s="294">
        <v>6937.5491131280096</v>
      </c>
      <c r="AE203" s="294">
        <v>7535.7432113140012</v>
      </c>
      <c r="AF203" s="294">
        <v>8063.2129075307475</v>
      </c>
      <c r="AG203" s="294">
        <v>8652.4740107435682</v>
      </c>
      <c r="AH203" s="294">
        <v>9064.0099761096662</v>
      </c>
      <c r="AI203" s="294">
        <v>9659.3305321691314</v>
      </c>
      <c r="AJ203" s="294">
        <v>10212.288932890831</v>
      </c>
      <c r="AK203" s="294">
        <v>10876.410603093194</v>
      </c>
      <c r="AL203" s="294">
        <v>11579.184996998454</v>
      </c>
      <c r="AM203" s="294">
        <v>12173.154292142493</v>
      </c>
      <c r="AN203" s="294">
        <v>12817.63458822215</v>
      </c>
      <c r="AO203" s="294">
        <v>14304.404986801463</v>
      </c>
      <c r="AP203" s="294">
        <v>15220.991342026657</v>
      </c>
      <c r="AQ203" s="294">
        <v>16192.126971963769</v>
      </c>
      <c r="AR203" s="294">
        <v>18123.204986731344</v>
      </c>
      <c r="AS203" s="294">
        <v>18731.459389737847</v>
      </c>
      <c r="AT203" s="294">
        <v>19557.120249235839</v>
      </c>
      <c r="AU203" s="294">
        <v>20698.174334274572</v>
      </c>
      <c r="AV203" s="294">
        <v>21669.891520353216</v>
      </c>
      <c r="AW203" s="294">
        <v>22641.959164451724</v>
      </c>
      <c r="AX203" s="294">
        <v>23368.930336199475</v>
      </c>
      <c r="AY203" s="294">
        <v>24623.504267368207</v>
      </c>
      <c r="AZ203" s="294">
        <v>25454.803083084476</v>
      </c>
      <c r="BA203" s="294">
        <v>25862.726754430038</v>
      </c>
      <c r="BB203" s="294"/>
      <c r="BC203" s="298">
        <f t="shared" si="2"/>
        <v>0</v>
      </c>
    </row>
    <row r="204" spans="2:55">
      <c r="B204" s="72" t="s">
        <v>794</v>
      </c>
      <c r="C204" s="72" t="s">
        <v>795</v>
      </c>
      <c r="D204" s="294"/>
      <c r="E204" s="294"/>
      <c r="F204" s="294"/>
      <c r="G204" s="294"/>
      <c r="H204" s="294"/>
      <c r="I204" s="294"/>
      <c r="J204" s="294"/>
      <c r="K204" s="294"/>
      <c r="L204" s="294"/>
      <c r="M204" s="294">
        <v>2784.0270089691089</v>
      </c>
      <c r="N204" s="294">
        <v>3279.7569783381036</v>
      </c>
      <c r="O204" s="294">
        <v>3948.5550922702437</v>
      </c>
      <c r="P204" s="294">
        <v>5636.5417732402966</v>
      </c>
      <c r="Q204" s="294">
        <v>15776.907980573815</v>
      </c>
      <c r="R204" s="294">
        <v>15431.473519930918</v>
      </c>
      <c r="S204" s="294">
        <v>19078.027050906163</v>
      </c>
      <c r="T204" s="294">
        <v>20024.688156508055</v>
      </c>
      <c r="U204" s="294">
        <v>21304.789122725619</v>
      </c>
      <c r="V204" s="294">
        <v>27709.867473159658</v>
      </c>
      <c r="W204" s="294">
        <v>35330.805370067937</v>
      </c>
      <c r="X204" s="294">
        <v>35245.639717709892</v>
      </c>
      <c r="Y204" s="294">
        <v>27652.52987564775</v>
      </c>
      <c r="Z204" s="294">
        <v>21098.518720740733</v>
      </c>
      <c r="AA204" s="294">
        <v>19814.093130687525</v>
      </c>
      <c r="AB204" s="294">
        <v>16720.641184670672</v>
      </c>
      <c r="AC204" s="294">
        <v>12787.79840972491</v>
      </c>
      <c r="AD204" s="294">
        <v>12965.896465584179</v>
      </c>
      <c r="AE204" s="294">
        <v>13663.158286204061</v>
      </c>
      <c r="AF204" s="294">
        <v>14105.720201438815</v>
      </c>
      <c r="AG204" s="294">
        <v>15537.465449469575</v>
      </c>
      <c r="AH204" s="294">
        <v>14253.770319127001</v>
      </c>
      <c r="AI204" s="294">
        <v>15661.80073586523</v>
      </c>
      <c r="AJ204" s="294">
        <v>14563.089508964753</v>
      </c>
      <c r="AK204" s="294">
        <v>14894.088707705874</v>
      </c>
      <c r="AL204" s="294">
        <v>16231.317223940681</v>
      </c>
      <c r="AM204" s="294">
        <v>17679.451930114927</v>
      </c>
      <c r="AN204" s="294">
        <v>21365.505963406475</v>
      </c>
      <c r="AO204" s="294">
        <v>18686.172603084091</v>
      </c>
      <c r="AP204" s="294">
        <v>21747.295893737075</v>
      </c>
      <c r="AQ204" s="294">
        <v>30052.761195912972</v>
      </c>
      <c r="AR204" s="294">
        <v>28843.448941474406</v>
      </c>
      <c r="AS204" s="294">
        <v>31023.026798142066</v>
      </c>
      <c r="AT204" s="294">
        <v>36011.9212403235</v>
      </c>
      <c r="AU204" s="294">
        <v>44292.03800678291</v>
      </c>
      <c r="AV204" s="294">
        <v>52424.899632516703</v>
      </c>
      <c r="AW204" s="294">
        <v>61836.323669167592</v>
      </c>
      <c r="AX204" s="294">
        <v>67516.139754342119</v>
      </c>
      <c r="AY204" s="294">
        <v>82388.84926502443</v>
      </c>
      <c r="AZ204" s="294">
        <v>61075.010199357464</v>
      </c>
      <c r="BA204" s="294">
        <v>72397.612403915235</v>
      </c>
      <c r="BB204" s="294">
        <v>92501.495112296325</v>
      </c>
      <c r="BC204" s="298">
        <f t="shared" si="2"/>
        <v>92501.495112296325</v>
      </c>
    </row>
    <row r="205" spans="2:55">
      <c r="B205" s="72" t="s">
        <v>796</v>
      </c>
      <c r="C205" s="72" t="s">
        <v>797</v>
      </c>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v>1658.7586341178794</v>
      </c>
      <c r="AE205" s="294">
        <v>1753.192792304369</v>
      </c>
      <c r="AF205" s="294">
        <v>1789.6446375989121</v>
      </c>
      <c r="AG205" s="294">
        <v>1650.692978375474</v>
      </c>
      <c r="AH205" s="294">
        <v>1254.1482705144756</v>
      </c>
      <c r="AI205" s="294">
        <v>1100.7278761993839</v>
      </c>
      <c r="AJ205" s="294">
        <v>1158.0563937904667</v>
      </c>
      <c r="AK205" s="294">
        <v>1323.0244031734876</v>
      </c>
      <c r="AL205" s="294">
        <v>1563.9496276020627</v>
      </c>
      <c r="AM205" s="294">
        <v>1562.1235000117297</v>
      </c>
      <c r="AN205" s="294">
        <v>1564.5084198471732</v>
      </c>
      <c r="AO205" s="294">
        <v>1871.1889803289723</v>
      </c>
      <c r="AP205" s="294">
        <v>1583.8498455351814</v>
      </c>
      <c r="AQ205" s="294">
        <v>1650.9684210345324</v>
      </c>
      <c r="AR205" s="294">
        <v>1815.5069843842946</v>
      </c>
      <c r="AS205" s="294">
        <v>2101.7409874673112</v>
      </c>
      <c r="AT205" s="294">
        <v>2736.9749825029098</v>
      </c>
      <c r="AU205" s="294">
        <v>3481.2000596775106</v>
      </c>
      <c r="AV205" s="294">
        <v>4572.0484534524849</v>
      </c>
      <c r="AW205" s="294">
        <v>5681.0916366669935</v>
      </c>
      <c r="AX205" s="294">
        <v>7856.4760603589357</v>
      </c>
      <c r="AY205" s="294">
        <v>9299.7386848896422</v>
      </c>
      <c r="AZ205" s="294">
        <v>7500.3404452925997</v>
      </c>
      <c r="BA205" s="294">
        <v>7539.3572630506169</v>
      </c>
      <c r="BB205" s="294">
        <v>8405.4937980519098</v>
      </c>
      <c r="BC205" s="298">
        <f t="shared" si="2"/>
        <v>8405.4937980519098</v>
      </c>
    </row>
    <row r="206" spans="2:55">
      <c r="B206" s="72" t="s">
        <v>798</v>
      </c>
      <c r="C206" s="72" t="s">
        <v>799</v>
      </c>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v>3428.7619655134608</v>
      </c>
      <c r="AG206" s="294">
        <v>3485.1122022467052</v>
      </c>
      <c r="AH206" s="294">
        <v>3427.3175187472634</v>
      </c>
      <c r="AI206" s="294">
        <v>3095.0871599497705</v>
      </c>
      <c r="AJ206" s="294">
        <v>2929.3032823238091</v>
      </c>
      <c r="AK206" s="294">
        <v>2663.4569884385082</v>
      </c>
      <c r="AL206" s="294">
        <v>2669.9461233262282</v>
      </c>
      <c r="AM206" s="294">
        <v>2651.442018188086</v>
      </c>
      <c r="AN206" s="294">
        <v>2748.9174370011492</v>
      </c>
      <c r="AO206" s="294">
        <v>1844.4857824084968</v>
      </c>
      <c r="AP206" s="294">
        <v>1338.9864442280525</v>
      </c>
      <c r="AQ206" s="294">
        <v>1775.1412907960209</v>
      </c>
      <c r="AR206" s="294">
        <v>2100.7437861492876</v>
      </c>
      <c r="AS206" s="294">
        <v>2375.1629338744779</v>
      </c>
      <c r="AT206" s="294">
        <v>2976.1370489983078</v>
      </c>
      <c r="AU206" s="294">
        <v>4108.574488276382</v>
      </c>
      <c r="AV206" s="294">
        <v>5337.0653242094231</v>
      </c>
      <c r="AW206" s="294">
        <v>6946.8809984469108</v>
      </c>
      <c r="AX206" s="294">
        <v>9146.4163604819278</v>
      </c>
      <c r="AY206" s="294">
        <v>11700.221117478008</v>
      </c>
      <c r="AZ206" s="294">
        <v>8615.6587571380023</v>
      </c>
      <c r="BA206" s="294">
        <v>10481.367024967836</v>
      </c>
      <c r="BB206" s="294">
        <v>13089.337533598493</v>
      </c>
      <c r="BC206" s="298">
        <f t="shared" si="2"/>
        <v>13089.337533598493</v>
      </c>
    </row>
    <row r="207" spans="2:55">
      <c r="B207" s="72" t="s">
        <v>800</v>
      </c>
      <c r="C207" s="72" t="s">
        <v>801</v>
      </c>
      <c r="D207" s="294">
        <v>42.72169949770494</v>
      </c>
      <c r="E207" s="294">
        <v>42.47499677359945</v>
      </c>
      <c r="F207" s="294">
        <v>42.205988346530944</v>
      </c>
      <c r="G207" s="294">
        <v>41.59580554600096</v>
      </c>
      <c r="H207" s="294">
        <v>46.200125953979942</v>
      </c>
      <c r="I207" s="294">
        <v>37.516454184807024</v>
      </c>
      <c r="J207" s="294">
        <v>46.642837998170073</v>
      </c>
      <c r="K207" s="294">
        <v>48.835995611056788</v>
      </c>
      <c r="L207" s="294">
        <v>51.908735632932974</v>
      </c>
      <c r="M207" s="294">
        <v>58.660775501270848</v>
      </c>
      <c r="N207" s="294">
        <v>57.66260090060505</v>
      </c>
      <c r="O207" s="294">
        <v>61.785993101270925</v>
      </c>
      <c r="P207" s="294">
        <v>70.630382909526674</v>
      </c>
      <c r="Q207" s="294">
        <v>72.580821815161627</v>
      </c>
      <c r="R207" s="294">
        <v>130.27634128728343</v>
      </c>
      <c r="S207" s="294">
        <v>140.59652597993315</v>
      </c>
      <c r="T207" s="294">
        <v>159.23461065250078</v>
      </c>
      <c r="U207" s="294">
        <v>186.83093010634798</v>
      </c>
      <c r="V207" s="294">
        <v>221.36897767761195</v>
      </c>
      <c r="W207" s="294">
        <v>242.28293685930836</v>
      </c>
      <c r="X207" s="294">
        <v>263.34054933185359</v>
      </c>
      <c r="Y207" s="294">
        <v>255.74469874272796</v>
      </c>
      <c r="Z207" s="294">
        <v>261.01275680532552</v>
      </c>
      <c r="AA207" s="294">
        <v>270.92335582174519</v>
      </c>
      <c r="AB207" s="294">
        <v>282.13329636028055</v>
      </c>
      <c r="AC207" s="294">
        <v>305.95348001276716</v>
      </c>
      <c r="AD207" s="294">
        <v>323.35020572058596</v>
      </c>
      <c r="AE207" s="294">
        <v>344.1998160087436</v>
      </c>
      <c r="AF207" s="294">
        <v>337.55318875294114</v>
      </c>
      <c r="AG207" s="294">
        <v>358.69921400479262</v>
      </c>
      <c r="AH207" s="294">
        <v>278.20503814248406</v>
      </c>
      <c r="AI207" s="294">
        <v>314.44677886264952</v>
      </c>
      <c r="AJ207" s="294">
        <v>329.44147704417941</v>
      </c>
      <c r="AK207" s="294">
        <v>133.42697272743047</v>
      </c>
      <c r="AL207" s="294">
        <v>232.22394145724442</v>
      </c>
      <c r="AM207" s="294">
        <v>238.1763214028035</v>
      </c>
      <c r="AN207" s="294">
        <v>294.00392160139853</v>
      </c>
      <c r="AO207" s="294">
        <v>286.47902026497883</v>
      </c>
      <c r="AP207" s="294">
        <v>239.70572477105492</v>
      </c>
      <c r="AQ207" s="294">
        <v>214.23369892383559</v>
      </c>
      <c r="AR207" s="294">
        <v>198.02429495164785</v>
      </c>
      <c r="AS207" s="294">
        <v>192.89030479993812</v>
      </c>
      <c r="AT207" s="294">
        <v>208.40017337734179</v>
      </c>
      <c r="AU207" s="294">
        <v>231.88334300853407</v>
      </c>
      <c r="AV207" s="294">
        <v>280.52195057865333</v>
      </c>
      <c r="AW207" s="294">
        <v>329.52628089029895</v>
      </c>
      <c r="AX207" s="294">
        <v>384.95800785131235</v>
      </c>
      <c r="AY207" s="294">
        <v>470.98081239514232</v>
      </c>
      <c r="AZ207" s="294">
        <v>509.41101507936969</v>
      </c>
      <c r="BA207" s="294">
        <v>529.41486354822587</v>
      </c>
      <c r="BB207" s="294">
        <v>582.55566078028448</v>
      </c>
      <c r="BC207" s="298">
        <f t="shared" si="2"/>
        <v>582.55566078028448</v>
      </c>
    </row>
    <row r="208" spans="2:55">
      <c r="B208" s="72" t="s">
        <v>802</v>
      </c>
      <c r="C208" s="72" t="s">
        <v>803</v>
      </c>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v>693.1029474296555</v>
      </c>
      <c r="Z208" s="294">
        <v>638.40361236947126</v>
      </c>
      <c r="AA208" s="294">
        <v>621.87866243679821</v>
      </c>
      <c r="AB208" s="294">
        <v>542.67995439406195</v>
      </c>
      <c r="AC208" s="294">
        <v>570.97995747794812</v>
      </c>
      <c r="AD208" s="294">
        <v>628.84874728160889</v>
      </c>
      <c r="AE208" s="294">
        <v>744.52385393270015</v>
      </c>
      <c r="AF208" s="294">
        <v>683.49694290955142</v>
      </c>
      <c r="AG208" s="294">
        <v>694.68896907177907</v>
      </c>
      <c r="AH208" s="294">
        <v>688.64911612677543</v>
      </c>
      <c r="AI208" s="294">
        <v>719.72164264830496</v>
      </c>
      <c r="AJ208" s="294">
        <v>718.12234248576488</v>
      </c>
      <c r="AK208" s="294">
        <v>1182.0354638568933</v>
      </c>
      <c r="AL208" s="294">
        <v>1190.7819749872167</v>
      </c>
      <c r="AM208" s="294">
        <v>1310.063579399367</v>
      </c>
      <c r="AN208" s="294">
        <v>1480.8596995951525</v>
      </c>
      <c r="AO208" s="294">
        <v>1383.5983753888702</v>
      </c>
      <c r="AP208" s="294">
        <v>1316.5653428552371</v>
      </c>
      <c r="AQ208" s="294">
        <v>1391.2143538128864</v>
      </c>
      <c r="AR208" s="294">
        <v>1369.7890944921028</v>
      </c>
      <c r="AS208" s="294">
        <v>1438.0669855059607</v>
      </c>
      <c r="AT208" s="294">
        <v>1685.2979107155368</v>
      </c>
      <c r="AU208" s="294">
        <v>2084.0805338756927</v>
      </c>
      <c r="AV208" s="294">
        <v>2287.1028715520274</v>
      </c>
      <c r="AW208" s="294">
        <v>2506.4608394991783</v>
      </c>
      <c r="AX208" s="294">
        <v>2708.1032602420837</v>
      </c>
      <c r="AY208" s="294">
        <v>3185.8873873130592</v>
      </c>
      <c r="AZ208" s="294">
        <v>2892.6376500128836</v>
      </c>
      <c r="BA208" s="294">
        <v>3388.0650724482998</v>
      </c>
      <c r="BB208" s="294">
        <v>3485.4136709596551</v>
      </c>
      <c r="BC208" s="298">
        <f t="shared" si="2"/>
        <v>3485.4136709596551</v>
      </c>
    </row>
    <row r="209" spans="2:55">
      <c r="B209" s="72" t="s">
        <v>804</v>
      </c>
      <c r="C209" s="72" t="s">
        <v>805</v>
      </c>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v>32140.931781545682</v>
      </c>
      <c r="AQ209" s="294">
        <v>28698.321741934502</v>
      </c>
      <c r="AR209" s="294">
        <v>29597.54685628985</v>
      </c>
      <c r="AS209" s="294">
        <v>31147.825207033624</v>
      </c>
      <c r="AT209" s="294">
        <v>38706.149841623504</v>
      </c>
      <c r="AU209" s="294">
        <v>44322.651053641734</v>
      </c>
      <c r="AV209" s="294">
        <v>45391.789197943719</v>
      </c>
      <c r="AW209" s="294">
        <v>47819.908151391755</v>
      </c>
      <c r="AX209" s="294">
        <v>54428.160835541923</v>
      </c>
      <c r="AY209" s="294">
        <v>60895.236220602943</v>
      </c>
      <c r="AZ209" s="294"/>
      <c r="BA209" s="294"/>
      <c r="BB209" s="294"/>
      <c r="BC209" s="298">
        <f t="shared" si="2"/>
        <v>0</v>
      </c>
    </row>
    <row r="210" spans="2:55">
      <c r="B210" s="72" t="s">
        <v>806</v>
      </c>
      <c r="C210" s="72" t="s">
        <v>807</v>
      </c>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v>543.99903931154222</v>
      </c>
      <c r="AR210" s="294">
        <v>533.0849679925285</v>
      </c>
      <c r="AS210" s="294">
        <v>622.34276011000043</v>
      </c>
      <c r="AT210" s="294">
        <v>661.95173971066527</v>
      </c>
      <c r="AU210" s="294">
        <v>710.2890257208104</v>
      </c>
      <c r="AV210" s="294">
        <v>745.6903291717141</v>
      </c>
      <c r="AW210" s="294">
        <v>801.34804633045928</v>
      </c>
      <c r="AX210" s="294">
        <v>916.74084840635305</v>
      </c>
      <c r="AY210" s="294">
        <v>1147.7178036360219</v>
      </c>
      <c r="AZ210" s="294">
        <v>1208.9581814417377</v>
      </c>
      <c r="BA210" s="294">
        <v>1215.4870800490055</v>
      </c>
      <c r="BB210" s="294">
        <v>1473.2847051088827</v>
      </c>
      <c r="BC210" s="298">
        <f t="shared" ref="BC210:BC262" si="3">BB210</f>
        <v>1473.2847051088827</v>
      </c>
    </row>
    <row r="211" spans="2:55">
      <c r="B211" s="72" t="s">
        <v>808</v>
      </c>
      <c r="C211" s="72" t="s">
        <v>809</v>
      </c>
      <c r="D211" s="294"/>
      <c r="E211" s="294"/>
      <c r="F211" s="294"/>
      <c r="G211" s="294"/>
      <c r="H211" s="294"/>
      <c r="I211" s="294"/>
      <c r="J211" s="294"/>
      <c r="K211" s="294">
        <v>785.81629624570155</v>
      </c>
      <c r="L211" s="294">
        <v>809.80494495735229</v>
      </c>
      <c r="M211" s="294">
        <v>868.77651613635487</v>
      </c>
      <c r="N211" s="294">
        <v>1127.4509192341332</v>
      </c>
      <c r="O211" s="294">
        <v>1462.5731046245148</v>
      </c>
      <c r="P211" s="294">
        <v>2180.6946121396149</v>
      </c>
      <c r="Q211" s="294">
        <v>6458.5263919827075</v>
      </c>
      <c r="R211" s="294">
        <v>6335.0817879957413</v>
      </c>
      <c r="S211" s="294">
        <v>8230.7438826328198</v>
      </c>
      <c r="T211" s="294">
        <v>9027.3291654780878</v>
      </c>
      <c r="U211" s="294">
        <v>9221.747356784781</v>
      </c>
      <c r="V211" s="294">
        <v>12121.06969833304</v>
      </c>
      <c r="W211" s="294">
        <v>16763.616899174398</v>
      </c>
      <c r="X211" s="294">
        <v>17617.278352716046</v>
      </c>
      <c r="Y211" s="294">
        <v>13742.542157480355</v>
      </c>
      <c r="Z211" s="294">
        <v>10886.391648894059</v>
      </c>
      <c r="AA211" s="294">
        <v>9511.4177703120295</v>
      </c>
      <c r="AB211" s="294">
        <v>7858.8565069046281</v>
      </c>
      <c r="AC211" s="294">
        <v>6273.3075525662553</v>
      </c>
      <c r="AD211" s="294">
        <v>5922.6000422475026</v>
      </c>
      <c r="AE211" s="294">
        <v>5865.8634116741205</v>
      </c>
      <c r="AF211" s="294">
        <v>6111.7014633221379</v>
      </c>
      <c r="AG211" s="294">
        <v>7235.7474741397873</v>
      </c>
      <c r="AH211" s="294">
        <v>7878.6907524876369</v>
      </c>
      <c r="AI211" s="294">
        <v>7929.6960081420184</v>
      </c>
      <c r="AJ211" s="294">
        <v>7474.7453909216074</v>
      </c>
      <c r="AK211" s="294">
        <v>7414.0266274588066</v>
      </c>
      <c r="AL211" s="294">
        <v>7703.8111262453531</v>
      </c>
      <c r="AM211" s="294">
        <v>8396.6360927164915</v>
      </c>
      <c r="AN211" s="294">
        <v>8674.464545188137</v>
      </c>
      <c r="AO211" s="294">
        <v>7569.9982686707326</v>
      </c>
      <c r="AP211" s="294">
        <v>8220.9354734101908</v>
      </c>
      <c r="AQ211" s="294">
        <v>9400.8116862380266</v>
      </c>
      <c r="AR211" s="294">
        <v>8849.048469110865</v>
      </c>
      <c r="AS211" s="294">
        <v>8784.9118895437387</v>
      </c>
      <c r="AT211" s="294">
        <v>9607.2909328854621</v>
      </c>
      <c r="AU211" s="294">
        <v>10784.071940298762</v>
      </c>
      <c r="AV211" s="294">
        <v>13126.680498979116</v>
      </c>
      <c r="AW211" s="294">
        <v>14380.586743482794</v>
      </c>
      <c r="AX211" s="294">
        <v>15091.2988501322</v>
      </c>
      <c r="AY211" s="294">
        <v>18202.750456411311</v>
      </c>
      <c r="AZ211" s="294">
        <v>14050.947740826608</v>
      </c>
      <c r="BA211" s="294">
        <v>16423.440235504946</v>
      </c>
      <c r="BB211" s="294">
        <v>20540.306519983358</v>
      </c>
      <c r="BC211" s="298">
        <f t="shared" si="3"/>
        <v>20540.306519983358</v>
      </c>
    </row>
    <row r="212" spans="2:55">
      <c r="B212" s="72" t="s">
        <v>810</v>
      </c>
      <c r="C212" s="72" t="s">
        <v>811</v>
      </c>
      <c r="D212" s="294">
        <v>267.18676802545997</v>
      </c>
      <c r="E212" s="294">
        <v>266.52615114729292</v>
      </c>
      <c r="F212" s="294">
        <v>267.99371436137699</v>
      </c>
      <c r="G212" s="294">
        <v>275.96282164212232</v>
      </c>
      <c r="H212" s="294">
        <v>272.72302805660286</v>
      </c>
      <c r="I212" s="294">
        <v>272.66770909988253</v>
      </c>
      <c r="J212" s="294">
        <v>264.31283410210347</v>
      </c>
      <c r="K212" s="294">
        <v>269.10084472898029</v>
      </c>
      <c r="L212" s="294">
        <v>247.93112547409214</v>
      </c>
      <c r="M212" s="294">
        <v>250.18834998817567</v>
      </c>
      <c r="N212" s="294">
        <v>250.08581682496208</v>
      </c>
      <c r="O212" s="294">
        <v>292.91483454013144</v>
      </c>
      <c r="P212" s="294">
        <v>326.16603126787135</v>
      </c>
      <c r="Q212" s="294">
        <v>356.4707113295845</v>
      </c>
      <c r="R212" s="294">
        <v>467.18834447202016</v>
      </c>
      <c r="S212" s="294">
        <v>461.47565453810643</v>
      </c>
      <c r="T212" s="294">
        <v>461.05488523255343</v>
      </c>
      <c r="U212" s="294">
        <v>502.74576573700955</v>
      </c>
      <c r="V212" s="294">
        <v>611.18467004007402</v>
      </c>
      <c r="W212" s="294">
        <v>647.07010481536918</v>
      </c>
      <c r="X212" s="294">
        <v>571.42347340105823</v>
      </c>
      <c r="Y212" s="294">
        <v>544.17246477128583</v>
      </c>
      <c r="Z212" s="294">
        <v>471.8792597714658</v>
      </c>
      <c r="AA212" s="294">
        <v>447.05105019694389</v>
      </c>
      <c r="AB212" s="294">
        <v>475.29081225172837</v>
      </c>
      <c r="AC212" s="294">
        <v>652.59339336762275</v>
      </c>
      <c r="AD212" s="294">
        <v>761.90870377549538</v>
      </c>
      <c r="AE212" s="294">
        <v>731.12217395135588</v>
      </c>
      <c r="AF212" s="294">
        <v>699.13781049820682</v>
      </c>
      <c r="AG212" s="294">
        <v>789.42027165310822</v>
      </c>
      <c r="AH212" s="294">
        <v>752.82254482476287</v>
      </c>
      <c r="AI212" s="294">
        <v>781.18771735507039</v>
      </c>
      <c r="AJ212" s="294">
        <v>717.46948988984411</v>
      </c>
      <c r="AK212" s="294">
        <v>476.13045401681291</v>
      </c>
      <c r="AL212" s="294">
        <v>582.94252745324252</v>
      </c>
      <c r="AM212" s="294">
        <v>589.60801557282446</v>
      </c>
      <c r="AN212" s="294">
        <v>530.20150380667792</v>
      </c>
      <c r="AO212" s="294">
        <v>556.73934338822494</v>
      </c>
      <c r="AP212" s="294">
        <v>555.20454832684163</v>
      </c>
      <c r="AQ212" s="294">
        <v>492.28622523275328</v>
      </c>
      <c r="AR212" s="294">
        <v>499.81365742387965</v>
      </c>
      <c r="AS212" s="294">
        <v>532.15196110412523</v>
      </c>
      <c r="AT212" s="294">
        <v>665.95218353030339</v>
      </c>
      <c r="AU212" s="294">
        <v>758.88273559194943</v>
      </c>
      <c r="AV212" s="294">
        <v>800.13701064293912</v>
      </c>
      <c r="AW212" s="294">
        <v>838.84975455762526</v>
      </c>
      <c r="AX212" s="294">
        <v>986.49958721126109</v>
      </c>
      <c r="AY212" s="294">
        <v>1135.6754777237024</v>
      </c>
      <c r="AZ212" s="294">
        <v>1054.6942491264426</v>
      </c>
      <c r="BA212" s="294">
        <v>1033.9053189203978</v>
      </c>
      <c r="BB212" s="294">
        <v>1119.3572876997914</v>
      </c>
      <c r="BC212" s="298">
        <f t="shared" si="3"/>
        <v>1119.3572876997914</v>
      </c>
    </row>
    <row r="213" spans="2:55">
      <c r="B213" s="72" t="s">
        <v>812</v>
      </c>
      <c r="C213" s="72" t="s">
        <v>813</v>
      </c>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v>2795.0305405524441</v>
      </c>
      <c r="AO213" s="294">
        <v>2141.2139525782982</v>
      </c>
      <c r="AP213" s="294">
        <v>2338.4307960038791</v>
      </c>
      <c r="AQ213" s="294">
        <v>809.27507943042963</v>
      </c>
      <c r="AR213" s="294">
        <v>1518.0342942402526</v>
      </c>
      <c r="AS213" s="294">
        <v>2013.6674001653712</v>
      </c>
      <c r="AT213" s="294">
        <v>2613.5344077815193</v>
      </c>
      <c r="AU213" s="294">
        <v>3168.8807075071009</v>
      </c>
      <c r="AV213" s="294">
        <v>3391.371076430069</v>
      </c>
      <c r="AW213" s="294">
        <v>3942.6309849691534</v>
      </c>
      <c r="AX213" s="294">
        <v>5276.9324211583062</v>
      </c>
      <c r="AY213" s="294">
        <v>6497.8427676603087</v>
      </c>
      <c r="AZ213" s="294">
        <v>5484.0535629562819</v>
      </c>
      <c r="BA213" s="294">
        <v>5269.6440964963731</v>
      </c>
      <c r="BB213" s="294">
        <v>6310.3651037847267</v>
      </c>
      <c r="BC213" s="298">
        <f t="shared" si="3"/>
        <v>6310.3651037847267</v>
      </c>
    </row>
    <row r="214" spans="2:55">
      <c r="B214" s="72" t="s">
        <v>814</v>
      </c>
      <c r="C214" s="72" t="s">
        <v>815</v>
      </c>
      <c r="D214" s="294">
        <v>270.28045684692978</v>
      </c>
      <c r="E214" s="294">
        <v>287.04380211740789</v>
      </c>
      <c r="F214" s="294">
        <v>308.19915951909718</v>
      </c>
      <c r="G214" s="294">
        <v>332.30854167530771</v>
      </c>
      <c r="H214" s="294">
        <v>328.48522883052516</v>
      </c>
      <c r="I214" s="294">
        <v>337.64852491930009</v>
      </c>
      <c r="J214" s="294">
        <v>333.23587535237607</v>
      </c>
      <c r="K214" s="294">
        <v>314.35133613883056</v>
      </c>
      <c r="L214" s="294">
        <v>314.17891245196131</v>
      </c>
      <c r="M214" s="294">
        <v>343.88094089586627</v>
      </c>
      <c r="N214" s="294">
        <v>401.08196175264044</v>
      </c>
      <c r="O214" s="294">
        <v>546.57563133833173</v>
      </c>
      <c r="P214" s="294">
        <v>644.09435121673675</v>
      </c>
      <c r="Q214" s="294">
        <v>737.76985375532911</v>
      </c>
      <c r="R214" s="294">
        <v>802.06620718286069</v>
      </c>
      <c r="S214" s="294">
        <v>811.8027747491318</v>
      </c>
      <c r="T214" s="294">
        <v>1044.667203672363</v>
      </c>
      <c r="U214" s="294">
        <v>1364.5436610464683</v>
      </c>
      <c r="V214" s="294">
        <v>2001.9069962428778</v>
      </c>
      <c r="W214" s="294">
        <v>2288.1556328687689</v>
      </c>
      <c r="X214" s="294">
        <v>2362.8951888217289</v>
      </c>
      <c r="Y214" s="294">
        <v>2246.2666906475938</v>
      </c>
      <c r="Z214" s="294">
        <v>2210.6321599998701</v>
      </c>
      <c r="AA214" s="294">
        <v>2261.7200910941456</v>
      </c>
      <c r="AB214" s="294">
        <v>2505.7510094720215</v>
      </c>
      <c r="AC214" s="294">
        <v>3062.2763629556889</v>
      </c>
      <c r="AD214" s="294">
        <v>3646.8011424391925</v>
      </c>
      <c r="AE214" s="294">
        <v>4122.5385874382555</v>
      </c>
      <c r="AF214" s="294">
        <v>4444.2441548506486</v>
      </c>
      <c r="AG214" s="294">
        <v>5265.4965563208179</v>
      </c>
      <c r="AH214" s="294">
        <v>5300.2475180170386</v>
      </c>
      <c r="AI214" s="294">
        <v>6051.8692317402811</v>
      </c>
      <c r="AJ214" s="294">
        <v>6517.7402883036466</v>
      </c>
      <c r="AK214" s="294">
        <v>6587.9263798606016</v>
      </c>
      <c r="AL214" s="294">
        <v>6749.1036802968338</v>
      </c>
      <c r="AM214" s="294">
        <v>6583.0906354518838</v>
      </c>
      <c r="AN214" s="294">
        <v>7280.9292642454911</v>
      </c>
      <c r="AO214" s="294">
        <v>7715.783736843533</v>
      </c>
      <c r="AP214" s="294">
        <v>7747.496145675952</v>
      </c>
      <c r="AQ214" s="294">
        <v>7578.8510529884543</v>
      </c>
      <c r="AR214" s="294">
        <v>7663.1370802644597</v>
      </c>
      <c r="AS214" s="294">
        <v>8333.5513521527173</v>
      </c>
      <c r="AT214" s="294">
        <v>8523.0050246662431</v>
      </c>
      <c r="AU214" s="294">
        <v>8482.424242424242</v>
      </c>
      <c r="AV214" s="294">
        <v>11060.797596297791</v>
      </c>
      <c r="AW214" s="294">
        <v>12052.928729498179</v>
      </c>
      <c r="AX214" s="294">
        <v>11983.022622763325</v>
      </c>
      <c r="AY214" s="294">
        <v>11066.719012215519</v>
      </c>
      <c r="AZ214" s="294">
        <v>9637.4730903044492</v>
      </c>
      <c r="BA214" s="294">
        <v>11129.807170788734</v>
      </c>
      <c r="BB214" s="294">
        <v>11711.468515633942</v>
      </c>
      <c r="BC214" s="298">
        <f t="shared" si="3"/>
        <v>11711.468515633942</v>
      </c>
    </row>
    <row r="215" spans="2:55">
      <c r="B215" s="72" t="s">
        <v>816</v>
      </c>
      <c r="C215" s="72" t="s">
        <v>817</v>
      </c>
      <c r="D215" s="294">
        <v>147.53846706211135</v>
      </c>
      <c r="E215" s="294">
        <v>151.78468641682659</v>
      </c>
      <c r="F215" s="294">
        <v>151.8676667854333</v>
      </c>
      <c r="G215" s="294">
        <v>159.35210105922877</v>
      </c>
      <c r="H215" s="294">
        <v>151.42571307561323</v>
      </c>
      <c r="I215" s="294">
        <v>155.5026670068417</v>
      </c>
      <c r="J215" s="294">
        <v>141.93395058629326</v>
      </c>
      <c r="K215" s="294">
        <v>131.85860963058099</v>
      </c>
      <c r="L215" s="294">
        <v>160.46648431186034</v>
      </c>
      <c r="M215" s="294">
        <v>167.52401114797431</v>
      </c>
      <c r="N215" s="294">
        <v>158.90433192320293</v>
      </c>
      <c r="O215" s="294">
        <v>173.09891386760387</v>
      </c>
      <c r="P215" s="294">
        <v>210.06086453597592</v>
      </c>
      <c r="Q215" s="294">
        <v>232.42602231682946</v>
      </c>
      <c r="R215" s="294">
        <v>238.74949968627391</v>
      </c>
      <c r="S215" s="294">
        <v>204.91039339220865</v>
      </c>
      <c r="T215" s="294">
        <v>233.4027555998675</v>
      </c>
      <c r="U215" s="294">
        <v>317.35149342584282</v>
      </c>
      <c r="V215" s="294">
        <v>358.63306127043052</v>
      </c>
      <c r="W215" s="294">
        <v>348.12541386239428</v>
      </c>
      <c r="X215" s="294">
        <v>345.04300524777045</v>
      </c>
      <c r="Y215" s="294">
        <v>392.44008379777364</v>
      </c>
      <c r="Z215" s="294">
        <v>294.9627388092398</v>
      </c>
      <c r="AA215" s="294">
        <v>314.92488644022131</v>
      </c>
      <c r="AB215" s="294">
        <v>242.00969321997036</v>
      </c>
      <c r="AC215" s="294">
        <v>134.67515097936047</v>
      </c>
      <c r="AD215" s="294">
        <v>187.16788986169357</v>
      </c>
      <c r="AE215" s="294">
        <v>274.05382875089953</v>
      </c>
      <c r="AF215" s="294">
        <v>237.28836117888176</v>
      </c>
      <c r="AG215" s="294">
        <v>163.1631030698334</v>
      </c>
      <c r="AH215" s="294">
        <v>195.22865215549066</v>
      </c>
      <c r="AI215" s="294">
        <v>170.88201635937978</v>
      </c>
      <c r="AJ215" s="294">
        <v>194.79345377888217</v>
      </c>
      <c r="AK215" s="294">
        <v>232.92388719408586</v>
      </c>
      <c r="AL215" s="294">
        <v>223.36760544735733</v>
      </c>
      <c r="AM215" s="294">
        <v>241.58805872875411</v>
      </c>
      <c r="AN215" s="294">
        <v>217.24593257731524</v>
      </c>
      <c r="AO215" s="294">
        <v>170.06369551976195</v>
      </c>
      <c r="AP215" s="294">
        <v>166.17411203460236</v>
      </c>
      <c r="AQ215" s="294">
        <v>153.47796769592225</v>
      </c>
      <c r="AR215" s="294">
        <v>187.19605034324925</v>
      </c>
      <c r="AS215" s="294">
        <v>207.70627233148957</v>
      </c>
      <c r="AT215" s="294">
        <v>209.53684405027468</v>
      </c>
      <c r="AU215" s="294">
        <v>221.32482061877769</v>
      </c>
      <c r="AV215" s="294">
        <v>240.49921614042657</v>
      </c>
      <c r="AW215" s="294">
        <v>266.92559351726646</v>
      </c>
      <c r="AX215" s="294">
        <v>303.69191167983314</v>
      </c>
      <c r="AY215" s="294">
        <v>348.322044275037</v>
      </c>
      <c r="AZ215" s="294">
        <v>323.45324796570463</v>
      </c>
      <c r="BA215" s="294">
        <v>325.47936676477985</v>
      </c>
      <c r="BB215" s="294">
        <v>373.98352024178121</v>
      </c>
      <c r="BC215" s="298">
        <f t="shared" si="3"/>
        <v>373.98352024178121</v>
      </c>
    </row>
    <row r="216" spans="2:55">
      <c r="B216" s="72" t="s">
        <v>396</v>
      </c>
      <c r="C216" s="72" t="s">
        <v>818</v>
      </c>
      <c r="D216" s="294">
        <v>437.94322116974092</v>
      </c>
      <c r="E216" s="294">
        <v>429.53774468875525</v>
      </c>
      <c r="F216" s="294">
        <v>472.18303179988038</v>
      </c>
      <c r="G216" s="294">
        <v>464.37730535391808</v>
      </c>
      <c r="H216" s="294">
        <v>516.26220678884511</v>
      </c>
      <c r="I216" s="294">
        <v>566.65096457345567</v>
      </c>
      <c r="J216" s="294">
        <v>625.58906786765726</v>
      </c>
      <c r="K216" s="294">
        <v>708.26049816747116</v>
      </c>
      <c r="L216" s="294">
        <v>812.06288343143456</v>
      </c>
      <c r="M216" s="294">
        <v>925.05840582172243</v>
      </c>
      <c r="N216" s="294">
        <v>1070.7663841142403</v>
      </c>
      <c r="O216" s="294">
        <v>1263.8942360470235</v>
      </c>
      <c r="P216" s="294">
        <v>1684.3410852713178</v>
      </c>
      <c r="Q216" s="294">
        <v>2339.38897866047</v>
      </c>
      <c r="R216" s="294">
        <v>2488.3414665903547</v>
      </c>
      <c r="S216" s="294">
        <v>2756.6530324920745</v>
      </c>
      <c r="T216" s="294">
        <v>2842.4968445288036</v>
      </c>
      <c r="U216" s="294">
        <v>3187.0067074426647</v>
      </c>
      <c r="V216" s="294">
        <v>3891.7679803334131</v>
      </c>
      <c r="W216" s="294">
        <v>4913.4489497496479</v>
      </c>
      <c r="X216" s="294">
        <v>5579.2139977480256</v>
      </c>
      <c r="Y216" s="294">
        <v>6050.9733665055646</v>
      </c>
      <c r="Z216" s="294">
        <v>6605.2469803149643</v>
      </c>
      <c r="AA216" s="294">
        <v>7185.6157066134356</v>
      </c>
      <c r="AB216" s="294">
        <v>6960.4682292127272</v>
      </c>
      <c r="AC216" s="294">
        <v>6783.4910923614834</v>
      </c>
      <c r="AD216" s="294">
        <v>7511.6537180909991</v>
      </c>
      <c r="AE216" s="294">
        <v>8890.4074397180702</v>
      </c>
      <c r="AF216" s="294">
        <v>10383.801787993931</v>
      </c>
      <c r="AG216" s="294">
        <v>11845.409269277987</v>
      </c>
      <c r="AH216" s="294">
        <v>13736.80024876682</v>
      </c>
      <c r="AI216" s="294">
        <v>15180.384860840357</v>
      </c>
      <c r="AJ216" s="294">
        <v>18102.905559889608</v>
      </c>
      <c r="AK216" s="294">
        <v>20248.781387326304</v>
      </c>
      <c r="AL216" s="294">
        <v>22922.114463720754</v>
      </c>
      <c r="AM216" s="294">
        <v>25795.773607321356</v>
      </c>
      <c r="AN216" s="294">
        <v>27545.235113031275</v>
      </c>
      <c r="AO216" s="294">
        <v>24399.982587541068</v>
      </c>
      <c r="AP216" s="294">
        <v>21715.09874513678</v>
      </c>
      <c r="AQ216" s="294">
        <v>23814.556614022691</v>
      </c>
      <c r="AR216" s="294">
        <v>22027.170765683655</v>
      </c>
      <c r="AS216" s="294">
        <v>21691.287891241605</v>
      </c>
      <c r="AT216" s="294">
        <v>22689.528184335741</v>
      </c>
      <c r="AU216" s="294">
        <v>26240.54621495742</v>
      </c>
      <c r="AV216" s="294">
        <v>28952.808914540019</v>
      </c>
      <c r="AW216" s="294">
        <v>31609.271779886229</v>
      </c>
      <c r="AX216" s="294">
        <v>36707.057020900182</v>
      </c>
      <c r="AY216" s="294">
        <v>34465.482641373725</v>
      </c>
      <c r="AZ216" s="294">
        <v>35274.45635489656</v>
      </c>
      <c r="BA216" s="294">
        <v>41986.825828428271</v>
      </c>
      <c r="BB216" s="294">
        <v>46241.024454019454</v>
      </c>
      <c r="BC216" s="298">
        <f t="shared" si="3"/>
        <v>46241.024454019454</v>
      </c>
    </row>
    <row r="217" spans="2:55">
      <c r="B217" s="72" t="s">
        <v>819</v>
      </c>
      <c r="C217" s="72" t="s">
        <v>820</v>
      </c>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8">
        <f t="shared" si="3"/>
        <v>0</v>
      </c>
    </row>
    <row r="218" spans="2:55">
      <c r="B218" s="72" t="s">
        <v>821</v>
      </c>
      <c r="C218" s="72" t="s">
        <v>822</v>
      </c>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v>1207.9697995168433</v>
      </c>
      <c r="Z218" s="294">
        <v>1204.0416645997329</v>
      </c>
      <c r="AA218" s="294">
        <v>1121.5861704383235</v>
      </c>
      <c r="AB218" s="294">
        <v>1128.8805607288064</v>
      </c>
      <c r="AC218" s="294">
        <v>1516.0558797059271</v>
      </c>
      <c r="AD218" s="294">
        <v>1815.1330354899555</v>
      </c>
      <c r="AE218" s="294">
        <v>1918.6116474571902</v>
      </c>
      <c r="AF218" s="294">
        <v>1851.7227820155404</v>
      </c>
      <c r="AG218" s="294">
        <v>2210.9981833053862</v>
      </c>
      <c r="AH218" s="294">
        <v>2473.7775129531205</v>
      </c>
      <c r="AI218" s="294">
        <v>2690.1646659961948</v>
      </c>
      <c r="AJ218" s="294">
        <v>3031.877331778046</v>
      </c>
      <c r="AK218" s="294">
        <v>3685.7528200635329</v>
      </c>
      <c r="AL218" s="294">
        <v>4709.735564221648</v>
      </c>
      <c r="AM218" s="294">
        <v>5077.7213103297308</v>
      </c>
      <c r="AN218" s="294">
        <v>5022.770206322788</v>
      </c>
      <c r="AO218" s="294">
        <v>5431.4432397547089</v>
      </c>
      <c r="AP218" s="294">
        <v>5550.0042915436725</v>
      </c>
      <c r="AQ218" s="294">
        <v>5330.4016218874895</v>
      </c>
      <c r="AR218" s="294">
        <v>5636.6390898030122</v>
      </c>
      <c r="AS218" s="294">
        <v>6439.476748668224</v>
      </c>
      <c r="AT218" s="294">
        <v>8520.5883029290617</v>
      </c>
      <c r="AU218" s="294">
        <v>10417.811728875866</v>
      </c>
      <c r="AV218" s="294">
        <v>11384.529459552063</v>
      </c>
      <c r="AW218" s="294">
        <v>12798.527267124115</v>
      </c>
      <c r="AX218" s="294">
        <v>15583.39903033307</v>
      </c>
      <c r="AY218" s="294">
        <v>18109.055660114729</v>
      </c>
      <c r="AZ218" s="294">
        <v>16100.082706384255</v>
      </c>
      <c r="BA218" s="294">
        <v>16036.069270304146</v>
      </c>
      <c r="BB218" s="294">
        <v>17645.983070042028</v>
      </c>
      <c r="BC218" s="298">
        <f t="shared" si="3"/>
        <v>17645.983070042028</v>
      </c>
    </row>
    <row r="219" spans="2:55">
      <c r="B219" s="72" t="s">
        <v>823</v>
      </c>
      <c r="C219" s="72" t="s">
        <v>824</v>
      </c>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v>8698.9000177405796</v>
      </c>
      <c r="AH219" s="294">
        <v>6338.552270238587</v>
      </c>
      <c r="AI219" s="294">
        <v>6272.2508504937441</v>
      </c>
      <c r="AJ219" s="294">
        <v>6362.7787816737946</v>
      </c>
      <c r="AK219" s="294">
        <v>7230.9212308214655</v>
      </c>
      <c r="AL219" s="294">
        <v>10523.724545607894</v>
      </c>
      <c r="AM219" s="294">
        <v>10635.427126523049</v>
      </c>
      <c r="AN219" s="294">
        <v>10282.321490034303</v>
      </c>
      <c r="AO219" s="294">
        <v>10974.488925736498</v>
      </c>
      <c r="AP219" s="294">
        <v>11250.215817788614</v>
      </c>
      <c r="AQ219" s="294">
        <v>10045.360076644314</v>
      </c>
      <c r="AR219" s="294">
        <v>10290.31604519909</v>
      </c>
      <c r="AS219" s="294">
        <v>11599.901924952372</v>
      </c>
      <c r="AT219" s="294">
        <v>14607.200496223833</v>
      </c>
      <c r="AU219" s="294">
        <v>16944.189526738734</v>
      </c>
      <c r="AV219" s="294">
        <v>17854.635330154309</v>
      </c>
      <c r="AW219" s="294">
        <v>19405.93327489974</v>
      </c>
      <c r="AX219" s="294">
        <v>23441.000620478855</v>
      </c>
      <c r="AY219" s="294">
        <v>27015.082379725027</v>
      </c>
      <c r="AZ219" s="294">
        <v>24051.036070570903</v>
      </c>
      <c r="BA219" s="294">
        <v>22897.938756335527</v>
      </c>
      <c r="BB219" s="294">
        <v>24141.944983169669</v>
      </c>
      <c r="BC219" s="298">
        <f t="shared" si="3"/>
        <v>24141.944983169669</v>
      </c>
    </row>
    <row r="220" spans="2:55">
      <c r="B220" s="72" t="s">
        <v>825</v>
      </c>
      <c r="C220" s="72" t="s">
        <v>826</v>
      </c>
      <c r="D220" s="294"/>
      <c r="E220" s="294"/>
      <c r="F220" s="294"/>
      <c r="G220" s="294"/>
      <c r="H220" s="294"/>
      <c r="I220" s="294"/>
      <c r="J220" s="294">
        <v>173.21652496899611</v>
      </c>
      <c r="K220" s="294">
        <v>187.18342769918436</v>
      </c>
      <c r="L220" s="294">
        <v>184.64683813484564</v>
      </c>
      <c r="M220" s="294"/>
      <c r="N220" s="294">
        <v>301.42582705406818</v>
      </c>
      <c r="O220" s="294">
        <v>235.64848943319635</v>
      </c>
      <c r="P220" s="294">
        <v>308.91043696018136</v>
      </c>
      <c r="Q220" s="294">
        <v>455.10466457736396</v>
      </c>
      <c r="R220" s="294">
        <v>387.18079939495675</v>
      </c>
      <c r="S220" s="294">
        <v>415.96349846895606</v>
      </c>
      <c r="T220" s="294">
        <v>450.11616533692705</v>
      </c>
      <c r="U220" s="294">
        <v>518.25234316523631</v>
      </c>
      <c r="V220" s="294">
        <v>682.47022504835991</v>
      </c>
      <c r="W220" s="294">
        <v>735.99299015042141</v>
      </c>
      <c r="X220" s="294">
        <v>790.40467423639132</v>
      </c>
      <c r="Y220" s="294">
        <v>769.55407024975761</v>
      </c>
      <c r="Z220" s="294">
        <v>712.724027238095</v>
      </c>
      <c r="AA220" s="294">
        <v>969.09476935543421</v>
      </c>
      <c r="AB220" s="294">
        <v>864.03754028509729</v>
      </c>
      <c r="AC220" s="294">
        <v>761.2949791470777</v>
      </c>
      <c r="AD220" s="294">
        <v>837.91776123012176</v>
      </c>
      <c r="AE220" s="294">
        <v>1061.1272826644756</v>
      </c>
      <c r="AF220" s="294">
        <v>1103.8987178524092</v>
      </c>
      <c r="AG220" s="294">
        <v>977.34616653870137</v>
      </c>
      <c r="AH220" s="294">
        <v>1006.2320079856831</v>
      </c>
      <c r="AI220" s="294">
        <v>1156.4717847819325</v>
      </c>
      <c r="AJ220" s="294">
        <v>1219.5015319002312</v>
      </c>
      <c r="AK220" s="294">
        <v>1340.9058840691609</v>
      </c>
      <c r="AL220" s="294">
        <v>1457.1500227677714</v>
      </c>
      <c r="AM220" s="294">
        <v>1542.6332641691154</v>
      </c>
      <c r="AN220" s="294">
        <v>1508.3742647930144</v>
      </c>
      <c r="AO220" s="294">
        <v>1217.8074469177207</v>
      </c>
      <c r="AP220" s="294">
        <v>1212.7297500143709</v>
      </c>
      <c r="AQ220" s="294">
        <v>1064.5146874563704</v>
      </c>
      <c r="AR220" s="294">
        <v>952.96072889622735</v>
      </c>
      <c r="AS220" s="294">
        <v>790.69085607839781</v>
      </c>
      <c r="AT220" s="294">
        <v>748.82592437221729</v>
      </c>
      <c r="AU220" s="294">
        <v>820.95446791645975</v>
      </c>
      <c r="AV220" s="294">
        <v>881.02484920608629</v>
      </c>
      <c r="AW220" s="294">
        <v>945.62203906401578</v>
      </c>
      <c r="AX220" s="294">
        <v>1180.7254547820428</v>
      </c>
      <c r="AY220" s="294">
        <v>1265.7194774409415</v>
      </c>
      <c r="AZ220" s="294">
        <v>1147.2436723184758</v>
      </c>
      <c r="BA220" s="294">
        <v>1261.0387508394563</v>
      </c>
      <c r="BB220" s="294">
        <v>1517.422016701134</v>
      </c>
      <c r="BC220" s="298">
        <f t="shared" si="3"/>
        <v>1517.422016701134</v>
      </c>
    </row>
    <row r="221" spans="2:55">
      <c r="B221" s="72" t="s">
        <v>827</v>
      </c>
      <c r="C221" s="72" t="s">
        <v>828</v>
      </c>
      <c r="D221" s="294">
        <v>66.443982894537967</v>
      </c>
      <c r="E221" s="294">
        <v>68.945928992934299</v>
      </c>
      <c r="F221" s="294">
        <v>71.522382996706767</v>
      </c>
      <c r="G221" s="294">
        <v>74.162682034012548</v>
      </c>
      <c r="H221" s="294">
        <v>76.861331985358532</v>
      </c>
      <c r="I221" s="294">
        <v>79.073196058860731</v>
      </c>
      <c r="J221" s="294">
        <v>81.181629640594409</v>
      </c>
      <c r="K221" s="294">
        <v>83.290259315013117</v>
      </c>
      <c r="L221" s="294">
        <v>85.089203364150535</v>
      </c>
      <c r="M221" s="294">
        <v>87.789447575098862</v>
      </c>
      <c r="N221" s="294">
        <v>90.79323752278799</v>
      </c>
      <c r="O221" s="294">
        <v>113.49865648916251</v>
      </c>
      <c r="P221" s="294">
        <v>136.11077865133751</v>
      </c>
      <c r="Q221" s="294">
        <v>121.10483885386331</v>
      </c>
      <c r="R221" s="294">
        <v>172.62147254403951</v>
      </c>
      <c r="S221" s="294">
        <v>178.56030886641588</v>
      </c>
      <c r="T221" s="294">
        <v>98.867937048436545</v>
      </c>
      <c r="U221" s="294">
        <v>100.82559054552149</v>
      </c>
      <c r="V221" s="294">
        <v>96.889175080648315</v>
      </c>
      <c r="W221" s="294">
        <v>93.789807575057239</v>
      </c>
      <c r="X221" s="294">
        <v>105.96271931894698</v>
      </c>
      <c r="Y221" s="294">
        <v>117.19236433647878</v>
      </c>
      <c r="Z221" s="294">
        <v>112.54139473528069</v>
      </c>
      <c r="AA221" s="294">
        <v>122.79531267147334</v>
      </c>
      <c r="AB221" s="294">
        <v>137.71737867779441</v>
      </c>
      <c r="AC221" s="294">
        <v>145.99308318099736</v>
      </c>
      <c r="AD221" s="294">
        <v>157.12725234644466</v>
      </c>
      <c r="AE221" s="294">
        <v>159.62484730879811</v>
      </c>
      <c r="AF221" s="294">
        <v>166.26455173874115</v>
      </c>
      <c r="AG221" s="294">
        <v>138.96191127054865</v>
      </c>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8">
        <f t="shared" si="3"/>
        <v>0</v>
      </c>
    </row>
    <row r="222" spans="2:55">
      <c r="B222" s="72" t="s">
        <v>829</v>
      </c>
      <c r="C222" s="72" t="s">
        <v>830</v>
      </c>
      <c r="D222" s="294">
        <v>431.35393896491217</v>
      </c>
      <c r="E222" s="294">
        <v>448.00160721079249</v>
      </c>
      <c r="F222" s="294">
        <v>484.52583078536281</v>
      </c>
      <c r="G222" s="294">
        <v>519.40970222904923</v>
      </c>
      <c r="H222" s="294">
        <v>554.79000275458463</v>
      </c>
      <c r="I222" s="294">
        <v>591.8119156916722</v>
      </c>
      <c r="J222" s="294">
        <v>646.27557161385948</v>
      </c>
      <c r="K222" s="294">
        <v>684.32373890557926</v>
      </c>
      <c r="L222" s="294">
        <v>754.91389874594506</v>
      </c>
      <c r="M222" s="294">
        <v>810.76619431852362</v>
      </c>
      <c r="N222" s="294">
        <v>874.44941752738305</v>
      </c>
      <c r="O222" s="294">
        <v>897.38177953181048</v>
      </c>
      <c r="P222" s="294">
        <v>1202.4683740256996</v>
      </c>
      <c r="Q222" s="294">
        <v>1477.0232198661083</v>
      </c>
      <c r="R222" s="294">
        <v>1494.1585022545928</v>
      </c>
      <c r="S222" s="294">
        <v>1403.9523355886222</v>
      </c>
      <c r="T222" s="294">
        <v>1526.807669745936</v>
      </c>
      <c r="U222" s="294">
        <v>1719.895712521452</v>
      </c>
      <c r="V222" s="294">
        <v>2076.2840814348992</v>
      </c>
      <c r="W222" s="294">
        <v>2920.7827143542781</v>
      </c>
      <c r="X222" s="294">
        <v>3073.1224197597589</v>
      </c>
      <c r="Y222" s="294">
        <v>2764.289432788963</v>
      </c>
      <c r="Z222" s="294">
        <v>2893.7251445808679</v>
      </c>
      <c r="AA222" s="294">
        <v>2792.0079096319973</v>
      </c>
      <c r="AB222" s="294">
        <v>2142.1518231020082</v>
      </c>
      <c r="AC222" s="294">
        <v>2475.0445448131541</v>
      </c>
      <c r="AD222" s="294">
        <v>3158.5906034388199</v>
      </c>
      <c r="AE222" s="294">
        <v>3398.6413751962937</v>
      </c>
      <c r="AF222" s="294">
        <v>3621.522918525387</v>
      </c>
      <c r="AG222" s="294">
        <v>3182.2140464096015</v>
      </c>
      <c r="AH222" s="294">
        <v>3345.8094726908766</v>
      </c>
      <c r="AI222" s="294">
        <v>3557.1110382920783</v>
      </c>
      <c r="AJ222" s="294">
        <v>3479.9240539979774</v>
      </c>
      <c r="AK222" s="294">
        <v>3546.6689922030678</v>
      </c>
      <c r="AL222" s="294">
        <v>3862.8089929619014</v>
      </c>
      <c r="AM222" s="294">
        <v>3593.2775996548107</v>
      </c>
      <c r="AN222" s="294">
        <v>3636.1710586162367</v>
      </c>
      <c r="AO222" s="294">
        <v>3205.1687588434047</v>
      </c>
      <c r="AP222" s="294">
        <v>3102.8138330945726</v>
      </c>
      <c r="AQ222" s="294">
        <v>3019.9463672255361</v>
      </c>
      <c r="AR222" s="294">
        <v>2638.1580501313811</v>
      </c>
      <c r="AS222" s="294">
        <v>2439.9917784708809</v>
      </c>
      <c r="AT222" s="294">
        <v>3647.7041204146244</v>
      </c>
      <c r="AU222" s="294">
        <v>4695.0393627643907</v>
      </c>
      <c r="AV222" s="294">
        <v>5234.3130518177168</v>
      </c>
      <c r="AW222" s="294">
        <v>5468.2980592416361</v>
      </c>
      <c r="AX222" s="294">
        <v>5930.1274095802128</v>
      </c>
      <c r="AY222" s="294">
        <v>5612.8946611901965</v>
      </c>
      <c r="AZ222" s="294">
        <v>5738.2716087196723</v>
      </c>
      <c r="BA222" s="294">
        <v>7271.7291845944656</v>
      </c>
      <c r="BB222" s="294">
        <v>8070.0320904096707</v>
      </c>
      <c r="BC222" s="298">
        <f t="shared" si="3"/>
        <v>8070.0320904096707</v>
      </c>
    </row>
    <row r="223" spans="2:55">
      <c r="B223" s="72" t="s">
        <v>831</v>
      </c>
      <c r="C223" s="72" t="s">
        <v>832</v>
      </c>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v>1700.4349451205874</v>
      </c>
      <c r="AZ223" s="294">
        <v>1246.7188457877673</v>
      </c>
      <c r="BA223" s="294">
        <v>1504.8959693408037</v>
      </c>
      <c r="BB223" s="294">
        <v>1858.8256363141429</v>
      </c>
      <c r="BC223" s="298">
        <f t="shared" si="3"/>
        <v>1858.8256363141429</v>
      </c>
    </row>
    <row r="224" spans="2:55">
      <c r="B224" s="72" t="s">
        <v>833</v>
      </c>
      <c r="C224" s="72" t="s">
        <v>834</v>
      </c>
      <c r="D224" s="294">
        <v>450.05328924696846</v>
      </c>
      <c r="E224" s="294">
        <v>520.2061313800051</v>
      </c>
      <c r="F224" s="294">
        <v>609.48738405651261</v>
      </c>
      <c r="G224" s="294">
        <v>675.24163914120777</v>
      </c>
      <c r="H224" s="294">
        <v>774.76160933009623</v>
      </c>
      <c r="I224" s="294">
        <v>889.65987201152882</v>
      </c>
      <c r="J224" s="294">
        <v>968.30678176598303</v>
      </c>
      <c r="K224" s="294">
        <v>950.54574059373374</v>
      </c>
      <c r="L224" s="294">
        <v>1077.6786999459105</v>
      </c>
      <c r="M224" s="294">
        <v>1177.0646642462204</v>
      </c>
      <c r="N224" s="294">
        <v>1323.8551931710899</v>
      </c>
      <c r="O224" s="294">
        <v>1664.0505238242151</v>
      </c>
      <c r="P224" s="294">
        <v>2193.0205040850901</v>
      </c>
      <c r="Q224" s="294">
        <v>2686.6550312282993</v>
      </c>
      <c r="R224" s="294">
        <v>3136.4979161160895</v>
      </c>
      <c r="S224" s="294">
        <v>3201.6027186306883</v>
      </c>
      <c r="T224" s="294">
        <v>3535.8979522581785</v>
      </c>
      <c r="U224" s="294">
        <v>4228.984282911847</v>
      </c>
      <c r="V224" s="294">
        <v>5601.0784853335372</v>
      </c>
      <c r="W224" s="294">
        <v>6036.5731068896948</v>
      </c>
      <c r="X224" s="294">
        <v>5217.5976562489941</v>
      </c>
      <c r="Y224" s="294">
        <v>5015.49124673795</v>
      </c>
      <c r="Z224" s="294">
        <v>4353.9715302831682</v>
      </c>
      <c r="AA224" s="294">
        <v>4365.4245426750913</v>
      </c>
      <c r="AB224" s="294">
        <v>4569.122167014395</v>
      </c>
      <c r="AC224" s="294">
        <v>6332.2874845621282</v>
      </c>
      <c r="AD224" s="294">
        <v>8011.3828502549613</v>
      </c>
      <c r="AE224" s="294">
        <v>9433.6189453436855</v>
      </c>
      <c r="AF224" s="294">
        <v>10381.295296173585</v>
      </c>
      <c r="AG224" s="294">
        <v>13409.583826580943</v>
      </c>
      <c r="AH224" s="294">
        <v>14391.615973732485</v>
      </c>
      <c r="AI224" s="294">
        <v>15680.042718222287</v>
      </c>
      <c r="AJ224" s="294">
        <v>13009.100973092705</v>
      </c>
      <c r="AK224" s="294">
        <v>13109.730526182489</v>
      </c>
      <c r="AL224" s="294">
        <v>15150.950220994642</v>
      </c>
      <c r="AM224" s="294">
        <v>15766.396670622687</v>
      </c>
      <c r="AN224" s="294">
        <v>14466.967943566249</v>
      </c>
      <c r="AO224" s="294">
        <v>15126.431605450876</v>
      </c>
      <c r="AP224" s="294">
        <v>15475.521554131103</v>
      </c>
      <c r="AQ224" s="294">
        <v>14413.788872415951</v>
      </c>
      <c r="AR224" s="294">
        <v>14952.090840544188</v>
      </c>
      <c r="AS224" s="294">
        <v>16611.713379272634</v>
      </c>
      <c r="AT224" s="294">
        <v>21041.537602061959</v>
      </c>
      <c r="AU224" s="294">
        <v>24468.745434352033</v>
      </c>
      <c r="AV224" s="294">
        <v>26056.388766184005</v>
      </c>
      <c r="AW224" s="294">
        <v>28024.748495565793</v>
      </c>
      <c r="AX224" s="294">
        <v>32118.102020228496</v>
      </c>
      <c r="AY224" s="294">
        <v>34977.389054695988</v>
      </c>
      <c r="AZ224" s="294">
        <v>31714.244358335942</v>
      </c>
      <c r="BA224" s="294">
        <v>29956.1563511721</v>
      </c>
      <c r="BB224" s="294">
        <v>31942.942455811499</v>
      </c>
      <c r="BC224" s="298">
        <f t="shared" si="3"/>
        <v>31942.942455811499</v>
      </c>
    </row>
    <row r="225" spans="2:55">
      <c r="B225" s="72" t="s">
        <v>835</v>
      </c>
      <c r="C225" s="72" t="s">
        <v>836</v>
      </c>
      <c r="D225" s="294">
        <v>143.03128747958664</v>
      </c>
      <c r="E225" s="294">
        <v>139.67342906761337</v>
      </c>
      <c r="F225" s="294">
        <v>117.31125624772683</v>
      </c>
      <c r="G225" s="294">
        <v>121.23642355777493</v>
      </c>
      <c r="H225" s="294">
        <v>152.12462627473062</v>
      </c>
      <c r="I225" s="294">
        <v>153.11395998210457</v>
      </c>
      <c r="J225" s="294">
        <v>158.88789375169884</v>
      </c>
      <c r="K225" s="294">
        <v>150.19817132990619</v>
      </c>
      <c r="L225" s="294">
        <v>160.42656043808316</v>
      </c>
      <c r="M225" s="294">
        <v>183.5121134917128</v>
      </c>
      <c r="N225" s="294">
        <v>186.7067454954506</v>
      </c>
      <c r="O225" s="294">
        <v>198.57991978918517</v>
      </c>
      <c r="P225" s="294">
        <v>219.6642731647697</v>
      </c>
      <c r="Q225" s="294">
        <v>269.08961654361741</v>
      </c>
      <c r="R225" s="294">
        <v>280.9201352627756</v>
      </c>
      <c r="S225" s="294">
        <v>261.81525532643599</v>
      </c>
      <c r="T225" s="294">
        <v>294.39890853992148</v>
      </c>
      <c r="U225" s="294">
        <v>192.61337959846668</v>
      </c>
      <c r="V225" s="294">
        <v>232.49111610292218</v>
      </c>
      <c r="W225" s="294">
        <v>272.91122937387451</v>
      </c>
      <c r="X225" s="294">
        <v>297.42332833866482</v>
      </c>
      <c r="Y225" s="294">
        <v>313.81712403387979</v>
      </c>
      <c r="Z225" s="294">
        <v>335.20875022166734</v>
      </c>
      <c r="AA225" s="294">
        <v>387.32774740545375</v>
      </c>
      <c r="AB225" s="294">
        <v>377.38044262199679</v>
      </c>
      <c r="AC225" s="294">
        <v>397.17309877118754</v>
      </c>
      <c r="AD225" s="294">
        <v>408.12112133177897</v>
      </c>
      <c r="AE225" s="294">
        <v>420.40915604938573</v>
      </c>
      <c r="AF225" s="294">
        <v>415.29079844116131</v>
      </c>
      <c r="AG225" s="294">
        <v>472.08646331120417</v>
      </c>
      <c r="AH225" s="294">
        <v>521.24645749585079</v>
      </c>
      <c r="AI225" s="294">
        <v>556.81232846699447</v>
      </c>
      <c r="AJ225" s="294">
        <v>585.89366631313555</v>
      </c>
      <c r="AK225" s="294">
        <v>654.94406175296729</v>
      </c>
      <c r="AL225" s="294">
        <v>718.44384434139886</v>
      </c>
      <c r="AM225" s="294">
        <v>757.94820981941416</v>
      </c>
      <c r="AN225" s="294">
        <v>812.79248361346777</v>
      </c>
      <c r="AO225" s="294">
        <v>840.8737674173949</v>
      </c>
      <c r="AP225" s="294">
        <v>821.59645339289671</v>
      </c>
      <c r="AQ225" s="294">
        <v>854.92672515526408</v>
      </c>
      <c r="AR225" s="294">
        <v>837.69880352183623</v>
      </c>
      <c r="AS225" s="294">
        <v>903.89640485324821</v>
      </c>
      <c r="AT225" s="294">
        <v>984.81017249335446</v>
      </c>
      <c r="AU225" s="294">
        <v>1063.1605835502212</v>
      </c>
      <c r="AV225" s="294">
        <v>1242.404349662804</v>
      </c>
      <c r="AW225" s="294">
        <v>1423.477215354837</v>
      </c>
      <c r="AX225" s="294">
        <v>1614.4111100511839</v>
      </c>
      <c r="AY225" s="294">
        <v>2013.9115447391189</v>
      </c>
      <c r="AZ225" s="294">
        <v>2057.1132467114767</v>
      </c>
      <c r="BA225" s="294">
        <v>2400.0155749726327</v>
      </c>
      <c r="BB225" s="294">
        <v>2835.4082753800221</v>
      </c>
      <c r="BC225" s="298">
        <f t="shared" si="3"/>
        <v>2835.4082753800221</v>
      </c>
    </row>
    <row r="226" spans="2:55">
      <c r="B226" s="72" t="s">
        <v>837</v>
      </c>
      <c r="C226" s="72" t="s">
        <v>838</v>
      </c>
      <c r="D226" s="294">
        <v>247.04015017282074</v>
      </c>
      <c r="E226" s="294">
        <v>250.49581363713807</v>
      </c>
      <c r="F226" s="294">
        <v>258.69791952168782</v>
      </c>
      <c r="G226" s="294">
        <v>272.96460375609087</v>
      </c>
      <c r="H226" s="294">
        <v>279.13618948553369</v>
      </c>
      <c r="I226" s="294">
        <v>301.97321963774391</v>
      </c>
      <c r="J226" s="294">
        <v>355.14050463899315</v>
      </c>
      <c r="K226" s="294">
        <v>314.77009613465196</v>
      </c>
      <c r="L226" s="294">
        <v>347.31728823907844</v>
      </c>
      <c r="M226" s="294">
        <v>363.02895322939867</v>
      </c>
      <c r="N226" s="294">
        <v>440.01673591552145</v>
      </c>
      <c r="O226" s="294">
        <v>516.77586738966772</v>
      </c>
      <c r="P226" s="294">
        <v>548.66255062889138</v>
      </c>
      <c r="Q226" s="294">
        <v>719.51727666092199</v>
      </c>
      <c r="R226" s="294">
        <v>765.23059923185758</v>
      </c>
      <c r="S226" s="294">
        <v>695.04854930019178</v>
      </c>
      <c r="T226" s="294">
        <v>683.37765189729714</v>
      </c>
      <c r="U226" s="294">
        <v>782.1212851681147</v>
      </c>
      <c r="V226" s="294">
        <v>913.08172376563937</v>
      </c>
      <c r="W226" s="294">
        <v>1081.081061988501</v>
      </c>
      <c r="X226" s="294">
        <v>1263.8112750111382</v>
      </c>
      <c r="Y226" s="294">
        <v>1328.9407417469656</v>
      </c>
      <c r="Z226" s="294">
        <v>1334.944192162953</v>
      </c>
      <c r="AA226" s="294">
        <v>1603.8526106104785</v>
      </c>
      <c r="AB226" s="294">
        <v>1824.6467348757915</v>
      </c>
      <c r="AC226" s="294">
        <v>2209.9252771094984</v>
      </c>
      <c r="AD226" s="294">
        <v>2548.092654347146</v>
      </c>
      <c r="AE226" s="294">
        <v>2993.5835292944212</v>
      </c>
      <c r="AF226" s="294">
        <v>3397.295749448127</v>
      </c>
      <c r="AG226" s="294">
        <v>3788.2299725360513</v>
      </c>
      <c r="AH226" s="294">
        <v>3937.1876674860737</v>
      </c>
      <c r="AI226" s="294">
        <v>4372.1280071409774</v>
      </c>
      <c r="AJ226" s="294">
        <v>4793.1312971490588</v>
      </c>
      <c r="AK226" s="294">
        <v>5383.9813519593408</v>
      </c>
      <c r="AL226" s="294">
        <v>5627.8228455051794</v>
      </c>
      <c r="AM226" s="294">
        <v>6008.2102084386615</v>
      </c>
      <c r="AN226" s="294">
        <v>6752.3296287897656</v>
      </c>
      <c r="AO226" s="294">
        <v>7159.8396698127872</v>
      </c>
      <c r="AP226" s="294">
        <v>7217.4332491979012</v>
      </c>
      <c r="AQ226" s="294">
        <v>9406.2898982759816</v>
      </c>
      <c r="AR226" s="294">
        <v>9887.1332589796748</v>
      </c>
      <c r="AS226" s="294">
        <v>10234.809550666192</v>
      </c>
      <c r="AT226" s="294">
        <v>9881.7577921149514</v>
      </c>
      <c r="AU226" s="294">
        <v>10249.644985812778</v>
      </c>
      <c r="AV226" s="294">
        <v>10908.642270727792</v>
      </c>
      <c r="AW226" s="294">
        <v>12638.007220497457</v>
      </c>
      <c r="AX226" s="294">
        <v>13664.886712574049</v>
      </c>
      <c r="AY226" s="294">
        <v>14482.85573442802</v>
      </c>
      <c r="AZ226" s="294">
        <v>13306.999815358718</v>
      </c>
      <c r="BA226" s="294">
        <v>12846.873324032018</v>
      </c>
      <c r="BB226" s="294">
        <v>13143.554462267964</v>
      </c>
      <c r="BC226" s="298">
        <f t="shared" si="3"/>
        <v>13143.554462267964</v>
      </c>
    </row>
    <row r="227" spans="2:55">
      <c r="B227" s="72" t="s">
        <v>839</v>
      </c>
      <c r="C227" s="72" t="s">
        <v>840</v>
      </c>
      <c r="D227" s="294"/>
      <c r="E227" s="294"/>
      <c r="F227" s="294"/>
      <c r="G227" s="294"/>
      <c r="H227" s="294"/>
      <c r="I227" s="294"/>
      <c r="J227" s="294"/>
      <c r="K227" s="294"/>
      <c r="L227" s="294"/>
      <c r="M227" s="294"/>
      <c r="N227" s="294"/>
      <c r="O227" s="294"/>
      <c r="P227" s="294"/>
      <c r="Q227" s="294"/>
      <c r="R227" s="294"/>
      <c r="S227" s="294"/>
      <c r="T227" s="294"/>
      <c r="U227" s="294"/>
      <c r="V227" s="294">
        <v>906.61211759465118</v>
      </c>
      <c r="W227" s="294">
        <v>1155.10660137337</v>
      </c>
      <c r="X227" s="294">
        <v>1296.8010371014534</v>
      </c>
      <c r="Y227" s="294">
        <v>1202.5869382503506</v>
      </c>
      <c r="Z227" s="294">
        <v>1275.8356810492976</v>
      </c>
      <c r="AA227" s="294">
        <v>1603.6524443301353</v>
      </c>
      <c r="AB227" s="294">
        <v>1515.7585677226659</v>
      </c>
      <c r="AC227" s="294">
        <v>1781.9871648808089</v>
      </c>
      <c r="AD227" s="294">
        <v>1886.2659992568756</v>
      </c>
      <c r="AE227" s="294">
        <v>2101.0566318328792</v>
      </c>
      <c r="AF227" s="294">
        <v>2356.3623722362072</v>
      </c>
      <c r="AG227" s="294">
        <v>2961.9133014620948</v>
      </c>
      <c r="AH227" s="294">
        <v>3172.5761531206113</v>
      </c>
      <c r="AI227" s="294">
        <v>3485.1825365968889</v>
      </c>
      <c r="AJ227" s="294">
        <v>3516.8083379082905</v>
      </c>
      <c r="AK227" s="294">
        <v>3627.2359008195144</v>
      </c>
      <c r="AL227" s="294">
        <v>3856.0413335605958</v>
      </c>
      <c r="AM227" s="294">
        <v>3851.2352638200832</v>
      </c>
      <c r="AN227" s="294">
        <v>4038.3994266231102</v>
      </c>
      <c r="AO227" s="294">
        <v>4327.2190844051711</v>
      </c>
      <c r="AP227" s="294">
        <v>4505.4904274951414</v>
      </c>
      <c r="AQ227" s="294">
        <v>4900.4956756911424</v>
      </c>
      <c r="AR227" s="294">
        <v>4485.7755138220064</v>
      </c>
      <c r="AS227" s="294">
        <v>4543.5430934044043</v>
      </c>
      <c r="AT227" s="294">
        <v>4864.5147111491133</v>
      </c>
      <c r="AU227" s="294">
        <v>5283.717573895975</v>
      </c>
      <c r="AV227" s="294">
        <v>5528.8645212018282</v>
      </c>
      <c r="AW227" s="294">
        <v>6118.6827493304218</v>
      </c>
      <c r="AX227" s="294">
        <v>6726.9877838427155</v>
      </c>
      <c r="AY227" s="294">
        <v>6897.6099011575934</v>
      </c>
      <c r="AZ227" s="294">
        <v>6810.5246347757502</v>
      </c>
      <c r="BA227" s="294">
        <v>6947.4343167305224</v>
      </c>
      <c r="BB227" s="294">
        <v>7153.8544423400663</v>
      </c>
      <c r="BC227" s="298">
        <f t="shared" si="3"/>
        <v>7153.8544423400663</v>
      </c>
    </row>
    <row r="228" spans="2:55">
      <c r="B228" s="72" t="s">
        <v>841</v>
      </c>
      <c r="C228" s="72" t="s">
        <v>842</v>
      </c>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8">
        <f t="shared" si="3"/>
        <v>0</v>
      </c>
    </row>
    <row r="229" spans="2:55">
      <c r="B229" s="72" t="s">
        <v>843</v>
      </c>
      <c r="C229" s="72" t="s">
        <v>844</v>
      </c>
      <c r="D229" s="294">
        <v>170.43198301850128</v>
      </c>
      <c r="E229" s="294">
        <v>174.56420125184135</v>
      </c>
      <c r="F229" s="294">
        <v>162.87023274521022</v>
      </c>
      <c r="G229" s="294">
        <v>173.47191029722239</v>
      </c>
      <c r="H229" s="294">
        <v>175.73302503359881</v>
      </c>
      <c r="I229" s="294">
        <v>185.34887737588781</v>
      </c>
      <c r="J229" s="294">
        <v>180.4753581798922</v>
      </c>
      <c r="K229" s="294">
        <v>173.20560125475328</v>
      </c>
      <c r="L229" s="294">
        <v>185.9774146346912</v>
      </c>
      <c r="M229" s="294">
        <v>203.94627756590947</v>
      </c>
      <c r="N229" s="294">
        <v>219.27550014903264</v>
      </c>
      <c r="O229" s="294">
        <v>298.34083062743895</v>
      </c>
      <c r="P229" s="294">
        <v>322.60016087621</v>
      </c>
      <c r="Q229" s="294">
        <v>348.19805992408891</v>
      </c>
      <c r="R229" s="294">
        <v>347.70165922981232</v>
      </c>
      <c r="S229" s="294">
        <v>339.43512127943444</v>
      </c>
      <c r="T229" s="294">
        <v>374.31269418169774</v>
      </c>
      <c r="U229" s="294">
        <v>472.66456209569253</v>
      </c>
      <c r="V229" s="294">
        <v>547.63570207064754</v>
      </c>
      <c r="W229" s="294">
        <v>600.37238767884719</v>
      </c>
      <c r="X229" s="294">
        <v>738.28416715014782</v>
      </c>
      <c r="Y229" s="294">
        <v>836.61963713790033</v>
      </c>
      <c r="Z229" s="294">
        <v>913.80695509458951</v>
      </c>
      <c r="AA229" s="294">
        <v>998.36973681812583</v>
      </c>
      <c r="AB229" s="294">
        <v>1081.2195119626315</v>
      </c>
      <c r="AC229" s="294">
        <v>1217.3745601632813</v>
      </c>
      <c r="AD229" s="294">
        <v>1345.0289757989769</v>
      </c>
      <c r="AE229" s="294">
        <v>1545.8045094023105</v>
      </c>
      <c r="AF229" s="294">
        <v>1656.7269676041976</v>
      </c>
      <c r="AG229" s="294">
        <v>1844.6649471557521</v>
      </c>
      <c r="AH229" s="294">
        <v>1971.9974285547055</v>
      </c>
      <c r="AI229" s="294">
        <v>2160.1563579870199</v>
      </c>
      <c r="AJ229" s="294">
        <v>2209.8274327053532</v>
      </c>
      <c r="AK229" s="294">
        <v>2250.5116819050354</v>
      </c>
      <c r="AL229" s="294">
        <v>2465.4351460129387</v>
      </c>
      <c r="AM229" s="294">
        <v>2605.4706817728124</v>
      </c>
      <c r="AN229" s="294">
        <v>2714.142242422703</v>
      </c>
      <c r="AO229" s="294">
        <v>2945.6089274531078</v>
      </c>
      <c r="AP229" s="294">
        <v>3076.5712188459156</v>
      </c>
      <c r="AQ229" s="294">
        <v>3683.7827685769562</v>
      </c>
      <c r="AR229" s="294">
        <v>3991.3872501369729</v>
      </c>
      <c r="AS229" s="294">
        <v>4277.7772501824529</v>
      </c>
      <c r="AT229" s="294">
        <v>4452.0464506173339</v>
      </c>
      <c r="AU229" s="294">
        <v>4813.1523854856841</v>
      </c>
      <c r="AV229" s="294">
        <v>5070.4026982350333</v>
      </c>
      <c r="AW229" s="294">
        <v>5610.093154902579</v>
      </c>
      <c r="AX229" s="294">
        <v>6278.1213535192992</v>
      </c>
      <c r="AY229" s="294">
        <v>6402.42925077159</v>
      </c>
      <c r="AZ229" s="294">
        <v>6153.0937987562456</v>
      </c>
      <c r="BA229" s="294">
        <v>6171.6225523722796</v>
      </c>
      <c r="BB229" s="294">
        <v>6290.8041200803964</v>
      </c>
      <c r="BC229" s="298">
        <f t="shared" si="3"/>
        <v>6290.8041200803964</v>
      </c>
    </row>
    <row r="230" spans="2:55">
      <c r="B230" s="72" t="s">
        <v>845</v>
      </c>
      <c r="C230" s="72" t="s">
        <v>846</v>
      </c>
      <c r="D230" s="294">
        <v>103.30318379000001</v>
      </c>
      <c r="E230" s="294">
        <v>109.57951445</v>
      </c>
      <c r="F230" s="294">
        <v>108.86080056999999</v>
      </c>
      <c r="G230" s="294">
        <v>109.20723791</v>
      </c>
      <c r="H230" s="294">
        <v>111.11843752999999</v>
      </c>
      <c r="I230" s="294">
        <v>111.28841540000001</v>
      </c>
      <c r="J230" s="294">
        <v>117.61581219</v>
      </c>
      <c r="K230" s="294">
        <v>119.75736863</v>
      </c>
      <c r="L230" s="294">
        <v>128.53341857999999</v>
      </c>
      <c r="M230" s="294">
        <v>142.23861106999999</v>
      </c>
      <c r="N230" s="294">
        <v>150.67579968999999</v>
      </c>
      <c r="O230" s="294">
        <v>158.81204618000001</v>
      </c>
      <c r="P230" s="294">
        <v>191.00419556</v>
      </c>
      <c r="Q230" s="294">
        <v>238.33692138000001</v>
      </c>
      <c r="R230" s="294">
        <v>281.52088900000001</v>
      </c>
      <c r="S230" s="294">
        <v>340.25106602</v>
      </c>
      <c r="T230" s="294">
        <v>411.28942766</v>
      </c>
      <c r="U230" s="294">
        <v>432.02339368999998</v>
      </c>
      <c r="V230" s="294">
        <v>433.32053087999998</v>
      </c>
      <c r="W230" s="294">
        <v>379.51385083000002</v>
      </c>
      <c r="X230" s="294">
        <v>459.65076808999999</v>
      </c>
      <c r="Y230" s="294">
        <v>431.22928345000003</v>
      </c>
      <c r="Z230" s="294">
        <v>381.66668700999998</v>
      </c>
      <c r="AA230" s="294">
        <v>438.99649686999999</v>
      </c>
      <c r="AB230" s="294">
        <v>529.22183135</v>
      </c>
      <c r="AC230" s="294">
        <v>660.91890279999996</v>
      </c>
      <c r="AD230" s="294">
        <v>834.06752906999998</v>
      </c>
      <c r="AE230" s="294">
        <v>613.12227790999998</v>
      </c>
      <c r="AF230" s="294">
        <v>591.12203596999996</v>
      </c>
      <c r="AG230" s="294">
        <v>468.35392753000002</v>
      </c>
      <c r="AH230" s="294">
        <v>418.971541</v>
      </c>
      <c r="AI230" s="294">
        <v>252.34833520999999</v>
      </c>
      <c r="AJ230" s="294">
        <v>310.46333885000001</v>
      </c>
      <c r="AK230" s="294">
        <v>435.65107909</v>
      </c>
      <c r="AL230" s="294">
        <v>458.85346964000001</v>
      </c>
      <c r="AM230" s="294">
        <v>291.57981035</v>
      </c>
      <c r="AN230" s="294">
        <v>368.09956443999999</v>
      </c>
      <c r="AO230" s="294">
        <v>345.6360535</v>
      </c>
      <c r="AP230" s="294">
        <v>320.12136249999998</v>
      </c>
      <c r="AQ230" s="294">
        <v>358.52920101000001</v>
      </c>
      <c r="AR230" s="294">
        <v>376.62946183999998</v>
      </c>
      <c r="AS230" s="294">
        <v>413.31745224999997</v>
      </c>
      <c r="AT230" s="294">
        <v>481.56708999</v>
      </c>
      <c r="AU230" s="294">
        <v>572.15465470000004</v>
      </c>
      <c r="AV230" s="294">
        <v>690.56941534999999</v>
      </c>
      <c r="AW230" s="294">
        <v>893.07566073999999</v>
      </c>
      <c r="AX230" s="294">
        <v>1125.894667</v>
      </c>
      <c r="AY230" s="294">
        <v>1294.7213799000001</v>
      </c>
      <c r="AZ230" s="294">
        <v>1239.3524084000001</v>
      </c>
      <c r="BA230" s="294">
        <v>1487.6881587</v>
      </c>
      <c r="BB230" s="294">
        <v>1435.1314362999999</v>
      </c>
      <c r="BC230" s="298">
        <f t="shared" si="3"/>
        <v>1435.1314362999999</v>
      </c>
    </row>
    <row r="231" spans="2:55">
      <c r="B231" s="72" t="s">
        <v>847</v>
      </c>
      <c r="C231" s="72" t="s">
        <v>848</v>
      </c>
      <c r="D231" s="294">
        <v>349.86862732673529</v>
      </c>
      <c r="E231" s="294">
        <v>358.15379944138817</v>
      </c>
      <c r="F231" s="294">
        <v>370.64140662182643</v>
      </c>
      <c r="G231" s="294">
        <v>396.42997615203313</v>
      </c>
      <c r="H231" s="294">
        <v>442.63629433739618</v>
      </c>
      <c r="I231" s="294">
        <v>531.1293931677219</v>
      </c>
      <c r="J231" s="294">
        <v>598.9604608698869</v>
      </c>
      <c r="K231" s="294">
        <v>648.99291961407653</v>
      </c>
      <c r="L231" s="294">
        <v>673.26203751091145</v>
      </c>
      <c r="M231" s="294">
        <v>704.01579652804082</v>
      </c>
      <c r="N231" s="294">
        <v>768.68186832354638</v>
      </c>
      <c r="O231" s="294">
        <v>864.73267410532196</v>
      </c>
      <c r="P231" s="294">
        <v>924.93614605471635</v>
      </c>
      <c r="Q231" s="294">
        <v>1126.0478874053554</v>
      </c>
      <c r="R231" s="294">
        <v>1429.3901232108906</v>
      </c>
      <c r="S231" s="294">
        <v>1558.6361712889325</v>
      </c>
      <c r="T231" s="294">
        <v>1977.2960007653617</v>
      </c>
      <c r="U231" s="294">
        <v>2265.1153025413805</v>
      </c>
      <c r="V231" s="294">
        <v>2405.2324421043395</v>
      </c>
      <c r="W231" s="294">
        <v>2435.1240933262975</v>
      </c>
      <c r="X231" s="294">
        <v>2715.9649639010822</v>
      </c>
      <c r="Y231" s="294">
        <v>2786.1492982851801</v>
      </c>
      <c r="Z231" s="294">
        <v>2677.3288779064424</v>
      </c>
      <c r="AA231" s="294">
        <v>2600.0013686969319</v>
      </c>
      <c r="AB231" s="294">
        <v>2601.5054115372955</v>
      </c>
      <c r="AC231" s="294">
        <v>2620.1782195573892</v>
      </c>
      <c r="AD231" s="294">
        <v>2837.0670021758565</v>
      </c>
      <c r="AE231" s="294">
        <v>3304.6539352904565</v>
      </c>
      <c r="AF231" s="294">
        <v>1377.0626034093038</v>
      </c>
      <c r="AG231" s="294">
        <v>980.79348691292478</v>
      </c>
      <c r="AH231" s="294">
        <v>1061.0394230662139</v>
      </c>
      <c r="AI231" s="294">
        <v>966.02903588107768</v>
      </c>
      <c r="AJ231" s="294">
        <v>1025.3007244819828</v>
      </c>
      <c r="AK231" s="294">
        <v>1406.5286363699772</v>
      </c>
      <c r="AL231" s="294">
        <v>1591.1398877775739</v>
      </c>
      <c r="AM231" s="294">
        <v>1946.1309732606767</v>
      </c>
      <c r="AN231" s="294">
        <v>2075.2159384717729</v>
      </c>
      <c r="AO231" s="294">
        <v>2080.929406769957</v>
      </c>
      <c r="AP231" s="294">
        <v>1923.1268751072394</v>
      </c>
      <c r="AQ231" s="294">
        <v>1911.0463154444933</v>
      </c>
      <c r="AR231" s="294">
        <v>1612.6226361602853</v>
      </c>
      <c r="AS231" s="294">
        <v>2246.0535256971002</v>
      </c>
      <c r="AT231" s="294">
        <v>2611.0301452341823</v>
      </c>
      <c r="AU231" s="294">
        <v>3009.3479618276037</v>
      </c>
      <c r="AV231" s="294">
        <v>3592.6261743581936</v>
      </c>
      <c r="AW231" s="294">
        <v>5201.5546717949428</v>
      </c>
      <c r="AX231" s="294">
        <v>5756.5277139821537</v>
      </c>
      <c r="AY231" s="294">
        <v>6859.2549976119562</v>
      </c>
      <c r="AZ231" s="294">
        <v>7486.2382034813145</v>
      </c>
      <c r="BA231" s="294">
        <v>8292.4610585243863</v>
      </c>
      <c r="BB231" s="294"/>
      <c r="BC231" s="298">
        <f t="shared" si="3"/>
        <v>0</v>
      </c>
    </row>
    <row r="232" spans="2:55">
      <c r="B232" s="72" t="s">
        <v>849</v>
      </c>
      <c r="C232" s="72" t="s">
        <v>850</v>
      </c>
      <c r="D232" s="294">
        <v>120.36617072824261</v>
      </c>
      <c r="E232" s="294">
        <v>125.60822257197034</v>
      </c>
      <c r="F232" s="294">
        <v>144.76833231225959</v>
      </c>
      <c r="G232" s="294">
        <v>169.8940980470181</v>
      </c>
      <c r="H232" s="294">
        <v>179.48930559667855</v>
      </c>
      <c r="I232" s="294">
        <v>191.5817589536002</v>
      </c>
      <c r="J232" s="294">
        <v>181.73531790780416</v>
      </c>
      <c r="K232" s="294">
        <v>189.03029868411701</v>
      </c>
      <c r="L232" s="294">
        <v>243.12696117473885</v>
      </c>
      <c r="M232" s="294">
        <v>251.57943819305169</v>
      </c>
      <c r="N232" s="294">
        <v>297.5622544082488</v>
      </c>
      <c r="O232" s="294">
        <v>310.73711189259683</v>
      </c>
      <c r="P232" s="294">
        <v>456.06300448347383</v>
      </c>
      <c r="Q232" s="294">
        <v>527.03341399584986</v>
      </c>
      <c r="R232" s="294">
        <v>557.61998042830487</v>
      </c>
      <c r="S232" s="294">
        <v>511.13667815148597</v>
      </c>
      <c r="T232" s="294">
        <v>552.72481141544051</v>
      </c>
      <c r="U232" s="294">
        <v>600.16911080117904</v>
      </c>
      <c r="V232" s="294">
        <v>703.87193085757315</v>
      </c>
      <c r="W232" s="294">
        <v>899.22723805997873</v>
      </c>
      <c r="X232" s="294">
        <v>926.35050747577714</v>
      </c>
      <c r="Y232" s="294">
        <v>843.98650868722234</v>
      </c>
      <c r="Z232" s="294">
        <v>844.67595040742617</v>
      </c>
      <c r="AA232" s="294">
        <v>745.647131910079</v>
      </c>
      <c r="AB232" s="294">
        <v>520.66813560271908</v>
      </c>
      <c r="AC232" s="294">
        <v>615.56354782589665</v>
      </c>
      <c r="AD232" s="294">
        <v>761.38354004741609</v>
      </c>
      <c r="AE232" s="294">
        <v>868.16701495727136</v>
      </c>
      <c r="AF232" s="294">
        <v>837.6381263367349</v>
      </c>
      <c r="AG232" s="294">
        <v>1292.0631281663</v>
      </c>
      <c r="AH232" s="294">
        <v>1305.088144320026</v>
      </c>
      <c r="AI232" s="294">
        <v>1415.779443771645</v>
      </c>
      <c r="AJ232" s="294">
        <v>1466.7938966985969</v>
      </c>
      <c r="AK232" s="294">
        <v>1503.7706201946166</v>
      </c>
      <c r="AL232" s="294">
        <v>1763.1629305714307</v>
      </c>
      <c r="AM232" s="294">
        <v>1639.0009115852295</v>
      </c>
      <c r="AN232" s="294">
        <v>1706.5268174321502</v>
      </c>
      <c r="AO232" s="294">
        <v>1564.2521989215418</v>
      </c>
      <c r="AP232" s="294">
        <v>1533.4980533427174</v>
      </c>
      <c r="AQ232" s="294">
        <v>1508.1836598596715</v>
      </c>
      <c r="AR232" s="294">
        <v>1333.2088017369963</v>
      </c>
      <c r="AS232" s="294">
        <v>1207.9598541117577</v>
      </c>
      <c r="AT232" s="294">
        <v>1826.9835950076322</v>
      </c>
      <c r="AU232" s="294">
        <v>2382.2703200683432</v>
      </c>
      <c r="AV232" s="294">
        <v>2539.8215403218574</v>
      </c>
      <c r="AW232" s="294">
        <v>2893.6432231699328</v>
      </c>
      <c r="AX232" s="294">
        <v>2993.6450759222535</v>
      </c>
      <c r="AY232" s="294">
        <v>2926.8519119950006</v>
      </c>
      <c r="AZ232" s="294">
        <v>2826.7355587092579</v>
      </c>
      <c r="BA232" s="294">
        <v>3503.1603659916318</v>
      </c>
      <c r="BB232" s="294">
        <v>3725.2808979895949</v>
      </c>
      <c r="BC232" s="298">
        <f t="shared" si="3"/>
        <v>3725.2808979895949</v>
      </c>
    </row>
    <row r="233" spans="2:55">
      <c r="B233" s="72" t="s">
        <v>851</v>
      </c>
      <c r="C233" s="72" t="s">
        <v>386</v>
      </c>
      <c r="D233" s="294">
        <v>2147.2293108040935</v>
      </c>
      <c r="E233" s="294">
        <v>2315.8465274022242</v>
      </c>
      <c r="F233" s="294">
        <v>2492.5453459549381</v>
      </c>
      <c r="G233" s="294">
        <v>2758.943466240341</v>
      </c>
      <c r="H233" s="294">
        <v>3007.5979781713622</v>
      </c>
      <c r="I233" s="294">
        <v>3240.6110369328544</v>
      </c>
      <c r="J233" s="294">
        <v>3490.5503367889492</v>
      </c>
      <c r="K233" s="294">
        <v>3683.3136938765324</v>
      </c>
      <c r="L233" s="294">
        <v>3972.0027487060861</v>
      </c>
      <c r="M233" s="294">
        <v>4401.9737106287475</v>
      </c>
      <c r="N233" s="294">
        <v>4770.4898986302569</v>
      </c>
      <c r="O233" s="294">
        <v>5601.778815099261</v>
      </c>
      <c r="P233" s="294">
        <v>6785.9495496574573</v>
      </c>
      <c r="Q233" s="294">
        <v>7518.9982751611251</v>
      </c>
      <c r="R233" s="294">
        <v>9403.3105281140324</v>
      </c>
      <c r="S233" s="294">
        <v>10101.281529621981</v>
      </c>
      <c r="T233" s="294">
        <v>10640.668421500421</v>
      </c>
      <c r="U233" s="294">
        <v>11729.883947747807</v>
      </c>
      <c r="V233" s="294">
        <v>13827.241330621238</v>
      </c>
      <c r="W233" s="294">
        <v>15891.222573485788</v>
      </c>
      <c r="X233" s="294">
        <v>14486.221091214071</v>
      </c>
      <c r="Y233" s="294">
        <v>12765.10791965444</v>
      </c>
      <c r="Z233" s="294">
        <v>11729.244056986334</v>
      </c>
      <c r="AA233" s="294">
        <v>12181.866012764447</v>
      </c>
      <c r="AB233" s="294">
        <v>12732.350446036817</v>
      </c>
      <c r="AC233" s="294">
        <v>16812.232246596333</v>
      </c>
      <c r="AD233" s="294">
        <v>20423.834827155537</v>
      </c>
      <c r="AE233" s="294">
        <v>22968.964781803294</v>
      </c>
      <c r="AF233" s="294">
        <v>24059.796394788784</v>
      </c>
      <c r="AG233" s="294">
        <v>28556.951895070517</v>
      </c>
      <c r="AH233" s="294">
        <v>29912.225186094591</v>
      </c>
      <c r="AI233" s="294">
        <v>30806.189868226284</v>
      </c>
      <c r="AJ233" s="294">
        <v>23173.296418003894</v>
      </c>
      <c r="AK233" s="294">
        <v>24775.391734635432</v>
      </c>
      <c r="AL233" s="294">
        <v>28739.285922102939</v>
      </c>
      <c r="AM233" s="294">
        <v>31269.790883776135</v>
      </c>
      <c r="AN233" s="294">
        <v>28620.40834869066</v>
      </c>
      <c r="AO233" s="294">
        <v>28779.11561659315</v>
      </c>
      <c r="AP233" s="294">
        <v>29218.471707748227</v>
      </c>
      <c r="AQ233" s="294">
        <v>27869.377603201607</v>
      </c>
      <c r="AR233" s="294">
        <v>25557.612544512493</v>
      </c>
      <c r="AS233" s="294">
        <v>28118.984799331389</v>
      </c>
      <c r="AT233" s="294">
        <v>35131.207759112069</v>
      </c>
      <c r="AU233" s="294">
        <v>40261.122012362561</v>
      </c>
      <c r="AV233" s="294">
        <v>41040.665022374669</v>
      </c>
      <c r="AW233" s="294">
        <v>43948.619770912097</v>
      </c>
      <c r="AX233" s="294">
        <v>50558.395528829446</v>
      </c>
      <c r="AY233" s="294">
        <v>52730.775389490453</v>
      </c>
      <c r="AZ233" s="294">
        <v>43639.54831877548</v>
      </c>
      <c r="BA233" s="294">
        <v>49359.866919853121</v>
      </c>
      <c r="BB233" s="294">
        <v>57091.0466622885</v>
      </c>
      <c r="BC233" s="298">
        <f t="shared" si="3"/>
        <v>57091.0466622885</v>
      </c>
    </row>
    <row r="234" spans="2:55">
      <c r="B234" s="72" t="s">
        <v>852</v>
      </c>
      <c r="C234" s="72" t="s">
        <v>853</v>
      </c>
      <c r="D234" s="294">
        <v>1971.3163227922828</v>
      </c>
      <c r="E234" s="294">
        <v>2131.3916515998317</v>
      </c>
      <c r="F234" s="294">
        <v>2294.1828473173787</v>
      </c>
      <c r="G234" s="294">
        <v>2501.2931899637747</v>
      </c>
      <c r="H234" s="294">
        <v>2620.4755473530031</v>
      </c>
      <c r="I234" s="294">
        <v>2784.7335477164634</v>
      </c>
      <c r="J234" s="294">
        <v>2960.7225858838383</v>
      </c>
      <c r="K234" s="294">
        <v>3121.8890308772043</v>
      </c>
      <c r="L234" s="294">
        <v>3344.7836025463948</v>
      </c>
      <c r="M234" s="294"/>
      <c r="N234" s="294"/>
      <c r="O234" s="294"/>
      <c r="P234" s="294"/>
      <c r="Q234" s="294"/>
      <c r="R234" s="294"/>
      <c r="S234" s="294"/>
      <c r="T234" s="294"/>
      <c r="U234" s="294"/>
      <c r="V234" s="294"/>
      <c r="W234" s="294">
        <v>17807.340126143568</v>
      </c>
      <c r="X234" s="294">
        <v>16219.905522942745</v>
      </c>
      <c r="Y234" s="294">
        <v>16527.459504682905</v>
      </c>
      <c r="Z234" s="294">
        <v>16398.235735585014</v>
      </c>
      <c r="AA234" s="294">
        <v>15601.255955355184</v>
      </c>
      <c r="AB234" s="294">
        <v>15748.946459368883</v>
      </c>
      <c r="AC234" s="294">
        <v>22458.884982959567</v>
      </c>
      <c r="AD234" s="294">
        <v>27950.287129194498</v>
      </c>
      <c r="AE234" s="294">
        <v>30016.149087661637</v>
      </c>
      <c r="AF234" s="294">
        <v>28747.40785342376</v>
      </c>
      <c r="AG234" s="294">
        <v>36337.0955329555</v>
      </c>
      <c r="AH234" s="294">
        <v>36309.508347318209</v>
      </c>
      <c r="AI234" s="294">
        <v>37383.05448901411</v>
      </c>
      <c r="AJ234" s="294">
        <v>36027.277544247161</v>
      </c>
      <c r="AK234" s="294">
        <v>39566.600866860397</v>
      </c>
      <c r="AL234" s="294">
        <v>46014.207980823085</v>
      </c>
      <c r="AM234" s="294">
        <v>44123.027148203917</v>
      </c>
      <c r="AN234" s="294">
        <v>38407.953761298137</v>
      </c>
      <c r="AO234" s="294">
        <v>39227.026447186086</v>
      </c>
      <c r="AP234" s="294">
        <v>38290.674879462553</v>
      </c>
      <c r="AQ234" s="294">
        <v>35639.478857550101</v>
      </c>
      <c r="AR234" s="294">
        <v>36328.142909914568</v>
      </c>
      <c r="AS234" s="294">
        <v>39350.442751953015</v>
      </c>
      <c r="AT234" s="294">
        <v>45588.619817472267</v>
      </c>
      <c r="AU234" s="294">
        <v>50641.837203331299</v>
      </c>
      <c r="AV234" s="294">
        <v>51734.30389050021</v>
      </c>
      <c r="AW234" s="294">
        <v>54140.498146131737</v>
      </c>
      <c r="AX234" s="294">
        <v>59663.770255375472</v>
      </c>
      <c r="AY234" s="294">
        <v>68555.371869493771</v>
      </c>
      <c r="AZ234" s="294">
        <v>65790.06734998805</v>
      </c>
      <c r="BA234" s="294">
        <v>70561.439116628957</v>
      </c>
      <c r="BB234" s="294">
        <v>83382.81533387427</v>
      </c>
      <c r="BC234" s="298">
        <f t="shared" si="3"/>
        <v>83382.81533387427</v>
      </c>
    </row>
    <row r="235" spans="2:55">
      <c r="B235" s="72" t="s">
        <v>854</v>
      </c>
      <c r="C235" s="72" t="s">
        <v>855</v>
      </c>
      <c r="D235" s="294">
        <v>200.39644490009164</v>
      </c>
      <c r="E235" s="294">
        <v>227.924986126926</v>
      </c>
      <c r="F235" s="294">
        <v>238.45899633412708</v>
      </c>
      <c r="G235" s="294">
        <v>257.46602556049731</v>
      </c>
      <c r="H235" s="294">
        <v>273.69988703435587</v>
      </c>
      <c r="I235" s="294">
        <v>241.35911092873562</v>
      </c>
      <c r="J235" s="294">
        <v>274.73623385596858</v>
      </c>
      <c r="K235" s="294">
        <v>294.76264758744475</v>
      </c>
      <c r="L235" s="294">
        <v>364.74119238837216</v>
      </c>
      <c r="M235" s="294">
        <v>336.11463505968248</v>
      </c>
      <c r="N235" s="294">
        <v>393.06068503155757</v>
      </c>
      <c r="O235" s="294">
        <v>448.76930055386134</v>
      </c>
      <c r="P235" s="294">
        <v>459.21779331389627</v>
      </c>
      <c r="Q235" s="294">
        <v>707.0546223798134</v>
      </c>
      <c r="R235" s="294">
        <v>904.69851771508911</v>
      </c>
      <c r="S235" s="294">
        <v>978.63848323384286</v>
      </c>
      <c r="T235" s="294">
        <v>954.84071277807232</v>
      </c>
      <c r="U235" s="294">
        <v>1113.6579999177595</v>
      </c>
      <c r="V235" s="294">
        <v>1153.2839084577856</v>
      </c>
      <c r="W235" s="294">
        <v>1466.609550746454</v>
      </c>
      <c r="X235" s="294">
        <v>1683.1584625257753</v>
      </c>
      <c r="Y235" s="294">
        <v>1707.104051555222</v>
      </c>
      <c r="Z235" s="294">
        <v>1779.0881548864379</v>
      </c>
      <c r="AA235" s="294">
        <v>1710.7960932803408</v>
      </c>
      <c r="AB235" s="294">
        <v>1550.9291194100767</v>
      </c>
      <c r="AC235" s="294">
        <v>1217.1306890292356</v>
      </c>
      <c r="AD235" s="294">
        <v>1007.8968509014948</v>
      </c>
      <c r="AE235" s="294">
        <v>910.67235832965764</v>
      </c>
      <c r="AF235" s="294">
        <v>823.43060378788152</v>
      </c>
      <c r="AG235" s="294">
        <v>998.7429754782147</v>
      </c>
      <c r="AH235" s="294">
        <v>1022.9823583579002</v>
      </c>
      <c r="AI235" s="294">
        <v>1014.5553658539443</v>
      </c>
      <c r="AJ235" s="294">
        <v>1019.1358630470372</v>
      </c>
      <c r="AK235" s="294">
        <v>732.98314062451459</v>
      </c>
      <c r="AL235" s="294">
        <v>804.22002951256161</v>
      </c>
      <c r="AM235" s="294">
        <v>949.76995606630044</v>
      </c>
      <c r="AN235" s="294">
        <v>976.3584369608709</v>
      </c>
      <c r="AO235" s="294">
        <v>1000.0343505228523</v>
      </c>
      <c r="AP235" s="294">
        <v>1019.3312911653421</v>
      </c>
      <c r="AQ235" s="294">
        <v>1208.7346415328254</v>
      </c>
      <c r="AR235" s="294">
        <v>1282.2806850363843</v>
      </c>
      <c r="AS235" s="294">
        <v>1272.3193545862339</v>
      </c>
      <c r="AT235" s="294">
        <v>1248.028295660187</v>
      </c>
      <c r="AU235" s="294">
        <v>1393.3470448497312</v>
      </c>
      <c r="AV235" s="294">
        <v>1561.2840857272734</v>
      </c>
      <c r="AW235" s="294">
        <v>1767.2950734202607</v>
      </c>
      <c r="AX235" s="294">
        <v>2099.4588955163636</v>
      </c>
      <c r="AY235" s="294">
        <v>2677.5900681673229</v>
      </c>
      <c r="AZ235" s="294">
        <v>2691.5976091214052</v>
      </c>
      <c r="BA235" s="294">
        <v>2892.7551483892803</v>
      </c>
      <c r="BB235" s="294"/>
      <c r="BC235" s="298">
        <f t="shared" si="3"/>
        <v>0</v>
      </c>
    </row>
    <row r="236" spans="2:55">
      <c r="B236" s="72" t="s">
        <v>856</v>
      </c>
      <c r="C236" s="72" t="s">
        <v>857</v>
      </c>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v>495.81740562408396</v>
      </c>
      <c r="AH236" s="294">
        <v>467.91769545321642</v>
      </c>
      <c r="AI236" s="294">
        <v>345.93936874100984</v>
      </c>
      <c r="AJ236" s="294">
        <v>293.63708607286998</v>
      </c>
      <c r="AK236" s="294">
        <v>236.49176335318822</v>
      </c>
      <c r="AL236" s="294">
        <v>213.23583689745141</v>
      </c>
      <c r="AM236" s="294">
        <v>178.12859516296393</v>
      </c>
      <c r="AN236" s="294">
        <v>155.05719939804987</v>
      </c>
      <c r="AO236" s="294">
        <v>219.01088660866662</v>
      </c>
      <c r="AP236" s="294">
        <v>178.0012555003826</v>
      </c>
      <c r="AQ236" s="294">
        <v>139.40988180473929</v>
      </c>
      <c r="AR236" s="294">
        <v>173.40696657173899</v>
      </c>
      <c r="AS236" s="294">
        <v>194.26517648328593</v>
      </c>
      <c r="AT236" s="294">
        <v>245.25694074133992</v>
      </c>
      <c r="AU236" s="294">
        <v>324.84896392465299</v>
      </c>
      <c r="AV236" s="294">
        <v>358.31916665557588</v>
      </c>
      <c r="AW236" s="294">
        <v>433.77698332876423</v>
      </c>
      <c r="AX236" s="294">
        <v>563.18253412129786</v>
      </c>
      <c r="AY236" s="294">
        <v>771.33691440807729</v>
      </c>
      <c r="AZ236" s="294">
        <v>733.87411659737313</v>
      </c>
      <c r="BA236" s="294">
        <v>820.18312108589532</v>
      </c>
      <c r="BB236" s="294">
        <v>934.82005920825907</v>
      </c>
      <c r="BC236" s="298">
        <f t="shared" si="3"/>
        <v>934.82005920825907</v>
      </c>
    </row>
    <row r="237" spans="2:55">
      <c r="B237" s="72" t="s">
        <v>858</v>
      </c>
      <c r="C237" s="72" t="s">
        <v>859</v>
      </c>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v>219.20033495999999</v>
      </c>
      <c r="AF237" s="294">
        <v>184.19165426000001</v>
      </c>
      <c r="AG237" s="294">
        <v>171.91412070000001</v>
      </c>
      <c r="AH237" s="294">
        <v>193.61897632</v>
      </c>
      <c r="AI237" s="294">
        <v>173.82223528</v>
      </c>
      <c r="AJ237" s="294">
        <v>155.58219499</v>
      </c>
      <c r="AK237" s="294">
        <v>159.67133242</v>
      </c>
      <c r="AL237" s="294">
        <v>180.56835179000001</v>
      </c>
      <c r="AM237" s="294">
        <v>217.1359061</v>
      </c>
      <c r="AN237" s="294">
        <v>250.27100716999999</v>
      </c>
      <c r="AO237" s="294">
        <v>296.91923050999998</v>
      </c>
      <c r="AP237" s="294">
        <v>300.63939388</v>
      </c>
      <c r="AQ237" s="294">
        <v>307.98615462999999</v>
      </c>
      <c r="AR237" s="294">
        <v>306.08402195999997</v>
      </c>
      <c r="AS237" s="294">
        <v>310.40845210999998</v>
      </c>
      <c r="AT237" s="294">
        <v>326.26671073</v>
      </c>
      <c r="AU237" s="294">
        <v>349.47293013000001</v>
      </c>
      <c r="AV237" s="294">
        <v>375.02063042999998</v>
      </c>
      <c r="AW237" s="294">
        <v>369.68736446000003</v>
      </c>
      <c r="AX237" s="294">
        <v>421.98789073</v>
      </c>
      <c r="AY237" s="294">
        <v>504.85936681999999</v>
      </c>
      <c r="AZ237" s="294">
        <v>505.80010800000002</v>
      </c>
      <c r="BA237" s="294">
        <v>526.55827781000005</v>
      </c>
      <c r="BB237" s="294">
        <v>532.32008406</v>
      </c>
      <c r="BC237" s="298">
        <f t="shared" si="3"/>
        <v>532.32008406</v>
      </c>
    </row>
    <row r="238" spans="2:55">
      <c r="B238" s="72" t="s">
        <v>860</v>
      </c>
      <c r="C238" s="72" t="s">
        <v>861</v>
      </c>
      <c r="D238" s="294">
        <v>107.78242524823952</v>
      </c>
      <c r="E238" s="294">
        <v>114.03382651178636</v>
      </c>
      <c r="F238" s="294">
        <v>118.35379905516648</v>
      </c>
      <c r="G238" s="294">
        <v>126.10942149426442</v>
      </c>
      <c r="H238" s="294">
        <v>138.04841076634497</v>
      </c>
      <c r="I238" s="294">
        <v>161.09142444718725</v>
      </c>
      <c r="J238" s="294">
        <v>166.94667774083607</v>
      </c>
      <c r="K238" s="294">
        <v>174.74543118429128</v>
      </c>
      <c r="L238" s="294">
        <v>186.77573113737776</v>
      </c>
      <c r="M238" s="294">
        <v>191.96701122236982</v>
      </c>
      <c r="N238" s="294">
        <v>194.0561617467431</v>
      </c>
      <c r="O238" s="294">
        <v>209.10157665884793</v>
      </c>
      <c r="P238" s="294">
        <v>269.48686241148465</v>
      </c>
      <c r="Q238" s="294">
        <v>331.63611482978553</v>
      </c>
      <c r="R238" s="294">
        <v>351.01749922733853</v>
      </c>
      <c r="S238" s="294">
        <v>390.88507055813898</v>
      </c>
      <c r="T238" s="294">
        <v>444.64150783979784</v>
      </c>
      <c r="U238" s="294">
        <v>527.68153818054009</v>
      </c>
      <c r="V238" s="294">
        <v>588.73537210674124</v>
      </c>
      <c r="W238" s="294">
        <v>681.3756029412142</v>
      </c>
      <c r="X238" s="294">
        <v>719.06377857951361</v>
      </c>
      <c r="Y238" s="294">
        <v>740.34616356328979</v>
      </c>
      <c r="Z238" s="294">
        <v>794.81871408541804</v>
      </c>
      <c r="AA238" s="294">
        <v>814.03578153827834</v>
      </c>
      <c r="AB238" s="294">
        <v>743.39203541367249</v>
      </c>
      <c r="AC238" s="294">
        <v>807.96713145649608</v>
      </c>
      <c r="AD238" s="294">
        <v>929.49720026543946</v>
      </c>
      <c r="AE238" s="294">
        <v>1113.7198590359012</v>
      </c>
      <c r="AF238" s="294">
        <v>1283.6596215862689</v>
      </c>
      <c r="AG238" s="294">
        <v>1495.3585398945579</v>
      </c>
      <c r="AH238" s="294">
        <v>1702.1682171767438</v>
      </c>
      <c r="AI238" s="294">
        <v>1914.1415380614128</v>
      </c>
      <c r="AJ238" s="294">
        <v>2130.700241258507</v>
      </c>
      <c r="AK238" s="294">
        <v>2440.6586489408596</v>
      </c>
      <c r="AL238" s="294">
        <v>2816.7328596907837</v>
      </c>
      <c r="AM238" s="294">
        <v>3019.4711191825404</v>
      </c>
      <c r="AN238" s="294">
        <v>2476.3196839584825</v>
      </c>
      <c r="AO238" s="294">
        <v>1814.125203600981</v>
      </c>
      <c r="AP238" s="294">
        <v>1964.9481812560621</v>
      </c>
      <c r="AQ238" s="294">
        <v>1943.2379281396434</v>
      </c>
      <c r="AR238" s="294">
        <v>1808.1131775465683</v>
      </c>
      <c r="AS238" s="294">
        <v>1962.7346212074506</v>
      </c>
      <c r="AT238" s="294">
        <v>2182.0326542797461</v>
      </c>
      <c r="AU238" s="294">
        <v>2442.3078291057932</v>
      </c>
      <c r="AV238" s="294">
        <v>2644.0173819831484</v>
      </c>
      <c r="AW238" s="294">
        <v>3078.1801760559269</v>
      </c>
      <c r="AX238" s="294">
        <v>3642.9173877086332</v>
      </c>
      <c r="AY238" s="294">
        <v>3992.7619254565589</v>
      </c>
      <c r="AZ238" s="294">
        <v>3838.2495942436462</v>
      </c>
      <c r="BA238" s="294">
        <v>4613.6808899392981</v>
      </c>
      <c r="BB238" s="294">
        <v>4972.373665068626</v>
      </c>
      <c r="BC238" s="298">
        <f t="shared" si="3"/>
        <v>4972.373665068626</v>
      </c>
    </row>
    <row r="239" spans="2:55">
      <c r="B239" s="72" t="s">
        <v>862</v>
      </c>
      <c r="C239" s="72" t="s">
        <v>863</v>
      </c>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v>380.92300946043133</v>
      </c>
      <c r="AR239" s="294">
        <v>325.27019830573289</v>
      </c>
      <c r="AS239" s="294">
        <v>319.89676826570013</v>
      </c>
      <c r="AT239" s="294">
        <v>319.7598257963931</v>
      </c>
      <c r="AU239" s="294">
        <v>317.54864356525098</v>
      </c>
      <c r="AV239" s="294">
        <v>461.99618563254927</v>
      </c>
      <c r="AW239" s="294">
        <v>438.96183013468527</v>
      </c>
      <c r="AX239" s="294">
        <v>501.99325067158685</v>
      </c>
      <c r="AY239" s="294">
        <v>616.93405114151358</v>
      </c>
      <c r="AZ239" s="294">
        <v>709.9545884902858</v>
      </c>
      <c r="BA239" s="294">
        <v>765.95051912381768</v>
      </c>
      <c r="BB239" s="294">
        <v>896.34996768377721</v>
      </c>
      <c r="BC239" s="298">
        <f t="shared" si="3"/>
        <v>896.34996768377721</v>
      </c>
    </row>
    <row r="240" spans="2:55">
      <c r="B240" s="72" t="s">
        <v>864</v>
      </c>
      <c r="C240" s="72" t="s">
        <v>865</v>
      </c>
      <c r="D240" s="294">
        <v>79.312216289873817</v>
      </c>
      <c r="E240" s="294">
        <v>82.250786416357172</v>
      </c>
      <c r="F240" s="294">
        <v>88.130686198555665</v>
      </c>
      <c r="G240" s="294">
        <v>100.39830638092016</v>
      </c>
      <c r="H240" s="294">
        <v>110.20640878198083</v>
      </c>
      <c r="I240" s="294">
        <v>122.57262491250636</v>
      </c>
      <c r="J240" s="294">
        <v>125.72215796337133</v>
      </c>
      <c r="K240" s="294">
        <v>125.27021601278039</v>
      </c>
      <c r="L240" s="294">
        <v>132.62821821710821</v>
      </c>
      <c r="M240" s="294">
        <v>121.09848936507206</v>
      </c>
      <c r="N240" s="294">
        <v>132.32944105098971</v>
      </c>
      <c r="O240" s="294">
        <v>150.86281140958837</v>
      </c>
      <c r="P240" s="294">
        <v>178.40446172205424</v>
      </c>
      <c r="Q240" s="294">
        <v>240.63752533955949</v>
      </c>
      <c r="R240" s="294">
        <v>259.41711081480867</v>
      </c>
      <c r="S240" s="294">
        <v>254.87430614117227</v>
      </c>
      <c r="T240" s="294">
        <v>313.44510092650444</v>
      </c>
      <c r="U240" s="294">
        <v>325.31758101551628</v>
      </c>
      <c r="V240" s="294">
        <v>343.66291948580709</v>
      </c>
      <c r="W240" s="294">
        <v>426.11275482700512</v>
      </c>
      <c r="X240" s="294">
        <v>349.7980187495063</v>
      </c>
      <c r="Y240" s="294">
        <v>288.6732226806252</v>
      </c>
      <c r="Z240" s="294">
        <v>259.6385483205932</v>
      </c>
      <c r="AA240" s="294">
        <v>235.03647572496962</v>
      </c>
      <c r="AB240" s="294">
        <v>241.15182834260699</v>
      </c>
      <c r="AC240" s="294">
        <v>324.74997359801051</v>
      </c>
      <c r="AD240" s="294">
        <v>370.37103732929393</v>
      </c>
      <c r="AE240" s="294">
        <v>396.6805756400064</v>
      </c>
      <c r="AF240" s="294">
        <v>378.53904929056142</v>
      </c>
      <c r="AG240" s="294">
        <v>444.25687881574618</v>
      </c>
      <c r="AH240" s="294">
        <v>427.53647195754172</v>
      </c>
      <c r="AI240" s="294">
        <v>442.88261692937084</v>
      </c>
      <c r="AJ240" s="294">
        <v>316.48332796199787</v>
      </c>
      <c r="AK240" s="294">
        <v>246.71671820400533</v>
      </c>
      <c r="AL240" s="294">
        <v>320.49574872088635</v>
      </c>
      <c r="AM240" s="294">
        <v>348.19183414379404</v>
      </c>
      <c r="AN240" s="294">
        <v>344.63800676727368</v>
      </c>
      <c r="AO240" s="294">
        <v>352.729999367814</v>
      </c>
      <c r="AP240" s="294">
        <v>338.89009926324729</v>
      </c>
      <c r="AQ240" s="294">
        <v>270.00087611928342</v>
      </c>
      <c r="AR240" s="294">
        <v>270.46093804903995</v>
      </c>
      <c r="AS240" s="294">
        <v>291.95285044538173</v>
      </c>
      <c r="AT240" s="294">
        <v>323.71543779709464</v>
      </c>
      <c r="AU240" s="294">
        <v>366.29624414830477</v>
      </c>
      <c r="AV240" s="294">
        <v>391.11258900828295</v>
      </c>
      <c r="AW240" s="294">
        <v>398.34463986398225</v>
      </c>
      <c r="AX240" s="294">
        <v>446.40845925750421</v>
      </c>
      <c r="AY240" s="294">
        <v>547.60356853651456</v>
      </c>
      <c r="AZ240" s="294">
        <v>535.93293073639813</v>
      </c>
      <c r="BA240" s="294">
        <v>529.64799534486599</v>
      </c>
      <c r="BB240" s="294">
        <v>588.18514990075471</v>
      </c>
      <c r="BC240" s="298">
        <f t="shared" si="3"/>
        <v>588.18514990075471</v>
      </c>
    </row>
    <row r="241" spans="2:55">
      <c r="B241" s="72" t="s">
        <v>866</v>
      </c>
      <c r="C241" s="72" t="s">
        <v>867</v>
      </c>
      <c r="D241" s="294"/>
      <c r="E241" s="294"/>
      <c r="F241" s="294"/>
      <c r="G241" s="294"/>
      <c r="H241" s="294"/>
      <c r="I241" s="294"/>
      <c r="J241" s="294"/>
      <c r="K241" s="294"/>
      <c r="L241" s="294"/>
      <c r="M241" s="294"/>
      <c r="N241" s="294"/>
      <c r="O241" s="294"/>
      <c r="P241" s="294"/>
      <c r="Q241" s="294"/>
      <c r="R241" s="294">
        <v>367.96087863846367</v>
      </c>
      <c r="S241" s="294">
        <v>336.5350824906044</v>
      </c>
      <c r="T241" s="294">
        <v>378.10806071493681</v>
      </c>
      <c r="U241" s="294">
        <v>455.01534330405553</v>
      </c>
      <c r="V241" s="294">
        <v>483.97479751302859</v>
      </c>
      <c r="W241" s="294">
        <v>572.69516264808317</v>
      </c>
      <c r="X241" s="294">
        <v>666.09605139249493</v>
      </c>
      <c r="Y241" s="294">
        <v>662.60460400651777</v>
      </c>
      <c r="Z241" s="294">
        <v>649.10483505709908</v>
      </c>
      <c r="AA241" s="294">
        <v>684.7387752343684</v>
      </c>
      <c r="AB241" s="294">
        <v>639.30281140336024</v>
      </c>
      <c r="AC241" s="294">
        <v>724.4166138898147</v>
      </c>
      <c r="AD241" s="294">
        <v>865.19126043200924</v>
      </c>
      <c r="AE241" s="294">
        <v>1126.5740051898274</v>
      </c>
      <c r="AF241" s="294">
        <v>1120.1505718057529</v>
      </c>
      <c r="AG241" s="294">
        <v>1193.5241363889008</v>
      </c>
      <c r="AH241" s="294">
        <v>1387.1375210834797</v>
      </c>
      <c r="AI241" s="294">
        <v>1436.3621083359935</v>
      </c>
      <c r="AJ241" s="294">
        <v>1449.5335446882868</v>
      </c>
      <c r="AK241" s="294">
        <v>2025.0174315132404</v>
      </c>
      <c r="AL241" s="294">
        <v>2111.9106418419747</v>
      </c>
      <c r="AM241" s="294">
        <v>2282.6684071580444</v>
      </c>
      <c r="AN241" s="294">
        <v>2197.3374139443363</v>
      </c>
      <c r="AO241" s="294">
        <v>1945.9088476273625</v>
      </c>
      <c r="AP241" s="294">
        <v>1998.0242591644035</v>
      </c>
      <c r="AQ241" s="294">
        <v>1926.0045791485563</v>
      </c>
      <c r="AR241" s="294">
        <v>1696.2801095823995</v>
      </c>
      <c r="AS241" s="294">
        <v>1835.4007143298268</v>
      </c>
      <c r="AT241" s="294">
        <v>2088.1059604783945</v>
      </c>
      <c r="AU241" s="294">
        <v>2401.0787270504597</v>
      </c>
      <c r="AV241" s="294">
        <v>2623.8328458021015</v>
      </c>
      <c r="AW241" s="294">
        <v>2913.8287439031074</v>
      </c>
      <c r="AX241" s="294">
        <v>2944.276283346951</v>
      </c>
      <c r="AY241" s="294">
        <v>3370.6071592086291</v>
      </c>
      <c r="AZ241" s="294">
        <v>3076.5985267142964</v>
      </c>
      <c r="BA241" s="294">
        <v>3544.0116125086947</v>
      </c>
      <c r="BB241" s="294">
        <v>4151.5974177469288</v>
      </c>
      <c r="BC241" s="298">
        <f t="shared" si="3"/>
        <v>4151.5974177469288</v>
      </c>
    </row>
    <row r="242" spans="2:55">
      <c r="B242" s="72" t="s">
        <v>868</v>
      </c>
      <c r="C242" s="72" t="s">
        <v>869</v>
      </c>
      <c r="D242" s="294">
        <v>683.13921947810081</v>
      </c>
      <c r="E242" s="294">
        <v>714.36230250774338</v>
      </c>
      <c r="F242" s="294">
        <v>775.05711878177817</v>
      </c>
      <c r="G242" s="294">
        <v>805.84176598291026</v>
      </c>
      <c r="H242" s="294">
        <v>823.9792369086166</v>
      </c>
      <c r="I242" s="294">
        <v>797.65012711530551</v>
      </c>
      <c r="J242" s="294">
        <v>825.60058083743832</v>
      </c>
      <c r="K242" s="294">
        <v>807.84486482516206</v>
      </c>
      <c r="L242" s="294">
        <v>816.11192631531537</v>
      </c>
      <c r="M242" s="294">
        <v>849.31864770404422</v>
      </c>
      <c r="N242" s="294">
        <v>917.23703699837995</v>
      </c>
      <c r="O242" s="294">
        <v>1099.2791051619038</v>
      </c>
      <c r="P242" s="294">
        <v>1318.8781378549174</v>
      </c>
      <c r="Q242" s="294">
        <v>2042.7169709592756</v>
      </c>
      <c r="R242" s="294">
        <v>2421.7988817140185</v>
      </c>
      <c r="S242" s="294">
        <v>2452.828551467212</v>
      </c>
      <c r="T242" s="294">
        <v>3042.2456095967082</v>
      </c>
      <c r="U242" s="294">
        <v>3406.9752280466678</v>
      </c>
      <c r="V242" s="294">
        <v>4337.2377415952697</v>
      </c>
      <c r="W242" s="294">
        <v>5783.5974205854864</v>
      </c>
      <c r="X242" s="294">
        <v>6243.1612968991485</v>
      </c>
      <c r="Y242" s="294">
        <v>7149.9508760015424</v>
      </c>
      <c r="Z242" s="294">
        <v>6853.8739368677616</v>
      </c>
      <c r="AA242" s="294">
        <v>6704.5104225966415</v>
      </c>
      <c r="AB242" s="294">
        <v>6289.570748679811</v>
      </c>
      <c r="AC242" s="294">
        <v>4045.833544589027</v>
      </c>
      <c r="AD242" s="294">
        <v>4017.7518607911456</v>
      </c>
      <c r="AE242" s="294">
        <v>3743.5203210340628</v>
      </c>
      <c r="AF242" s="294">
        <v>3578.8436012753637</v>
      </c>
      <c r="AG242" s="294">
        <v>4169.5561065029096</v>
      </c>
      <c r="AH242" s="294">
        <v>4380.5577932805081</v>
      </c>
      <c r="AI242" s="294">
        <v>4483.9747935054793</v>
      </c>
      <c r="AJ242" s="294">
        <v>3686.6219132306114</v>
      </c>
      <c r="AK242" s="294">
        <v>3948.2888919204906</v>
      </c>
      <c r="AL242" s="294">
        <v>4224.6967598637621</v>
      </c>
      <c r="AM242" s="294">
        <v>4539.1758746099076</v>
      </c>
      <c r="AN242" s="294">
        <v>4498.5741020340329</v>
      </c>
      <c r="AO242" s="294">
        <v>4716.504664777468</v>
      </c>
      <c r="AP242" s="294">
        <v>5291.11005578398</v>
      </c>
      <c r="AQ242" s="294">
        <v>6311.1065512138503</v>
      </c>
      <c r="AR242" s="294">
        <v>6804.2650097889027</v>
      </c>
      <c r="AS242" s="294">
        <v>6921.0507233982962</v>
      </c>
      <c r="AT242" s="294">
        <v>8602.9106691373981</v>
      </c>
      <c r="AU242" s="294">
        <v>9830.9903969221086</v>
      </c>
      <c r="AV242" s="294">
        <v>12231.030804525912</v>
      </c>
      <c r="AW242" s="294">
        <v>13981.119013493993</v>
      </c>
      <c r="AX242" s="294">
        <v>16395.750237015774</v>
      </c>
      <c r="AY242" s="294">
        <v>21049.487730023622</v>
      </c>
      <c r="AZ242" s="294">
        <v>14771.913687268443</v>
      </c>
      <c r="BA242" s="294">
        <v>15613.731332594883</v>
      </c>
      <c r="BB242" s="294">
        <v>16699.309888533608</v>
      </c>
      <c r="BC242" s="298">
        <f t="shared" si="3"/>
        <v>16699.309888533608</v>
      </c>
    </row>
    <row r="243" spans="2:55">
      <c r="B243" s="72" t="s">
        <v>870</v>
      </c>
      <c r="C243" s="72" t="s">
        <v>871</v>
      </c>
      <c r="D243" s="294">
        <v>202.49714488517725</v>
      </c>
      <c r="E243" s="294">
        <v>202.26751296611147</v>
      </c>
      <c r="F243" s="294">
        <v>231.42217793314302</v>
      </c>
      <c r="G243" s="294">
        <v>226.41891970382318</v>
      </c>
      <c r="H243" s="294">
        <v>214.0491617813432</v>
      </c>
      <c r="I243" s="294">
        <v>220.00960328834523</v>
      </c>
      <c r="J243" s="294">
        <v>224.64960455284822</v>
      </c>
      <c r="K243" s="294">
        <v>246.22630483994962</v>
      </c>
      <c r="L243" s="294">
        <v>256.38056337304261</v>
      </c>
      <c r="M243" s="294">
        <v>280.71739715976111</v>
      </c>
      <c r="N243" s="294">
        <v>323.56044104394562</v>
      </c>
      <c r="O243" s="294">
        <v>422.63560834129436</v>
      </c>
      <c r="P243" s="294">
        <v>506.76099492388312</v>
      </c>
      <c r="Q243" s="294">
        <v>645.43716082000606</v>
      </c>
      <c r="R243" s="294">
        <v>771.50834138346511</v>
      </c>
      <c r="S243" s="294">
        <v>785.07028004496624</v>
      </c>
      <c r="T243" s="294">
        <v>867.6036587442419</v>
      </c>
      <c r="U243" s="294">
        <v>986.59984995644663</v>
      </c>
      <c r="V243" s="294">
        <v>1156.5730280344756</v>
      </c>
      <c r="W243" s="294">
        <v>1369.5261118594733</v>
      </c>
      <c r="X243" s="294">
        <v>1285.7782294219699</v>
      </c>
      <c r="Y243" s="294">
        <v>1208.6971606617728</v>
      </c>
      <c r="Z243" s="294">
        <v>1209.3238792143811</v>
      </c>
      <c r="AA243" s="294">
        <v>1172.1000075332463</v>
      </c>
      <c r="AB243" s="294">
        <v>1158.3701933433802</v>
      </c>
      <c r="AC243" s="294">
        <v>1203.5549857527506</v>
      </c>
      <c r="AD243" s="294">
        <v>1261.8156210082448</v>
      </c>
      <c r="AE243" s="294">
        <v>1284.9048632178974</v>
      </c>
      <c r="AF243" s="294">
        <v>1269.2863776384811</v>
      </c>
      <c r="AG243" s="294">
        <v>1507.2314556335452</v>
      </c>
      <c r="AH243" s="294">
        <v>1571.828353333131</v>
      </c>
      <c r="AI243" s="294">
        <v>1825.3791323565365</v>
      </c>
      <c r="AJ243" s="294">
        <v>1687.4519944189956</v>
      </c>
      <c r="AK243" s="294">
        <v>1773.3130004626414</v>
      </c>
      <c r="AL243" s="294">
        <v>2012.936265625945</v>
      </c>
      <c r="AM243" s="294">
        <v>2154.9869391603906</v>
      </c>
      <c r="AN243" s="294">
        <v>2251.3684677611136</v>
      </c>
      <c r="AO243" s="294">
        <v>2336.0839431519212</v>
      </c>
      <c r="AP243" s="294">
        <v>2426.3883627262362</v>
      </c>
      <c r="AQ243" s="294">
        <v>2245.3350590283449</v>
      </c>
      <c r="AR243" s="294">
        <v>2281.0568799924376</v>
      </c>
      <c r="AS243" s="294">
        <v>2365.7588612155305</v>
      </c>
      <c r="AT243" s="294">
        <v>2790.0043682328742</v>
      </c>
      <c r="AU243" s="294">
        <v>3139.5291180827194</v>
      </c>
      <c r="AV243" s="294">
        <v>3218.9610807148088</v>
      </c>
      <c r="AW243" s="294">
        <v>3394.310287575182</v>
      </c>
      <c r="AX243" s="294">
        <v>3807.67716515445</v>
      </c>
      <c r="AY243" s="294">
        <v>4345.0705029225337</v>
      </c>
      <c r="AZ243" s="294">
        <v>4168.9367543781091</v>
      </c>
      <c r="BA243" s="294">
        <v>4193.5547400204996</v>
      </c>
      <c r="BB243" s="294">
        <v>4296.8581760486059</v>
      </c>
      <c r="BC243" s="298">
        <f t="shared" si="3"/>
        <v>4296.8581760486059</v>
      </c>
    </row>
    <row r="244" spans="2:55">
      <c r="B244" s="72" t="s">
        <v>872</v>
      </c>
      <c r="C244" s="72" t="s">
        <v>873</v>
      </c>
      <c r="D244" s="294">
        <v>277.47551281632047</v>
      </c>
      <c r="E244" s="294">
        <v>300.97746973259069</v>
      </c>
      <c r="F244" s="294">
        <v>340.81473346486342</v>
      </c>
      <c r="G244" s="294">
        <v>359.14553931449069</v>
      </c>
      <c r="H244" s="294">
        <v>375.20329625970248</v>
      </c>
      <c r="I244" s="294">
        <v>433.68373668669614</v>
      </c>
      <c r="J244" s="294">
        <v>470.86312236352319</v>
      </c>
      <c r="K244" s="294">
        <v>514.97638127038556</v>
      </c>
      <c r="L244" s="294">
        <v>560.81855924540559</v>
      </c>
      <c r="M244" s="294">
        <v>481.80865348643829</v>
      </c>
      <c r="N244" s="294">
        <v>448.51099157097707</v>
      </c>
      <c r="O244" s="294">
        <v>551.38454077178108</v>
      </c>
      <c r="P244" s="294">
        <v>679.01464688783926</v>
      </c>
      <c r="Q244" s="294">
        <v>919.17316033779957</v>
      </c>
      <c r="R244" s="294">
        <v>1127.5175331784621</v>
      </c>
      <c r="S244" s="294">
        <v>1267.8437990446375</v>
      </c>
      <c r="T244" s="294">
        <v>1420.1856881648437</v>
      </c>
      <c r="U244" s="294">
        <v>1543.5413828211592</v>
      </c>
      <c r="V244" s="294">
        <v>2072.5405096775453</v>
      </c>
      <c r="W244" s="294">
        <v>1559.6633642094268</v>
      </c>
      <c r="X244" s="294">
        <v>1574.1193784065722</v>
      </c>
      <c r="Y244" s="294">
        <v>1397.1664326867958</v>
      </c>
      <c r="Z244" s="294">
        <v>1304.3740153054782</v>
      </c>
      <c r="AA244" s="294">
        <v>1240.4687175264412</v>
      </c>
      <c r="AB244" s="294">
        <v>1361.0415354244285</v>
      </c>
      <c r="AC244" s="294">
        <v>1502.7325519948172</v>
      </c>
      <c r="AD244" s="294">
        <v>1697.6480182776061</v>
      </c>
      <c r="AE244" s="294">
        <v>1737.861945978819</v>
      </c>
      <c r="AF244" s="294">
        <v>2013.9423587466597</v>
      </c>
      <c r="AG244" s="294">
        <v>2783.5866449840964</v>
      </c>
      <c r="AH244" s="294">
        <v>2742.7695675714799</v>
      </c>
      <c r="AI244" s="294">
        <v>2840.3680209239142</v>
      </c>
      <c r="AJ244" s="294">
        <v>3167.5269098066515</v>
      </c>
      <c r="AK244" s="294">
        <v>2256.7311255150148</v>
      </c>
      <c r="AL244" s="294">
        <v>2879.2483082339445</v>
      </c>
      <c r="AM244" s="294">
        <v>3033.5933606634549</v>
      </c>
      <c r="AN244" s="294">
        <v>3123.1425133562343</v>
      </c>
      <c r="AO244" s="294">
        <v>4361.4421383025101</v>
      </c>
      <c r="AP244" s="294">
        <v>3983.7462017719913</v>
      </c>
      <c r="AQ244" s="294">
        <v>4189.4780621383015</v>
      </c>
      <c r="AR244" s="294">
        <v>3036.7270895754868</v>
      </c>
      <c r="AS244" s="294">
        <v>3553.0662610245672</v>
      </c>
      <c r="AT244" s="294">
        <v>4567.4991346143852</v>
      </c>
      <c r="AU244" s="294">
        <v>5832.6893446599042</v>
      </c>
      <c r="AV244" s="294">
        <v>7087.7202489162819</v>
      </c>
      <c r="AW244" s="294">
        <v>7687.1256509437035</v>
      </c>
      <c r="AX244" s="294">
        <v>9246.0304052251176</v>
      </c>
      <c r="AY244" s="294">
        <v>10297.505446571869</v>
      </c>
      <c r="AZ244" s="294">
        <v>8553.741452970291</v>
      </c>
      <c r="BA244" s="294">
        <v>10049.773564712046</v>
      </c>
      <c r="BB244" s="294">
        <v>10524.004205303881</v>
      </c>
      <c r="BC244" s="298">
        <f t="shared" si="3"/>
        <v>10524.004205303881</v>
      </c>
    </row>
    <row r="245" spans="2:55">
      <c r="B245" s="72" t="s">
        <v>874</v>
      </c>
      <c r="C245" s="72" t="s">
        <v>875</v>
      </c>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v>698.13855921033792</v>
      </c>
      <c r="AE245" s="294">
        <v>859.04088680867119</v>
      </c>
      <c r="AF245" s="294">
        <v>854.19287155469726</v>
      </c>
      <c r="AG245" s="294">
        <v>881.15235456234075</v>
      </c>
      <c r="AH245" s="294">
        <v>847.54171999541882</v>
      </c>
      <c r="AI245" s="294">
        <v>824.46215263735633</v>
      </c>
      <c r="AJ245" s="294">
        <v>796.41584446298293</v>
      </c>
      <c r="AK245" s="294">
        <v>625.34760204710972</v>
      </c>
      <c r="AL245" s="294">
        <v>592.69878527369065</v>
      </c>
      <c r="AM245" s="294">
        <v>557.51044896789631</v>
      </c>
      <c r="AN245" s="294">
        <v>565.05766968783246</v>
      </c>
      <c r="AO245" s="294">
        <v>592.83603279312229</v>
      </c>
      <c r="AP245" s="294">
        <v>550.78702488612464</v>
      </c>
      <c r="AQ245" s="294">
        <v>645.27710146967638</v>
      </c>
      <c r="AR245" s="294">
        <v>776.57649563493885</v>
      </c>
      <c r="AS245" s="294">
        <v>969.98669129721645</v>
      </c>
      <c r="AT245" s="294">
        <v>1286.0485703691709</v>
      </c>
      <c r="AU245" s="294">
        <v>1455.9685981000316</v>
      </c>
      <c r="AV245" s="294">
        <v>1706.9567263924498</v>
      </c>
      <c r="AW245" s="294">
        <v>2140.3426957220713</v>
      </c>
      <c r="AX245" s="294">
        <v>2606.4157872953488</v>
      </c>
      <c r="AY245" s="294">
        <v>3918.253670263221</v>
      </c>
      <c r="AZ245" s="294">
        <v>4059.3810124265779</v>
      </c>
      <c r="BA245" s="294">
        <v>4392.7195833075193</v>
      </c>
      <c r="BB245" s="294">
        <v>5496.591559628886</v>
      </c>
      <c r="BC245" s="298">
        <f t="shared" si="3"/>
        <v>5496.591559628886</v>
      </c>
    </row>
    <row r="246" spans="2:55">
      <c r="B246" s="72" t="s">
        <v>876</v>
      </c>
      <c r="C246" s="72" t="s">
        <v>877</v>
      </c>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8">
        <f t="shared" si="3"/>
        <v>0</v>
      </c>
    </row>
    <row r="247" spans="2:55">
      <c r="B247" s="72" t="s">
        <v>878</v>
      </c>
      <c r="C247" s="72" t="s">
        <v>879</v>
      </c>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v>980.09176345307856</v>
      </c>
      <c r="AH247" s="294">
        <v>1034.1749243900572</v>
      </c>
      <c r="AI247" s="294">
        <v>1070.2629499710292</v>
      </c>
      <c r="AJ247" s="294">
        <v>1052.8011495057258</v>
      </c>
      <c r="AK247" s="294">
        <v>1184.9387145216856</v>
      </c>
      <c r="AL247" s="294">
        <v>1194.9365465225271</v>
      </c>
      <c r="AM247" s="294">
        <v>1331.5198796263558</v>
      </c>
      <c r="AN247" s="294">
        <v>1366.0027936086956</v>
      </c>
      <c r="AO247" s="294">
        <v>1366.7672800826313</v>
      </c>
      <c r="AP247" s="294">
        <v>1460.0703617403351</v>
      </c>
      <c r="AQ247" s="294">
        <v>1458.9496250347549</v>
      </c>
      <c r="AR247" s="294">
        <v>1393.3301882195724</v>
      </c>
      <c r="AS247" s="294">
        <v>1621.332008459362</v>
      </c>
      <c r="AT247" s="294">
        <v>1901.0315981546162</v>
      </c>
      <c r="AU247" s="294">
        <v>2232.6048764895486</v>
      </c>
      <c r="AV247" s="294">
        <v>2252.8966955197902</v>
      </c>
      <c r="AW247" s="294">
        <v>2344.9278684080014</v>
      </c>
      <c r="AX247" s="294">
        <v>2783.5734874846917</v>
      </c>
      <c r="AY247" s="294">
        <v>3084.5264277935571</v>
      </c>
      <c r="AZ247" s="294">
        <v>2753.5386226019341</v>
      </c>
      <c r="BA247" s="294">
        <v>3237.6640755089288</v>
      </c>
      <c r="BB247" s="294">
        <v>3636.069095488032</v>
      </c>
      <c r="BC247" s="298">
        <f t="shared" si="3"/>
        <v>3636.069095488032</v>
      </c>
    </row>
    <row r="248" spans="2:55">
      <c r="B248" s="72" t="s">
        <v>880</v>
      </c>
      <c r="C248" s="72" t="s">
        <v>881</v>
      </c>
      <c r="D248" s="294">
        <v>63.033851578053316</v>
      </c>
      <c r="E248" s="294">
        <v>62.031895705480181</v>
      </c>
      <c r="F248" s="294">
        <v>68.949040534652156</v>
      </c>
      <c r="G248" s="294">
        <v>76.06149352351369</v>
      </c>
      <c r="H248" s="294">
        <v>110.36479788384904</v>
      </c>
      <c r="I248" s="294">
        <v>111.61496992313691</v>
      </c>
      <c r="J248" s="294">
        <v>112.78241192712757</v>
      </c>
      <c r="K248" s="294">
        <v>116.99800252102376</v>
      </c>
      <c r="L248" s="294">
        <v>127.60555413552629</v>
      </c>
      <c r="M248" s="294">
        <v>133.34362874600438</v>
      </c>
      <c r="N248" s="294">
        <v>145.64916332897286</v>
      </c>
      <c r="O248" s="294">
        <v>148.91646945349441</v>
      </c>
      <c r="P248" s="294">
        <v>165.28210246723032</v>
      </c>
      <c r="Q248" s="294">
        <v>198.20509769659355</v>
      </c>
      <c r="R248" s="294">
        <v>216.52988047093802</v>
      </c>
      <c r="S248" s="294">
        <v>218.0951903117363</v>
      </c>
      <c r="T248" s="294">
        <v>253.98184980170743</v>
      </c>
      <c r="U248" s="294">
        <v>203.09231527516022</v>
      </c>
      <c r="V248" s="294">
        <v>174.12651824704918</v>
      </c>
      <c r="W248" s="294">
        <v>98.293881180032017</v>
      </c>
      <c r="X248" s="294">
        <v>102.48285464064253</v>
      </c>
      <c r="Y248" s="294">
        <v>161.92276949433025</v>
      </c>
      <c r="Z248" s="294">
        <v>161.56687706419356</v>
      </c>
      <c r="AA248" s="294">
        <v>252.57595055595374</v>
      </c>
      <c r="AB248" s="294">
        <v>237.79936026387819</v>
      </c>
      <c r="AC248" s="294">
        <v>255.9574845464673</v>
      </c>
      <c r="AD248" s="294">
        <v>394.52932109539904</v>
      </c>
      <c r="AE248" s="294">
        <v>394.90277344235426</v>
      </c>
      <c r="AF248" s="294">
        <v>308.7751284198315</v>
      </c>
      <c r="AG248" s="294">
        <v>243.19030163458655</v>
      </c>
      <c r="AH248" s="294">
        <v>181.36955704919026</v>
      </c>
      <c r="AI248" s="294">
        <v>150.90299604612537</v>
      </c>
      <c r="AJ248" s="294">
        <v>164.62757442293147</v>
      </c>
      <c r="AK248" s="294">
        <v>197.61031889880047</v>
      </c>
      <c r="AL248" s="294">
        <v>276.30925399261463</v>
      </c>
      <c r="AM248" s="294">
        <v>281.48925093379813</v>
      </c>
      <c r="AN248" s="294">
        <v>283.38294477811775</v>
      </c>
      <c r="AO248" s="294">
        <v>288.94910753159064</v>
      </c>
      <c r="AP248" s="294">
        <v>255.44787940664619</v>
      </c>
      <c r="AQ248" s="294">
        <v>255.78061118630325</v>
      </c>
      <c r="AR248" s="294">
        <v>233.76806719980084</v>
      </c>
      <c r="AS248" s="294">
        <v>239.53122327642225</v>
      </c>
      <c r="AT248" s="294">
        <v>237.84944849649614</v>
      </c>
      <c r="AU248" s="294">
        <v>288.51351050698327</v>
      </c>
      <c r="AV248" s="294">
        <v>324.90135409075384</v>
      </c>
      <c r="AW248" s="294">
        <v>339.70459424888554</v>
      </c>
      <c r="AX248" s="294">
        <v>392.75084711094581</v>
      </c>
      <c r="AY248" s="294">
        <v>460.78846287923415</v>
      </c>
      <c r="AZ248" s="294">
        <v>488.24592459345109</v>
      </c>
      <c r="BA248" s="294">
        <v>514.51195174071393</v>
      </c>
      <c r="BB248" s="294">
        <v>487.10549805019309</v>
      </c>
      <c r="BC248" s="298">
        <f t="shared" si="3"/>
        <v>487.10549805019309</v>
      </c>
    </row>
    <row r="249" spans="2:55">
      <c r="B249" s="72" t="s">
        <v>882</v>
      </c>
      <c r="C249" s="72" t="s">
        <v>883</v>
      </c>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v>1249.4432776057808</v>
      </c>
      <c r="AE249" s="294">
        <v>1449.9624988386142</v>
      </c>
      <c r="AF249" s="294">
        <v>1597.4929841022422</v>
      </c>
      <c r="AG249" s="294">
        <v>1569.730041083855</v>
      </c>
      <c r="AH249" s="294">
        <v>1489.6796921763935</v>
      </c>
      <c r="AI249" s="294">
        <v>1417.8699390977395</v>
      </c>
      <c r="AJ249" s="294">
        <v>1258.136326146036</v>
      </c>
      <c r="AK249" s="294">
        <v>1012.1051831925782</v>
      </c>
      <c r="AL249" s="294">
        <v>935.96809869115248</v>
      </c>
      <c r="AM249" s="294">
        <v>872.70918584510616</v>
      </c>
      <c r="AN249" s="294">
        <v>991.23010069740121</v>
      </c>
      <c r="AO249" s="294">
        <v>835.26029678802206</v>
      </c>
      <c r="AP249" s="294">
        <v>635.76624203104677</v>
      </c>
      <c r="AQ249" s="294">
        <v>635.70896815850335</v>
      </c>
      <c r="AR249" s="294">
        <v>780.73803109413655</v>
      </c>
      <c r="AS249" s="294">
        <v>879.47504862277765</v>
      </c>
      <c r="AT249" s="294">
        <v>1048.522487907627</v>
      </c>
      <c r="AU249" s="294">
        <v>1367.3524333362905</v>
      </c>
      <c r="AV249" s="294">
        <v>1828.717625765981</v>
      </c>
      <c r="AW249" s="294">
        <v>2303.0188309318291</v>
      </c>
      <c r="AX249" s="294">
        <v>3068.6089979969643</v>
      </c>
      <c r="AY249" s="294">
        <v>3891.0378231820687</v>
      </c>
      <c r="AZ249" s="294">
        <v>2545.4803410734889</v>
      </c>
      <c r="BA249" s="294">
        <v>2973.9817087455513</v>
      </c>
      <c r="BB249" s="294">
        <v>3615.3819728928997</v>
      </c>
      <c r="BC249" s="298">
        <f t="shared" si="3"/>
        <v>3615.3819728928997</v>
      </c>
    </row>
    <row r="250" spans="2:55">
      <c r="B250" s="72" t="s">
        <v>884</v>
      </c>
      <c r="C250" s="72" t="s">
        <v>885</v>
      </c>
      <c r="D250" s="294"/>
      <c r="E250" s="294"/>
      <c r="F250" s="294"/>
      <c r="G250" s="294"/>
      <c r="H250" s="294"/>
      <c r="I250" s="294"/>
      <c r="J250" s="294"/>
      <c r="K250" s="294"/>
      <c r="L250" s="294"/>
      <c r="M250" s="294"/>
      <c r="N250" s="294"/>
      <c r="O250" s="294"/>
      <c r="P250" s="294"/>
      <c r="Q250" s="294"/>
      <c r="R250" s="294">
        <v>27589.846373720953</v>
      </c>
      <c r="S250" s="294">
        <v>30770.868937782037</v>
      </c>
      <c r="T250" s="294">
        <v>34320.855525478357</v>
      </c>
      <c r="U250" s="294">
        <v>28701.669121230658</v>
      </c>
      <c r="V250" s="294">
        <v>33669.461657249594</v>
      </c>
      <c r="W250" s="294">
        <v>42902.525286256321</v>
      </c>
      <c r="X250" s="294">
        <v>45170.799406171587</v>
      </c>
      <c r="Y250" s="294">
        <v>40284.514226496845</v>
      </c>
      <c r="Z250" s="294">
        <v>35170.570845251437</v>
      </c>
      <c r="AA250" s="294">
        <v>32687.746141514563</v>
      </c>
      <c r="AB250" s="294">
        <v>30099.073528058932</v>
      </c>
      <c r="AC250" s="294">
        <v>23756.926891550575</v>
      </c>
      <c r="AD250" s="294">
        <v>23988.225536960636</v>
      </c>
      <c r="AE250" s="294">
        <v>22513.897016750736</v>
      </c>
      <c r="AF250" s="294">
        <v>24259.431060752326</v>
      </c>
      <c r="AG250" s="294">
        <v>28032.879749343083</v>
      </c>
      <c r="AH250" s="294">
        <v>26993.319535575272</v>
      </c>
      <c r="AI250" s="294">
        <v>26929.798163148556</v>
      </c>
      <c r="AJ250" s="294">
        <v>26217.215123096536</v>
      </c>
      <c r="AK250" s="294">
        <v>26558.721492452005</v>
      </c>
      <c r="AL250" s="294">
        <v>27993.431877242729</v>
      </c>
      <c r="AM250" s="294">
        <v>29737.970681178984</v>
      </c>
      <c r="AN250" s="294">
        <v>30187.894962356724</v>
      </c>
      <c r="AO250" s="294">
        <v>27463.045122098512</v>
      </c>
      <c r="AP250" s="294">
        <v>29148.90157572208</v>
      </c>
      <c r="AQ250" s="294">
        <v>34395.149134289786</v>
      </c>
      <c r="AR250" s="294">
        <v>32803.178826360403</v>
      </c>
      <c r="AS250" s="294">
        <v>33740.90032955318</v>
      </c>
      <c r="AT250" s="294">
        <v>36562.146623537417</v>
      </c>
      <c r="AU250" s="294">
        <v>40410.792041894842</v>
      </c>
      <c r="AV250" s="294">
        <v>44384.746439574679</v>
      </c>
      <c r="AW250" s="294">
        <v>47634.330962603031</v>
      </c>
      <c r="AX250" s="294">
        <v>47756.559687690882</v>
      </c>
      <c r="AY250" s="294">
        <v>50727.209502203921</v>
      </c>
      <c r="AZ250" s="294">
        <v>38959.812221180699</v>
      </c>
      <c r="BA250" s="294">
        <v>39624.701877750333</v>
      </c>
      <c r="BB250" s="294">
        <v>45653.091445332226</v>
      </c>
      <c r="BC250" s="298">
        <f t="shared" si="3"/>
        <v>45653.091445332226</v>
      </c>
    </row>
    <row r="251" spans="2:55">
      <c r="B251" s="72" t="s">
        <v>886</v>
      </c>
      <c r="C251" s="72" t="s">
        <v>887</v>
      </c>
      <c r="D251" s="294">
        <v>1452.5447090135581</v>
      </c>
      <c r="E251" s="294">
        <v>1513.6514485492642</v>
      </c>
      <c r="F251" s="294">
        <v>1592.6144766156178</v>
      </c>
      <c r="G251" s="294">
        <v>1729.3999780356835</v>
      </c>
      <c r="H251" s="294">
        <v>1850.9547685549837</v>
      </c>
      <c r="I251" s="294">
        <v>1959.6278296212581</v>
      </c>
      <c r="J251" s="294">
        <v>2023.6275637111758</v>
      </c>
      <c r="K251" s="294">
        <v>1896.3867486073502</v>
      </c>
      <c r="L251" s="294">
        <v>2032.3470096450301</v>
      </c>
      <c r="M251" s="294">
        <v>2241.9713946527272</v>
      </c>
      <c r="N251" s="294">
        <v>2525.6282120138494</v>
      </c>
      <c r="O251" s="294">
        <v>2891.9809006579326</v>
      </c>
      <c r="P251" s="294">
        <v>3257.3058329606511</v>
      </c>
      <c r="Q251" s="294">
        <v>3516.4202834187818</v>
      </c>
      <c r="R251" s="294">
        <v>4204.9220434995095</v>
      </c>
      <c r="S251" s="294">
        <v>4041.0397113742929</v>
      </c>
      <c r="T251" s="294">
        <v>4565.4654894534942</v>
      </c>
      <c r="U251" s="294">
        <v>5785.4617386137761</v>
      </c>
      <c r="V251" s="294">
        <v>7511.1076999537663</v>
      </c>
      <c r="W251" s="294">
        <v>9622.9750431564826</v>
      </c>
      <c r="X251" s="294">
        <v>9142.4665043544919</v>
      </c>
      <c r="Y251" s="294">
        <v>8718.2672572495612</v>
      </c>
      <c r="Z251" s="294">
        <v>8266.5236949894952</v>
      </c>
      <c r="AA251" s="294">
        <v>7777.6442890194276</v>
      </c>
      <c r="AB251" s="294">
        <v>8209.836962979789</v>
      </c>
      <c r="AC251" s="294">
        <v>10063.838662494158</v>
      </c>
      <c r="AD251" s="294">
        <v>12333.137185675994</v>
      </c>
      <c r="AE251" s="294">
        <v>14951.052134667505</v>
      </c>
      <c r="AF251" s="294">
        <v>15057.179223513893</v>
      </c>
      <c r="AG251" s="294">
        <v>17687.668951347889</v>
      </c>
      <c r="AH251" s="294">
        <v>18386.533582779099</v>
      </c>
      <c r="AI251" s="294">
        <v>18960.470122308139</v>
      </c>
      <c r="AJ251" s="294">
        <v>16997.944206420329</v>
      </c>
      <c r="AK251" s="294">
        <v>18328.393848157903</v>
      </c>
      <c r="AL251" s="294">
        <v>19943.775522205749</v>
      </c>
      <c r="AM251" s="294">
        <v>20966.224662865527</v>
      </c>
      <c r="AN251" s="294">
        <v>23459.716605661248</v>
      </c>
      <c r="AO251" s="294">
        <v>24995.882902267564</v>
      </c>
      <c r="AP251" s="294">
        <v>25625.232247292333</v>
      </c>
      <c r="AQ251" s="294">
        <v>25057.613530497005</v>
      </c>
      <c r="AR251" s="294">
        <v>24836.358525197938</v>
      </c>
      <c r="AS251" s="294">
        <v>26996.972030082419</v>
      </c>
      <c r="AT251" s="294">
        <v>31152.987780809101</v>
      </c>
      <c r="AU251" s="294">
        <v>36695.144762979711</v>
      </c>
      <c r="AV251" s="294">
        <v>38121.562978924601</v>
      </c>
      <c r="AW251" s="294">
        <v>40480.961338128545</v>
      </c>
      <c r="AX251" s="294">
        <v>46330.245822436744</v>
      </c>
      <c r="AY251" s="294">
        <v>43146.829436194545</v>
      </c>
      <c r="AZ251" s="294">
        <v>35331.280962231249</v>
      </c>
      <c r="BA251" s="294">
        <v>36256.010958851984</v>
      </c>
      <c r="BB251" s="294">
        <v>39038.458270399999</v>
      </c>
      <c r="BC251" s="298">
        <f t="shared" si="3"/>
        <v>39038.458270399999</v>
      </c>
    </row>
    <row r="252" spans="2:55">
      <c r="B252" s="72" t="s">
        <v>888</v>
      </c>
      <c r="C252" s="72" t="s">
        <v>889</v>
      </c>
      <c r="D252" s="294">
        <v>2934.5527776102258</v>
      </c>
      <c r="E252" s="294">
        <v>3107.9374166336083</v>
      </c>
      <c r="F252" s="294">
        <v>3232.208009300261</v>
      </c>
      <c r="G252" s="294">
        <v>3423.3962816419908</v>
      </c>
      <c r="H252" s="294">
        <v>3664.8018703982953</v>
      </c>
      <c r="I252" s="294">
        <v>3972.1230899470897</v>
      </c>
      <c r="J252" s="294">
        <v>4152.019837191513</v>
      </c>
      <c r="K252" s="294">
        <v>4491.4243045250269</v>
      </c>
      <c r="L252" s="294">
        <v>4802.6424850575049</v>
      </c>
      <c r="M252" s="294">
        <v>4997.7566666016428</v>
      </c>
      <c r="N252" s="294">
        <v>5360.1783676280093</v>
      </c>
      <c r="O252" s="294">
        <v>5836.2236536189348</v>
      </c>
      <c r="P252" s="294">
        <v>6461.7359338206497</v>
      </c>
      <c r="Q252" s="294">
        <v>6948.1983035154826</v>
      </c>
      <c r="R252" s="294">
        <v>7516.6803257814636</v>
      </c>
      <c r="S252" s="294">
        <v>8297.2917192193909</v>
      </c>
      <c r="T252" s="294">
        <v>9142.7948728426854</v>
      </c>
      <c r="U252" s="294">
        <v>10225.307186018825</v>
      </c>
      <c r="V252" s="294">
        <v>11301.68181111284</v>
      </c>
      <c r="W252" s="294">
        <v>12179.557707118494</v>
      </c>
      <c r="X252" s="294">
        <v>13526.186886074625</v>
      </c>
      <c r="Y252" s="294">
        <v>13932.678361765315</v>
      </c>
      <c r="Z252" s="294">
        <v>15000.085546126471</v>
      </c>
      <c r="AA252" s="294">
        <v>16539.383017067739</v>
      </c>
      <c r="AB252" s="294">
        <v>17588.809872059985</v>
      </c>
      <c r="AC252" s="294">
        <v>18427.288211116338</v>
      </c>
      <c r="AD252" s="294">
        <v>19393.781806025036</v>
      </c>
      <c r="AE252" s="294">
        <v>20703.152160131533</v>
      </c>
      <c r="AF252" s="294">
        <v>22039.227125950594</v>
      </c>
      <c r="AG252" s="294">
        <v>23037.941215352752</v>
      </c>
      <c r="AH252" s="294">
        <v>23443.262537502815</v>
      </c>
      <c r="AI252" s="294">
        <v>24411.143251440466</v>
      </c>
      <c r="AJ252" s="294">
        <v>25326.736406341977</v>
      </c>
      <c r="AK252" s="294">
        <v>26577.761224660429</v>
      </c>
      <c r="AL252" s="294">
        <v>27559.167486611736</v>
      </c>
      <c r="AM252" s="294">
        <v>28772.355731753491</v>
      </c>
      <c r="AN252" s="294">
        <v>30281.635901517289</v>
      </c>
      <c r="AO252" s="294">
        <v>31687.051846266502</v>
      </c>
      <c r="AP252" s="294">
        <v>33332.13876146789</v>
      </c>
      <c r="AQ252" s="294">
        <v>35081.923084361508</v>
      </c>
      <c r="AR252" s="294">
        <v>35912.332976762329</v>
      </c>
      <c r="AS252" s="294">
        <v>36819.445089429282</v>
      </c>
      <c r="AT252" s="294">
        <v>38224.738928459432</v>
      </c>
      <c r="AU252" s="294">
        <v>40292.303727373132</v>
      </c>
      <c r="AV252" s="294">
        <v>42516.393469999297</v>
      </c>
      <c r="AW252" s="294">
        <v>44622.642022898646</v>
      </c>
      <c r="AX252" s="294">
        <v>46349.115481916189</v>
      </c>
      <c r="AY252" s="294">
        <v>46759.559839474095</v>
      </c>
      <c r="AZ252" s="294">
        <v>45305.051760523711</v>
      </c>
      <c r="BA252" s="294">
        <v>46611.975097217568</v>
      </c>
      <c r="BB252" s="294">
        <v>48111.966909590919</v>
      </c>
      <c r="BC252" s="298">
        <f t="shared" si="3"/>
        <v>48111.966909590919</v>
      </c>
    </row>
    <row r="253" spans="2:55">
      <c r="B253" s="72" t="s">
        <v>890</v>
      </c>
      <c r="C253" s="72" t="s">
        <v>891</v>
      </c>
      <c r="D253" s="294">
        <v>602.70042561351227</v>
      </c>
      <c r="E253" s="294">
        <v>656.55520270949137</v>
      </c>
      <c r="F253" s="294">
        <v>584.15239476681859</v>
      </c>
      <c r="G253" s="294">
        <v>740.96730345231811</v>
      </c>
      <c r="H253" s="294">
        <v>701.28099309196705</v>
      </c>
      <c r="I253" s="294">
        <v>664.44584752479</v>
      </c>
      <c r="J253" s="294">
        <v>581.26353924185787</v>
      </c>
      <c r="K253" s="294">
        <v>574.49120006429246</v>
      </c>
      <c r="L253" s="294">
        <v>717.27790980573241</v>
      </c>
      <c r="M253" s="294">
        <v>760.82339592258745</v>
      </c>
      <c r="N253" s="294">
        <v>996.36770953747987</v>
      </c>
      <c r="O253" s="294">
        <v>776.21738700657193</v>
      </c>
      <c r="P253" s="294">
        <v>1405.0974837816009</v>
      </c>
      <c r="Q253" s="294">
        <v>1448.7354539330022</v>
      </c>
      <c r="R253" s="294">
        <v>1250.5490641983315</v>
      </c>
      <c r="S253" s="294">
        <v>1290.9807612838708</v>
      </c>
      <c r="T253" s="294">
        <v>1440.6050931096584</v>
      </c>
      <c r="U253" s="294">
        <v>1707.9161873226774</v>
      </c>
      <c r="V253" s="294">
        <v>2480.5603952972006</v>
      </c>
      <c r="W253" s="294">
        <v>3486.8354863065251</v>
      </c>
      <c r="X253" s="294">
        <v>3765.7454168552663</v>
      </c>
      <c r="Y253" s="294">
        <v>3108.1732769911227</v>
      </c>
      <c r="Z253" s="294">
        <v>1716.6197741271417</v>
      </c>
      <c r="AA253" s="294">
        <v>1621.3528704461248</v>
      </c>
      <c r="AB253" s="294">
        <v>1571.6989873619157</v>
      </c>
      <c r="AC253" s="294">
        <v>1940.6646407444471</v>
      </c>
      <c r="AD253" s="294">
        <v>2416.3997901881689</v>
      </c>
      <c r="AE253" s="294">
        <v>2677.0114324033921</v>
      </c>
      <c r="AF253" s="294">
        <v>2732.7237294223464</v>
      </c>
      <c r="AG253" s="294">
        <v>2990.8249516202272</v>
      </c>
      <c r="AH253" s="294">
        <v>3578.9499393338551</v>
      </c>
      <c r="AI253" s="294">
        <v>4083.3041275327732</v>
      </c>
      <c r="AJ253" s="294">
        <v>4722.0583293436348</v>
      </c>
      <c r="AK253" s="294">
        <v>5460.2222207609739</v>
      </c>
      <c r="AL253" s="294">
        <v>5986.7398119410636</v>
      </c>
      <c r="AM253" s="294">
        <v>6340.6444575768173</v>
      </c>
      <c r="AN253" s="294">
        <v>7361.3049482572405</v>
      </c>
      <c r="AO253" s="294">
        <v>7754.3244386902761</v>
      </c>
      <c r="AP253" s="294">
        <v>7292.570605665841</v>
      </c>
      <c r="AQ253" s="294">
        <v>6914.3625819775807</v>
      </c>
      <c r="AR253" s="294">
        <v>6316.9700409234283</v>
      </c>
      <c r="AS253" s="294">
        <v>4112.5539953431071</v>
      </c>
      <c r="AT253" s="294">
        <v>3646.2791384311345</v>
      </c>
      <c r="AU253" s="294">
        <v>4145.1982843508931</v>
      </c>
      <c r="AV253" s="294">
        <v>5252.3676998192477</v>
      </c>
      <c r="AW253" s="294">
        <v>5907.2801311571257</v>
      </c>
      <c r="AX253" s="294">
        <v>7043.0803262419131</v>
      </c>
      <c r="AY253" s="294">
        <v>9107.8808152630318</v>
      </c>
      <c r="AZ253" s="294">
        <v>9117.3734698132521</v>
      </c>
      <c r="BA253" s="294">
        <v>11741.698318935938</v>
      </c>
      <c r="BB253" s="294">
        <v>13866.255125304271</v>
      </c>
      <c r="BC253" s="298">
        <f t="shared" si="3"/>
        <v>13866.255125304271</v>
      </c>
    </row>
    <row r="254" spans="2:55">
      <c r="B254" s="72" t="s">
        <v>892</v>
      </c>
      <c r="C254" s="72" t="s">
        <v>893</v>
      </c>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v>651.41920968674287</v>
      </c>
      <c r="AH254" s="294">
        <v>658.65586814086066</v>
      </c>
      <c r="AI254" s="294">
        <v>603.93494200342423</v>
      </c>
      <c r="AJ254" s="294">
        <v>597.02527262141325</v>
      </c>
      <c r="AK254" s="294">
        <v>576.44341722879949</v>
      </c>
      <c r="AL254" s="294">
        <v>585.93204005538905</v>
      </c>
      <c r="AM254" s="294">
        <v>600.59815782858402</v>
      </c>
      <c r="AN254" s="294">
        <v>623.00265236763869</v>
      </c>
      <c r="AO254" s="294">
        <v>623.21613283598492</v>
      </c>
      <c r="AP254" s="294">
        <v>702.47929935085745</v>
      </c>
      <c r="AQ254" s="294">
        <v>558.22114397778694</v>
      </c>
      <c r="AR254" s="294">
        <v>456.70440387799277</v>
      </c>
      <c r="AS254" s="294">
        <v>383.35025820184609</v>
      </c>
      <c r="AT254" s="294">
        <v>396.37720387286657</v>
      </c>
      <c r="AU254" s="294">
        <v>465.11898779328692</v>
      </c>
      <c r="AV254" s="294">
        <v>546.77685018555155</v>
      </c>
      <c r="AW254" s="294">
        <v>642.96162831737422</v>
      </c>
      <c r="AX254" s="294">
        <v>830.40769420432196</v>
      </c>
      <c r="AY254" s="294">
        <v>1022.5186230906811</v>
      </c>
      <c r="AZ254" s="294">
        <v>1181.8473596006563</v>
      </c>
      <c r="BA254" s="294">
        <v>1377.082143447783</v>
      </c>
      <c r="BB254" s="294">
        <v>1545.9296945991239</v>
      </c>
      <c r="BC254" s="298">
        <f t="shared" si="3"/>
        <v>1545.9296945991239</v>
      </c>
    </row>
    <row r="255" spans="2:55">
      <c r="B255" s="72" t="s">
        <v>894</v>
      </c>
      <c r="C255" s="72" t="s">
        <v>895</v>
      </c>
      <c r="D255" s="294"/>
      <c r="E255" s="294"/>
      <c r="F255" s="294"/>
      <c r="G255" s="294"/>
      <c r="H255" s="294"/>
      <c r="I255" s="294"/>
      <c r="J255" s="294"/>
      <c r="K255" s="294"/>
      <c r="L255" s="294"/>
      <c r="M255" s="294"/>
      <c r="N255" s="294"/>
      <c r="O255" s="294"/>
      <c r="P255" s="294"/>
      <c r="Q255" s="294"/>
      <c r="R255" s="294"/>
      <c r="S255" s="294"/>
      <c r="T255" s="294"/>
      <c r="U255" s="294"/>
      <c r="V255" s="294">
        <v>1059.2593227965426</v>
      </c>
      <c r="W255" s="294">
        <v>980.82152670952519</v>
      </c>
      <c r="X255" s="294">
        <v>832.71275202279787</v>
      </c>
      <c r="Y255" s="294">
        <v>808.18725400074686</v>
      </c>
      <c r="Z255" s="294">
        <v>886.29379622867134</v>
      </c>
      <c r="AA255" s="294">
        <v>1066.5378364312808</v>
      </c>
      <c r="AB255" s="294">
        <v>951.30745841063163</v>
      </c>
      <c r="AC255" s="294">
        <v>892.14152597038901</v>
      </c>
      <c r="AD255" s="294">
        <v>961.1041454560451</v>
      </c>
      <c r="AE255" s="294">
        <v>1065.8499645450343</v>
      </c>
      <c r="AF255" s="294">
        <v>1011.4116041545443</v>
      </c>
      <c r="AG255" s="294">
        <v>1080.2081776965799</v>
      </c>
      <c r="AH255" s="294">
        <v>1252.528235486521</v>
      </c>
      <c r="AI255" s="294">
        <v>1263.2355765503537</v>
      </c>
      <c r="AJ255" s="294">
        <v>1176.5538726350021</v>
      </c>
      <c r="AK255" s="294">
        <v>1334.8858679238092</v>
      </c>
      <c r="AL255" s="294">
        <v>1390.0983266728861</v>
      </c>
      <c r="AM255" s="294">
        <v>1427.2519939951101</v>
      </c>
      <c r="AN255" s="294">
        <v>1462.8901946288481</v>
      </c>
      <c r="AO255" s="294">
        <v>1474.0497061062376</v>
      </c>
      <c r="AP255" s="294">
        <v>1478.7061573758062</v>
      </c>
      <c r="AQ255" s="294">
        <v>1469.7617874515379</v>
      </c>
      <c r="AR255" s="294">
        <v>1360.7757656292476</v>
      </c>
      <c r="AS255" s="294">
        <v>1345.1875630137813</v>
      </c>
      <c r="AT255" s="294">
        <v>1567.0013004557543</v>
      </c>
      <c r="AU255" s="294">
        <v>1769.5645882282147</v>
      </c>
      <c r="AV255" s="294">
        <v>1862.4642913272876</v>
      </c>
      <c r="AW255" s="294">
        <v>2008.6761070165885</v>
      </c>
      <c r="AX255" s="294">
        <v>2373.1933193155814</v>
      </c>
      <c r="AY255" s="294">
        <v>2602.3271434574845</v>
      </c>
      <c r="AZ255" s="294">
        <v>2525.5521132165682</v>
      </c>
      <c r="BA255" s="294">
        <v>2833.3271780173554</v>
      </c>
      <c r="BB255" s="294">
        <v>3094.3851669391797</v>
      </c>
      <c r="BC255" s="298">
        <f t="shared" si="3"/>
        <v>3094.3851669391797</v>
      </c>
    </row>
    <row r="256" spans="2:55">
      <c r="B256" s="72" t="s">
        <v>896</v>
      </c>
      <c r="C256" s="72" t="s">
        <v>897</v>
      </c>
      <c r="D256" s="294">
        <v>1136.3466520385891</v>
      </c>
      <c r="E256" s="294">
        <v>1211.3792996037967</v>
      </c>
      <c r="F256" s="294">
        <v>1261.3735219243711</v>
      </c>
      <c r="G256" s="294">
        <v>1040.3761572896601</v>
      </c>
      <c r="H256" s="294">
        <v>1059.0527216455653</v>
      </c>
      <c r="I256" s="294">
        <v>1076.8937595930795</v>
      </c>
      <c r="J256" s="294">
        <v>1081.2203156243265</v>
      </c>
      <c r="K256" s="294">
        <v>1146.7196207003558</v>
      </c>
      <c r="L256" s="294">
        <v>1154.288331331757</v>
      </c>
      <c r="M256" s="294">
        <v>1216.5065791115098</v>
      </c>
      <c r="N256" s="294">
        <v>1310.1223658064775</v>
      </c>
      <c r="O256" s="294">
        <v>1393.3178621182219</v>
      </c>
      <c r="P256" s="294">
        <v>1644.1035956518642</v>
      </c>
      <c r="Q256" s="294">
        <v>2375.3339749849874</v>
      </c>
      <c r="R256" s="294">
        <v>2477.1801960938787</v>
      </c>
      <c r="S256" s="294">
        <v>2761.3225224642574</v>
      </c>
      <c r="T256" s="294">
        <v>3111.1983866137534</v>
      </c>
      <c r="U256" s="294">
        <v>3300.9985783297225</v>
      </c>
      <c r="V256" s="294">
        <v>3827.0029811644786</v>
      </c>
      <c r="W256" s="294">
        <v>4464.8778898783785</v>
      </c>
      <c r="X256" s="294">
        <v>4848.9242722298477</v>
      </c>
      <c r="Y256" s="294">
        <v>4779.1188640221962</v>
      </c>
      <c r="Z256" s="294">
        <v>4756.4239108020656</v>
      </c>
      <c r="AA256" s="294">
        <v>3292.6546775444876</v>
      </c>
      <c r="AB256" s="294">
        <v>3318.1982959163615</v>
      </c>
      <c r="AC256" s="294">
        <v>3287.1249037703533</v>
      </c>
      <c r="AD256" s="294">
        <v>2466.6855409429395</v>
      </c>
      <c r="AE256" s="294">
        <v>3101.4141429938841</v>
      </c>
      <c r="AF256" s="294">
        <v>2184.1512499041828</v>
      </c>
      <c r="AG256" s="294">
        <v>2381.1396650647857</v>
      </c>
      <c r="AH256" s="294">
        <v>2561.4874993208896</v>
      </c>
      <c r="AI256" s="294">
        <v>2830.2608294625938</v>
      </c>
      <c r="AJ256" s="294">
        <v>2751.1744376906386</v>
      </c>
      <c r="AK256" s="294">
        <v>2619.1865931270395</v>
      </c>
      <c r="AL256" s="294">
        <v>3397.3933758419739</v>
      </c>
      <c r="AM256" s="294">
        <v>3033.4454209752253</v>
      </c>
      <c r="AN256" s="294">
        <v>3738.7249348295227</v>
      </c>
      <c r="AO256" s="294">
        <v>3901.1891915503102</v>
      </c>
      <c r="AP256" s="294">
        <v>4105.0042500797235</v>
      </c>
      <c r="AQ256" s="294">
        <v>4818.7081800651013</v>
      </c>
      <c r="AR256" s="294">
        <v>4963.0419786521943</v>
      </c>
      <c r="AS256" s="294">
        <v>3683.1715692380376</v>
      </c>
      <c r="AT256" s="294">
        <v>3257.0768644923828</v>
      </c>
      <c r="AU256" s="294">
        <v>4304.0303296582933</v>
      </c>
      <c r="AV256" s="294">
        <v>5475.166107983302</v>
      </c>
      <c r="AW256" s="294">
        <v>6787.6705310160123</v>
      </c>
      <c r="AX256" s="294">
        <v>8382.0548184582112</v>
      </c>
      <c r="AY256" s="294">
        <v>11297.662557358979</v>
      </c>
      <c r="AZ256" s="294">
        <v>11605.798319697291</v>
      </c>
      <c r="BA256" s="294">
        <v>13657.748194398255</v>
      </c>
      <c r="BB256" s="294">
        <v>10809.556349489845</v>
      </c>
      <c r="BC256" s="298">
        <f t="shared" si="3"/>
        <v>10809.556349489845</v>
      </c>
    </row>
    <row r="257" spans="2:55">
      <c r="B257" s="72" t="s">
        <v>898</v>
      </c>
      <c r="C257" s="72" t="s">
        <v>899</v>
      </c>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c r="Z257" s="294"/>
      <c r="AA257" s="294"/>
      <c r="AB257" s="294">
        <v>239.4286951768494</v>
      </c>
      <c r="AC257" s="294">
        <v>437.1295434646517</v>
      </c>
      <c r="AD257" s="294">
        <v>593.65357358295353</v>
      </c>
      <c r="AE257" s="294">
        <v>401.87491099631887</v>
      </c>
      <c r="AF257" s="294">
        <v>97.157885063793259</v>
      </c>
      <c r="AG257" s="294">
        <v>98.031869001632614</v>
      </c>
      <c r="AH257" s="294">
        <v>142.96588988273183</v>
      </c>
      <c r="AI257" s="294">
        <v>144.14865860413227</v>
      </c>
      <c r="AJ257" s="294">
        <v>189.26051610777591</v>
      </c>
      <c r="AK257" s="294">
        <v>229.95480510301451</v>
      </c>
      <c r="AL257" s="294">
        <v>288.02027786799067</v>
      </c>
      <c r="AM257" s="294">
        <v>337.05006283219734</v>
      </c>
      <c r="AN257" s="294">
        <v>361.2544883009067</v>
      </c>
      <c r="AO257" s="294">
        <v>360.60079802253165</v>
      </c>
      <c r="AP257" s="294">
        <v>374.47642006471563</v>
      </c>
      <c r="AQ257" s="294">
        <v>401.54780212788745</v>
      </c>
      <c r="AR257" s="294">
        <v>415.73115797054135</v>
      </c>
      <c r="AS257" s="294">
        <v>440.76928653054551</v>
      </c>
      <c r="AT257" s="294">
        <v>491.52851451674388</v>
      </c>
      <c r="AU257" s="294">
        <v>557.82339989041236</v>
      </c>
      <c r="AV257" s="294">
        <v>642.25086674158285</v>
      </c>
      <c r="AW257" s="294">
        <v>731.14058784029783</v>
      </c>
      <c r="AX257" s="294">
        <v>843.20429040371687</v>
      </c>
      <c r="AY257" s="294">
        <v>1070.1549586256235</v>
      </c>
      <c r="AZ257" s="294">
        <v>1129.675150403197</v>
      </c>
      <c r="BA257" s="294">
        <v>1224.3145183504562</v>
      </c>
      <c r="BB257" s="294">
        <v>1407.1054348379466</v>
      </c>
      <c r="BC257" s="298">
        <f t="shared" si="3"/>
        <v>1407.1054348379466</v>
      </c>
    </row>
    <row r="258" spans="2:55">
      <c r="B258" s="72" t="s">
        <v>900</v>
      </c>
      <c r="C258" s="72" t="s">
        <v>901</v>
      </c>
      <c r="D258" s="294">
        <v>753.66568914956008</v>
      </c>
      <c r="E258" s="294">
        <v>1016.5289256198347</v>
      </c>
      <c r="F258" s="294">
        <v>1069.7674418604652</v>
      </c>
      <c r="G258" s="294">
        <v>1302.6634382566585</v>
      </c>
      <c r="H258" s="294">
        <v>1511.3636363636363</v>
      </c>
      <c r="I258" s="294">
        <v>1778.0126849894291</v>
      </c>
      <c r="J258" s="294">
        <v>2271.6535433070867</v>
      </c>
      <c r="K258" s="294">
        <v>3183.1501831501832</v>
      </c>
      <c r="L258" s="294">
        <v>3605.8020477815699</v>
      </c>
      <c r="M258" s="294">
        <v>3476.1904761904761</v>
      </c>
      <c r="N258" s="294">
        <v>3619.7183098591549</v>
      </c>
      <c r="O258" s="294">
        <v>4040.7894736842104</v>
      </c>
      <c r="P258" s="294">
        <v>4185.7142857142853</v>
      </c>
      <c r="Q258" s="294">
        <v>4393.333333333333</v>
      </c>
      <c r="R258" s="294">
        <v>4253.1914893617022</v>
      </c>
      <c r="S258" s="294">
        <v>4583.333333333333</v>
      </c>
      <c r="T258" s="294">
        <v>4965.5913978494627</v>
      </c>
      <c r="U258" s="294">
        <v>5342.708333333333</v>
      </c>
      <c r="V258" s="294">
        <v>6319.7920000000004</v>
      </c>
      <c r="W258" s="294">
        <v>7503.0927835051543</v>
      </c>
      <c r="X258" s="294">
        <v>8385.7142857142862</v>
      </c>
      <c r="Y258" s="294">
        <v>8162.7450980392159</v>
      </c>
      <c r="Z258" s="294">
        <v>8816.3458461538467</v>
      </c>
      <c r="AA258" s="294">
        <v>9124.0740740740748</v>
      </c>
      <c r="AB258" s="294">
        <v>9256.074766355141</v>
      </c>
      <c r="AC258" s="294">
        <v>9723.9436619718308</v>
      </c>
      <c r="AD258" s="294">
        <v>10828.302490566039</v>
      </c>
      <c r="AE258" s="294">
        <v>11527.27333971292</v>
      </c>
      <c r="AF258" s="294">
        <v>13047.573126213592</v>
      </c>
      <c r="AG258" s="294">
        <v>15050.547136962188</v>
      </c>
      <c r="AH258" s="294">
        <v>15945.499823485072</v>
      </c>
      <c r="AI258" s="294">
        <v>16752.277132937914</v>
      </c>
      <c r="AJ258" s="294">
        <v>18728.243429633036</v>
      </c>
      <c r="AK258" s="294"/>
      <c r="AL258" s="294"/>
      <c r="AM258" s="294"/>
      <c r="AN258" s="294"/>
      <c r="AO258" s="294"/>
      <c r="AP258" s="294"/>
      <c r="AQ258" s="294"/>
      <c r="AR258" s="294"/>
      <c r="AS258" s="294"/>
      <c r="AT258" s="294"/>
      <c r="AU258" s="294"/>
      <c r="AV258" s="294"/>
      <c r="AW258" s="294"/>
      <c r="AX258" s="294"/>
      <c r="AY258" s="294"/>
      <c r="AZ258" s="294"/>
      <c r="BA258" s="294"/>
      <c r="BB258" s="294"/>
      <c r="BC258" s="298">
        <f t="shared" si="3"/>
        <v>0</v>
      </c>
    </row>
    <row r="259" spans="2:55">
      <c r="B259" s="72" t="s">
        <v>902</v>
      </c>
      <c r="C259" s="72" t="s">
        <v>903</v>
      </c>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294"/>
      <c r="AF259" s="294"/>
      <c r="AG259" s="294"/>
      <c r="AH259" s="294"/>
      <c r="AI259" s="294"/>
      <c r="AJ259" s="294"/>
      <c r="AK259" s="294">
        <v>1195.3244971442127</v>
      </c>
      <c r="AL259" s="294">
        <v>1301.2260637839649</v>
      </c>
      <c r="AM259" s="294">
        <v>1298.8375715587069</v>
      </c>
      <c r="AN259" s="294">
        <v>1367.5423399435292</v>
      </c>
      <c r="AO259" s="294">
        <v>1407.5598864074484</v>
      </c>
      <c r="AP259" s="294">
        <v>1436.8231642970654</v>
      </c>
      <c r="AQ259" s="294">
        <v>1369.193027287823</v>
      </c>
      <c r="AR259" s="294">
        <v>1071.3456897406927</v>
      </c>
      <c r="AS259" s="294">
        <v>879.52277892170741</v>
      </c>
      <c r="AT259" s="294">
        <v>942.98522329894126</v>
      </c>
      <c r="AU259" s="294">
        <v>1044.7079472172238</v>
      </c>
      <c r="AV259" s="294">
        <v>1123.4139901460192</v>
      </c>
      <c r="AW259" s="294"/>
      <c r="AX259" s="294"/>
      <c r="AY259" s="294"/>
      <c r="AZ259" s="294"/>
      <c r="BA259" s="294"/>
      <c r="BB259" s="294"/>
      <c r="BC259" s="298">
        <f t="shared" si="3"/>
        <v>0</v>
      </c>
    </row>
    <row r="260" spans="2:55">
      <c r="B260" s="72" t="s">
        <v>904</v>
      </c>
      <c r="C260" s="72" t="s">
        <v>905</v>
      </c>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v>472.64421876089938</v>
      </c>
      <c r="AH260" s="294">
        <v>472.907472888494</v>
      </c>
      <c r="AI260" s="294">
        <v>490.03456394087988</v>
      </c>
      <c r="AJ260" s="294">
        <v>387.10728149348404</v>
      </c>
      <c r="AK260" s="294">
        <v>286.80503549669243</v>
      </c>
      <c r="AL260" s="294">
        <v>281.14208931941846</v>
      </c>
      <c r="AM260" s="294">
        <v>368.27546815677283</v>
      </c>
      <c r="AN260" s="294">
        <v>421.46207927509181</v>
      </c>
      <c r="AO260" s="294">
        <v>378.37390255569147</v>
      </c>
      <c r="AP260" s="294">
        <v>444.0307920866727</v>
      </c>
      <c r="AQ260" s="294">
        <v>543.71388275359061</v>
      </c>
      <c r="AR260" s="294">
        <v>539.47431560714494</v>
      </c>
      <c r="AS260" s="294">
        <v>567.83034564079799</v>
      </c>
      <c r="AT260" s="294">
        <v>606.48527124603322</v>
      </c>
      <c r="AU260" s="294">
        <v>692.77039016406195</v>
      </c>
      <c r="AV260" s="294">
        <v>811.37472463860593</v>
      </c>
      <c r="AW260" s="294">
        <v>896.35393935357149</v>
      </c>
      <c r="AX260" s="294">
        <v>986.76630098977978</v>
      </c>
      <c r="AY260" s="294">
        <v>1189.6338780121005</v>
      </c>
      <c r="AZ260" s="294">
        <v>1077.2401423830565</v>
      </c>
      <c r="BA260" s="294">
        <v>1290.6230767719248</v>
      </c>
      <c r="BB260" s="294">
        <v>1361.1962365148959</v>
      </c>
      <c r="BC260" s="298">
        <f t="shared" si="3"/>
        <v>1361.1962365148959</v>
      </c>
    </row>
    <row r="261" spans="2:55">
      <c r="B261" s="72" t="s">
        <v>906</v>
      </c>
      <c r="C261" s="72" t="s">
        <v>907</v>
      </c>
      <c r="D261" s="294">
        <v>217.67033927288176</v>
      </c>
      <c r="E261" s="294">
        <v>210.34701901351525</v>
      </c>
      <c r="F261" s="294">
        <v>211.63653408907061</v>
      </c>
      <c r="G261" s="294">
        <v>239.78441758547723</v>
      </c>
      <c r="H261" s="294">
        <v>300.00567555753292</v>
      </c>
      <c r="I261" s="294">
        <v>339.68737368730433</v>
      </c>
      <c r="J261" s="294">
        <v>356.39125117626492</v>
      </c>
      <c r="K261" s="294">
        <v>405.50739499592311</v>
      </c>
      <c r="L261" s="294">
        <v>480.83767983307115</v>
      </c>
      <c r="M261" s="294">
        <v>432.19369122643587</v>
      </c>
      <c r="N261" s="294">
        <v>386.37817955110785</v>
      </c>
      <c r="O261" s="294">
        <v>423.04186727736368</v>
      </c>
      <c r="P261" s="294">
        <v>531.54783165566198</v>
      </c>
      <c r="Q261" s="294">
        <v>614.3978359868737</v>
      </c>
      <c r="R261" s="294">
        <v>498.47857732852589</v>
      </c>
      <c r="S261" s="294">
        <v>541.42376856124417</v>
      </c>
      <c r="T261" s="294">
        <v>480.42934035694304</v>
      </c>
      <c r="U261" s="294">
        <v>519.64469227152699</v>
      </c>
      <c r="V261" s="294">
        <v>599.98968353628925</v>
      </c>
      <c r="W261" s="294">
        <v>672.6268454744486</v>
      </c>
      <c r="X261" s="294">
        <v>671.65801135154493</v>
      </c>
      <c r="Y261" s="294">
        <v>627.86141019331478</v>
      </c>
      <c r="Z261" s="294">
        <v>521.47702715687785</v>
      </c>
      <c r="AA261" s="294">
        <v>413.58968066741971</v>
      </c>
      <c r="AB261" s="294">
        <v>331.96529202619058</v>
      </c>
      <c r="AC261" s="294">
        <v>237.83087939625446</v>
      </c>
      <c r="AD261" s="294">
        <v>313.98590522239033</v>
      </c>
      <c r="AE261" s="294">
        <v>501.74954123206174</v>
      </c>
      <c r="AF261" s="294">
        <v>522.35362938635785</v>
      </c>
      <c r="AG261" s="294">
        <v>418.3663577537244</v>
      </c>
      <c r="AH261" s="294">
        <v>418.54280160028674</v>
      </c>
      <c r="AI261" s="294">
        <v>384.74604884436548</v>
      </c>
      <c r="AJ261" s="294">
        <v>386.09646517362694</v>
      </c>
      <c r="AK261" s="294">
        <v>384.99145957315096</v>
      </c>
      <c r="AL261" s="294">
        <v>389.89434141368326</v>
      </c>
      <c r="AM261" s="294">
        <v>356.94481905220869</v>
      </c>
      <c r="AN261" s="294">
        <v>415.19872725215822</v>
      </c>
      <c r="AO261" s="294">
        <v>334.35094640227618</v>
      </c>
      <c r="AP261" s="294">
        <v>314.86212621712042</v>
      </c>
      <c r="AQ261" s="294">
        <v>318.92682216949748</v>
      </c>
      <c r="AR261" s="294">
        <v>349.65396184587786</v>
      </c>
      <c r="AS261" s="294">
        <v>347.06075200937659</v>
      </c>
      <c r="AT261" s="294">
        <v>396.94073984151083</v>
      </c>
      <c r="AU261" s="294">
        <v>485.96955830245338</v>
      </c>
      <c r="AV261" s="294">
        <v>626.27183280400436</v>
      </c>
      <c r="AW261" s="294">
        <v>910.81746262792149</v>
      </c>
      <c r="AX261" s="294">
        <v>957.3665162022121</v>
      </c>
      <c r="AY261" s="294">
        <v>1182.6535517075615</v>
      </c>
      <c r="AZ261" s="294">
        <v>1006.3883326183241</v>
      </c>
      <c r="BA261" s="294">
        <v>1252.4899090031024</v>
      </c>
      <c r="BB261" s="294">
        <v>1425.3137936982844</v>
      </c>
      <c r="BC261" s="298">
        <f t="shared" si="3"/>
        <v>1425.3137936982844</v>
      </c>
    </row>
    <row r="262" spans="2:55">
      <c r="B262" s="72" t="s">
        <v>908</v>
      </c>
      <c r="C262" s="72" t="s">
        <v>909</v>
      </c>
      <c r="D262" s="294">
        <v>282.88760617437498</v>
      </c>
      <c r="E262" s="294">
        <v>278.96550074797449</v>
      </c>
      <c r="F262" s="294">
        <v>280.02301612985929</v>
      </c>
      <c r="G262" s="294">
        <v>284.40965844604193</v>
      </c>
      <c r="H262" s="294">
        <v>296.56490809865733</v>
      </c>
      <c r="I262" s="294">
        <v>280.57680447092071</v>
      </c>
      <c r="J262" s="294">
        <v>296.06595140842472</v>
      </c>
      <c r="K262" s="294">
        <v>303.56726392984319</v>
      </c>
      <c r="L262" s="294">
        <v>347.08382266675699</v>
      </c>
      <c r="M262" s="294">
        <v>361.91384392136189</v>
      </c>
      <c r="N262" s="294">
        <v>404.57233021778006</v>
      </c>
      <c r="O262" s="294">
        <v>480.46930752811733</v>
      </c>
      <c r="P262" s="294">
        <v>573.72479086303952</v>
      </c>
      <c r="Q262" s="294">
        <v>667.28523707930719</v>
      </c>
      <c r="R262" s="294">
        <v>708.44676054130878</v>
      </c>
      <c r="S262" s="294">
        <v>677.47702244915001</v>
      </c>
      <c r="T262" s="294">
        <v>663.14601468630246</v>
      </c>
      <c r="U262" s="294">
        <v>640.147693737851</v>
      </c>
      <c r="V262" s="294">
        <v>736.27113974317763</v>
      </c>
      <c r="W262" s="294">
        <v>916.23597290288114</v>
      </c>
      <c r="X262" s="294">
        <v>1058.1033991574432</v>
      </c>
      <c r="Y262" s="294">
        <v>1084.4557344656757</v>
      </c>
      <c r="Z262" s="294">
        <v>947.50727910599824</v>
      </c>
      <c r="AA262" s="294">
        <v>745.28438641568823</v>
      </c>
      <c r="AB262" s="294">
        <v>636.59872656883942</v>
      </c>
      <c r="AC262" s="294">
        <v>676.61435808004308</v>
      </c>
      <c r="AD262" s="294">
        <v>707.85980673288896</v>
      </c>
      <c r="AE262" s="294">
        <v>793.19838725724833</v>
      </c>
      <c r="AF262" s="294">
        <v>814.84605252680649</v>
      </c>
      <c r="AG262" s="294">
        <v>839.01491879664832</v>
      </c>
      <c r="AH262" s="294">
        <v>803.99226298688825</v>
      </c>
      <c r="AI262" s="294">
        <v>613.45287763498504</v>
      </c>
      <c r="AJ262" s="294">
        <v>583.73275300197099</v>
      </c>
      <c r="AK262" s="294">
        <v>600.76302408064407</v>
      </c>
      <c r="AL262" s="294">
        <v>608.59713377897651</v>
      </c>
      <c r="AM262" s="294">
        <v>719.27827821740937</v>
      </c>
      <c r="AN262" s="294">
        <v>705.70952426049291</v>
      </c>
      <c r="AO262" s="294">
        <v>522.1091884094111</v>
      </c>
      <c r="AP262" s="294">
        <v>552.83213175212234</v>
      </c>
      <c r="AQ262" s="294">
        <v>534.79115154498356</v>
      </c>
      <c r="AR262" s="294">
        <v>538.95639350453973</v>
      </c>
      <c r="AS262" s="294">
        <v>503.03152661645976</v>
      </c>
      <c r="AT262" s="294">
        <v>454.10384195622277</v>
      </c>
      <c r="AU262" s="294">
        <v>460.83942895035102</v>
      </c>
      <c r="AV262" s="294">
        <v>457.82825474587889</v>
      </c>
      <c r="AW262" s="294">
        <v>434.48095735436749</v>
      </c>
      <c r="AX262" s="294">
        <v>423.99216595438668</v>
      </c>
      <c r="AY262" s="294">
        <v>354.63097234446252</v>
      </c>
      <c r="AZ262" s="294">
        <v>491.6822675424458</v>
      </c>
      <c r="BA262" s="294">
        <v>591.2851814706022</v>
      </c>
      <c r="BB262" s="294">
        <v>757.08901788812761</v>
      </c>
      <c r="BC262" s="298">
        <f t="shared" si="3"/>
        <v>757.08901788812761</v>
      </c>
    </row>
    <row r="263" spans="2:55">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row>
    <row r="264" spans="2:55">
      <c r="B264" s="153" t="s">
        <v>1091</v>
      </c>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row>
    <row r="266" spans="2:55">
      <c r="B266" s="290" t="s">
        <v>400</v>
      </c>
      <c r="C266" s="290" t="s">
        <v>401</v>
      </c>
      <c r="D266" s="290" t="s">
        <v>1098</v>
      </c>
      <c r="E266" s="290" t="s">
        <v>1099</v>
      </c>
      <c r="F266" s="290" t="s">
        <v>1100</v>
      </c>
      <c r="G266" s="290" t="s">
        <v>1101</v>
      </c>
      <c r="H266" s="290" t="s">
        <v>1102</v>
      </c>
      <c r="I266" s="290" t="s">
        <v>1103</v>
      </c>
      <c r="J266" s="290" t="s">
        <v>1104</v>
      </c>
      <c r="K266" s="290" t="s">
        <v>1105</v>
      </c>
      <c r="L266" s="290" t="s">
        <v>1106</v>
      </c>
      <c r="M266" s="290" t="s">
        <v>1107</v>
      </c>
      <c r="N266" s="290" t="s">
        <v>1108</v>
      </c>
      <c r="O266" s="290" t="s">
        <v>1109</v>
      </c>
      <c r="P266" s="290" t="s">
        <v>1110</v>
      </c>
      <c r="Q266" s="290" t="s">
        <v>1111</v>
      </c>
      <c r="R266" s="290" t="s">
        <v>1112</v>
      </c>
      <c r="S266" s="290" t="s">
        <v>1113</v>
      </c>
      <c r="T266" s="290" t="s">
        <v>1114</v>
      </c>
      <c r="U266" s="290" t="s">
        <v>1115</v>
      </c>
      <c r="V266" s="290" t="s">
        <v>1116</v>
      </c>
      <c r="W266" s="290" t="s">
        <v>402</v>
      </c>
      <c r="X266" s="290" t="s">
        <v>403</v>
      </c>
      <c r="Y266" s="290" t="s">
        <v>404</v>
      </c>
      <c r="Z266" s="290" t="s">
        <v>405</v>
      </c>
      <c r="AA266" s="290" t="s">
        <v>406</v>
      </c>
      <c r="AB266" s="290" t="s">
        <v>407</v>
      </c>
      <c r="AC266" s="290" t="s">
        <v>408</v>
      </c>
      <c r="AD266" s="290" t="s">
        <v>409</v>
      </c>
      <c r="AE266" s="290" t="s">
        <v>410</v>
      </c>
      <c r="AF266" s="290" t="s">
        <v>411</v>
      </c>
      <c r="AG266" s="290" t="s">
        <v>412</v>
      </c>
      <c r="AH266" s="290" t="s">
        <v>413</v>
      </c>
      <c r="AI266" s="290" t="s">
        <v>414</v>
      </c>
      <c r="AJ266" s="290" t="s">
        <v>415</v>
      </c>
      <c r="AK266" s="290" t="s">
        <v>416</v>
      </c>
      <c r="AL266" s="290" t="s">
        <v>417</v>
      </c>
      <c r="AM266" s="290" t="s">
        <v>418</v>
      </c>
      <c r="AN266" s="290" t="s">
        <v>419</v>
      </c>
      <c r="AO266" s="290" t="s">
        <v>420</v>
      </c>
      <c r="AP266" s="290" t="s">
        <v>421</v>
      </c>
      <c r="AQ266" s="290" t="s">
        <v>422</v>
      </c>
      <c r="AR266" s="290" t="s">
        <v>423</v>
      </c>
      <c r="AS266" s="290" t="s">
        <v>424</v>
      </c>
      <c r="AT266" s="290" t="s">
        <v>425</v>
      </c>
      <c r="AU266" s="290" t="s">
        <v>426</v>
      </c>
      <c r="AV266" s="290" t="s">
        <v>427</v>
      </c>
      <c r="AW266" s="290" t="s">
        <v>428</v>
      </c>
      <c r="AX266" s="290" t="s">
        <v>429</v>
      </c>
      <c r="AY266" s="290" t="s">
        <v>430</v>
      </c>
      <c r="AZ266" s="290" t="s">
        <v>431</v>
      </c>
      <c r="BA266" s="290" t="s">
        <v>432</v>
      </c>
      <c r="BB266" s="290" t="s">
        <v>433</v>
      </c>
      <c r="BC266" s="30">
        <v>2012</v>
      </c>
    </row>
    <row r="267" spans="2:55">
      <c r="B267" s="72" t="s">
        <v>434</v>
      </c>
      <c r="C267" s="72" t="s">
        <v>435</v>
      </c>
      <c r="D267" s="289">
        <f t="shared" ref="D267:D330" si="4">D17/D$251</f>
        <v>0</v>
      </c>
      <c r="E267" s="289">
        <f t="shared" ref="E267:BB272" si="5">E17/E$251</f>
        <v>0</v>
      </c>
      <c r="F267" s="289">
        <f t="shared" si="5"/>
        <v>0</v>
      </c>
      <c r="G267" s="289">
        <f t="shared" si="5"/>
        <v>0</v>
      </c>
      <c r="H267" s="289">
        <f t="shared" si="5"/>
        <v>0</v>
      </c>
      <c r="I267" s="289">
        <f t="shared" si="5"/>
        <v>0</v>
      </c>
      <c r="J267" s="289">
        <f t="shared" si="5"/>
        <v>0</v>
      </c>
      <c r="K267" s="289">
        <f t="shared" si="5"/>
        <v>0.14785019450845263</v>
      </c>
      <c r="L267" s="289">
        <f t="shared" si="5"/>
        <v>0.1479222517598405</v>
      </c>
      <c r="M267" s="289">
        <f t="shared" si="5"/>
        <v>0.14227711360464237</v>
      </c>
      <c r="N267" s="289">
        <f t="shared" si="5"/>
        <v>0.1423980600382887</v>
      </c>
      <c r="O267" s="289">
        <f t="shared" si="5"/>
        <v>0.1468275222203681</v>
      </c>
      <c r="P267" s="289">
        <f t="shared" si="5"/>
        <v>0.16054629223499686</v>
      </c>
      <c r="Q267" s="289">
        <f t="shared" si="5"/>
        <v>0.27442644564328733</v>
      </c>
      <c r="R267" s="289">
        <f t="shared" si="5"/>
        <v>0.248855852727806</v>
      </c>
      <c r="S267" s="289">
        <f t="shared" si="5"/>
        <v>0.30960656542232506</v>
      </c>
      <c r="T267" s="289">
        <f t="shared" si="5"/>
        <v>0.30805236876206576</v>
      </c>
      <c r="U267" s="289">
        <f t="shared" si="5"/>
        <v>0.26011127431869557</v>
      </c>
      <c r="V267" s="289">
        <f t="shared" si="5"/>
        <v>0.25860305997182104</v>
      </c>
      <c r="W267" s="289">
        <f t="shared" si="5"/>
        <v>0.25933103572600097</v>
      </c>
      <c r="X267" s="289">
        <f t="shared" si="5"/>
        <v>0.27267277700508302</v>
      </c>
      <c r="Y267" s="289">
        <f t="shared" si="5"/>
        <v>0.25819198897872569</v>
      </c>
      <c r="Z267" s="289">
        <f t="shared" si="5"/>
        <v>0.24918727178491254</v>
      </c>
      <c r="AA267" s="289">
        <f t="shared" si="5"/>
        <v>0.26014475214223692</v>
      </c>
      <c r="AB267" s="289">
        <f t="shared" si="5"/>
        <v>0.23637145512605839</v>
      </c>
      <c r="AC267" s="289">
        <f t="shared" si="5"/>
        <v>0.17633813651589736</v>
      </c>
      <c r="AD267" s="289">
        <f t="shared" si="5"/>
        <v>0.14933836394536543</v>
      </c>
      <c r="AE267" s="289">
        <f t="shared" si="5"/>
        <v>0.11564183898082761</v>
      </c>
      <c r="AF267" s="289">
        <f t="shared" si="5"/>
        <v>0.11819583944545677</v>
      </c>
      <c r="AG267" s="289">
        <f t="shared" si="5"/>
        <v>0.10933853618830004</v>
      </c>
      <c r="AH267" s="289">
        <f t="shared" si="5"/>
        <v>0.10077533697114664</v>
      </c>
      <c r="AI267" s="289">
        <f t="shared" si="5"/>
        <v>0.10290468881626864</v>
      </c>
      <c r="AJ267" s="289">
        <f t="shared" si="5"/>
        <v>0.11331394457339393</v>
      </c>
      <c r="AK267" s="289">
        <f t="shared" si="5"/>
        <v>0.10490105146841584</v>
      </c>
      <c r="AL267" s="289">
        <f t="shared" si="5"/>
        <v>0.10053881406663404</v>
      </c>
      <c r="AM267" s="289">
        <f t="shared" si="5"/>
        <v>0.10343461105176296</v>
      </c>
      <c r="AN267" s="289">
        <f t="shared" si="5"/>
        <v>9.6262740163144206E-2</v>
      </c>
      <c r="AO267" s="289">
        <f t="shared" si="5"/>
        <v>8.605998551316936E-2</v>
      </c>
      <c r="AP267" s="289">
        <f t="shared" si="5"/>
        <v>8.9762511971857764E-2</v>
      </c>
      <c r="AQ267" s="289">
        <f t="shared" si="5"/>
        <v>0.1035710575526009</v>
      </c>
      <c r="AR267" s="289">
        <f t="shared" si="5"/>
        <v>9.9578600543177867E-2</v>
      </c>
      <c r="AS267" s="289">
        <f t="shared" si="5"/>
        <v>9.0892648188318617E-2</v>
      </c>
      <c r="AT267" s="289">
        <f t="shared" si="5"/>
        <v>8.6790165054155266E-2</v>
      </c>
      <c r="AU267" s="289">
        <f t="shared" si="5"/>
        <v>8.4002095717731942E-2</v>
      </c>
      <c r="AV267" s="289">
        <f t="shared" si="5"/>
        <v>9.6017465559772808E-2</v>
      </c>
      <c r="AW267" s="289">
        <f t="shared" si="5"/>
        <v>0.10517616953033054</v>
      </c>
      <c r="AX267" s="289">
        <f t="shared" si="5"/>
        <v>0.10394843250468733</v>
      </c>
      <c r="AY267" s="289">
        <f t="shared" si="5"/>
        <v>0.13793538520889048</v>
      </c>
      <c r="AZ267" s="289">
        <f t="shared" si="5"/>
        <v>0.14194564561390768</v>
      </c>
      <c r="BA267" s="289">
        <f t="shared" si="5"/>
        <v>0.15732804335628919</v>
      </c>
      <c r="BB267" s="289">
        <f t="shared" si="5"/>
        <v>0.17394608260693448</v>
      </c>
      <c r="BC267" s="289">
        <f>BC17/BC$251</f>
        <v>0.17394608260693448</v>
      </c>
    </row>
    <row r="268" spans="2:55">
      <c r="B268" s="72" t="s">
        <v>436</v>
      </c>
      <c r="C268" s="72" t="s">
        <v>437</v>
      </c>
      <c r="D268" s="289">
        <f t="shared" si="4"/>
        <v>0.32653088905488725</v>
      </c>
      <c r="E268" s="289">
        <f t="shared" ref="E268:S268" si="6">E18/E$251</f>
        <v>0.3245750882730612</v>
      </c>
      <c r="F268" s="289">
        <f t="shared" si="6"/>
        <v>0.32283620132209623</v>
      </c>
      <c r="G268" s="289">
        <f t="shared" si="6"/>
        <v>0.31446771795545003</v>
      </c>
      <c r="H268" s="289">
        <f t="shared" si="6"/>
        <v>0.31089327096863306</v>
      </c>
      <c r="I268" s="289">
        <f t="shared" si="6"/>
        <v>0.31320644102788464</v>
      </c>
      <c r="J268" s="289">
        <f t="shared" si="6"/>
        <v>0.32077761013438844</v>
      </c>
      <c r="K268" s="289">
        <f t="shared" si="6"/>
        <v>0.33526081393156121</v>
      </c>
      <c r="L268" s="289">
        <f t="shared" si="6"/>
        <v>0.33591876076375332</v>
      </c>
      <c r="M268" s="289">
        <f t="shared" si="6"/>
        <v>0.33157540024365922</v>
      </c>
      <c r="N268" s="289">
        <f t="shared" si="6"/>
        <v>0.31685757128307629</v>
      </c>
      <c r="O268" s="289">
        <f t="shared" si="6"/>
        <v>0.31792013006834607</v>
      </c>
      <c r="P268" s="289">
        <f t="shared" si="6"/>
        <v>0.30718260346167975</v>
      </c>
      <c r="Q268" s="289">
        <f t="shared" si="6"/>
        <v>0.36462250265235102</v>
      </c>
      <c r="R268" s="289">
        <f t="shared" si="6"/>
        <v>0.35382717139451436</v>
      </c>
      <c r="S268" s="289">
        <f t="shared" si="6"/>
        <v>0.37546386304723245</v>
      </c>
      <c r="T268" s="289">
        <f t="shared" si="5"/>
        <v>0.38118317983166483</v>
      </c>
      <c r="U268" s="289">
        <f t="shared" si="5"/>
        <v>0.30510358882325883</v>
      </c>
      <c r="V268" s="289">
        <f t="shared" si="5"/>
        <v>0.26689486897284254</v>
      </c>
      <c r="W268" s="289">
        <f t="shared" si="5"/>
        <v>0.25329813171050247</v>
      </c>
      <c r="X268" s="289">
        <f t="shared" si="5"/>
        <v>0.2880066962716859</v>
      </c>
      <c r="Y268" s="289">
        <f t="shared" si="5"/>
        <v>0.33127298265920824</v>
      </c>
      <c r="Z268" s="289">
        <f t="shared" si="5"/>
        <v>0.35322973893334392</v>
      </c>
      <c r="AA268" s="289">
        <f t="shared" si="5"/>
        <v>0.35223651373946513</v>
      </c>
      <c r="AB268" s="289">
        <f t="shared" si="5"/>
        <v>0.32560435720102893</v>
      </c>
      <c r="AC268" s="289">
        <f t="shared" si="5"/>
        <v>0.23916927874931901</v>
      </c>
      <c r="AD268" s="289">
        <f t="shared" si="5"/>
        <v>0.20832855347602186</v>
      </c>
      <c r="AE268" s="289">
        <f t="shared" si="5"/>
        <v>0.1813675859067567</v>
      </c>
      <c r="AF268" s="289">
        <f t="shared" si="5"/>
        <v>0.1814013447641607</v>
      </c>
      <c r="AG268" s="289">
        <f t="shared" si="5"/>
        <v>0.16405032541173528</v>
      </c>
      <c r="AH268" s="289">
        <f t="shared" si="5"/>
        <v>0.15532405715936301</v>
      </c>
      <c r="AI268" s="289">
        <f t="shared" si="5"/>
        <v>0.14674342231069146</v>
      </c>
      <c r="AJ268" s="289">
        <f t="shared" si="5"/>
        <v>0.16873288681952889</v>
      </c>
      <c r="AK268" s="289">
        <f t="shared" si="5"/>
        <v>0.16468354879780947</v>
      </c>
      <c r="AL268" s="289">
        <f t="shared" si="5"/>
        <v>0.16513809260075094</v>
      </c>
      <c r="AM268" s="289">
        <f t="shared" si="5"/>
        <v>0.169590395871277</v>
      </c>
      <c r="AN268" s="289">
        <f t="shared" si="5"/>
        <v>0.16882590520967361</v>
      </c>
      <c r="AO268" s="289">
        <f t="shared" si="5"/>
        <v>0.17186427665001713</v>
      </c>
      <c r="AP268" s="289">
        <f t="shared" si="5"/>
        <v>0.17702857043800993</v>
      </c>
      <c r="AQ268" s="289">
        <f t="shared" si="5"/>
        <v>0.19603331302211574</v>
      </c>
      <c r="AR268" s="289">
        <f t="shared" si="5"/>
        <v>0.20168847747897398</v>
      </c>
      <c r="AS268" s="289">
        <f t="shared" si="5"/>
        <v>0.19382603899579273</v>
      </c>
      <c r="AT268" s="289">
        <f t="shared" si="5"/>
        <v>0.17959436663186354</v>
      </c>
      <c r="AU268" s="289">
        <f t="shared" si="5"/>
        <v>0.16470971739831958</v>
      </c>
      <c r="AV268" s="289">
        <f t="shared" si="5"/>
        <v>0.17958780653888387</v>
      </c>
      <c r="AW268" s="289">
        <f t="shared" si="5"/>
        <v>0.18848164364215333</v>
      </c>
      <c r="AX268" s="289">
        <f t="shared" si="5"/>
        <v>0.18235101487045666</v>
      </c>
      <c r="AY268" s="289">
        <f t="shared" si="5"/>
        <v>0.22178288085865305</v>
      </c>
      <c r="AZ268" s="289">
        <f t="shared" si="5"/>
        <v>0.2289073786297309</v>
      </c>
      <c r="BA268" s="289">
        <f t="shared" si="5"/>
        <v>0.23737402521144801</v>
      </c>
      <c r="BB268" s="289">
        <f t="shared" si="5"/>
        <v>0.22967377464747288</v>
      </c>
      <c r="BC268" s="289">
        <f t="shared" ref="BC268:BC331" si="7">BC18/BC$251</f>
        <v>0.22967377464747288</v>
      </c>
    </row>
    <row r="269" spans="2:55">
      <c r="B269" s="72" t="s">
        <v>438</v>
      </c>
      <c r="C269" s="72" t="s">
        <v>439</v>
      </c>
      <c r="D269" s="289">
        <f t="shared" si="4"/>
        <v>0.10161138330829333</v>
      </c>
      <c r="E269" s="289">
        <f t="shared" si="5"/>
        <v>9.7866519001851685E-2</v>
      </c>
      <c r="F269" s="289">
        <f t="shared" si="5"/>
        <v>0.10130024216998493</v>
      </c>
      <c r="G269" s="289">
        <f t="shared" si="5"/>
        <v>0.10449978921786102</v>
      </c>
      <c r="H269" s="289">
        <f t="shared" si="5"/>
        <v>0.10646802881535318</v>
      </c>
      <c r="I269" s="289">
        <f t="shared" si="5"/>
        <v>0.10956649731949263</v>
      </c>
      <c r="J269" s="289">
        <f t="shared" si="5"/>
        <v>0.11226917955511151</v>
      </c>
      <c r="K269" s="289">
        <f t="shared" si="5"/>
        <v>0.12891810266589929</v>
      </c>
      <c r="L269" s="289">
        <f t="shared" si="5"/>
        <v>0.134982947970166</v>
      </c>
      <c r="M269" s="289">
        <f t="shared" si="5"/>
        <v>0.13960311688657706</v>
      </c>
      <c r="N269" s="289">
        <f t="shared" si="5"/>
        <v>0.13397101293718444</v>
      </c>
      <c r="O269" s="289">
        <f t="shared" si="5"/>
        <v>0.14171850839493788</v>
      </c>
      <c r="P269" s="289">
        <f t="shared" si="5"/>
        <v>0.16227943514411236</v>
      </c>
      <c r="Q269" s="289">
        <f t="shared" si="5"/>
        <v>0.16955286766913424</v>
      </c>
      <c r="R269" s="289">
        <f t="shared" si="5"/>
        <v>0.15231060613000968</v>
      </c>
      <c r="S269" s="289">
        <f t="shared" si="5"/>
        <v>0.17142113440361684</v>
      </c>
      <c r="T269" s="289">
        <f t="shared" si="5"/>
        <v>0.1780658639097048</v>
      </c>
      <c r="U269" s="289">
        <f t="shared" si="5"/>
        <v>0.17455601647082117</v>
      </c>
      <c r="V269" s="289">
        <f t="shared" si="5"/>
        <v>0.14387779822395086</v>
      </c>
      <c r="W269" s="289">
        <f t="shared" si="5"/>
        <v>0.11973969190489764</v>
      </c>
      <c r="X269" s="289">
        <f t="shared" si="5"/>
        <v>0.13718954941327202</v>
      </c>
      <c r="Y269" s="289">
        <f t="shared" si="5"/>
        <v>0.13845940772637913</v>
      </c>
      <c r="Z269" s="289">
        <f t="shared" si="5"/>
        <v>0.1523766283660245</v>
      </c>
      <c r="AA269" s="289">
        <f t="shared" si="5"/>
        <v>0.17103346944317202</v>
      </c>
      <c r="AB269" s="289">
        <f t="shared" si="5"/>
        <v>0.16913430264128537</v>
      </c>
      <c r="AC269" s="289">
        <f t="shared" si="5"/>
        <v>0.17689822308009004</v>
      </c>
      <c r="AD269" s="289">
        <f t="shared" si="5"/>
        <v>0.16596364451661755</v>
      </c>
      <c r="AE269" s="289">
        <f t="shared" si="5"/>
        <v>0.16214082207014877</v>
      </c>
      <c r="AF269" s="289">
        <f t="shared" si="5"/>
        <v>0.1658910067996279</v>
      </c>
      <c r="AG269" s="289">
        <f t="shared" si="5"/>
        <v>0.14558723439481758</v>
      </c>
      <c r="AH269" s="289">
        <f t="shared" si="5"/>
        <v>0.15550529700215712</v>
      </c>
      <c r="AI269" s="289">
        <f t="shared" si="5"/>
        <v>0.16243640303353482</v>
      </c>
      <c r="AJ269" s="289">
        <f t="shared" si="5"/>
        <v>0.20046385790628324</v>
      </c>
      <c r="AK269" s="289">
        <f t="shared" si="5"/>
        <v>0.20484634868475576</v>
      </c>
      <c r="AL269" s="289">
        <f t="shared" si="5"/>
        <v>0.20995077842745805</v>
      </c>
      <c r="AM269" s="289">
        <f t="shared" si="5"/>
        <v>0.18979895548418602</v>
      </c>
      <c r="AN269" s="289">
        <f t="shared" si="5"/>
        <v>0.1612477913519241</v>
      </c>
      <c r="AO269" s="289">
        <f t="shared" si="5"/>
        <v>0.13369365219752607</v>
      </c>
      <c r="AP269" s="289">
        <f t="shared" si="5"/>
        <v>0.14381116351974543</v>
      </c>
      <c r="AQ269" s="289">
        <f t="shared" si="5"/>
        <v>0.15757125218271623</v>
      </c>
      <c r="AR269" s="289">
        <f t="shared" si="5"/>
        <v>0.14650873458122354</v>
      </c>
      <c r="AS269" s="289">
        <f t="shared" si="5"/>
        <v>0.13574792704645847</v>
      </c>
      <c r="AT269" s="289">
        <f t="shared" si="5"/>
        <v>0.12827222679904238</v>
      </c>
      <c r="AU269" s="289">
        <f t="shared" si="5"/>
        <v>0.12115416655742897</v>
      </c>
      <c r="AV269" s="289">
        <f t="shared" si="5"/>
        <v>0.12314124461546461</v>
      </c>
      <c r="AW269" s="289">
        <f t="shared" si="5"/>
        <v>0.1220779754399904</v>
      </c>
      <c r="AX269" s="289">
        <f t="shared" si="5"/>
        <v>0.11854569586118599</v>
      </c>
      <c r="AY269" s="289">
        <f t="shared" si="5"/>
        <v>0.14582665027865882</v>
      </c>
      <c r="AZ269" s="289">
        <f t="shared" si="5"/>
        <v>0.18189302712514377</v>
      </c>
      <c r="BA269" s="289">
        <f t="shared" si="5"/>
        <v>0.20433413637007897</v>
      </c>
      <c r="BB269" s="289">
        <f t="shared" si="5"/>
        <v>0.21732031160664575</v>
      </c>
      <c r="BC269" s="289">
        <f t="shared" si="7"/>
        <v>0.21732031160664575</v>
      </c>
    </row>
    <row r="270" spans="2:55">
      <c r="B270" s="72" t="s">
        <v>440</v>
      </c>
      <c r="C270" s="72" t="s">
        <v>441</v>
      </c>
      <c r="D270" s="289">
        <f t="shared" si="4"/>
        <v>5.49503308817057E-2</v>
      </c>
      <c r="E270" s="289">
        <f t="shared" si="5"/>
        <v>4.7119677585864765E-2</v>
      </c>
      <c r="F270" s="289">
        <f t="shared" si="5"/>
        <v>4.729968632695352E-2</v>
      </c>
      <c r="G270" s="289">
        <f t="shared" si="5"/>
        <v>4.8899911034306701E-2</v>
      </c>
      <c r="H270" s="289">
        <f t="shared" si="5"/>
        <v>5.2359632396445671E-2</v>
      </c>
      <c r="I270" s="289">
        <f t="shared" si="5"/>
        <v>5.2652664005481811E-2</v>
      </c>
      <c r="J270" s="289">
        <f t="shared" si="5"/>
        <v>4.8188963673137825E-2</v>
      </c>
      <c r="K270" s="289">
        <f t="shared" si="5"/>
        <v>5.059879457351129E-2</v>
      </c>
      <c r="L270" s="289">
        <f t="shared" si="5"/>
        <v>5.1604902026106805E-2</v>
      </c>
      <c r="M270" s="289">
        <f t="shared" si="5"/>
        <v>5.0742309612135494E-2</v>
      </c>
      <c r="N270" s="289">
        <f t="shared" si="5"/>
        <v>4.7055111438563002E-2</v>
      </c>
      <c r="O270" s="289">
        <f t="shared" si="5"/>
        <v>4.5450381198919573E-2</v>
      </c>
      <c r="P270" s="289">
        <f t="shared" si="5"/>
        <v>4.9726464022120637E-2</v>
      </c>
      <c r="Q270" s="289">
        <f t="shared" si="5"/>
        <v>5.0982379006314651E-2</v>
      </c>
      <c r="R270" s="289">
        <f t="shared" si="5"/>
        <v>4.6991029034704465E-2</v>
      </c>
      <c r="S270" s="289">
        <f t="shared" si="5"/>
        <v>4.885890535916159E-2</v>
      </c>
      <c r="T270" s="289">
        <f t="shared" si="5"/>
        <v>4.9237192287369932E-2</v>
      </c>
      <c r="U270" s="289">
        <f t="shared" si="5"/>
        <v>3.7162917938346876E-2</v>
      </c>
      <c r="V270" s="289">
        <f t="shared" si="5"/>
        <v>3.2682855584390755E-2</v>
      </c>
      <c r="W270" s="289">
        <f t="shared" si="5"/>
        <v>2.9102500741325244E-2</v>
      </c>
      <c r="X270" s="289">
        <f t="shared" si="5"/>
        <v>3.2284562568908645E-2</v>
      </c>
      <c r="Y270" s="289">
        <f t="shared" si="5"/>
        <v>3.4701016975180868E-2</v>
      </c>
      <c r="Z270" s="289">
        <f t="shared" si="5"/>
        <v>3.7696010732199484E-2</v>
      </c>
      <c r="AA270" s="289">
        <f t="shared" si="5"/>
        <v>4.2657617973351519E-2</v>
      </c>
      <c r="AB270" s="289">
        <f t="shared" si="5"/>
        <v>4.349024447491337E-2</v>
      </c>
      <c r="AC270" s="289">
        <f t="shared" si="5"/>
        <v>3.4646097264840962E-2</v>
      </c>
      <c r="AD270" s="289">
        <f t="shared" si="5"/>
        <v>2.7418728990599023E-2</v>
      </c>
      <c r="AE270" s="289">
        <f t="shared" si="5"/>
        <v>2.4850119905912009E-2</v>
      </c>
      <c r="AF270" s="289">
        <f t="shared" si="5"/>
        <v>2.6286582982580832E-2</v>
      </c>
      <c r="AG270" s="289">
        <f t="shared" si="5"/>
        <v>2.3638519513377847E-2</v>
      </c>
      <c r="AH270" s="289">
        <f t="shared" si="5"/>
        <v>2.4411987871880626E-2</v>
      </c>
      <c r="AI270" s="289">
        <f t="shared" si="5"/>
        <v>2.6109438907383761E-2</v>
      </c>
      <c r="AJ270" s="289">
        <f t="shared" si="5"/>
        <v>3.1001531648516586E-2</v>
      </c>
      <c r="AK270" s="289">
        <f t="shared" si="5"/>
        <v>3.4219549218937002E-2</v>
      </c>
      <c r="AL270" s="289">
        <f t="shared" si="5"/>
        <v>3.8381207883298844E-2</v>
      </c>
      <c r="AM270" s="289">
        <f t="shared" si="5"/>
        <v>4.1432722794035773E-2</v>
      </c>
      <c r="AN270" s="289">
        <f t="shared" si="5"/>
        <v>3.7927047658387829E-2</v>
      </c>
      <c r="AO270" s="289">
        <f t="shared" si="5"/>
        <v>3.2167066432738534E-2</v>
      </c>
      <c r="AP270" s="289">
        <f t="shared" si="5"/>
        <v>3.4102539491872377E-2</v>
      </c>
      <c r="AQ270" s="289">
        <f t="shared" si="5"/>
        <v>3.8002149140637154E-2</v>
      </c>
      <c r="AR270" s="289">
        <f t="shared" si="5"/>
        <v>4.0438998881728187E-2</v>
      </c>
      <c r="AS270" s="289">
        <f t="shared" si="5"/>
        <v>4.0766667896470508E-2</v>
      </c>
      <c r="AT270" s="289">
        <f t="shared" si="5"/>
        <v>3.9576282808999962E-2</v>
      </c>
      <c r="AU270" s="289">
        <f t="shared" si="5"/>
        <v>3.864362109822566E-2</v>
      </c>
      <c r="AV270" s="289">
        <f t="shared" si="5"/>
        <v>4.2667199519282634E-2</v>
      </c>
      <c r="AW270" s="289">
        <f t="shared" si="5"/>
        <v>4.7947251290131478E-2</v>
      </c>
      <c r="AX270" s="289">
        <f t="shared" si="5"/>
        <v>5.252744251443682E-2</v>
      </c>
      <c r="AY270" s="289">
        <f t="shared" si="5"/>
        <v>7.0804151389541395E-2</v>
      </c>
      <c r="AZ270" s="289">
        <f t="shared" si="5"/>
        <v>9.2643690972269821E-2</v>
      </c>
      <c r="BA270" s="289">
        <f t="shared" si="5"/>
        <v>0.10753023736627018</v>
      </c>
      <c r="BB270" s="289">
        <f t="shared" si="5"/>
        <v>0.12083769523397077</v>
      </c>
      <c r="BC270" s="289">
        <f t="shared" si="7"/>
        <v>0.12083769523397077</v>
      </c>
    </row>
    <row r="271" spans="2:55">
      <c r="B271" s="72" t="s">
        <v>442</v>
      </c>
      <c r="C271" s="72" t="s">
        <v>443</v>
      </c>
      <c r="D271" s="289">
        <f t="shared" si="4"/>
        <v>0.7066368759261018</v>
      </c>
      <c r="E271" s="289">
        <f t="shared" si="5"/>
        <v>0.74565826991519002</v>
      </c>
      <c r="F271" s="289">
        <f t="shared" si="5"/>
        <v>0.7876737240433046</v>
      </c>
      <c r="G271" s="289">
        <f t="shared" si="5"/>
        <v>0.79949343787843385</v>
      </c>
      <c r="H271" s="289">
        <f t="shared" si="5"/>
        <v>0.80786975155263507</v>
      </c>
      <c r="I271" s="289">
        <f t="shared" si="5"/>
        <v>0.82525031445894625</v>
      </c>
      <c r="J271" s="289">
        <f t="shared" si="5"/>
        <v>0.86197783536177941</v>
      </c>
      <c r="K271" s="289">
        <f t="shared" si="5"/>
        <v>0.97957164001545571</v>
      </c>
      <c r="L271" s="289">
        <f t="shared" si="5"/>
        <v>1.003041767115417</v>
      </c>
      <c r="M271" s="289">
        <f t="shared" si="5"/>
        <v>0.98600737083315215</v>
      </c>
      <c r="N271" s="289">
        <f t="shared" si="5"/>
        <v>0.98666268586746209</v>
      </c>
      <c r="O271" s="289">
        <f t="shared" si="5"/>
        <v>1.0346567166837557</v>
      </c>
      <c r="P271" s="289">
        <f t="shared" si="5"/>
        <v>1.186181183559748</v>
      </c>
      <c r="Q271" s="289">
        <f t="shared" si="5"/>
        <v>1.2366390292944858</v>
      </c>
      <c r="R271" s="289">
        <f t="shared" si="5"/>
        <v>1.1946705622140275</v>
      </c>
      <c r="S271" s="289">
        <f t="shared" si="5"/>
        <v>1.2918423714154776</v>
      </c>
      <c r="T271" s="289">
        <f t="shared" si="5"/>
        <v>1.2958751122715277</v>
      </c>
      <c r="U271" s="289">
        <f t="shared" si="5"/>
        <v>1.2459086929545666</v>
      </c>
      <c r="V271" s="289">
        <f t="shared" si="5"/>
        <v>1.1569102405022929</v>
      </c>
      <c r="W271" s="289">
        <f t="shared" si="5"/>
        <v>1.0070972139580652</v>
      </c>
      <c r="X271" s="289">
        <f t="shared" si="5"/>
        <v>0.91745829274871626</v>
      </c>
      <c r="Y271" s="289">
        <f t="shared" si="5"/>
        <v>0.92876565822848223</v>
      </c>
      <c r="Z271" s="289">
        <f t="shared" si="5"/>
        <v>0.95380678196298119</v>
      </c>
      <c r="AA271" s="289">
        <f t="shared" si="5"/>
        <v>0.97081468722254338</v>
      </c>
      <c r="AB271" s="289">
        <f t="shared" si="5"/>
        <v>0.94313397452451986</v>
      </c>
      <c r="AC271" s="289">
        <f t="shared" si="5"/>
        <v>1.0772989857012489</v>
      </c>
      <c r="AD271" s="289">
        <f t="shared" si="5"/>
        <v>1.0842165158839248</v>
      </c>
      <c r="AE271" s="289">
        <f t="shared" si="5"/>
        <v>0.98047985238927804</v>
      </c>
      <c r="AF271" s="289">
        <f t="shared" si="5"/>
        <v>0.99004255098683847</v>
      </c>
      <c r="AG271" s="289">
        <f t="shared" si="5"/>
        <v>1.0552598547651588</v>
      </c>
      <c r="AH271" s="289">
        <f t="shared" si="5"/>
        <v>1.0497948500005425</v>
      </c>
      <c r="AI271" s="289">
        <f t="shared" si="5"/>
        <v>1.117540332343044</v>
      </c>
      <c r="AJ271" s="289">
        <f t="shared" si="5"/>
        <v>1.1367813332397381</v>
      </c>
      <c r="AK271" s="289">
        <f t="shared" si="5"/>
        <v>1.1116860374263593</v>
      </c>
      <c r="AL271" s="289">
        <f t="shared" si="5"/>
        <v>1.1766650052706138</v>
      </c>
      <c r="AM271" s="289">
        <f t="shared" si="5"/>
        <v>1.1286683112388667</v>
      </c>
      <c r="AN271" s="289">
        <f t="shared" si="5"/>
        <v>0.91845336332321026</v>
      </c>
      <c r="AO271" s="289">
        <f t="shared" si="5"/>
        <v>0.88268238003080457</v>
      </c>
      <c r="AP271" s="289">
        <f t="shared" si="5"/>
        <v>0.8541091489655781</v>
      </c>
      <c r="AQ271" s="289">
        <f t="shared" si="5"/>
        <v>0.79219453370068382</v>
      </c>
      <c r="AR271" s="289">
        <f t="shared" si="5"/>
        <v>0.80728200794737315</v>
      </c>
      <c r="AS271" s="289">
        <f t="shared" si="5"/>
        <v>0.80370654261132901</v>
      </c>
      <c r="AT271" s="289">
        <f t="shared" si="5"/>
        <v>0.8545843446128446</v>
      </c>
      <c r="AU271" s="289">
        <f t="shared" si="5"/>
        <v>0.82593213935261489</v>
      </c>
      <c r="AV271" s="289">
        <f t="shared" si="5"/>
        <v>0.82028275880496526</v>
      </c>
      <c r="AW271" s="289">
        <f t="shared" si="5"/>
        <v>0.81481289865768092</v>
      </c>
      <c r="AX271" s="289">
        <f t="shared" si="5"/>
        <v>0.81397954605160505</v>
      </c>
      <c r="AY271" s="289">
        <f t="shared" si="5"/>
        <v>0.95197973044897632</v>
      </c>
      <c r="AZ271" s="289">
        <f t="shared" si="5"/>
        <v>1.0599803019256944</v>
      </c>
      <c r="BA271" s="289">
        <f t="shared" si="5"/>
        <v>1.003233185189583</v>
      </c>
      <c r="BB271" s="289">
        <f t="shared" si="5"/>
        <v>1.0061880286618943</v>
      </c>
      <c r="BC271" s="289">
        <f t="shared" si="7"/>
        <v>1.0061880286618943</v>
      </c>
    </row>
    <row r="272" spans="2:55">
      <c r="B272" s="72" t="s">
        <v>444</v>
      </c>
      <c r="C272" s="72" t="s">
        <v>445</v>
      </c>
      <c r="D272" s="289">
        <f t="shared" si="4"/>
        <v>0.47947428109936063</v>
      </c>
      <c r="E272" s="289">
        <f t="shared" si="5"/>
        <v>0.49714866035935817</v>
      </c>
      <c r="F272" s="289">
        <f t="shared" si="5"/>
        <v>0.51496023407422942</v>
      </c>
      <c r="G272" s="289">
        <f t="shared" si="5"/>
        <v>0.51919695007731625</v>
      </c>
      <c r="H272" s="289">
        <f t="shared" si="5"/>
        <v>0.52213700771426963</v>
      </c>
      <c r="I272" s="289">
        <f t="shared" si="5"/>
        <v>0.53075753689199512</v>
      </c>
      <c r="J272" s="289">
        <f t="shared" si="5"/>
        <v>0.54800874743891492</v>
      </c>
      <c r="K272" s="289">
        <f t="shared" si="5"/>
        <v>0.60468146294456215</v>
      </c>
      <c r="L272" s="289">
        <f t="shared" si="5"/>
        <v>0.6143918339739306</v>
      </c>
      <c r="M272" s="289">
        <f t="shared" si="5"/>
        <v>0.60230975388886265</v>
      </c>
      <c r="N272" s="289">
        <f t="shared" si="5"/>
        <v>0.59802624988764541</v>
      </c>
      <c r="O272" s="289">
        <f t="shared" si="5"/>
        <v>0.62091560156174219</v>
      </c>
      <c r="P272" s="289">
        <f t="shared" si="5"/>
        <v>0.69491117542320258</v>
      </c>
      <c r="Q272" s="289">
        <f t="shared" si="5"/>
        <v>0.72156356314265047</v>
      </c>
      <c r="R272" s="289">
        <f t="shared" si="5"/>
        <v>0.70210730806192667</v>
      </c>
      <c r="S272" s="289">
        <f t="shared" si="5"/>
        <v>0.75461675925278449</v>
      </c>
      <c r="T272" s="289">
        <f t="shared" si="5"/>
        <v>0.75208876947652203</v>
      </c>
      <c r="U272" s="289">
        <f t="shared" si="5"/>
        <v>0.71840795100937327</v>
      </c>
      <c r="V272" s="289">
        <f t="shared" si="5"/>
        <v>0.67145092739460455</v>
      </c>
      <c r="W272" s="289">
        <f t="shared" si="5"/>
        <v>0.58909787520161683</v>
      </c>
      <c r="X272" s="289">
        <f t="shared" si="5"/>
        <v>0.54796480873127873</v>
      </c>
      <c r="Y272" s="289">
        <f t="shared" ref="E272:BB277" si="8">Y22/Y$251</f>
        <v>0.55065500747927165</v>
      </c>
      <c r="Z272" s="289">
        <f t="shared" si="8"/>
        <v>0.55982635848593387</v>
      </c>
      <c r="AA272" s="289">
        <f t="shared" si="8"/>
        <v>0.56838857510572793</v>
      </c>
      <c r="AB272" s="289">
        <f t="shared" si="8"/>
        <v>0.55374505792486106</v>
      </c>
      <c r="AC272" s="289">
        <f t="shared" si="8"/>
        <v>0.60923169755925022</v>
      </c>
      <c r="AD272" s="289">
        <f t="shared" si="8"/>
        <v>0.60647093504023863</v>
      </c>
      <c r="AE272" s="289">
        <f t="shared" si="8"/>
        <v>0.55261027827837383</v>
      </c>
      <c r="AF272" s="289">
        <f t="shared" si="8"/>
        <v>0.55795323853796253</v>
      </c>
      <c r="AG272" s="289">
        <f t="shared" si="8"/>
        <v>0.57488905857419148</v>
      </c>
      <c r="AH272" s="289">
        <f t="shared" si="8"/>
        <v>0.5669160438555787</v>
      </c>
      <c r="AI272" s="289">
        <f t="shared" si="8"/>
        <v>0.58680197717006966</v>
      </c>
      <c r="AJ272" s="289">
        <f t="shared" si="8"/>
        <v>0.59971150064804024</v>
      </c>
      <c r="AK272" s="289">
        <f t="shared" si="8"/>
        <v>0.58116761008873952</v>
      </c>
      <c r="AL272" s="289">
        <f t="shared" si="8"/>
        <v>0.61023316452757881</v>
      </c>
      <c r="AM272" s="289">
        <f t="shared" si="8"/>
        <v>0.59089550910517197</v>
      </c>
      <c r="AN272" s="289">
        <f t="shared" si="8"/>
        <v>0.50010684311983988</v>
      </c>
      <c r="AO272" s="289">
        <f t="shared" si="8"/>
        <v>0.4803031035012485</v>
      </c>
      <c r="AP272" s="289">
        <f t="shared" si="8"/>
        <v>0.46280363843269096</v>
      </c>
      <c r="AQ272" s="289">
        <f t="shared" si="8"/>
        <v>0.44403451296788676</v>
      </c>
      <c r="AR272" s="289">
        <f t="shared" si="8"/>
        <v>0.45203199050625775</v>
      </c>
      <c r="AS272" s="289">
        <f t="shared" si="8"/>
        <v>0.45428499987394749</v>
      </c>
      <c r="AT272" s="289">
        <f t="shared" si="8"/>
        <v>0.47892245939007205</v>
      </c>
      <c r="AU272" s="289">
        <f t="shared" si="8"/>
        <v>0.47261364127025579</v>
      </c>
      <c r="AV272" s="289">
        <f t="shared" si="8"/>
        <v>0.48300279711943328</v>
      </c>
      <c r="AW272" s="289">
        <f t="shared" si="8"/>
        <v>0.49071715526498105</v>
      </c>
      <c r="AX272" s="289">
        <f t="shared" si="8"/>
        <v>0.49953192893777476</v>
      </c>
      <c r="AY272" s="289">
        <f t="shared" si="8"/>
        <v>0.58647739406764388</v>
      </c>
      <c r="AZ272" s="289">
        <f t="shared" si="8"/>
        <v>0.62657962262796141</v>
      </c>
      <c r="BA272" s="289">
        <f t="shared" si="8"/>
        <v>0.62026791688566418</v>
      </c>
      <c r="BB272" s="289">
        <f t="shared" si="8"/>
        <v>0.6340868317283872</v>
      </c>
      <c r="BC272" s="289">
        <f t="shared" si="7"/>
        <v>0.6340868317283872</v>
      </c>
    </row>
    <row r="273" spans="2:55">
      <c r="B273" s="72" t="s">
        <v>446</v>
      </c>
      <c r="C273" s="72" t="s">
        <v>447</v>
      </c>
      <c r="D273" s="289">
        <f t="shared" si="4"/>
        <v>0</v>
      </c>
      <c r="E273" s="289">
        <f t="shared" si="8"/>
        <v>0</v>
      </c>
      <c r="F273" s="289">
        <f t="shared" si="8"/>
        <v>0</v>
      </c>
      <c r="G273" s="289">
        <f t="shared" si="8"/>
        <v>0</v>
      </c>
      <c r="H273" s="289">
        <f t="shared" si="8"/>
        <v>0</v>
      </c>
      <c r="I273" s="289">
        <f t="shared" si="8"/>
        <v>0</v>
      </c>
      <c r="J273" s="289">
        <f t="shared" si="8"/>
        <v>0</v>
      </c>
      <c r="K273" s="289">
        <f t="shared" si="8"/>
        <v>0</v>
      </c>
      <c r="L273" s="289">
        <f t="shared" si="8"/>
        <v>0</v>
      </c>
      <c r="M273" s="289">
        <f t="shared" si="8"/>
        <v>0</v>
      </c>
      <c r="N273" s="289">
        <f t="shared" si="8"/>
        <v>0</v>
      </c>
      <c r="O273" s="289">
        <f t="shared" si="8"/>
        <v>0</v>
      </c>
      <c r="P273" s="289">
        <f t="shared" si="8"/>
        <v>0</v>
      </c>
      <c r="Q273" s="289">
        <f t="shared" si="8"/>
        <v>0</v>
      </c>
      <c r="R273" s="289">
        <f t="shared" si="8"/>
        <v>0</v>
      </c>
      <c r="S273" s="289">
        <f t="shared" si="8"/>
        <v>0</v>
      </c>
      <c r="T273" s="289">
        <f t="shared" si="8"/>
        <v>0</v>
      </c>
      <c r="U273" s="289">
        <f t="shared" si="8"/>
        <v>0</v>
      </c>
      <c r="V273" s="289">
        <f t="shared" si="8"/>
        <v>0</v>
      </c>
      <c r="W273" s="289">
        <f t="shared" si="8"/>
        <v>0</v>
      </c>
      <c r="X273" s="289">
        <f t="shared" si="8"/>
        <v>0</v>
      </c>
      <c r="Y273" s="289">
        <f t="shared" si="8"/>
        <v>0</v>
      </c>
      <c r="Z273" s="289">
        <f t="shared" si="8"/>
        <v>0</v>
      </c>
      <c r="AA273" s="289">
        <f t="shared" si="8"/>
        <v>0</v>
      </c>
      <c r="AB273" s="289">
        <f t="shared" si="8"/>
        <v>0</v>
      </c>
      <c r="AC273" s="289">
        <f t="shared" si="8"/>
        <v>0</v>
      </c>
      <c r="AD273" s="289">
        <f t="shared" si="8"/>
        <v>0</v>
      </c>
      <c r="AE273" s="289">
        <f t="shared" si="8"/>
        <v>0</v>
      </c>
      <c r="AF273" s="289">
        <f t="shared" si="8"/>
        <v>0.15288039031388964</v>
      </c>
      <c r="AG273" s="289">
        <f t="shared" si="8"/>
        <v>0.13735254632826221</v>
      </c>
      <c r="AH273" s="289">
        <f t="shared" si="8"/>
        <v>0.12640420857166859</v>
      </c>
      <c r="AI273" s="289">
        <f t="shared" si="8"/>
        <v>0.11301460138159959</v>
      </c>
      <c r="AJ273" s="289">
        <f t="shared" si="8"/>
        <v>0.12327693352430145</v>
      </c>
      <c r="AK273" s="289">
        <f t="shared" si="8"/>
        <v>9.9277756113272525E-2</v>
      </c>
      <c r="AL273" s="289">
        <f t="shared" si="8"/>
        <v>9.7088998942468779E-2</v>
      </c>
      <c r="AM273" s="289">
        <f t="shared" si="8"/>
        <v>9.2937019139647539E-2</v>
      </c>
      <c r="AN273" s="289">
        <f t="shared" si="8"/>
        <v>8.661140745857511E-2</v>
      </c>
      <c r="AO273" s="289">
        <f t="shared" si="8"/>
        <v>7.5864826352307513E-2</v>
      </c>
      <c r="AP273" s="289">
        <f t="shared" si="8"/>
        <v>6.2555838110702797E-2</v>
      </c>
      <c r="AQ273" s="289">
        <f t="shared" si="8"/>
        <v>7.1092654628410579E-2</v>
      </c>
      <c r="AR273" s="289">
        <f t="shared" si="8"/>
        <v>7.1531622239810189E-2</v>
      </c>
      <c r="AS273" s="289">
        <f t="shared" si="8"/>
        <v>7.5253823400958902E-2</v>
      </c>
      <c r="AT273" s="289">
        <f t="shared" si="8"/>
        <v>8.2266918003139358E-2</v>
      </c>
      <c r="AU273" s="289">
        <f t="shared" si="8"/>
        <v>9.2071815954087075E-2</v>
      </c>
      <c r="AV273" s="289">
        <f t="shared" si="8"/>
        <v>0.11184136410163249</v>
      </c>
      <c r="AW273" s="289">
        <f t="shared" si="8"/>
        <v>0.12904694980290912</v>
      </c>
      <c r="AX273" s="289">
        <f t="shared" si="8"/>
        <v>0.14545866892568365</v>
      </c>
      <c r="AY273" s="289">
        <f t="shared" si="8"/>
        <v>0.19226806327781917</v>
      </c>
      <c r="AZ273" s="289">
        <f t="shared" si="8"/>
        <v>0.18307936635233121</v>
      </c>
      <c r="BA273" s="289">
        <f t="shared" si="8"/>
        <v>0.20841944709495622</v>
      </c>
      <c r="BB273" s="289">
        <f t="shared" si="8"/>
        <v>0.22779474716298881</v>
      </c>
      <c r="BC273" s="289">
        <f t="shared" si="7"/>
        <v>0.22779474716298881</v>
      </c>
    </row>
    <row r="274" spans="2:55">
      <c r="B274" s="72" t="s">
        <v>448</v>
      </c>
      <c r="C274" s="72" t="s">
        <v>449</v>
      </c>
      <c r="D274" s="289">
        <f t="shared" si="4"/>
        <v>0.67019555096587891</v>
      </c>
      <c r="E274" s="289">
        <f t="shared" si="8"/>
        <v>0.69641146338210613</v>
      </c>
      <c r="F274" s="289">
        <f t="shared" si="8"/>
        <v>0.7226947495724807</v>
      </c>
      <c r="G274" s="289">
        <f t="shared" si="8"/>
        <v>0.73114445405981454</v>
      </c>
      <c r="H274" s="289">
        <f t="shared" si="8"/>
        <v>0.73778660009777675</v>
      </c>
      <c r="I274" s="289">
        <f t="shared" si="8"/>
        <v>0.74962741705285518</v>
      </c>
      <c r="J274" s="289">
        <f t="shared" si="8"/>
        <v>0.77433665277768071</v>
      </c>
      <c r="K274" s="289">
        <f t="shared" si="8"/>
        <v>0.85302811562156755</v>
      </c>
      <c r="L274" s="289">
        <f t="shared" si="8"/>
        <v>0.86868399751372272</v>
      </c>
      <c r="M274" s="289">
        <f t="shared" si="8"/>
        <v>0.858271470007546</v>
      </c>
      <c r="N274" s="289">
        <f t="shared" si="8"/>
        <v>0.85682848019106117</v>
      </c>
      <c r="O274" s="289">
        <f t="shared" si="8"/>
        <v>0.89090005563605723</v>
      </c>
      <c r="P274" s="289">
        <f t="shared" si="8"/>
        <v>0.99894684094961672</v>
      </c>
      <c r="Q274" s="289">
        <f t="shared" si="8"/>
        <v>1.0339349826585391</v>
      </c>
      <c r="R274" s="289">
        <f t="shared" si="8"/>
        <v>1.0061223586687569</v>
      </c>
      <c r="S274" s="289">
        <f t="shared" si="8"/>
        <v>1.0799851359059149</v>
      </c>
      <c r="T274" s="289">
        <f t="shared" si="8"/>
        <v>1.07817221565273</v>
      </c>
      <c r="U274" s="289">
        <f t="shared" si="8"/>
        <v>1.0365667170508266</v>
      </c>
      <c r="V274" s="289">
        <f t="shared" si="8"/>
        <v>0.96953282952993047</v>
      </c>
      <c r="W274" s="289">
        <f t="shared" si="8"/>
        <v>0.85957229454562178</v>
      </c>
      <c r="X274" s="289">
        <f t="shared" si="8"/>
        <v>0.79700856274281084</v>
      </c>
      <c r="Y274" s="289">
        <f t="shared" si="8"/>
        <v>0.80262481508755479</v>
      </c>
      <c r="Z274" s="289">
        <f t="shared" si="8"/>
        <v>0.81809447272934266</v>
      </c>
      <c r="AA274" s="289">
        <f t="shared" si="8"/>
        <v>0.8328428193256362</v>
      </c>
      <c r="AB274" s="289">
        <f t="shared" si="8"/>
        <v>0.81317396402969822</v>
      </c>
      <c r="AC274" s="289">
        <f t="shared" si="8"/>
        <v>0.90154256454121995</v>
      </c>
      <c r="AD274" s="289">
        <f t="shared" si="8"/>
        <v>0.90114096364550811</v>
      </c>
      <c r="AE274" s="289">
        <f t="shared" si="8"/>
        <v>0.82507979974397949</v>
      </c>
      <c r="AF274" s="289">
        <f t="shared" si="8"/>
        <v>0.83419865829542494</v>
      </c>
      <c r="AG274" s="289">
        <f t="shared" si="8"/>
        <v>0.87235512818892347</v>
      </c>
      <c r="AH274" s="289">
        <f t="shared" si="8"/>
        <v>0.86734865117314652</v>
      </c>
      <c r="AI274" s="289">
        <f t="shared" si="8"/>
        <v>0.91351080798541229</v>
      </c>
      <c r="AJ274" s="289">
        <f t="shared" si="8"/>
        <v>0.92651871538852204</v>
      </c>
      <c r="AK274" s="289">
        <f t="shared" si="8"/>
        <v>0.91193555347997224</v>
      </c>
      <c r="AL274" s="289">
        <f t="shared" si="8"/>
        <v>0.96137700368921841</v>
      </c>
      <c r="AM274" s="289">
        <f t="shared" si="8"/>
        <v>0.93175127592718621</v>
      </c>
      <c r="AN274" s="289">
        <f t="shared" si="8"/>
        <v>0.78414624376784015</v>
      </c>
      <c r="AO274" s="289">
        <f t="shared" si="8"/>
        <v>0.76047446131862995</v>
      </c>
      <c r="AP274" s="289">
        <f t="shared" si="8"/>
        <v>0.74015294550535582</v>
      </c>
      <c r="AQ274" s="289">
        <f t="shared" si="8"/>
        <v>0.70006368880639358</v>
      </c>
      <c r="AR274" s="289">
        <f t="shared" si="8"/>
        <v>0.71332076591320037</v>
      </c>
      <c r="AS274" s="289">
        <f t="shared" si="8"/>
        <v>0.71348251498671</v>
      </c>
      <c r="AT274" s="289">
        <f t="shared" si="8"/>
        <v>0.75077142400276453</v>
      </c>
      <c r="AU274" s="289">
        <f t="shared" si="8"/>
        <v>0.73247512646657698</v>
      </c>
      <c r="AV274" s="289">
        <f t="shared" si="8"/>
        <v>0.73385463922839811</v>
      </c>
      <c r="AW274" s="289">
        <f t="shared" si="8"/>
        <v>0.73366247943738383</v>
      </c>
      <c r="AX274" s="289">
        <f t="shared" si="8"/>
        <v>0.73791531250524933</v>
      </c>
      <c r="AY274" s="289">
        <f t="shared" si="8"/>
        <v>0.84799602078808389</v>
      </c>
      <c r="AZ274" s="289">
        <f t="shared" si="8"/>
        <v>0.92224222425111568</v>
      </c>
      <c r="BA274" s="289">
        <f t="shared" si="8"/>
        <v>0.88808854279465688</v>
      </c>
      <c r="BB274" s="289">
        <f t="shared" si="8"/>
        <v>0.89378523664002074</v>
      </c>
      <c r="BC274" s="289">
        <f t="shared" si="7"/>
        <v>0.89378523664002074</v>
      </c>
    </row>
    <row r="275" spans="2:55">
      <c r="B275" s="72" t="s">
        <v>450</v>
      </c>
      <c r="C275" s="72" t="s">
        <v>451</v>
      </c>
      <c r="D275" s="289">
        <f t="shared" si="4"/>
        <v>7.4670411960706118E-2</v>
      </c>
      <c r="E275" s="289">
        <f t="shared" si="8"/>
        <v>7.6246542289427469E-2</v>
      </c>
      <c r="F275" s="289">
        <f t="shared" si="8"/>
        <v>8.565648008590894E-2</v>
      </c>
      <c r="G275" s="289">
        <f t="shared" si="8"/>
        <v>6.8511381895541998E-2</v>
      </c>
      <c r="H275" s="289">
        <f t="shared" si="8"/>
        <v>7.299848220930974E-2</v>
      </c>
      <c r="I275" s="289">
        <f t="shared" si="8"/>
        <v>7.3364676488299127E-2</v>
      </c>
      <c r="J275" s="289">
        <f t="shared" si="8"/>
        <v>6.7785356447590164E-2</v>
      </c>
      <c r="K275" s="289">
        <f t="shared" si="8"/>
        <v>7.3776888961177692E-2</v>
      </c>
      <c r="L275" s="289">
        <f t="shared" si="8"/>
        <v>7.4809133074900683E-2</v>
      </c>
      <c r="M275" s="289">
        <f t="shared" si="8"/>
        <v>6.9159489193479917E-2</v>
      </c>
      <c r="N275" s="289">
        <f t="shared" si="8"/>
        <v>6.4438244168283754E-2</v>
      </c>
      <c r="O275" s="289">
        <f t="shared" si="8"/>
        <v>5.9454711126114092E-2</v>
      </c>
      <c r="P275" s="289">
        <f t="shared" si="8"/>
        <v>6.2304815496029731E-2</v>
      </c>
      <c r="Q275" s="289">
        <f t="shared" si="8"/>
        <v>6.8319184200479777E-2</v>
      </c>
      <c r="R275" s="289">
        <f t="shared" si="8"/>
        <v>6.3176187210549531E-2</v>
      </c>
      <c r="S275" s="289">
        <f t="shared" si="8"/>
        <v>6.8160019992455523E-2</v>
      </c>
      <c r="T275" s="289">
        <f t="shared" si="8"/>
        <v>6.8953459032307582E-2</v>
      </c>
      <c r="U275" s="289">
        <f t="shared" si="8"/>
        <v>6.1622363468980791E-2</v>
      </c>
      <c r="V275" s="289">
        <f t="shared" si="8"/>
        <v>5.1066526037806488E-2</v>
      </c>
      <c r="W275" s="289">
        <f t="shared" si="8"/>
        <v>4.1043331531967257E-2</v>
      </c>
      <c r="X275" s="289">
        <f t="shared" si="8"/>
        <v>4.1803761281820395E-2</v>
      </c>
      <c r="Y275" s="289">
        <f t="shared" si="8"/>
        <v>4.2695837827891478E-2</v>
      </c>
      <c r="Z275" s="289">
        <f t="shared" si="8"/>
        <v>4.1482236062918773E-2</v>
      </c>
      <c r="AA275" s="289">
        <f t="shared" si="8"/>
        <v>4.2863517103407738E-2</v>
      </c>
      <c r="AB275" s="289">
        <f t="shared" si="8"/>
        <v>4.1243087170572047E-2</v>
      </c>
      <c r="AC275" s="289">
        <f t="shared" si="8"/>
        <v>3.7515567199576397E-2</v>
      </c>
      <c r="AD275" s="289">
        <f t="shared" si="8"/>
        <v>3.2858268788142644E-2</v>
      </c>
      <c r="AE275" s="289">
        <f t="shared" si="8"/>
        <v>2.6187672251040229E-2</v>
      </c>
      <c r="AF275" s="289">
        <f t="shared" si="8"/>
        <v>2.4351314091717778E-2</v>
      </c>
      <c r="AG275" s="289">
        <f t="shared" si="8"/>
        <v>2.0475807642721722E-2</v>
      </c>
      <c r="AH275" s="289">
        <f t="shared" si="8"/>
        <v>1.9601946353257287E-2</v>
      </c>
      <c r="AI275" s="289">
        <f t="shared" si="8"/>
        <v>1.6930772857951484E-2</v>
      </c>
      <c r="AJ275" s="289">
        <f t="shared" si="8"/>
        <v>1.8451280470850102E-2</v>
      </c>
      <c r="AK275" s="289">
        <f t="shared" si="8"/>
        <v>1.4965628449088355E-2</v>
      </c>
      <c r="AL275" s="289">
        <f t="shared" si="8"/>
        <v>1.526320128224831E-2</v>
      </c>
      <c r="AM275" s="289">
        <f t="shared" si="8"/>
        <v>1.4815535691869716E-2</v>
      </c>
      <c r="AN275" s="289">
        <f t="shared" si="8"/>
        <v>1.3507450955021757E-2</v>
      </c>
      <c r="AO275" s="289">
        <f t="shared" si="8"/>
        <v>1.2729444186825527E-2</v>
      </c>
      <c r="AP275" s="289">
        <f t="shared" si="8"/>
        <v>1.199650189425126E-2</v>
      </c>
      <c r="AQ275" s="289">
        <f t="shared" si="8"/>
        <v>1.1641756683239498E-2</v>
      </c>
      <c r="AR275" s="289">
        <f t="shared" si="8"/>
        <v>1.1601303012093084E-2</v>
      </c>
      <c r="AS275" s="289">
        <f t="shared" si="8"/>
        <v>1.1243201215538633E-2</v>
      </c>
      <c r="AT275" s="289">
        <f t="shared" si="8"/>
        <v>1.0846439911154812E-2</v>
      </c>
      <c r="AU275" s="289">
        <f t="shared" si="8"/>
        <v>1.0350273638358687E-2</v>
      </c>
      <c r="AV275" s="289">
        <f t="shared" si="8"/>
        <v>1.0994165393561139E-2</v>
      </c>
      <c r="AW275" s="289">
        <f t="shared" si="8"/>
        <v>1.2021432726089481E-2</v>
      </c>
      <c r="AX275" s="289">
        <f t="shared" si="8"/>
        <v>1.217641196645613E-2</v>
      </c>
      <c r="AY275" s="289">
        <f t="shared" si="8"/>
        <v>1.5317745533631787E-2</v>
      </c>
      <c r="AZ275" s="289">
        <f t="shared" si="8"/>
        <v>1.8056161634144217E-2</v>
      </c>
      <c r="BA275" s="289">
        <f t="shared" si="8"/>
        <v>1.8959303793655249E-2</v>
      </c>
      <c r="BB275" s="289">
        <f t="shared" si="8"/>
        <v>1.9159303688355212E-2</v>
      </c>
      <c r="BC275" s="289">
        <f t="shared" si="7"/>
        <v>1.9159303688355212E-2</v>
      </c>
    </row>
    <row r="276" spans="2:55">
      <c r="B276" s="72" t="s">
        <v>452</v>
      </c>
      <c r="C276" s="72" t="s">
        <v>453</v>
      </c>
      <c r="D276" s="289">
        <f t="shared" si="4"/>
        <v>0.99920557880879257</v>
      </c>
      <c r="E276" s="289">
        <f t="shared" si="8"/>
        <v>1.0224147768979501</v>
      </c>
      <c r="F276" s="289">
        <f t="shared" si="8"/>
        <v>1.0336817395348501</v>
      </c>
      <c r="G276" s="289">
        <f t="shared" si="8"/>
        <v>1.027266969085334</v>
      </c>
      <c r="H276" s="289">
        <f t="shared" si="8"/>
        <v>1.0302964685893035</v>
      </c>
      <c r="I276" s="289">
        <f t="shared" si="8"/>
        <v>1.0561281260184394</v>
      </c>
      <c r="J276" s="289">
        <f t="shared" si="8"/>
        <v>1.0863941887365896</v>
      </c>
      <c r="K276" s="289">
        <f t="shared" si="8"/>
        <v>1.2441173620303805</v>
      </c>
      <c r="L276" s="289">
        <f t="shared" si="8"/>
        <v>1.2590445805770787</v>
      </c>
      <c r="M276" s="289">
        <f t="shared" si="8"/>
        <v>1.2284953956735962</v>
      </c>
      <c r="N276" s="289">
        <f t="shared" si="8"/>
        <v>1.1981844369885173</v>
      </c>
      <c r="O276" s="289">
        <f t="shared" si="8"/>
        <v>1.2046838877710813</v>
      </c>
      <c r="P276" s="289">
        <f t="shared" si="8"/>
        <v>1.2840059475930388</v>
      </c>
      <c r="Q276" s="289">
        <f t="shared" si="8"/>
        <v>1.3302198256058315</v>
      </c>
      <c r="R276" s="289">
        <f t="shared" si="8"/>
        <v>1.2345643940303173</v>
      </c>
      <c r="S276" s="289">
        <f t="shared" si="8"/>
        <v>1.3897104838015306</v>
      </c>
      <c r="T276" s="289">
        <f t="shared" si="8"/>
        <v>1.3821593508625571</v>
      </c>
      <c r="U276" s="289">
        <f t="shared" si="8"/>
        <v>1.2954779304304125</v>
      </c>
      <c r="V276" s="289">
        <f t="shared" si="8"/>
        <v>1.1428647505262046</v>
      </c>
      <c r="W276" s="289">
        <f t="shared" si="8"/>
        <v>0.98767598864940154</v>
      </c>
      <c r="X276" s="289">
        <f t="shared" si="8"/>
        <v>1.0462327517073218</v>
      </c>
      <c r="Y276" s="289">
        <f t="shared" si="8"/>
        <v>1.0787177320673551</v>
      </c>
      <c r="Z276" s="289">
        <f t="shared" si="8"/>
        <v>1.1663363095920185</v>
      </c>
      <c r="AA276" s="289">
        <f t="shared" si="8"/>
        <v>1.2849246930754186</v>
      </c>
      <c r="AB276" s="289">
        <f t="shared" si="8"/>
        <v>1.269723167473269</v>
      </c>
      <c r="AC276" s="289">
        <f t="shared" si="8"/>
        <v>1.2491451211749587</v>
      </c>
      <c r="AD276" s="289">
        <f t="shared" si="8"/>
        <v>1.1704996228073941</v>
      </c>
      <c r="AE276" s="289">
        <f t="shared" si="8"/>
        <v>1.0793173296637129</v>
      </c>
      <c r="AF276" s="289">
        <f t="shared" si="8"/>
        <v>1.1138189101931417</v>
      </c>
      <c r="AG276" s="289">
        <f t="shared" si="8"/>
        <v>1.0557995941651122</v>
      </c>
      <c r="AH276" s="289">
        <f t="shared" si="8"/>
        <v>1.0642476403589649</v>
      </c>
      <c r="AI276" s="289">
        <f t="shared" si="8"/>
        <v>1.1017861198832921</v>
      </c>
      <c r="AJ276" s="289">
        <f t="shared" si="8"/>
        <v>1.2306663834996212</v>
      </c>
      <c r="AK276" s="289">
        <f t="shared" si="8"/>
        <v>1.2149477809906004</v>
      </c>
      <c r="AL276" s="289">
        <f t="shared" si="8"/>
        <v>1.2230972878896438</v>
      </c>
      <c r="AM276" s="289">
        <f t="shared" si="8"/>
        <v>1.1636932633453601</v>
      </c>
      <c r="AN276" s="289">
        <f t="shared" si="8"/>
        <v>1.0174051129734276</v>
      </c>
      <c r="AO276" s="289">
        <f t="shared" si="8"/>
        <v>0.9517496808096455</v>
      </c>
      <c r="AP276" s="289">
        <f t="shared" si="8"/>
        <v>0.97013396154017673</v>
      </c>
      <c r="AQ276" s="289">
        <f t="shared" si="8"/>
        <v>1.005492191150583</v>
      </c>
      <c r="AR276" s="289">
        <f t="shared" si="8"/>
        <v>0.99841381820777442</v>
      </c>
      <c r="AS276" s="289">
        <f t="shared" si="8"/>
        <v>0.95161255517776711</v>
      </c>
      <c r="AT276" s="289">
        <f t="shared" si="8"/>
        <v>0.91845577471703144</v>
      </c>
      <c r="AU276" s="289">
        <f t="shared" si="8"/>
        <v>0.86029378796285694</v>
      </c>
      <c r="AV276" s="289">
        <f t="shared" si="8"/>
        <v>0.86758922808293704</v>
      </c>
      <c r="AW276" s="289">
        <f t="shared" si="8"/>
        <v>0.85533640831387137</v>
      </c>
      <c r="AX276" s="289">
        <f t="shared" si="8"/>
        <v>0.81115761551428034</v>
      </c>
      <c r="AY276" s="289">
        <f t="shared" si="8"/>
        <v>0.91775306917978849</v>
      </c>
      <c r="AZ276" s="289">
        <f t="shared" si="8"/>
        <v>1.0421857884635515</v>
      </c>
      <c r="BA276" s="289">
        <f t="shared" si="8"/>
        <v>1.0551334056083315</v>
      </c>
      <c r="BB276" s="289">
        <f t="shared" si="8"/>
        <v>1.051847404943677</v>
      </c>
      <c r="BC276" s="289">
        <f t="shared" si="7"/>
        <v>1.051847404943677</v>
      </c>
    </row>
    <row r="277" spans="2:55">
      <c r="B277" s="72" t="s">
        <v>454</v>
      </c>
      <c r="C277" s="72" t="s">
        <v>455</v>
      </c>
      <c r="D277" s="289">
        <f t="shared" si="4"/>
        <v>0</v>
      </c>
      <c r="E277" s="289">
        <f t="shared" si="8"/>
        <v>0</v>
      </c>
      <c r="F277" s="289">
        <f t="shared" si="8"/>
        <v>0</v>
      </c>
      <c r="G277" s="289">
        <f t="shared" si="8"/>
        <v>0</v>
      </c>
      <c r="H277" s="289">
        <f t="shared" si="8"/>
        <v>0</v>
      </c>
      <c r="I277" s="289">
        <f t="shared" si="8"/>
        <v>0</v>
      </c>
      <c r="J277" s="289">
        <f t="shared" si="8"/>
        <v>0</v>
      </c>
      <c r="K277" s="289">
        <f t="shared" si="8"/>
        <v>0.38838484572555088</v>
      </c>
      <c r="L277" s="289">
        <f t="shared" si="8"/>
        <v>0.3950326739891189</v>
      </c>
      <c r="M277" s="289">
        <f t="shared" si="8"/>
        <v>0.39374414519995604</v>
      </c>
      <c r="N277" s="289">
        <f t="shared" si="8"/>
        <v>0.41151417045344563</v>
      </c>
      <c r="O277" s="289">
        <f t="shared" si="8"/>
        <v>0.42793606134295087</v>
      </c>
      <c r="P277" s="289">
        <f t="shared" si="8"/>
        <v>0.49782532820536257</v>
      </c>
      <c r="Q277" s="289">
        <f t="shared" si="8"/>
        <v>0.84992686892018399</v>
      </c>
      <c r="R277" s="289">
        <f t="shared" si="8"/>
        <v>0.72522156782549696</v>
      </c>
      <c r="S277" s="289">
        <f t="shared" si="8"/>
        <v>0.92300406062158824</v>
      </c>
      <c r="T277" s="289">
        <f t="shared" si="8"/>
        <v>0.92812603772609015</v>
      </c>
      <c r="U277" s="289">
        <f t="shared" si="8"/>
        <v>0.78404564607907901</v>
      </c>
      <c r="V277" s="289">
        <f t="shared" si="8"/>
        <v>0.78353375699488481</v>
      </c>
      <c r="W277" s="289">
        <f t="shared" si="8"/>
        <v>0.80828468619275107</v>
      </c>
      <c r="X277" s="289">
        <f t="shared" si="8"/>
        <v>0.90654123321852986</v>
      </c>
      <c r="Y277" s="289">
        <f t="shared" si="8"/>
        <v>0.85029455809295762</v>
      </c>
      <c r="Z277" s="289">
        <f t="shared" si="8"/>
        <v>0.81428089367226208</v>
      </c>
      <c r="AA277" s="289">
        <f t="shared" si="8"/>
        <v>0.85827280818529705</v>
      </c>
      <c r="AB277" s="289">
        <f t="shared" si="8"/>
        <v>0.76885006683869284</v>
      </c>
      <c r="AC277" s="289">
        <f t="shared" si="8"/>
        <v>0.59499134568598411</v>
      </c>
      <c r="AD277" s="289">
        <f t="shared" ref="E277:BB282" si="9">AD27/AD$251</f>
        <v>0.54523966508616351</v>
      </c>
      <c r="AE277" s="289">
        <f t="shared" si="9"/>
        <v>0.48407135143772073</v>
      </c>
      <c r="AF277" s="289">
        <f t="shared" si="9"/>
        <v>0.54237351662541977</v>
      </c>
      <c r="AG277" s="289">
        <f t="shared" si="9"/>
        <v>0.51095630899892996</v>
      </c>
      <c r="AH277" s="289">
        <f t="shared" si="9"/>
        <v>0.52138002426520946</v>
      </c>
      <c r="AI277" s="289">
        <f t="shared" si="9"/>
        <v>0.57232714005842322</v>
      </c>
      <c r="AJ277" s="289">
        <f t="shared" si="9"/>
        <v>0.663155865824544</v>
      </c>
      <c r="AK277" s="289">
        <f t="shared" si="9"/>
        <v>0.6560811629017641</v>
      </c>
      <c r="AL277" s="289">
        <f t="shared" si="9"/>
        <v>0.63588546329665574</v>
      </c>
      <c r="AM277" s="289">
        <f t="shared" si="9"/>
        <v>0.64929827709278343</v>
      </c>
      <c r="AN277" s="289">
        <f t="shared" si="9"/>
        <v>0.60561086320866442</v>
      </c>
      <c r="AO277" s="289">
        <f t="shared" si="9"/>
        <v>0.52586456530116332</v>
      </c>
      <c r="AP277" s="289">
        <f t="shared" si="9"/>
        <v>0.53149210315010786</v>
      </c>
      <c r="AQ277" s="289">
        <f t="shared" si="9"/>
        <v>0.59664503408062164</v>
      </c>
      <c r="AR277" s="289">
        <f t="shared" si="9"/>
        <v>0.57191769447719842</v>
      </c>
      <c r="AS277" s="289">
        <f t="shared" si="9"/>
        <v>0.53306686092408306</v>
      </c>
      <c r="AT277" s="289">
        <f t="shared" si="9"/>
        <v>0.49039271670015311</v>
      </c>
      <c r="AU277" s="289">
        <f t="shared" si="9"/>
        <v>0.46338077288963114</v>
      </c>
      <c r="AV277" s="289">
        <f t="shared" si="9"/>
        <v>0.50393390180656616</v>
      </c>
      <c r="AW277" s="289">
        <f t="shared" si="9"/>
        <v>0.51900225295688018</v>
      </c>
      <c r="AX277" s="289">
        <f t="shared" si="9"/>
        <v>0.49188230092633278</v>
      </c>
      <c r="AY277" s="289">
        <f t="shared" si="9"/>
        <v>0.59012789042143421</v>
      </c>
      <c r="AZ277" s="289">
        <f t="shared" si="9"/>
        <v>0.62024034952258245</v>
      </c>
      <c r="BA277" s="289">
        <f t="shared" si="9"/>
        <v>0.67693633717669199</v>
      </c>
      <c r="BB277" s="289">
        <f t="shared" si="9"/>
        <v>0.73800637836224148</v>
      </c>
      <c r="BC277" s="289">
        <f t="shared" si="7"/>
        <v>0.73800637836224148</v>
      </c>
    </row>
    <row r="278" spans="2:55">
      <c r="B278" s="72" t="s">
        <v>456</v>
      </c>
      <c r="C278" s="72" t="s">
        <v>457</v>
      </c>
      <c r="D278" s="289">
        <f t="shared" si="4"/>
        <v>1.0258280951184535</v>
      </c>
      <c r="E278" s="289">
        <f t="shared" si="9"/>
        <v>1.0502970391650381</v>
      </c>
      <c r="F278" s="289">
        <f t="shared" si="9"/>
        <v>1.0623614601193432</v>
      </c>
      <c r="G278" s="289">
        <f t="shared" si="9"/>
        <v>1.0562969441734509</v>
      </c>
      <c r="H278" s="289">
        <f t="shared" si="9"/>
        <v>1.0601261627152294</v>
      </c>
      <c r="I278" s="289">
        <f t="shared" si="9"/>
        <v>1.0873976373823211</v>
      </c>
      <c r="J278" s="289">
        <f t="shared" si="9"/>
        <v>1.119021456843782</v>
      </c>
      <c r="K278" s="289">
        <f t="shared" si="9"/>
        <v>1.2820756001844473</v>
      </c>
      <c r="L278" s="289">
        <f t="shared" si="9"/>
        <v>1.2979479404902472</v>
      </c>
      <c r="M278" s="289">
        <f t="shared" si="9"/>
        <v>1.2667571747939461</v>
      </c>
      <c r="N278" s="289">
        <f t="shared" si="9"/>
        <v>1.2349777467566752</v>
      </c>
      <c r="O278" s="289">
        <f t="shared" si="9"/>
        <v>1.2416956051956518</v>
      </c>
      <c r="P278" s="289">
        <f t="shared" si="9"/>
        <v>1.3224040247447033</v>
      </c>
      <c r="Q278" s="289">
        <f t="shared" si="9"/>
        <v>1.3558542557103599</v>
      </c>
      <c r="R278" s="289">
        <f t="shared" si="9"/>
        <v>1.261748633568966</v>
      </c>
      <c r="S278" s="289">
        <f t="shared" si="9"/>
        <v>1.4153389584633211</v>
      </c>
      <c r="T278" s="289">
        <f t="shared" si="9"/>
        <v>1.4076235542210365</v>
      </c>
      <c r="U278" s="289">
        <f t="shared" si="9"/>
        <v>1.3245199973247752</v>
      </c>
      <c r="V278" s="289">
        <f t="shared" si="9"/>
        <v>1.1640290002308833</v>
      </c>
      <c r="W278" s="289">
        <f t="shared" si="9"/>
        <v>0.99894000998596866</v>
      </c>
      <c r="X278" s="289">
        <f t="shared" si="9"/>
        <v>1.0555755098909501</v>
      </c>
      <c r="Y278" s="289">
        <f t="shared" si="9"/>
        <v>1.093633060698896</v>
      </c>
      <c r="Z278" s="289">
        <f t="shared" si="9"/>
        <v>1.1892443765823109</v>
      </c>
      <c r="AA278" s="289">
        <f t="shared" si="9"/>
        <v>1.3131464135164317</v>
      </c>
      <c r="AB278" s="289">
        <f t="shared" si="9"/>
        <v>1.3031948171389203</v>
      </c>
      <c r="AC278" s="289">
        <f t="shared" si="9"/>
        <v>1.2929862049635747</v>
      </c>
      <c r="AD278" s="289">
        <f t="shared" si="9"/>
        <v>1.2131004203887994</v>
      </c>
      <c r="AE278" s="289">
        <f t="shared" si="9"/>
        <v>1.1204797528747508</v>
      </c>
      <c r="AF278" s="289">
        <f t="shared" si="9"/>
        <v>1.1540653127256424</v>
      </c>
      <c r="AG278" s="289">
        <f t="shared" si="9"/>
        <v>1.0946612677915075</v>
      </c>
      <c r="AH278" s="289">
        <f t="shared" si="9"/>
        <v>1.1031930332307136</v>
      </c>
      <c r="AI278" s="289">
        <f t="shared" si="9"/>
        <v>1.1390252790100928</v>
      </c>
      <c r="AJ278" s="289">
        <f t="shared" si="9"/>
        <v>1.2711594762585767</v>
      </c>
      <c r="AK278" s="289">
        <f t="shared" si="9"/>
        <v>1.2552532496442641</v>
      </c>
      <c r="AL278" s="289">
        <f t="shared" si="9"/>
        <v>1.2669064024424537</v>
      </c>
      <c r="AM278" s="289">
        <f t="shared" si="9"/>
        <v>1.2024405164658485</v>
      </c>
      <c r="AN278" s="289">
        <f t="shared" si="9"/>
        <v>1.0487286401600231</v>
      </c>
      <c r="AO278" s="289">
        <f t="shared" si="9"/>
        <v>0.98440095564200913</v>
      </c>
      <c r="AP278" s="289">
        <f t="shared" si="9"/>
        <v>1.0040310357239757</v>
      </c>
      <c r="AQ278" s="289">
        <f t="shared" si="9"/>
        <v>1.0373417601154376</v>
      </c>
      <c r="AR278" s="289">
        <f t="shared" si="9"/>
        <v>1.0319913533152332</v>
      </c>
      <c r="AS278" s="289">
        <f t="shared" si="9"/>
        <v>0.98489827103441197</v>
      </c>
      <c r="AT278" s="289">
        <f t="shared" si="9"/>
        <v>0.95281403812839238</v>
      </c>
      <c r="AU278" s="289">
        <f t="shared" si="9"/>
        <v>0.89260883226724552</v>
      </c>
      <c r="AV278" s="289">
        <f t="shared" si="9"/>
        <v>0.89773081243762942</v>
      </c>
      <c r="AW278" s="289">
        <f t="shared" si="9"/>
        <v>0.88377954482285681</v>
      </c>
      <c r="AX278" s="289">
        <f t="shared" si="9"/>
        <v>0.83873245012889497</v>
      </c>
      <c r="AY278" s="289">
        <f t="shared" si="9"/>
        <v>0.94673766256901359</v>
      </c>
      <c r="AZ278" s="289">
        <f t="shared" si="9"/>
        <v>1.0800854536227671</v>
      </c>
      <c r="BA278" s="289">
        <f t="shared" si="9"/>
        <v>1.0897965411359309</v>
      </c>
      <c r="BB278" s="289">
        <f t="shared" si="9"/>
        <v>1.0815204924223218</v>
      </c>
      <c r="BC278" s="289">
        <f t="shared" si="7"/>
        <v>1.0815204924223218</v>
      </c>
    </row>
    <row r="279" spans="2:55">
      <c r="B279" s="72" t="s">
        <v>458</v>
      </c>
      <c r="C279" s="72" t="s">
        <v>459</v>
      </c>
      <c r="D279" s="289">
        <f t="shared" si="4"/>
        <v>0.26263900938836549</v>
      </c>
      <c r="E279" s="289">
        <f t="shared" si="9"/>
        <v>0.28194155921338682</v>
      </c>
      <c r="F279" s="289">
        <f t="shared" si="9"/>
        <v>0.26149586581452239</v>
      </c>
      <c r="G279" s="289">
        <f t="shared" si="9"/>
        <v>0.26070800917042569</v>
      </c>
      <c r="H279" s="289">
        <f t="shared" si="9"/>
        <v>0.25356186486697835</v>
      </c>
      <c r="I279" s="289">
        <f t="shared" si="9"/>
        <v>0.25620840987617616</v>
      </c>
      <c r="J279" s="289">
        <f t="shared" si="9"/>
        <v>0.24779301937644627</v>
      </c>
      <c r="K279" s="289">
        <f t="shared" si="9"/>
        <v>0.27816427284632467</v>
      </c>
      <c r="L279" s="289">
        <f t="shared" si="9"/>
        <v>0.28305772550777175</v>
      </c>
      <c r="M279" s="289">
        <f t="shared" si="9"/>
        <v>0.27266096928571676</v>
      </c>
      <c r="N279" s="289">
        <f t="shared" si="9"/>
        <v>0.26394551011072825</v>
      </c>
      <c r="O279" s="289">
        <f t="shared" si="9"/>
        <v>0.25299738766450797</v>
      </c>
      <c r="P279" s="289">
        <f t="shared" si="9"/>
        <v>0.28738470097771396</v>
      </c>
      <c r="Q279" s="289">
        <f t="shared" si="9"/>
        <v>0.33666324160709965</v>
      </c>
      <c r="R279" s="289">
        <f t="shared" si="9"/>
        <v>0.28838870333175137</v>
      </c>
      <c r="S279" s="289">
        <f t="shared" si="9"/>
        <v>0.32592523739029683</v>
      </c>
      <c r="T279" s="289">
        <f t="shared" si="9"/>
        <v>0.31006796807832143</v>
      </c>
      <c r="U279" s="289">
        <f t="shared" si="9"/>
        <v>0.27141153397749346</v>
      </c>
      <c r="V279" s="289">
        <f t="shared" si="9"/>
        <v>0.24328095876894903</v>
      </c>
      <c r="W279" s="289">
        <f t="shared" si="9"/>
        <v>0.22105681033663555</v>
      </c>
      <c r="X279" s="289">
        <f t="shared" si="9"/>
        <v>0.26190679160689556</v>
      </c>
      <c r="Y279" s="289">
        <f t="shared" si="9"/>
        <v>0.25171651004615869</v>
      </c>
      <c r="Z279" s="289">
        <f t="shared" si="9"/>
        <v>0.2306766377258645</v>
      </c>
      <c r="AA279" s="289">
        <f t="shared" si="9"/>
        <v>0.23714683012864671</v>
      </c>
      <c r="AB279" s="289">
        <f t="shared" si="9"/>
        <v>0.22639663956851133</v>
      </c>
      <c r="AC279" s="289">
        <f t="shared" si="9"/>
        <v>0.18446484218949327</v>
      </c>
      <c r="AD279" s="289">
        <f t="shared" si="9"/>
        <v>0.15543247537427674</v>
      </c>
      <c r="AE279" s="289">
        <f t="shared" si="9"/>
        <v>0.1427735890599692</v>
      </c>
      <c r="AF279" s="289">
        <f t="shared" si="9"/>
        <v>0.1522544961946305</v>
      </c>
      <c r="AG279" s="289">
        <f t="shared" si="9"/>
        <v>0.14828385357004858</v>
      </c>
      <c r="AH279" s="289">
        <f t="shared" si="9"/>
        <v>0.14881516268101647</v>
      </c>
      <c r="AI279" s="289">
        <f t="shared" si="9"/>
        <v>0.15371879853554826</v>
      </c>
      <c r="AJ279" s="289">
        <f t="shared" si="9"/>
        <v>0.18344105567153368</v>
      </c>
      <c r="AK279" s="289">
        <f t="shared" si="9"/>
        <v>0.19978993972069645</v>
      </c>
      <c r="AL279" s="289">
        <f t="shared" si="9"/>
        <v>0.19040785795068149</v>
      </c>
      <c r="AM279" s="289">
        <f t="shared" si="9"/>
        <v>0.19229815349462301</v>
      </c>
      <c r="AN279" s="289">
        <f t="shared" si="9"/>
        <v>0.18441427060260257</v>
      </c>
      <c r="AO279" s="289">
        <f t="shared" si="9"/>
        <v>0.17088688498884219</v>
      </c>
      <c r="AP279" s="289">
        <f t="shared" si="9"/>
        <v>0.1468708516860544</v>
      </c>
      <c r="AQ279" s="289">
        <f t="shared" si="9"/>
        <v>0.16433978928105239</v>
      </c>
      <c r="AR279" s="289">
        <f t="shared" si="9"/>
        <v>0.15935935238966634</v>
      </c>
      <c r="AS279" s="289">
        <f t="shared" si="9"/>
        <v>0.1299068280501591</v>
      </c>
      <c r="AT279" s="289">
        <f t="shared" si="9"/>
        <v>0.11911389323781679</v>
      </c>
      <c r="AU279" s="289">
        <f t="shared" si="9"/>
        <v>0.11488531324491942</v>
      </c>
      <c r="AV279" s="289">
        <f t="shared" si="9"/>
        <v>0.13181266631179386</v>
      </c>
      <c r="AW279" s="289">
        <f t="shared" si="9"/>
        <v>0.14380478442229525</v>
      </c>
      <c r="AX279" s="289">
        <f t="shared" si="9"/>
        <v>0.14621128193139621</v>
      </c>
      <c r="AY279" s="289">
        <f t="shared" si="9"/>
        <v>0.18014132562476987</v>
      </c>
      <c r="AZ279" s="289">
        <f t="shared" si="9"/>
        <v>0.20371603337573094</v>
      </c>
      <c r="BA279" s="289">
        <f t="shared" si="9"/>
        <v>0.24259950478055081</v>
      </c>
      <c r="BB279" s="289">
        <f t="shared" si="9"/>
        <v>0.24967628133549075</v>
      </c>
      <c r="BC279" s="289">
        <f t="shared" si="7"/>
        <v>0.24967628133549075</v>
      </c>
    </row>
    <row r="280" spans="2:55">
      <c r="B280" s="72" t="s">
        <v>460</v>
      </c>
      <c r="C280" s="72" t="s">
        <v>461</v>
      </c>
      <c r="D280" s="289">
        <f t="shared" si="4"/>
        <v>0.25824519049766592</v>
      </c>
      <c r="E280" s="289">
        <f t="shared" si="9"/>
        <v>0.27768231791839199</v>
      </c>
      <c r="F280" s="289">
        <f t="shared" si="9"/>
        <v>0.25658790108739488</v>
      </c>
      <c r="G280" s="289">
        <f t="shared" si="9"/>
        <v>0.25593580864354987</v>
      </c>
      <c r="H280" s="289">
        <f t="shared" si="9"/>
        <v>0.24857359255746497</v>
      </c>
      <c r="I280" s="289">
        <f t="shared" si="9"/>
        <v>0.25124398054210778</v>
      </c>
      <c r="J280" s="289">
        <f t="shared" si="9"/>
        <v>0.2421363580348527</v>
      </c>
      <c r="K280" s="289">
        <f t="shared" si="9"/>
        <v>0.27143561921730686</v>
      </c>
      <c r="L280" s="289">
        <f t="shared" si="9"/>
        <v>0.27618476602534942</v>
      </c>
      <c r="M280" s="289">
        <f t="shared" si="9"/>
        <v>0.26580706410278249</v>
      </c>
      <c r="N280" s="289">
        <f t="shared" si="9"/>
        <v>0.25729816364628039</v>
      </c>
      <c r="O280" s="289">
        <f t="shared" si="9"/>
        <v>0.24657235657996329</v>
      </c>
      <c r="P280" s="289">
        <f t="shared" si="9"/>
        <v>0.28167755514569931</v>
      </c>
      <c r="Q280" s="289">
        <f t="shared" si="9"/>
        <v>0.33120185138352631</v>
      </c>
      <c r="R280" s="289">
        <f t="shared" si="9"/>
        <v>0.28337647814839501</v>
      </c>
      <c r="S280" s="289">
        <f t="shared" si="9"/>
        <v>0.32052993071582053</v>
      </c>
      <c r="T280" s="289">
        <f t="shared" si="9"/>
        <v>0.30460542353933906</v>
      </c>
      <c r="U280" s="289">
        <f t="shared" si="9"/>
        <v>0.26663411861622099</v>
      </c>
      <c r="V280" s="289">
        <f t="shared" si="9"/>
        <v>0.23897227414527936</v>
      </c>
      <c r="W280" s="289">
        <f t="shared" si="9"/>
        <v>0.21709411025720077</v>
      </c>
      <c r="X280" s="289">
        <f t="shared" si="9"/>
        <v>0.2575248270923533</v>
      </c>
      <c r="Y280" s="289">
        <f t="shared" si="9"/>
        <v>0.24629879369268015</v>
      </c>
      <c r="Z280" s="289">
        <f t="shared" si="9"/>
        <v>0.22447440910243396</v>
      </c>
      <c r="AA280" s="289">
        <f t="shared" si="9"/>
        <v>0.22985308942327434</v>
      </c>
      <c r="AB280" s="289">
        <f t="shared" si="9"/>
        <v>0.21934143038310405</v>
      </c>
      <c r="AC280" s="289">
        <f t="shared" si="9"/>
        <v>0.17898407626170232</v>
      </c>
      <c r="AD280" s="289">
        <f t="shared" si="9"/>
        <v>0.1506496074798708</v>
      </c>
      <c r="AE280" s="289">
        <f t="shared" si="9"/>
        <v>0.13873390537529534</v>
      </c>
      <c r="AF280" s="289">
        <f t="shared" si="9"/>
        <v>0.14807519675265685</v>
      </c>
      <c r="AG280" s="289">
        <f t="shared" si="9"/>
        <v>0.14458494745309494</v>
      </c>
      <c r="AH280" s="289">
        <f t="shared" si="9"/>
        <v>0.14516041241559083</v>
      </c>
      <c r="AI280" s="289">
        <f t="shared" si="9"/>
        <v>0.15006314680558094</v>
      </c>
      <c r="AJ280" s="289">
        <f t="shared" si="9"/>
        <v>0.17937723347347165</v>
      </c>
      <c r="AK280" s="289">
        <f t="shared" si="9"/>
        <v>0.19600680030905049</v>
      </c>
      <c r="AL280" s="289">
        <f t="shared" si="9"/>
        <v>0.18668525137546871</v>
      </c>
      <c r="AM280" s="289">
        <f t="shared" si="9"/>
        <v>0.18860620738964853</v>
      </c>
      <c r="AN280" s="289">
        <f t="shared" si="9"/>
        <v>0.18091753282698431</v>
      </c>
      <c r="AO280" s="289">
        <f t="shared" si="9"/>
        <v>0.16714669153846062</v>
      </c>
      <c r="AP280" s="289">
        <f t="shared" si="9"/>
        <v>0.14265760638834207</v>
      </c>
      <c r="AQ280" s="289">
        <f t="shared" si="9"/>
        <v>0.15979232762786685</v>
      </c>
      <c r="AR280" s="289">
        <f t="shared" si="9"/>
        <v>0.15412035046809761</v>
      </c>
      <c r="AS280" s="289">
        <f t="shared" si="9"/>
        <v>0.12477371415608451</v>
      </c>
      <c r="AT280" s="289">
        <f t="shared" si="9"/>
        <v>0.1144485363324159</v>
      </c>
      <c r="AU280" s="289">
        <f t="shared" si="9"/>
        <v>0.11078321277313827</v>
      </c>
      <c r="AV280" s="289">
        <f t="shared" si="9"/>
        <v>0.12773944360906664</v>
      </c>
      <c r="AW280" s="289">
        <f t="shared" si="9"/>
        <v>0.13990911258918429</v>
      </c>
      <c r="AX280" s="289">
        <f t="shared" si="9"/>
        <v>0.14278662802154768</v>
      </c>
      <c r="AY280" s="289">
        <f t="shared" si="9"/>
        <v>0.17626288134515208</v>
      </c>
      <c r="AZ280" s="289">
        <f t="shared" si="9"/>
        <v>0.19919666170337519</v>
      </c>
      <c r="BA280" s="289">
        <f t="shared" si="9"/>
        <v>0.23848944465100733</v>
      </c>
      <c r="BB280" s="289">
        <f t="shared" si="9"/>
        <v>0.24554380556948963</v>
      </c>
      <c r="BC280" s="289">
        <f t="shared" si="7"/>
        <v>0.24554380556948963</v>
      </c>
    </row>
    <row r="281" spans="2:55">
      <c r="B281" s="72" t="s">
        <v>462</v>
      </c>
      <c r="C281" s="72" t="s">
        <v>463</v>
      </c>
      <c r="D281" s="289">
        <f t="shared" si="4"/>
        <v>7.319244311541874E-2</v>
      </c>
      <c r="E281" s="289">
        <f t="shared" si="9"/>
        <v>7.4240001320098406E-2</v>
      </c>
      <c r="F281" s="289">
        <f t="shared" si="9"/>
        <v>8.1275387046706005E-2</v>
      </c>
      <c r="G281" s="289">
        <f t="shared" si="9"/>
        <v>6.3967038991797676E-2</v>
      </c>
      <c r="H281" s="289">
        <f t="shared" si="9"/>
        <v>6.7935954570760834E-2</v>
      </c>
      <c r="I281" s="289">
        <f t="shared" si="9"/>
        <v>6.8821452940749817E-2</v>
      </c>
      <c r="J281" s="289">
        <f t="shared" si="9"/>
        <v>6.5869131490737476E-2</v>
      </c>
      <c r="K281" s="289">
        <f t="shared" si="9"/>
        <v>7.1659138739124814E-2</v>
      </c>
      <c r="L281" s="289">
        <f t="shared" si="9"/>
        <v>7.2612495218856418E-2</v>
      </c>
      <c r="M281" s="289">
        <f t="shared" si="9"/>
        <v>6.6550655073512585E-2</v>
      </c>
      <c r="N281" s="289">
        <f t="shared" si="9"/>
        <v>6.0705335833207218E-2</v>
      </c>
      <c r="O281" s="289">
        <f t="shared" si="9"/>
        <v>5.0424774897672345E-2</v>
      </c>
      <c r="P281" s="289">
        <f t="shared" si="9"/>
        <v>5.3723346684898407E-2</v>
      </c>
      <c r="Q281" s="289">
        <f t="shared" si="9"/>
        <v>6.15657848762532E-2</v>
      </c>
      <c r="R281" s="289">
        <f t="shared" si="9"/>
        <v>6.2953002433581748E-2</v>
      </c>
      <c r="S281" s="289">
        <f t="shared" si="9"/>
        <v>5.5273283280952691E-2</v>
      </c>
      <c r="T281" s="289">
        <f t="shared" si="9"/>
        <v>5.3167287721717138E-2</v>
      </c>
      <c r="U281" s="289">
        <f t="shared" si="9"/>
        <v>4.8749023971747338E-2</v>
      </c>
      <c r="V281" s="289">
        <f t="shared" si="9"/>
        <v>4.0369511054843987E-2</v>
      </c>
      <c r="W281" s="289">
        <f t="shared" si="9"/>
        <v>3.2237038867381475E-2</v>
      </c>
      <c r="X281" s="289">
        <f t="shared" si="9"/>
        <v>3.3196331066438607E-2</v>
      </c>
      <c r="Y281" s="289">
        <f t="shared" si="9"/>
        <v>3.3910963455284979E-2</v>
      </c>
      <c r="Z281" s="289">
        <f t="shared" si="9"/>
        <v>3.2547138169641887E-2</v>
      </c>
      <c r="AA281" s="289">
        <f t="shared" si="9"/>
        <v>3.3872187895615691E-2</v>
      </c>
      <c r="AB281" s="289">
        <f t="shared" si="9"/>
        <v>3.3849920291538001E-2</v>
      </c>
      <c r="AC281" s="289">
        <f t="shared" si="9"/>
        <v>2.9167236731695068E-2</v>
      </c>
      <c r="AD281" s="289">
        <f t="shared" si="9"/>
        <v>2.5535423690238548E-2</v>
      </c>
      <c r="AE281" s="289">
        <f t="shared" si="9"/>
        <v>2.0963204640946226E-2</v>
      </c>
      <c r="AF281" s="289">
        <f t="shared" si="9"/>
        <v>2.0517826897261473E-2</v>
      </c>
      <c r="AG281" s="289">
        <f t="shared" si="9"/>
        <v>1.7664581373443199E-2</v>
      </c>
      <c r="AH281" s="289">
        <f t="shared" si="9"/>
        <v>1.7029656865705633E-2</v>
      </c>
      <c r="AI281" s="289">
        <f t="shared" si="9"/>
        <v>1.4193216776255731E-2</v>
      </c>
      <c r="AJ281" s="289">
        <f t="shared" si="9"/>
        <v>1.5439490695203933E-2</v>
      </c>
      <c r="AK281" s="289">
        <f t="shared" si="9"/>
        <v>1.3151107358090205E-2</v>
      </c>
      <c r="AL281" s="289">
        <f t="shared" si="9"/>
        <v>1.3391471414533986E-2</v>
      </c>
      <c r="AM281" s="289">
        <f t="shared" si="9"/>
        <v>1.3234503956454272E-2</v>
      </c>
      <c r="AN281" s="289">
        <f t="shared" si="9"/>
        <v>1.1980902237615628E-2</v>
      </c>
      <c r="AO281" s="289">
        <f t="shared" si="9"/>
        <v>1.0864903056360439E-2</v>
      </c>
      <c r="AP281" s="289">
        <f t="shared" si="9"/>
        <v>1.0508442811864093E-2</v>
      </c>
      <c r="AQ281" s="289">
        <f t="shared" si="9"/>
        <v>1.0942312665804085E-2</v>
      </c>
      <c r="AR281" s="289">
        <f t="shared" si="9"/>
        <v>1.0979365041358855E-2</v>
      </c>
      <c r="AS281" s="289">
        <f t="shared" si="9"/>
        <v>1.0602441830017902E-2</v>
      </c>
      <c r="AT281" s="289">
        <f t="shared" si="9"/>
        <v>1.0338790373213176E-2</v>
      </c>
      <c r="AU281" s="289">
        <f t="shared" si="9"/>
        <v>1.0084086165623641E-2</v>
      </c>
      <c r="AV281" s="289">
        <f t="shared" si="9"/>
        <v>1.1167058481797451E-2</v>
      </c>
      <c r="AW281" s="289">
        <f t="shared" si="9"/>
        <v>1.1961254511752947E-2</v>
      </c>
      <c r="AX281" s="289">
        <f t="shared" si="9"/>
        <v>1.2404099841118817E-2</v>
      </c>
      <c r="AY281" s="289">
        <f t="shared" si="9"/>
        <v>1.5932970946546641E-2</v>
      </c>
      <c r="AZ281" s="289">
        <f t="shared" si="9"/>
        <v>1.8667703561795573E-2</v>
      </c>
      <c r="BA281" s="289">
        <f t="shared" si="9"/>
        <v>2.0311095634992359E-2</v>
      </c>
      <c r="BB281" s="289">
        <f t="shared" si="9"/>
        <v>2.1026879407768793E-2</v>
      </c>
      <c r="BC281" s="289">
        <f t="shared" si="7"/>
        <v>2.1026879407768793E-2</v>
      </c>
    </row>
    <row r="282" spans="2:55">
      <c r="B282" s="72" t="s">
        <v>464</v>
      </c>
      <c r="C282" s="72" t="s">
        <v>465</v>
      </c>
      <c r="D282" s="289">
        <f t="shared" si="4"/>
        <v>9.3941573643472692E-2</v>
      </c>
      <c r="E282" s="289">
        <f t="shared" si="9"/>
        <v>9.1270155487152241E-2</v>
      </c>
      <c r="F282" s="289">
        <f t="shared" si="9"/>
        <v>9.0581818757342725E-2</v>
      </c>
      <c r="G282" s="289">
        <f t="shared" si="9"/>
        <v>9.0201335129327681E-2</v>
      </c>
      <c r="H282" s="289">
        <f t="shared" si="9"/>
        <v>9.7251008577626627E-2</v>
      </c>
      <c r="I282" s="289">
        <f t="shared" si="9"/>
        <v>9.2954859700992015E-2</v>
      </c>
      <c r="J282" s="289">
        <f t="shared" si="9"/>
        <v>9.0151918010549573E-2</v>
      </c>
      <c r="K282" s="289">
        <f t="shared" si="9"/>
        <v>9.94165154038191E-2</v>
      </c>
      <c r="L282" s="289">
        <f t="shared" si="9"/>
        <v>0.10130639519444522</v>
      </c>
      <c r="M282" s="289">
        <f t="shared" si="9"/>
        <v>9.8091831872268206E-2</v>
      </c>
      <c r="N282" s="289">
        <f t="shared" si="9"/>
        <v>9.1971140227695952E-2</v>
      </c>
      <c r="O282" s="289">
        <f t="shared" si="9"/>
        <v>8.7801827989359524E-2</v>
      </c>
      <c r="P282" s="289">
        <f t="shared" si="9"/>
        <v>9.6826153003745793E-2</v>
      </c>
      <c r="Q282" s="289">
        <f t="shared" si="9"/>
        <v>0.11117196861455075</v>
      </c>
      <c r="R282" s="289">
        <f t="shared" si="9"/>
        <v>9.956061792710004E-2</v>
      </c>
      <c r="S282" s="289">
        <f t="shared" si="9"/>
        <v>0.10982966984720818</v>
      </c>
      <c r="T282" s="289">
        <f t="shared" si="9"/>
        <v>0.10751704178541176</v>
      </c>
      <c r="U282" s="289">
        <f t="shared" si="9"/>
        <v>9.0623496504017839E-2</v>
      </c>
      <c r="V282" s="289">
        <f t="shared" si="9"/>
        <v>8.1411860306921796E-2</v>
      </c>
      <c r="W282" s="289">
        <f t="shared" si="9"/>
        <v>7.2707473719077126E-2</v>
      </c>
      <c r="X282" s="289">
        <f t="shared" si="9"/>
        <v>8.0786167135315362E-2</v>
      </c>
      <c r="Y282" s="289">
        <f t="shared" si="9"/>
        <v>8.2043642581309181E-2</v>
      </c>
      <c r="Z282" s="289">
        <f t="shared" si="9"/>
        <v>8.283892864303552E-2</v>
      </c>
      <c r="AA282" s="289">
        <f t="shared" si="9"/>
        <v>8.7526100570325657E-2</v>
      </c>
      <c r="AB282" s="289">
        <f t="shared" si="9"/>
        <v>8.5445360863389441E-2</v>
      </c>
      <c r="AC282" s="289">
        <f t="shared" si="9"/>
        <v>7.1307146832468013E-2</v>
      </c>
      <c r="AD282" s="289">
        <f t="shared" si="9"/>
        <v>5.8739494350740176E-2</v>
      </c>
      <c r="AE282" s="289">
        <f t="shared" si="9"/>
        <v>5.1297339269031295E-2</v>
      </c>
      <c r="AF282" s="289">
        <f t="shared" si="9"/>
        <v>5.3162756526856571E-2</v>
      </c>
      <c r="AG282" s="289">
        <f t="shared" si="9"/>
        <v>4.8490328412892907E-2</v>
      </c>
      <c r="AH282" s="289">
        <f t="shared" si="9"/>
        <v>4.6392728680260585E-2</v>
      </c>
      <c r="AI282" s="289">
        <f t="shared" ref="E282:BB287" si="10">AI32/AI$251</f>
        <v>4.6109269019619183E-2</v>
      </c>
      <c r="AJ282" s="289">
        <f t="shared" si="10"/>
        <v>5.2536437296657357E-2</v>
      </c>
      <c r="AK282" s="289">
        <f t="shared" si="10"/>
        <v>5.274808635071785E-2</v>
      </c>
      <c r="AL282" s="289">
        <f t="shared" si="10"/>
        <v>5.3173136015702983E-2</v>
      </c>
      <c r="AM282" s="289">
        <f t="shared" si="10"/>
        <v>5.4200078666924334E-2</v>
      </c>
      <c r="AN282" s="289">
        <f t="shared" si="10"/>
        <v>5.0414979774255138E-2</v>
      </c>
      <c r="AO282" s="289">
        <f t="shared" si="10"/>
        <v>4.5049648082036105E-2</v>
      </c>
      <c r="AP282" s="289">
        <f t="shared" si="10"/>
        <v>4.2132062199741201E-2</v>
      </c>
      <c r="AQ282" s="289">
        <f t="shared" si="10"/>
        <v>4.6356808268200572E-2</v>
      </c>
      <c r="AR282" s="289">
        <f t="shared" si="10"/>
        <v>4.6557745421600634E-2</v>
      </c>
      <c r="AS282" s="289">
        <f t="shared" si="10"/>
        <v>4.3108240638198382E-2</v>
      </c>
      <c r="AT282" s="289">
        <f t="shared" si="10"/>
        <v>4.2136867608675313E-2</v>
      </c>
      <c r="AU282" s="289">
        <f t="shared" si="10"/>
        <v>4.1923995675646163E-2</v>
      </c>
      <c r="AV282" s="289">
        <f t="shared" si="10"/>
        <v>4.7355262022752018E-2</v>
      </c>
      <c r="AW282" s="289">
        <f t="shared" si="10"/>
        <v>5.2305080435656313E-2</v>
      </c>
      <c r="AX282" s="289">
        <f t="shared" si="10"/>
        <v>5.5840432613607403E-2</v>
      </c>
      <c r="AY282" s="289">
        <f t="shared" si="10"/>
        <v>7.0888399752782924E-2</v>
      </c>
      <c r="AZ282" s="289">
        <f t="shared" si="10"/>
        <v>8.2962957162396239E-2</v>
      </c>
      <c r="BA282" s="289">
        <f t="shared" si="10"/>
        <v>9.6288115679145705E-2</v>
      </c>
      <c r="BB282" s="289">
        <f t="shared" si="10"/>
        <v>0.10311901455119737</v>
      </c>
      <c r="BC282" s="289">
        <f t="shared" si="7"/>
        <v>0.10311901455119737</v>
      </c>
    </row>
    <row r="283" spans="2:55">
      <c r="B283" s="72" t="s">
        <v>466</v>
      </c>
      <c r="C283" s="72" t="s">
        <v>467</v>
      </c>
      <c r="D283" s="289">
        <f t="shared" si="4"/>
        <v>6.6804903564719353E-2</v>
      </c>
      <c r="E283" s="289">
        <f t="shared" si="10"/>
        <v>6.7878882985111896E-2</v>
      </c>
      <c r="F283" s="289">
        <f t="shared" si="10"/>
        <v>7.4950170204890407E-2</v>
      </c>
      <c r="G283" s="289">
        <f t="shared" si="10"/>
        <v>5.8289185884060957E-2</v>
      </c>
      <c r="H283" s="289">
        <f t="shared" si="10"/>
        <v>6.1528150499340642E-2</v>
      </c>
      <c r="I283" s="289">
        <f t="shared" si="10"/>
        <v>6.2320537064684919E-2</v>
      </c>
      <c r="J283" s="289">
        <f t="shared" si="10"/>
        <v>5.9528198359179406E-2</v>
      </c>
      <c r="K283" s="289">
        <f t="shared" si="10"/>
        <v>6.4485270724178062E-2</v>
      </c>
      <c r="L283" s="289">
        <f t="shared" si="10"/>
        <v>6.5488914416502536E-2</v>
      </c>
      <c r="M283" s="289">
        <f t="shared" si="10"/>
        <v>6.0379070452790048E-2</v>
      </c>
      <c r="N283" s="289">
        <f t="shared" si="10"/>
        <v>5.5900677745317318E-2</v>
      </c>
      <c r="O283" s="289">
        <f t="shared" si="10"/>
        <v>4.666251011417856E-2</v>
      </c>
      <c r="P283" s="289">
        <f t="shared" si="10"/>
        <v>4.9464123066289702E-2</v>
      </c>
      <c r="Q283" s="289">
        <f t="shared" si="10"/>
        <v>5.6492825454662304E-2</v>
      </c>
      <c r="R283" s="289">
        <f t="shared" si="10"/>
        <v>5.8003857154427255E-2</v>
      </c>
      <c r="S283" s="289">
        <f t="shared" si="10"/>
        <v>4.9172581599515139E-2</v>
      </c>
      <c r="T283" s="289">
        <f t="shared" si="10"/>
        <v>4.7413999824199526E-2</v>
      </c>
      <c r="U283" s="289">
        <f t="shared" si="10"/>
        <v>4.3655953557563201E-2</v>
      </c>
      <c r="V283" s="289">
        <f t="shared" si="10"/>
        <v>3.6526050104928348E-2</v>
      </c>
      <c r="W283" s="289">
        <f t="shared" si="10"/>
        <v>3.0231530912806708E-2</v>
      </c>
      <c r="X283" s="289">
        <f t="shared" si="10"/>
        <v>3.0831413700444822E-2</v>
      </c>
      <c r="Y283" s="289">
        <f t="shared" si="10"/>
        <v>3.1754169269129592E-2</v>
      </c>
      <c r="Z283" s="289">
        <f t="shared" si="10"/>
        <v>3.0603079866613519E-2</v>
      </c>
      <c r="AA283" s="289">
        <f t="shared" si="10"/>
        <v>3.098989334219077E-2</v>
      </c>
      <c r="AB283" s="289">
        <f t="shared" si="10"/>
        <v>2.9859606664210125E-2</v>
      </c>
      <c r="AC283" s="289">
        <f t="shared" si="10"/>
        <v>2.5703670451083686E-2</v>
      </c>
      <c r="AD283" s="289">
        <f t="shared" si="10"/>
        <v>2.1679691322014739E-2</v>
      </c>
      <c r="AE283" s="289">
        <f t="shared" si="10"/>
        <v>1.88052676644163E-2</v>
      </c>
      <c r="AF283" s="289">
        <f t="shared" si="10"/>
        <v>1.8278641966451972E-2</v>
      </c>
      <c r="AG283" s="289">
        <f t="shared" si="10"/>
        <v>1.6182292981877889E-2</v>
      </c>
      <c r="AH283" s="289">
        <f t="shared" si="10"/>
        <v>1.5404473714081735E-2</v>
      </c>
      <c r="AI283" s="289">
        <f t="shared" si="10"/>
        <v>1.3413772589961738E-2</v>
      </c>
      <c r="AJ283" s="289">
        <f t="shared" si="10"/>
        <v>1.4183098204098221E-2</v>
      </c>
      <c r="AK283" s="289">
        <f t="shared" si="10"/>
        <v>1.209500544795354E-2</v>
      </c>
      <c r="AL283" s="289">
        <f t="shared" si="10"/>
        <v>1.2372370074672999E-2</v>
      </c>
      <c r="AM283" s="289">
        <f t="shared" si="10"/>
        <v>1.281280498940672E-2</v>
      </c>
      <c r="AN283" s="289">
        <f t="shared" si="10"/>
        <v>1.1624482197970796E-2</v>
      </c>
      <c r="AO283" s="289">
        <f t="shared" si="10"/>
        <v>1.0887918855889613E-2</v>
      </c>
      <c r="AP283" s="289">
        <f t="shared" si="10"/>
        <v>1.029241117216673E-2</v>
      </c>
      <c r="AQ283" s="289">
        <f t="shared" si="10"/>
        <v>1.0278758600865918E-2</v>
      </c>
      <c r="AR283" s="289">
        <f t="shared" si="10"/>
        <v>1.0227194819535814E-2</v>
      </c>
      <c r="AS283" s="289">
        <f t="shared" si="10"/>
        <v>9.6366664131361073E-3</v>
      </c>
      <c r="AT283" s="289">
        <f t="shared" si="10"/>
        <v>9.0005954879720535E-3</v>
      </c>
      <c r="AU283" s="289">
        <f t="shared" si="10"/>
        <v>8.388133095773154E-3</v>
      </c>
      <c r="AV283" s="289">
        <f t="shared" si="10"/>
        <v>8.7496872474910909E-3</v>
      </c>
      <c r="AW283" s="289">
        <f t="shared" si="10"/>
        <v>8.8534441370357042E-3</v>
      </c>
      <c r="AX283" s="289">
        <f t="shared" si="10"/>
        <v>8.8661418150984272E-3</v>
      </c>
      <c r="AY283" s="289">
        <f t="shared" si="10"/>
        <v>1.1091531600302748E-2</v>
      </c>
      <c r="AZ283" s="289">
        <f t="shared" si="10"/>
        <v>1.3956012505824818E-2</v>
      </c>
      <c r="BA283" s="289">
        <f t="shared" si="10"/>
        <v>1.4503581126682746E-2</v>
      </c>
      <c r="BB283" s="289">
        <f t="shared" si="10"/>
        <v>1.4826370030104303E-2</v>
      </c>
      <c r="BC283" s="289">
        <f t="shared" si="7"/>
        <v>1.4826370030104303E-2</v>
      </c>
    </row>
    <row r="284" spans="2:55">
      <c r="B284" s="72" t="s">
        <v>468</v>
      </c>
      <c r="C284" s="72" t="s">
        <v>469</v>
      </c>
      <c r="D284" s="289">
        <f t="shared" si="4"/>
        <v>5.7111247192967902E-2</v>
      </c>
      <c r="E284" s="289">
        <f t="shared" si="10"/>
        <v>5.2526636925295349E-2</v>
      </c>
      <c r="F284" s="289">
        <f t="shared" si="10"/>
        <v>5.3665163287526317E-2</v>
      </c>
      <c r="G284" s="289">
        <f t="shared" si="10"/>
        <v>5.4725330448405773E-2</v>
      </c>
      <c r="H284" s="289">
        <f t="shared" si="10"/>
        <v>6.840562661914619E-2</v>
      </c>
      <c r="I284" s="289">
        <f t="shared" si="10"/>
        <v>5.6473286946513747E-2</v>
      </c>
      <c r="J284" s="289">
        <f t="shared" si="10"/>
        <v>5.6733764292186441E-2</v>
      </c>
      <c r="K284" s="289">
        <f t="shared" si="10"/>
        <v>6.3636175675067408E-2</v>
      </c>
      <c r="L284" s="289">
        <f t="shared" si="10"/>
        <v>6.4624946729751095E-2</v>
      </c>
      <c r="M284" s="289">
        <f t="shared" si="10"/>
        <v>6.3026366601939152E-2</v>
      </c>
      <c r="N284" s="289">
        <f t="shared" si="10"/>
        <v>5.7175282268900063E-2</v>
      </c>
      <c r="O284" s="289">
        <f t="shared" si="10"/>
        <v>5.342731157547162E-2</v>
      </c>
      <c r="P284" s="289">
        <f t="shared" si="10"/>
        <v>5.5168687272509495E-2</v>
      </c>
      <c r="Q284" s="289">
        <f t="shared" si="10"/>
        <v>6.4593579948965779E-2</v>
      </c>
      <c r="R284" s="289">
        <f t="shared" si="10"/>
        <v>5.7491999268650389E-2</v>
      </c>
      <c r="S284" s="289">
        <f t="shared" si="10"/>
        <v>6.6088785225030505E-2</v>
      </c>
      <c r="T284" s="289">
        <f t="shared" si="10"/>
        <v>6.5913566879058319E-2</v>
      </c>
      <c r="U284" s="289">
        <f t="shared" si="10"/>
        <v>5.689437949685807E-2</v>
      </c>
      <c r="V284" s="289">
        <f t="shared" si="10"/>
        <v>4.9448124015758523E-2</v>
      </c>
      <c r="W284" s="289">
        <f t="shared" si="10"/>
        <v>4.6768853535156911E-2</v>
      </c>
      <c r="X284" s="289">
        <f t="shared" si="10"/>
        <v>4.9315483916361535E-2</v>
      </c>
      <c r="Y284" s="289">
        <f t="shared" si="10"/>
        <v>5.1278590207655766E-2</v>
      </c>
      <c r="Z284" s="289">
        <f t="shared" si="10"/>
        <v>5.1940151411497673E-2</v>
      </c>
      <c r="AA284" s="289">
        <f t="shared" si="10"/>
        <v>5.3837258672424816E-2</v>
      </c>
      <c r="AB284" s="289">
        <f t="shared" si="10"/>
        <v>5.2061179049339025E-2</v>
      </c>
      <c r="AC284" s="289">
        <f t="shared" si="10"/>
        <v>4.2793217239023303E-2</v>
      </c>
      <c r="AD284" s="289">
        <f t="shared" si="10"/>
        <v>3.7519579506732313E-2</v>
      </c>
      <c r="AE284" s="289">
        <f t="shared" si="10"/>
        <v>3.1597448349822546E-2</v>
      </c>
      <c r="AF284" s="289">
        <f t="shared" si="10"/>
        <v>3.1314339156760372E-2</v>
      </c>
      <c r="AG284" s="289">
        <f t="shared" si="10"/>
        <v>2.7836367931587939E-2</v>
      </c>
      <c r="AH284" s="289">
        <f t="shared" si="10"/>
        <v>2.5224465022036367E-2</v>
      </c>
      <c r="AI284" s="289">
        <f t="shared" si="10"/>
        <v>2.5200016363066652E-2</v>
      </c>
      <c r="AJ284" s="289">
        <f t="shared" si="10"/>
        <v>2.7740579389538132E-2</v>
      </c>
      <c r="AK284" s="289">
        <f t="shared" si="10"/>
        <v>2.7449262853835674E-2</v>
      </c>
      <c r="AL284" s="289">
        <f t="shared" si="10"/>
        <v>2.7605277238146573E-2</v>
      </c>
      <c r="AM284" s="289">
        <f t="shared" si="10"/>
        <v>2.8146849512212899E-2</v>
      </c>
      <c r="AN284" s="289">
        <f t="shared" si="10"/>
        <v>2.5485664867621386E-2</v>
      </c>
      <c r="AO284" s="289">
        <f t="shared" si="10"/>
        <v>2.1139737133164332E-2</v>
      </c>
      <c r="AP284" s="289">
        <f t="shared" si="10"/>
        <v>2.2168686241390474E-2</v>
      </c>
      <c r="AQ284" s="289">
        <f t="shared" si="10"/>
        <v>2.3699991588853633E-2</v>
      </c>
      <c r="AR284" s="289">
        <f t="shared" si="10"/>
        <v>2.37004490377693E-2</v>
      </c>
      <c r="AS284" s="289">
        <f t="shared" si="10"/>
        <v>2.2962995995216878E-2</v>
      </c>
      <c r="AT284" s="289">
        <f t="shared" si="10"/>
        <v>2.2456556541987312E-2</v>
      </c>
      <c r="AU284" s="289">
        <f t="shared" si="10"/>
        <v>2.1529400292420973E-2</v>
      </c>
      <c r="AV284" s="289">
        <f t="shared" si="10"/>
        <v>2.3543502021333786E-2</v>
      </c>
      <c r="AW284" s="289">
        <f t="shared" si="10"/>
        <v>2.592989368725919E-2</v>
      </c>
      <c r="AX284" s="289">
        <f t="shared" si="10"/>
        <v>2.7543972692336577E-2</v>
      </c>
      <c r="AY284" s="289">
        <f t="shared" si="10"/>
        <v>3.2711017288098027E-2</v>
      </c>
      <c r="AZ284" s="289">
        <f t="shared" si="10"/>
        <v>3.9913477291645974E-2</v>
      </c>
      <c r="BA284" s="289">
        <f t="shared" si="10"/>
        <v>4.6539939695666263E-2</v>
      </c>
      <c r="BB284" s="289">
        <f t="shared" si="10"/>
        <v>4.8221140832563951E-2</v>
      </c>
      <c r="BC284" s="289">
        <f t="shared" si="7"/>
        <v>4.8221140832563951E-2</v>
      </c>
    </row>
    <row r="285" spans="2:55">
      <c r="B285" s="72" t="s">
        <v>470</v>
      </c>
      <c r="C285" s="72" t="s">
        <v>471</v>
      </c>
      <c r="D285" s="289">
        <f t="shared" si="4"/>
        <v>0</v>
      </c>
      <c r="E285" s="289">
        <f t="shared" si="10"/>
        <v>0</v>
      </c>
      <c r="F285" s="289">
        <f t="shared" si="10"/>
        <v>0</v>
      </c>
      <c r="G285" s="289">
        <f t="shared" si="10"/>
        <v>0</v>
      </c>
      <c r="H285" s="289">
        <f t="shared" si="10"/>
        <v>0</v>
      </c>
      <c r="I285" s="289">
        <f t="shared" si="10"/>
        <v>0</v>
      </c>
      <c r="J285" s="289">
        <f t="shared" si="10"/>
        <v>0</v>
      </c>
      <c r="K285" s="289">
        <f t="shared" si="10"/>
        <v>0.15407702061987866</v>
      </c>
      <c r="L285" s="289">
        <f t="shared" si="10"/>
        <v>0.15568494359164864</v>
      </c>
      <c r="M285" s="289">
        <f t="shared" si="10"/>
        <v>0.15153719345281247</v>
      </c>
      <c r="N285" s="289">
        <f t="shared" si="10"/>
        <v>0.15288637780508904</v>
      </c>
      <c r="O285" s="289">
        <f t="shared" si="10"/>
        <v>0.15994416692253452</v>
      </c>
      <c r="P285" s="289">
        <f t="shared" si="10"/>
        <v>0.18532117043255103</v>
      </c>
      <c r="Q285" s="289">
        <f t="shared" si="10"/>
        <v>0.30411194710462586</v>
      </c>
      <c r="R285" s="289">
        <f t="shared" si="10"/>
        <v>0.27211227295642854</v>
      </c>
      <c r="S285" s="289">
        <f t="shared" si="10"/>
        <v>0.34000144642503682</v>
      </c>
      <c r="T285" s="289">
        <f t="shared" si="10"/>
        <v>0.33948741449382452</v>
      </c>
      <c r="U285" s="289">
        <f t="shared" si="10"/>
        <v>0.27765099796301612</v>
      </c>
      <c r="V285" s="289">
        <f t="shared" si="10"/>
        <v>0.27035775869924844</v>
      </c>
      <c r="W285" s="289">
        <f t="shared" si="10"/>
        <v>0.26025878007619652</v>
      </c>
      <c r="X285" s="289">
        <f t="shared" si="10"/>
        <v>0.27504630396740276</v>
      </c>
      <c r="Y285" s="289">
        <f t="shared" si="10"/>
        <v>0.27723927281878363</v>
      </c>
      <c r="Z285" s="289">
        <f t="shared" si="10"/>
        <v>0.28633567472582366</v>
      </c>
      <c r="AA285" s="289">
        <f t="shared" si="10"/>
        <v>0.29864445024012592</v>
      </c>
      <c r="AB285" s="289">
        <f t="shared" si="10"/>
        <v>0.27826160817972151</v>
      </c>
      <c r="AC285" s="289">
        <f t="shared" si="10"/>
        <v>0.22315615903598895</v>
      </c>
      <c r="AD285" s="289">
        <f t="shared" si="10"/>
        <v>0.16250701576336954</v>
      </c>
      <c r="AE285" s="289">
        <f t="shared" si="10"/>
        <v>0.12741227463227697</v>
      </c>
      <c r="AF285" s="289">
        <f t="shared" si="10"/>
        <v>0.12781129198275648</v>
      </c>
      <c r="AG285" s="289">
        <f t="shared" si="10"/>
        <v>0.11732163044072584</v>
      </c>
      <c r="AH285" s="289">
        <f t="shared" si="10"/>
        <v>0.1101145974210215</v>
      </c>
      <c r="AI285" s="289">
        <f t="shared" si="10"/>
        <v>0.11429479302199318</v>
      </c>
      <c r="AJ285" s="289">
        <f t="shared" si="10"/>
        <v>0.12556345935340646</v>
      </c>
      <c r="AK285" s="289">
        <f t="shared" si="10"/>
        <v>0.1184435658095712</v>
      </c>
      <c r="AL285" s="289">
        <f t="shared" si="10"/>
        <v>0.12003569241787135</v>
      </c>
      <c r="AM285" s="289">
        <f t="shared" si="10"/>
        <v>0.12618833950157077</v>
      </c>
      <c r="AN285" s="289">
        <f t="shared" si="10"/>
        <v>0.11494268074166074</v>
      </c>
      <c r="AO285" s="289">
        <f t="shared" si="10"/>
        <v>0.10351220318167116</v>
      </c>
      <c r="AP285" s="289">
        <f t="shared" si="10"/>
        <v>0.10615779573766881</v>
      </c>
      <c r="AQ285" s="289">
        <f t="shared" si="10"/>
        <v>0.11980975435425012</v>
      </c>
      <c r="AR285" s="289">
        <f t="shared" si="10"/>
        <v>0.1175189688938283</v>
      </c>
      <c r="AS285" s="289">
        <f t="shared" si="10"/>
        <v>0.10594490020679879</v>
      </c>
      <c r="AT285" s="289">
        <f t="shared" si="10"/>
        <v>0.10087858570586997</v>
      </c>
      <c r="AU285" s="289">
        <f t="shared" si="10"/>
        <v>9.7231063155432881E-2</v>
      </c>
      <c r="AV285" s="289">
        <f t="shared" si="10"/>
        <v>0.1093216096158947</v>
      </c>
      <c r="AW285" s="289">
        <f t="shared" si="10"/>
        <v>0.11829055570052083</v>
      </c>
      <c r="AX285" s="289">
        <f t="shared" si="10"/>
        <v>0.11845823238286093</v>
      </c>
      <c r="AY285" s="289">
        <f t="shared" si="10"/>
        <v>0.15558930979097224</v>
      </c>
      <c r="AZ285" s="289">
        <f t="shared" si="10"/>
        <v>0.1645265974614028</v>
      </c>
      <c r="BA285" s="289">
        <f t="shared" si="10"/>
        <v>0.18147612066995014</v>
      </c>
      <c r="BB285" s="289">
        <f t="shared" si="10"/>
        <v>0.200443222296531</v>
      </c>
      <c r="BC285" s="289">
        <f t="shared" si="7"/>
        <v>0.200443222296531</v>
      </c>
    </row>
    <row r="286" spans="2:55">
      <c r="B286" s="72" t="s">
        <v>472</v>
      </c>
      <c r="C286" s="72" t="s">
        <v>473</v>
      </c>
      <c r="D286" s="289">
        <f t="shared" si="4"/>
        <v>0</v>
      </c>
      <c r="E286" s="289">
        <f t="shared" si="10"/>
        <v>0</v>
      </c>
      <c r="F286" s="289">
        <f t="shared" si="10"/>
        <v>0</v>
      </c>
      <c r="G286" s="289">
        <f t="shared" si="10"/>
        <v>0</v>
      </c>
      <c r="H286" s="289">
        <f t="shared" si="10"/>
        <v>9.0813728779251424E-2</v>
      </c>
      <c r="I286" s="289">
        <f t="shared" si="10"/>
        <v>8.640763947015756E-2</v>
      </c>
      <c r="J286" s="289">
        <f t="shared" si="10"/>
        <v>8.7372753573022807E-2</v>
      </c>
      <c r="K286" s="289">
        <f t="shared" si="10"/>
        <v>0.10091201385771517</v>
      </c>
      <c r="L286" s="289">
        <f t="shared" si="10"/>
        <v>0.10264371952762251</v>
      </c>
      <c r="M286" s="289">
        <f t="shared" si="10"/>
        <v>9.9464267355500166E-2</v>
      </c>
      <c r="N286" s="289">
        <f t="shared" si="10"/>
        <v>9.8597815199923694E-2</v>
      </c>
      <c r="O286" s="289">
        <f t="shared" si="10"/>
        <v>0.10151935699795782</v>
      </c>
      <c r="P286" s="289">
        <f t="shared" si="10"/>
        <v>0.1157531171565785</v>
      </c>
      <c r="Q286" s="289">
        <f t="shared" si="10"/>
        <v>0.15913873617680172</v>
      </c>
      <c r="R286" s="289">
        <f t="shared" si="10"/>
        <v>0.15146329517045706</v>
      </c>
      <c r="S286" s="289">
        <f t="shared" si="10"/>
        <v>0.185717459771265</v>
      </c>
      <c r="T286" s="289">
        <f t="shared" si="10"/>
        <v>0.18570045980515348</v>
      </c>
      <c r="U286" s="289">
        <f t="shared" si="10"/>
        <v>0.15433232643719066</v>
      </c>
      <c r="V286" s="289">
        <f t="shared" si="10"/>
        <v>0.14246937504960361</v>
      </c>
      <c r="W286" s="289">
        <f t="shared" si="10"/>
        <v>0.12514898340505806</v>
      </c>
      <c r="X286" s="289">
        <f t="shared" si="10"/>
        <v>0.12454615009246593</v>
      </c>
      <c r="Y286" s="289">
        <f t="shared" si="10"/>
        <v>0.14386082352732796</v>
      </c>
      <c r="Z286" s="289">
        <f t="shared" si="10"/>
        <v>0.16476964815982106</v>
      </c>
      <c r="AA286" s="289">
        <f t="shared" si="10"/>
        <v>0.17936734537942225</v>
      </c>
      <c r="AB286" s="289">
        <f t="shared" si="10"/>
        <v>0.17851896092591885</v>
      </c>
      <c r="AC286" s="289">
        <f t="shared" si="10"/>
        <v>0.15489237101006906</v>
      </c>
      <c r="AD286" s="289">
        <f t="shared" si="10"/>
        <v>0.10401426851036605</v>
      </c>
      <c r="AE286" s="289">
        <f t="shared" si="10"/>
        <v>7.7719777655061731E-2</v>
      </c>
      <c r="AF286" s="289">
        <f t="shared" si="10"/>
        <v>7.5483841859619802E-2</v>
      </c>
      <c r="AG286" s="289">
        <f t="shared" si="10"/>
        <v>6.679356035596283E-2</v>
      </c>
      <c r="AH286" s="289">
        <f t="shared" si="10"/>
        <v>5.8278888279753895E-2</v>
      </c>
      <c r="AI286" s="289">
        <f t="shared" si="10"/>
        <v>5.9795250601490789E-2</v>
      </c>
      <c r="AJ286" s="289">
        <f t="shared" si="10"/>
        <v>6.6096893236218507E-2</v>
      </c>
      <c r="AK286" s="289">
        <f t="shared" si="10"/>
        <v>6.1278795131492259E-2</v>
      </c>
      <c r="AL286" s="289">
        <f t="shared" si="10"/>
        <v>6.2863024159483055E-2</v>
      </c>
      <c r="AM286" s="289">
        <f t="shared" si="10"/>
        <v>6.7417978967272585E-2</v>
      </c>
      <c r="AN286" s="289">
        <f t="shared" si="10"/>
        <v>6.1083929993881347E-2</v>
      </c>
      <c r="AO286" s="289">
        <f t="shared" si="10"/>
        <v>5.7868607206624699E-2</v>
      </c>
      <c r="AP286" s="289">
        <f t="shared" si="10"/>
        <v>5.8613241978410821E-2</v>
      </c>
      <c r="AQ286" s="289">
        <f t="shared" si="10"/>
        <v>6.2364163644349768E-2</v>
      </c>
      <c r="AR286" s="289">
        <f t="shared" si="10"/>
        <v>6.2255171181045801E-2</v>
      </c>
      <c r="AS286" s="289">
        <f t="shared" si="10"/>
        <v>5.5109143663321265E-2</v>
      </c>
      <c r="AT286" s="289">
        <f t="shared" si="10"/>
        <v>5.2201083124186635E-2</v>
      </c>
      <c r="AU286" s="289">
        <f t="shared" si="10"/>
        <v>5.0193268933952005E-2</v>
      </c>
      <c r="AV286" s="289">
        <f t="shared" si="10"/>
        <v>5.4808121858825914E-2</v>
      </c>
      <c r="AW286" s="289">
        <f t="shared" si="10"/>
        <v>5.936423471626727E-2</v>
      </c>
      <c r="AX286" s="289">
        <f t="shared" si="10"/>
        <v>6.2026263701744556E-2</v>
      </c>
      <c r="AY286" s="289">
        <f t="shared" si="10"/>
        <v>8.1270506264863276E-2</v>
      </c>
      <c r="AZ286" s="289">
        <f t="shared" si="10"/>
        <v>9.2320103119692937E-2</v>
      </c>
      <c r="BA286" s="289">
        <f t="shared" si="10"/>
        <v>0.10013182357465536</v>
      </c>
      <c r="BB286" s="289">
        <f t="shared" si="10"/>
        <v>0</v>
      </c>
      <c r="BC286" s="289">
        <f t="shared" si="7"/>
        <v>0</v>
      </c>
    </row>
    <row r="287" spans="2:55">
      <c r="B287" s="72" t="s">
        <v>474</v>
      </c>
      <c r="C287" s="72" t="s">
        <v>475</v>
      </c>
      <c r="D287" s="289">
        <f t="shared" si="4"/>
        <v>9.7761519444662284E-2</v>
      </c>
      <c r="E287" s="289">
        <f t="shared" si="10"/>
        <v>9.4646503150034353E-2</v>
      </c>
      <c r="F287" s="289">
        <f t="shared" si="10"/>
        <v>9.313147693193119E-2</v>
      </c>
      <c r="G287" s="289">
        <f t="shared" si="10"/>
        <v>9.449100749106068E-2</v>
      </c>
      <c r="H287" s="289">
        <f t="shared" si="10"/>
        <v>0.10203190948503772</v>
      </c>
      <c r="I287" s="289">
        <f t="shared" si="10"/>
        <v>9.7170812890688088E-2</v>
      </c>
      <c r="J287" s="289">
        <f t="shared" si="10"/>
        <v>9.4355568202541748E-2</v>
      </c>
      <c r="K287" s="289">
        <f t="shared" si="10"/>
        <v>0.10419428787079112</v>
      </c>
      <c r="L287" s="289">
        <f t="shared" si="10"/>
        <v>0.10621197615523011</v>
      </c>
      <c r="M287" s="289">
        <f t="shared" si="10"/>
        <v>0.10316778095669585</v>
      </c>
      <c r="N287" s="289">
        <f t="shared" si="10"/>
        <v>9.6801675629523576E-2</v>
      </c>
      <c r="O287" s="289">
        <f t="shared" si="10"/>
        <v>9.3109723682563345E-2</v>
      </c>
      <c r="P287" s="289">
        <f t="shared" si="10"/>
        <v>0.10288172345913824</v>
      </c>
      <c r="Q287" s="289">
        <f t="shared" si="10"/>
        <v>0.11815564484657932</v>
      </c>
      <c r="R287" s="289">
        <f t="shared" si="10"/>
        <v>0.10506062388953617</v>
      </c>
      <c r="S287" s="289">
        <f t="shared" si="10"/>
        <v>0.1174555057947337</v>
      </c>
      <c r="T287" s="289">
        <f t="shared" si="10"/>
        <v>0.11509690341015846</v>
      </c>
      <c r="U287" s="289">
        <f t="shared" si="10"/>
        <v>9.6664631537881587E-2</v>
      </c>
      <c r="V287" s="289">
        <f t="shared" si="10"/>
        <v>8.7157952722971332E-2</v>
      </c>
      <c r="W287" s="289">
        <f t="shared" si="10"/>
        <v>7.8128445585673167E-2</v>
      </c>
      <c r="X287" s="289">
        <f t="shared" si="10"/>
        <v>8.7156679301954809E-2</v>
      </c>
      <c r="Y287" s="289">
        <f t="shared" si="10"/>
        <v>8.8503827521249162E-2</v>
      </c>
      <c r="Z287" s="289">
        <f t="shared" si="10"/>
        <v>8.9578136054042704E-2</v>
      </c>
      <c r="AA287" s="289">
        <f t="shared" si="10"/>
        <v>9.4859628286488043E-2</v>
      </c>
      <c r="AB287" s="289">
        <f t="shared" si="10"/>
        <v>9.2706217982785916E-2</v>
      </c>
      <c r="AC287" s="289">
        <f t="shared" si="10"/>
        <v>7.731879825100256E-2</v>
      </c>
      <c r="AD287" s="289">
        <f t="shared" si="10"/>
        <v>6.3665859758786567E-2</v>
      </c>
      <c r="AE287" s="289">
        <f t="shared" si="10"/>
        <v>5.5647098628153521E-2</v>
      </c>
      <c r="AF287" s="289">
        <f t="shared" si="10"/>
        <v>5.7855753777582369E-2</v>
      </c>
      <c r="AG287" s="289">
        <f t="shared" si="10"/>
        <v>5.2857748900862055E-2</v>
      </c>
      <c r="AH287" s="289">
        <f t="shared" si="10"/>
        <v>5.0618570667820106E-2</v>
      </c>
      <c r="AI287" s="289">
        <f t="shared" si="10"/>
        <v>5.0569035131904236E-2</v>
      </c>
      <c r="AJ287" s="289">
        <f t="shared" si="10"/>
        <v>5.7795940397579799E-2</v>
      </c>
      <c r="AK287" s="289">
        <f t="shared" si="10"/>
        <v>5.8335994579203077E-2</v>
      </c>
      <c r="AL287" s="289">
        <f t="shared" si="10"/>
        <v>5.8840635697580329E-2</v>
      </c>
      <c r="AM287" s="289">
        <f t="shared" si="10"/>
        <v>6.0009749311420335E-2</v>
      </c>
      <c r="AN287" s="289">
        <f t="shared" ref="E287:BB292" si="11">AN37/AN$251</f>
        <v>5.5908125833185808E-2</v>
      </c>
      <c r="AO287" s="289">
        <f t="shared" si="11"/>
        <v>4.9945585649533289E-2</v>
      </c>
      <c r="AP287" s="289">
        <f t="shared" si="11"/>
        <v>4.6743838575888867E-2</v>
      </c>
      <c r="AQ287" s="289">
        <f t="shared" si="11"/>
        <v>5.1613390573171075E-2</v>
      </c>
      <c r="AR287" s="289">
        <f t="shared" si="11"/>
        <v>5.1907242683971205E-2</v>
      </c>
      <c r="AS287" s="289">
        <f t="shared" si="11"/>
        <v>4.8091294587530101E-2</v>
      </c>
      <c r="AT287" s="289">
        <f t="shared" si="11"/>
        <v>4.7113947553116889E-2</v>
      </c>
      <c r="AU287" s="289">
        <f t="shared" si="11"/>
        <v>4.7002918041687165E-2</v>
      </c>
      <c r="AV287" s="289">
        <f t="shared" si="11"/>
        <v>5.3247867286348852E-2</v>
      </c>
      <c r="AW287" s="289">
        <f t="shared" si="11"/>
        <v>5.8988300196501739E-2</v>
      </c>
      <c r="AX287" s="289">
        <f t="shared" si="11"/>
        <v>6.3125074129509892E-2</v>
      </c>
      <c r="AY287" s="289">
        <f t="shared" si="11"/>
        <v>8.0247455949274626E-2</v>
      </c>
      <c r="AZ287" s="289">
        <f t="shared" si="11"/>
        <v>9.3884795988023892E-2</v>
      </c>
      <c r="BA287" s="289">
        <f t="shared" si="11"/>
        <v>0.10933831586765382</v>
      </c>
      <c r="BB287" s="289">
        <f t="shared" si="11"/>
        <v>0.11734266530511596</v>
      </c>
      <c r="BC287" s="289">
        <f t="shared" si="7"/>
        <v>0.11734266530511596</v>
      </c>
    </row>
    <row r="288" spans="2:55">
      <c r="B288" s="72" t="s">
        <v>335</v>
      </c>
      <c r="C288" s="72" t="s">
        <v>476</v>
      </c>
      <c r="D288" s="289">
        <f t="shared" si="4"/>
        <v>1.9763425111466744</v>
      </c>
      <c r="E288" s="289">
        <f t="shared" si="11"/>
        <v>2.0020061728261016</v>
      </c>
      <c r="F288" s="289">
        <f t="shared" si="11"/>
        <v>1.9791578507076597</v>
      </c>
      <c r="G288" s="289">
        <f t="shared" si="11"/>
        <v>1.9320843912515471</v>
      </c>
      <c r="H288" s="289">
        <f t="shared" si="11"/>
        <v>1.9338203292773923</v>
      </c>
      <c r="I288" s="289">
        <f t="shared" si="11"/>
        <v>1.981419616986182</v>
      </c>
      <c r="J288" s="289">
        <f t="shared" si="11"/>
        <v>2.0065810799985697</v>
      </c>
      <c r="K288" s="289">
        <f t="shared" si="11"/>
        <v>2.3148492909329477</v>
      </c>
      <c r="L288" s="289">
        <f t="shared" si="11"/>
        <v>2.3120920505846811</v>
      </c>
      <c r="M288" s="289">
        <f t="shared" si="11"/>
        <v>2.1890795976791702</v>
      </c>
      <c r="N288" s="289">
        <f t="shared" si="11"/>
        <v>2.0901513322578436</v>
      </c>
      <c r="O288" s="289">
        <f t="shared" si="11"/>
        <v>1.9921219594551844</v>
      </c>
      <c r="P288" s="289">
        <f t="shared" si="11"/>
        <v>1.9632241143288025</v>
      </c>
      <c r="Q288" s="289">
        <f t="shared" si="11"/>
        <v>1.974975118562887</v>
      </c>
      <c r="R288" s="289">
        <f t="shared" si="11"/>
        <v>1.7837907496560621</v>
      </c>
      <c r="S288" s="289">
        <f t="shared" si="11"/>
        <v>2.0610847233325216</v>
      </c>
      <c r="T288" s="289">
        <f t="shared" si="11"/>
        <v>1.9937828036504339</v>
      </c>
      <c r="U288" s="289">
        <f t="shared" si="11"/>
        <v>1.7455694635126904</v>
      </c>
      <c r="V288" s="289">
        <f t="shared" si="11"/>
        <v>1.4855543370372215</v>
      </c>
      <c r="W288" s="289">
        <f t="shared" si="11"/>
        <v>1.2530156054440365</v>
      </c>
      <c r="X288" s="289">
        <f t="shared" si="11"/>
        <v>1.4639567135384863</v>
      </c>
      <c r="Y288" s="289">
        <f t="shared" si="11"/>
        <v>1.5788120527302962</v>
      </c>
      <c r="Z288" s="289">
        <f t="shared" si="11"/>
        <v>1.7921780385746475</v>
      </c>
      <c r="AA288" s="289">
        <f t="shared" si="11"/>
        <v>2.08824475186197</v>
      </c>
      <c r="AB288" s="289">
        <f t="shared" si="11"/>
        <v>2.0960100717786725</v>
      </c>
      <c r="AC288" s="289">
        <f t="shared" si="11"/>
        <v>1.7885634754158433</v>
      </c>
      <c r="AD288" s="289">
        <f t="shared" si="11"/>
        <v>1.5443907835859247</v>
      </c>
      <c r="AE288" s="289">
        <f t="shared" si="11"/>
        <v>1.370328259741304</v>
      </c>
      <c r="AF288" s="289">
        <f t="shared" si="11"/>
        <v>1.4521487957298373</v>
      </c>
      <c r="AG288" s="289">
        <f t="shared" si="11"/>
        <v>1.2908055977377735</v>
      </c>
      <c r="AH288" s="289">
        <f t="shared" si="11"/>
        <v>1.2630280223371981</v>
      </c>
      <c r="AI288" s="289">
        <f t="shared" si="11"/>
        <v>1.2659285347679474</v>
      </c>
      <c r="AJ288" s="289">
        <f t="shared" si="11"/>
        <v>1.4561100264118267</v>
      </c>
      <c r="AK288" s="289">
        <f t="shared" si="11"/>
        <v>1.411075608609494</v>
      </c>
      <c r="AL288" s="289">
        <f t="shared" si="11"/>
        <v>1.344855608590896</v>
      </c>
      <c r="AM288" s="289">
        <f t="shared" si="11"/>
        <v>1.3342026973479681</v>
      </c>
      <c r="AN288" s="289">
        <f t="shared" si="11"/>
        <v>1.2528473470801791</v>
      </c>
      <c r="AO288" s="289">
        <f t="shared" si="11"/>
        <v>1.2231930703517675</v>
      </c>
      <c r="AP288" s="289">
        <f t="shared" si="11"/>
        <v>1.2561240575394859</v>
      </c>
      <c r="AQ288" s="289">
        <f t="shared" si="11"/>
        <v>1.3550109489638646</v>
      </c>
      <c r="AR288" s="289">
        <f t="shared" si="11"/>
        <v>1.3950908270509759</v>
      </c>
      <c r="AS288" s="289">
        <f t="shared" si="11"/>
        <v>1.3152553659296464</v>
      </c>
      <c r="AT288" s="289">
        <f t="shared" si="11"/>
        <v>1.1927758874742898</v>
      </c>
      <c r="AU288" s="289">
        <f t="shared" si="11"/>
        <v>1.0732824549914561</v>
      </c>
      <c r="AV288" s="289">
        <f t="shared" si="11"/>
        <v>1.0962550246736797</v>
      </c>
      <c r="AW288" s="289">
        <f t="shared" si="11"/>
        <v>1.0894422381809199</v>
      </c>
      <c r="AX288" s="289">
        <f t="shared" si="11"/>
        <v>0.99399647969434735</v>
      </c>
      <c r="AY288" s="289">
        <f t="shared" si="11"/>
        <v>1.0801461774921739</v>
      </c>
      <c r="AZ288" s="289">
        <f t="shared" si="11"/>
        <v>1.2666970752179225</v>
      </c>
      <c r="BA288" s="289">
        <f t="shared" si="11"/>
        <v>1.2847610292373499</v>
      </c>
      <c r="BB288" s="289">
        <f t="shared" si="11"/>
        <v>1.2383401237836038</v>
      </c>
      <c r="BC288" s="289">
        <f t="shared" si="7"/>
        <v>1.2383401237836038</v>
      </c>
    </row>
    <row r="289" spans="2:55">
      <c r="B289" s="72" t="s">
        <v>477</v>
      </c>
      <c r="C289" s="72" t="s">
        <v>478</v>
      </c>
      <c r="D289" s="289">
        <f t="shared" si="4"/>
        <v>0</v>
      </c>
      <c r="E289" s="289">
        <f t="shared" si="11"/>
        <v>0</v>
      </c>
      <c r="F289" s="289">
        <f t="shared" si="11"/>
        <v>0</v>
      </c>
      <c r="G289" s="289">
        <f t="shared" si="11"/>
        <v>0</v>
      </c>
      <c r="H289" s="289">
        <f t="shared" si="11"/>
        <v>0</v>
      </c>
      <c r="I289" s="289">
        <f t="shared" si="11"/>
        <v>0</v>
      </c>
      <c r="J289" s="289">
        <f t="shared" si="11"/>
        <v>0</v>
      </c>
      <c r="K289" s="289">
        <f t="shared" si="11"/>
        <v>0</v>
      </c>
      <c r="L289" s="289">
        <f t="shared" si="11"/>
        <v>0</v>
      </c>
      <c r="M289" s="289">
        <f t="shared" si="11"/>
        <v>0</v>
      </c>
      <c r="N289" s="289">
        <f t="shared" si="11"/>
        <v>0</v>
      </c>
      <c r="O289" s="289">
        <f t="shared" si="11"/>
        <v>0</v>
      </c>
      <c r="P289" s="289">
        <f t="shared" si="11"/>
        <v>0</v>
      </c>
      <c r="Q289" s="289">
        <f t="shared" si="11"/>
        <v>0</v>
      </c>
      <c r="R289" s="289">
        <f t="shared" si="11"/>
        <v>0</v>
      </c>
      <c r="S289" s="289">
        <f t="shared" si="11"/>
        <v>0</v>
      </c>
      <c r="T289" s="289">
        <f t="shared" si="11"/>
        <v>0</v>
      </c>
      <c r="U289" s="289">
        <f t="shared" si="11"/>
        <v>0</v>
      </c>
      <c r="V289" s="289">
        <f t="shared" si="11"/>
        <v>0</v>
      </c>
      <c r="W289" s="289">
        <f t="shared" si="11"/>
        <v>0</v>
      </c>
      <c r="X289" s="289">
        <f t="shared" si="11"/>
        <v>0</v>
      </c>
      <c r="Y289" s="289">
        <f t="shared" si="11"/>
        <v>0</v>
      </c>
      <c r="Z289" s="289">
        <f t="shared" si="11"/>
        <v>0</v>
      </c>
      <c r="AA289" s="289">
        <f t="shared" si="11"/>
        <v>0</v>
      </c>
      <c r="AB289" s="289">
        <f t="shared" si="11"/>
        <v>0</v>
      </c>
      <c r="AC289" s="289">
        <f t="shared" si="11"/>
        <v>0</v>
      </c>
      <c r="AD289" s="289">
        <f t="shared" si="11"/>
        <v>0</v>
      </c>
      <c r="AE289" s="289">
        <f t="shared" si="11"/>
        <v>0</v>
      </c>
      <c r="AF289" s="289">
        <f t="shared" si="11"/>
        <v>0</v>
      </c>
      <c r="AG289" s="289">
        <f t="shared" si="11"/>
        <v>0</v>
      </c>
      <c r="AH289" s="289">
        <f t="shared" si="11"/>
        <v>0</v>
      </c>
      <c r="AI289" s="289">
        <f t="shared" si="11"/>
        <v>0</v>
      </c>
      <c r="AJ289" s="289">
        <f t="shared" si="11"/>
        <v>0</v>
      </c>
      <c r="AK289" s="289">
        <f t="shared" si="11"/>
        <v>0</v>
      </c>
      <c r="AL289" s="289">
        <f t="shared" si="11"/>
        <v>0</v>
      </c>
      <c r="AM289" s="289">
        <f t="shared" si="11"/>
        <v>0</v>
      </c>
      <c r="AN289" s="289">
        <f t="shared" si="11"/>
        <v>0</v>
      </c>
      <c r="AO289" s="289">
        <f t="shared" si="11"/>
        <v>0</v>
      </c>
      <c r="AP289" s="289">
        <f t="shared" si="11"/>
        <v>0</v>
      </c>
      <c r="AQ289" s="289">
        <f t="shared" si="11"/>
        <v>0</v>
      </c>
      <c r="AR289" s="289">
        <f t="shared" si="11"/>
        <v>0</v>
      </c>
      <c r="AS289" s="289">
        <f t="shared" si="11"/>
        <v>0</v>
      </c>
      <c r="AT289" s="289">
        <f t="shared" si="11"/>
        <v>0</v>
      </c>
      <c r="AU289" s="289">
        <f t="shared" si="11"/>
        <v>0</v>
      </c>
      <c r="AV289" s="289">
        <f t="shared" si="11"/>
        <v>0</v>
      </c>
      <c r="AW289" s="289">
        <f t="shared" si="11"/>
        <v>0</v>
      </c>
      <c r="AX289" s="289">
        <f t="shared" si="11"/>
        <v>0</v>
      </c>
      <c r="AY289" s="289">
        <f t="shared" si="11"/>
        <v>0</v>
      </c>
      <c r="AZ289" s="289">
        <f t="shared" si="11"/>
        <v>0</v>
      </c>
      <c r="BA289" s="289">
        <f t="shared" si="11"/>
        <v>0</v>
      </c>
      <c r="BB289" s="289">
        <f t="shared" si="11"/>
        <v>0</v>
      </c>
      <c r="BC289" s="289">
        <f t="shared" si="7"/>
        <v>0</v>
      </c>
    </row>
    <row r="290" spans="2:55">
      <c r="B290" s="72" t="s">
        <v>479</v>
      </c>
      <c r="C290" s="72" t="s">
        <v>480</v>
      </c>
      <c r="D290" s="289">
        <f t="shared" si="4"/>
        <v>0.95057672963115714</v>
      </c>
      <c r="E290" s="289">
        <f t="shared" si="11"/>
        <v>0.97225796650521368</v>
      </c>
      <c r="F290" s="289">
        <f t="shared" si="11"/>
        <v>0.98258510207601768</v>
      </c>
      <c r="G290" s="289">
        <f t="shared" si="11"/>
        <v>0.97640831252423688</v>
      </c>
      <c r="H290" s="289">
        <f t="shared" si="11"/>
        <v>0.9781115781777413</v>
      </c>
      <c r="I290" s="289">
        <f t="shared" si="11"/>
        <v>1.0028454983256843</v>
      </c>
      <c r="J290" s="289">
        <f t="shared" si="11"/>
        <v>1.0305519454758743</v>
      </c>
      <c r="K290" s="289">
        <f t="shared" si="11"/>
        <v>1.1791422170569612</v>
      </c>
      <c r="L290" s="289">
        <f t="shared" si="11"/>
        <v>1.1925060350577124</v>
      </c>
      <c r="M290" s="289">
        <f t="shared" si="11"/>
        <v>1.1596430499929535</v>
      </c>
      <c r="N290" s="289">
        <f t="shared" si="11"/>
        <v>1.1275525923964049</v>
      </c>
      <c r="O290" s="289">
        <f t="shared" si="11"/>
        <v>1.1316996940321751</v>
      </c>
      <c r="P290" s="289">
        <f t="shared" si="11"/>
        <v>1.2042362264961475</v>
      </c>
      <c r="Q290" s="289">
        <f t="shared" si="11"/>
        <v>1.2368747134802678</v>
      </c>
      <c r="R290" s="289">
        <f t="shared" si="11"/>
        <v>1.1492610509175529</v>
      </c>
      <c r="S290" s="289">
        <f t="shared" si="11"/>
        <v>1.2860127414962226</v>
      </c>
      <c r="T290" s="289">
        <f t="shared" si="11"/>
        <v>1.272624432705487</v>
      </c>
      <c r="U290" s="289">
        <f t="shared" si="11"/>
        <v>1.1947831864978822</v>
      </c>
      <c r="V290" s="289">
        <f t="shared" si="11"/>
        <v>1.0527506201564754</v>
      </c>
      <c r="W290" s="289">
        <f t="shared" si="11"/>
        <v>0.90383622162766653</v>
      </c>
      <c r="X290" s="289">
        <f t="shared" si="11"/>
        <v>0.95993874226873277</v>
      </c>
      <c r="Y290" s="289">
        <f t="shared" si="11"/>
        <v>0.98231458146208372</v>
      </c>
      <c r="Z290" s="289">
        <f t="shared" si="11"/>
        <v>1.0610289570303859</v>
      </c>
      <c r="AA290" s="289">
        <f t="shared" si="11"/>
        <v>1.1710854739803629</v>
      </c>
      <c r="AB290" s="289">
        <f t="shared" si="11"/>
        <v>1.1599038192279245</v>
      </c>
      <c r="AC290" s="289">
        <f t="shared" si="11"/>
        <v>1.1384537100886121</v>
      </c>
      <c r="AD290" s="289">
        <f t="shared" si="11"/>
        <v>1.0653365210888277</v>
      </c>
      <c r="AE290" s="289">
        <f t="shared" si="11"/>
        <v>0.98336252729020501</v>
      </c>
      <c r="AF290" s="289">
        <f t="shared" si="11"/>
        <v>1.0139837550022759</v>
      </c>
      <c r="AG290" s="289">
        <f t="shared" si="11"/>
        <v>0.96246436374647282</v>
      </c>
      <c r="AH290" s="289">
        <f t="shared" si="11"/>
        <v>0.97012205135951768</v>
      </c>
      <c r="AI290" s="289">
        <f t="shared" si="11"/>
        <v>1.0015194193932064</v>
      </c>
      <c r="AJ290" s="289">
        <f t="shared" si="11"/>
        <v>1.1191951656425223</v>
      </c>
      <c r="AK290" s="289">
        <f t="shared" si="11"/>
        <v>1.1000233827674164</v>
      </c>
      <c r="AL290" s="289">
        <f t="shared" si="11"/>
        <v>1.1020237929695236</v>
      </c>
      <c r="AM290" s="289">
        <f t="shared" si="11"/>
        <v>1.0468808707414583</v>
      </c>
      <c r="AN290" s="289">
        <f t="shared" si="11"/>
        <v>0.91522256040571703</v>
      </c>
      <c r="AO290" s="289">
        <f t="shared" si="11"/>
        <v>0.86099051143633054</v>
      </c>
      <c r="AP290" s="289">
        <f t="shared" si="11"/>
        <v>0.87668107647896221</v>
      </c>
      <c r="AQ290" s="289">
        <f t="shared" si="11"/>
        <v>0.90838081842163354</v>
      </c>
      <c r="AR290" s="289">
        <f t="shared" si="11"/>
        <v>0.9015680517076673</v>
      </c>
      <c r="AS290" s="289">
        <f t="shared" si="11"/>
        <v>0.86021826768878129</v>
      </c>
      <c r="AT290" s="289">
        <f t="shared" si="11"/>
        <v>0.83164580507347685</v>
      </c>
      <c r="AU290" s="289">
        <f t="shared" si="11"/>
        <v>0.77950900538402967</v>
      </c>
      <c r="AV290" s="289">
        <f t="shared" si="11"/>
        <v>0.78622705927462355</v>
      </c>
      <c r="AW290" s="289">
        <f t="shared" si="11"/>
        <v>0.77536065730633907</v>
      </c>
      <c r="AX290" s="289">
        <f t="shared" si="11"/>
        <v>0.73625916944439962</v>
      </c>
      <c r="AY290" s="289">
        <f t="shared" si="11"/>
        <v>0.8310044778566259</v>
      </c>
      <c r="AZ290" s="289">
        <f t="shared" si="11"/>
        <v>0.94202128267444663</v>
      </c>
      <c r="BA290" s="289">
        <f t="shared" si="11"/>
        <v>0.95493380929645622</v>
      </c>
      <c r="BB290" s="289">
        <f t="shared" si="11"/>
        <v>0.94763969965108452</v>
      </c>
      <c r="BC290" s="289">
        <f t="shared" si="7"/>
        <v>0.94763969965108452</v>
      </c>
    </row>
    <row r="291" spans="2:55">
      <c r="B291" s="72" t="s">
        <v>481</v>
      </c>
      <c r="C291" s="72" t="s">
        <v>482</v>
      </c>
      <c r="D291" s="289">
        <f t="shared" si="4"/>
        <v>0</v>
      </c>
      <c r="E291" s="289">
        <f t="shared" si="11"/>
        <v>0</v>
      </c>
      <c r="F291" s="289">
        <f t="shared" si="11"/>
        <v>0</v>
      </c>
      <c r="G291" s="289">
        <f t="shared" si="11"/>
        <v>0</v>
      </c>
      <c r="H291" s="289">
        <f t="shared" si="11"/>
        <v>0</v>
      </c>
      <c r="I291" s="289">
        <f t="shared" si="11"/>
        <v>0</v>
      </c>
      <c r="J291" s="289">
        <f t="shared" si="11"/>
        <v>0</v>
      </c>
      <c r="K291" s="289">
        <f t="shared" si="11"/>
        <v>0</v>
      </c>
      <c r="L291" s="289">
        <f t="shared" si="11"/>
        <v>0</v>
      </c>
      <c r="M291" s="289">
        <f t="shared" si="11"/>
        <v>0</v>
      </c>
      <c r="N291" s="289">
        <f t="shared" si="11"/>
        <v>0</v>
      </c>
      <c r="O291" s="289">
        <f t="shared" si="11"/>
        <v>0</v>
      </c>
      <c r="P291" s="289">
        <f t="shared" si="11"/>
        <v>0</v>
      </c>
      <c r="Q291" s="289">
        <f t="shared" si="11"/>
        <v>0</v>
      </c>
      <c r="R291" s="289">
        <f t="shared" si="11"/>
        <v>0</v>
      </c>
      <c r="S291" s="289">
        <f t="shared" si="11"/>
        <v>0.18683654296793722</v>
      </c>
      <c r="T291" s="289">
        <f t="shared" si="11"/>
        <v>0.16562356713384382</v>
      </c>
      <c r="U291" s="289">
        <f t="shared" si="11"/>
        <v>0.12991313004750624</v>
      </c>
      <c r="V291" s="289">
        <f t="shared" si="11"/>
        <v>0.12195000579260706</v>
      </c>
      <c r="W291" s="289">
        <f t="shared" si="11"/>
        <v>0.11872133210033547</v>
      </c>
      <c r="X291" s="289">
        <f t="shared" si="11"/>
        <v>0.11558436574852005</v>
      </c>
      <c r="Y291" s="289">
        <f t="shared" si="11"/>
        <v>0.11132002131476136</v>
      </c>
      <c r="Z291" s="289">
        <f t="shared" si="11"/>
        <v>0.11590364882664249</v>
      </c>
      <c r="AA291" s="289">
        <f t="shared" si="11"/>
        <v>0.11707515114953873</v>
      </c>
      <c r="AB291" s="289">
        <f t="shared" si="11"/>
        <v>9.9874724283128755E-2</v>
      </c>
      <c r="AC291" s="289">
        <f t="shared" si="11"/>
        <v>8.9779681498666178E-2</v>
      </c>
      <c r="AD291" s="289">
        <f t="shared" si="11"/>
        <v>8.3513014760241672E-2</v>
      </c>
      <c r="AE291" s="289">
        <f t="shared" si="11"/>
        <v>7.8344064676581629E-2</v>
      </c>
      <c r="AF291" s="289">
        <f t="shared" si="11"/>
        <v>8.1037777309217865E-2</v>
      </c>
      <c r="AG291" s="289">
        <f t="shared" si="11"/>
        <v>8.4831920318638773E-2</v>
      </c>
      <c r="AH291" s="289">
        <f t="shared" si="11"/>
        <v>8.1460578637067946E-2</v>
      </c>
      <c r="AI291" s="289">
        <f t="shared" si="11"/>
        <v>8.3261669776638111E-2</v>
      </c>
      <c r="AJ291" s="289">
        <f t="shared" si="11"/>
        <v>8.7175292368439877E-2</v>
      </c>
      <c r="AK291" s="289">
        <f t="shared" si="11"/>
        <v>8.1881106621262856E-2</v>
      </c>
      <c r="AL291" s="289">
        <f t="shared" si="11"/>
        <v>8.2983681786441735E-2</v>
      </c>
      <c r="AM291" s="289">
        <f t="shared" si="11"/>
        <v>8.1544178613010013E-2</v>
      </c>
      <c r="AN291" s="289">
        <f t="shared" si="11"/>
        <v>7.2599448687648588E-2</v>
      </c>
      <c r="AO291" s="289">
        <f t="shared" si="11"/>
        <v>6.3702249995964771E-2</v>
      </c>
      <c r="AP291" s="289">
        <f t="shared" si="11"/>
        <v>6.4916773564961311E-2</v>
      </c>
      <c r="AQ291" s="289">
        <f t="shared" si="11"/>
        <v>6.8386132247638676E-2</v>
      </c>
      <c r="AR291" s="289">
        <f t="shared" si="11"/>
        <v>6.8261081032632925E-2</v>
      </c>
      <c r="AS291" s="289">
        <f t="shared" si="11"/>
        <v>6.3573707863227621E-2</v>
      </c>
      <c r="AT291" s="289">
        <f t="shared" si="11"/>
        <v>6.9753817033629192E-2</v>
      </c>
      <c r="AU291" s="289">
        <f t="shared" si="11"/>
        <v>7.306346945547422E-2</v>
      </c>
      <c r="AV291" s="289">
        <f t="shared" si="11"/>
        <v>7.8529387487962912E-2</v>
      </c>
      <c r="AW291" s="289">
        <f t="shared" si="11"/>
        <v>8.0623109677218141E-2</v>
      </c>
      <c r="AX291" s="289">
        <f t="shared" si="11"/>
        <v>8.1824391208946509E-2</v>
      </c>
      <c r="AY291" s="289">
        <f t="shared" si="11"/>
        <v>0.10349165818005267</v>
      </c>
      <c r="AZ291" s="289">
        <f t="shared" si="11"/>
        <v>0.10548649822666041</v>
      </c>
      <c r="BA291" s="289">
        <f t="shared" si="11"/>
        <v>0.11972848609103462</v>
      </c>
      <c r="BB291" s="289">
        <f t="shared" si="11"/>
        <v>0.13038608554437775</v>
      </c>
      <c r="BC291" s="289">
        <f t="shared" si="7"/>
        <v>0.13038608554437775</v>
      </c>
    </row>
    <row r="292" spans="2:55">
      <c r="B292" s="72" t="s">
        <v>483</v>
      </c>
      <c r="C292" s="72" t="s">
        <v>484</v>
      </c>
      <c r="D292" s="289">
        <f t="shared" si="4"/>
        <v>0</v>
      </c>
      <c r="E292" s="289">
        <f t="shared" si="11"/>
        <v>0</v>
      </c>
      <c r="F292" s="289">
        <f t="shared" si="11"/>
        <v>0</v>
      </c>
      <c r="G292" s="289">
        <f t="shared" si="11"/>
        <v>0</v>
      </c>
      <c r="H292" s="289">
        <f t="shared" si="11"/>
        <v>0</v>
      </c>
      <c r="I292" s="289">
        <f t="shared" si="11"/>
        <v>0</v>
      </c>
      <c r="J292" s="289">
        <f t="shared" si="11"/>
        <v>0</v>
      </c>
      <c r="K292" s="289">
        <f t="shared" si="11"/>
        <v>0</v>
      </c>
      <c r="L292" s="289">
        <f t="shared" si="11"/>
        <v>0</v>
      </c>
      <c r="M292" s="289">
        <f t="shared" si="11"/>
        <v>0</v>
      </c>
      <c r="N292" s="289">
        <f t="shared" si="11"/>
        <v>0</v>
      </c>
      <c r="O292" s="289">
        <f t="shared" si="11"/>
        <v>0</v>
      </c>
      <c r="P292" s="289">
        <f t="shared" si="11"/>
        <v>0</v>
      </c>
      <c r="Q292" s="289">
        <f t="shared" si="11"/>
        <v>0</v>
      </c>
      <c r="R292" s="289">
        <f t="shared" si="11"/>
        <v>0.20775000298937665</v>
      </c>
      <c r="S292" s="289">
        <f t="shared" si="11"/>
        <v>0.2123819017545755</v>
      </c>
      <c r="T292" s="289">
        <f t="shared" si="11"/>
        <v>0.19216095373897976</v>
      </c>
      <c r="U292" s="289">
        <f t="shared" si="11"/>
        <v>0.17226017119931653</v>
      </c>
      <c r="V292" s="289">
        <f t="shared" si="11"/>
        <v>0.15913841439465831</v>
      </c>
      <c r="W292" s="289">
        <f t="shared" si="11"/>
        <v>0.1381297274710675</v>
      </c>
      <c r="X292" s="289">
        <f t="shared" si="11"/>
        <v>0.146417328683417</v>
      </c>
      <c r="Y292" s="289">
        <f t="shared" si="11"/>
        <v>0.14657012816483292</v>
      </c>
      <c r="Z292" s="289">
        <f t="shared" si="11"/>
        <v>0.14488345330377769</v>
      </c>
      <c r="AA292" s="289">
        <f t="shared" si="11"/>
        <v>0.16510428191648144</v>
      </c>
      <c r="AB292" s="289">
        <f t="shared" si="11"/>
        <v>0.14552394203550909</v>
      </c>
      <c r="AC292" s="289">
        <f t="shared" si="11"/>
        <v>0.1269351216216664</v>
      </c>
      <c r="AD292" s="289">
        <f t="shared" si="11"/>
        <v>0.10044791128871797</v>
      </c>
      <c r="AE292" s="289">
        <f t="shared" si="11"/>
        <v>8.5633483904966029E-2</v>
      </c>
      <c r="AF292" s="289">
        <f t="shared" si="11"/>
        <v>8.7824863949262838E-2</v>
      </c>
      <c r="AG292" s="289">
        <f t="shared" si="11"/>
        <v>7.9507254440524255E-2</v>
      </c>
      <c r="AH292" s="289">
        <f t="shared" si="11"/>
        <v>8.0504347563158801E-2</v>
      </c>
      <c r="AI292" s="289">
        <f t="shared" si="11"/>
        <v>8.4221695877288949E-2</v>
      </c>
      <c r="AJ292" s="289">
        <f t="shared" si="11"/>
        <v>9.7333960148305504E-2</v>
      </c>
      <c r="AK292" s="289">
        <f t="shared" si="11"/>
        <v>0.10202557959676103</v>
      </c>
      <c r="AL292" s="289">
        <f t="shared" si="11"/>
        <v>9.9727130884935927E-2</v>
      </c>
      <c r="AM292" s="289">
        <f t="shared" si="11"/>
        <v>0.1003460312227154</v>
      </c>
      <c r="AN292" s="289">
        <f t="shared" si="11"/>
        <v>8.8273015757119613E-2</v>
      </c>
      <c r="AO292" s="289">
        <f t="shared" si="11"/>
        <v>7.0256742829773955E-2</v>
      </c>
      <c r="AP292" s="289">
        <f t="shared" si="11"/>
        <v>7.3740206218013984E-2</v>
      </c>
      <c r="AQ292" s="289">
        <f t="shared" si="11"/>
        <v>6.8933805954960237E-2</v>
      </c>
      <c r="AR292" s="289">
        <f t="shared" si="11"/>
        <v>6.7001341357986507E-2</v>
      </c>
      <c r="AS292" s="289">
        <f t="shared" ref="E292:BB297" si="12">AS42/AS$251</f>
        <v>6.4189188483964071E-2</v>
      </c>
      <c r="AT292" s="289">
        <f t="shared" si="12"/>
        <v>6.4846711067337026E-2</v>
      </c>
      <c r="AU292" s="289">
        <f t="shared" si="12"/>
        <v>6.2845850904166486E-2</v>
      </c>
      <c r="AV292" s="289">
        <f t="shared" si="12"/>
        <v>6.5347479140552986E-2</v>
      </c>
      <c r="AW292" s="289">
        <f t="shared" si="12"/>
        <v>6.3947247990519429E-2</v>
      </c>
      <c r="AX292" s="289">
        <f t="shared" si="12"/>
        <v>6.0951024385347212E-2</v>
      </c>
      <c r="AY292" s="289">
        <f t="shared" si="12"/>
        <v>6.976227709796641E-2</v>
      </c>
      <c r="AZ292" s="289">
        <f t="shared" si="12"/>
        <v>7.3021321390819183E-2</v>
      </c>
      <c r="BA292" s="289">
        <f t="shared" si="12"/>
        <v>7.8336622744181447E-2</v>
      </c>
      <c r="BB292" s="289">
        <f t="shared" si="12"/>
        <v>8.3501953724883365E-2</v>
      </c>
      <c r="BC292" s="289">
        <f t="shared" si="7"/>
        <v>8.3501953724883365E-2</v>
      </c>
    </row>
    <row r="293" spans="2:55">
      <c r="B293" s="72" t="s">
        <v>485</v>
      </c>
      <c r="C293" s="72" t="s">
        <v>486</v>
      </c>
      <c r="D293" s="289">
        <f t="shared" si="4"/>
        <v>0.18186216580114264</v>
      </c>
      <c r="E293" s="289">
        <f t="shared" si="12"/>
        <v>0.18127312341666293</v>
      </c>
      <c r="F293" s="289">
        <f t="shared" si="12"/>
        <v>0.17777498230452604</v>
      </c>
      <c r="G293" s="289">
        <f t="shared" si="12"/>
        <v>0.17644593738125483</v>
      </c>
      <c r="H293" s="289">
        <f t="shared" si="12"/>
        <v>0.1763273807779504</v>
      </c>
      <c r="I293" s="289">
        <f t="shared" si="12"/>
        <v>0.17669150136897172</v>
      </c>
      <c r="J293" s="289">
        <f t="shared" si="12"/>
        <v>0.18042075065221397</v>
      </c>
      <c r="K293" s="289">
        <f t="shared" si="12"/>
        <v>0.1899090449595755</v>
      </c>
      <c r="L293" s="289">
        <f t="shared" si="12"/>
        <v>0.19001259614832067</v>
      </c>
      <c r="M293" s="289">
        <f t="shared" si="12"/>
        <v>0.18608396163545987</v>
      </c>
      <c r="N293" s="289">
        <f t="shared" si="12"/>
        <v>0.17870110824455102</v>
      </c>
      <c r="O293" s="289">
        <f t="shared" si="12"/>
        <v>0.17731618335276345</v>
      </c>
      <c r="P293" s="289">
        <f t="shared" si="12"/>
        <v>0.18324886148013636</v>
      </c>
      <c r="Q293" s="289">
        <f t="shared" si="12"/>
        <v>0.22967324132285788</v>
      </c>
      <c r="R293" s="289">
        <f t="shared" si="12"/>
        <v>0.22555285943099129</v>
      </c>
      <c r="S293" s="289">
        <f t="shared" si="12"/>
        <v>0.25166584978266238</v>
      </c>
      <c r="T293" s="289">
        <f t="shared" si="12"/>
        <v>0.24113481479521912</v>
      </c>
      <c r="U293" s="289">
        <f t="shared" si="12"/>
        <v>0.19241828966438682</v>
      </c>
      <c r="V293" s="289">
        <f t="shared" si="12"/>
        <v>0.17236757406655617</v>
      </c>
      <c r="W293" s="289">
        <f t="shared" si="12"/>
        <v>0.16341937629202902</v>
      </c>
      <c r="X293" s="289">
        <f t="shared" si="12"/>
        <v>0.17338481462873931</v>
      </c>
      <c r="Y293" s="289">
        <f t="shared" si="12"/>
        <v>0.18474984648680776</v>
      </c>
      <c r="Z293" s="289">
        <f t="shared" si="12"/>
        <v>0.19375642187781394</v>
      </c>
      <c r="AA293" s="289">
        <f t="shared" si="12"/>
        <v>0.19492359895912137</v>
      </c>
      <c r="AB293" s="289">
        <f t="shared" si="12"/>
        <v>0.17389272261551458</v>
      </c>
      <c r="AC293" s="289">
        <f t="shared" si="12"/>
        <v>0.13826043145224776</v>
      </c>
      <c r="AD293" s="289">
        <f t="shared" si="12"/>
        <v>0.12208058875852593</v>
      </c>
      <c r="AE293" s="289">
        <f t="shared" si="12"/>
        <v>0.10900593020834008</v>
      </c>
      <c r="AF293" s="289">
        <f t="shared" si="12"/>
        <v>0.11038353575133719</v>
      </c>
      <c r="AG293" s="289">
        <f t="shared" si="12"/>
        <v>0.10660802267186779</v>
      </c>
      <c r="AH293" s="289">
        <f t="shared" si="12"/>
        <v>0.10180215293494843</v>
      </c>
      <c r="AI293" s="289">
        <f t="shared" si="12"/>
        <v>0.10055286744709352</v>
      </c>
      <c r="AJ293" s="289">
        <f t="shared" si="12"/>
        <v>0.11008897025856153</v>
      </c>
      <c r="AK293" s="289">
        <f t="shared" si="12"/>
        <v>0.10579651906636146</v>
      </c>
      <c r="AL293" s="289">
        <f t="shared" si="12"/>
        <v>0.10622371426836053</v>
      </c>
      <c r="AM293" s="289">
        <f t="shared" si="12"/>
        <v>0.10639983029653698</v>
      </c>
      <c r="AN293" s="289">
        <f t="shared" si="12"/>
        <v>9.9319078797946922E-2</v>
      </c>
      <c r="AO293" s="289">
        <f t="shared" si="12"/>
        <v>9.2810512217270033E-2</v>
      </c>
      <c r="AP293" s="289">
        <f t="shared" si="12"/>
        <v>9.5015169502868022E-2</v>
      </c>
      <c r="AQ293" s="289">
        <f t="shared" si="12"/>
        <v>0.10167888046080369</v>
      </c>
      <c r="AR293" s="289">
        <f t="shared" si="12"/>
        <v>0.10265603098025786</v>
      </c>
      <c r="AS293" s="289">
        <f t="shared" si="12"/>
        <v>9.7027667313121249E-2</v>
      </c>
      <c r="AT293" s="289">
        <f t="shared" si="12"/>
        <v>9.7307668740050896E-2</v>
      </c>
      <c r="AU293" s="289">
        <f t="shared" si="12"/>
        <v>9.5404874399427991E-2</v>
      </c>
      <c r="AV293" s="289">
        <f t="shared" si="12"/>
        <v>0.10285331625187141</v>
      </c>
      <c r="AW293" s="289">
        <f t="shared" si="12"/>
        <v>0.10618195584143003</v>
      </c>
      <c r="AX293" s="289">
        <f t="shared" si="12"/>
        <v>0.10504626781605236</v>
      </c>
      <c r="AY293" s="289">
        <f t="shared" si="12"/>
        <v>0.12986945345687426</v>
      </c>
      <c r="AZ293" s="289">
        <f t="shared" si="12"/>
        <v>0.13297016451817881</v>
      </c>
      <c r="BA293" s="289">
        <f t="shared" si="12"/>
        <v>0.14482226881903648</v>
      </c>
      <c r="BB293" s="289">
        <f t="shared" si="12"/>
        <v>0.15070535912960165</v>
      </c>
      <c r="BC293" s="289">
        <f t="shared" si="7"/>
        <v>0.15070535912960165</v>
      </c>
    </row>
    <row r="294" spans="2:55">
      <c r="B294" s="72" t="s">
        <v>487</v>
      </c>
      <c r="C294" s="72" t="s">
        <v>488</v>
      </c>
      <c r="D294" s="289">
        <f t="shared" si="4"/>
        <v>4.5038850790281297E-2</v>
      </c>
      <c r="E294" s="289">
        <f t="shared" si="12"/>
        <v>4.2929631685731308E-2</v>
      </c>
      <c r="F294" s="289">
        <f t="shared" si="12"/>
        <v>4.4529881380240964E-2</v>
      </c>
      <c r="G294" s="289">
        <f t="shared" si="12"/>
        <v>4.5622123338624296E-2</v>
      </c>
      <c r="H294" s="289">
        <f t="shared" si="12"/>
        <v>6.3700391590170644E-2</v>
      </c>
      <c r="I294" s="289">
        <f t="shared" si="12"/>
        <v>4.9354836045345629E-2</v>
      </c>
      <c r="J294" s="289">
        <f t="shared" si="12"/>
        <v>5.1409699316242077E-2</v>
      </c>
      <c r="K294" s="289">
        <f t="shared" si="12"/>
        <v>5.6269743263548055E-2</v>
      </c>
      <c r="L294" s="289">
        <f t="shared" si="12"/>
        <v>5.6333787573711921E-2</v>
      </c>
      <c r="M294" s="289">
        <f t="shared" si="12"/>
        <v>5.3763022572863355E-2</v>
      </c>
      <c r="N294" s="289">
        <f t="shared" si="12"/>
        <v>4.9741026961356689E-2</v>
      </c>
      <c r="O294" s="289">
        <f t="shared" si="12"/>
        <v>4.3104397897996957E-2</v>
      </c>
      <c r="P294" s="289">
        <f t="shared" si="12"/>
        <v>4.2910445442540579E-2</v>
      </c>
      <c r="Q294" s="289">
        <f t="shared" si="12"/>
        <v>4.6840693784825804E-2</v>
      </c>
      <c r="R294" s="289">
        <f t="shared" si="12"/>
        <v>4.0761253282140399E-2</v>
      </c>
      <c r="S294" s="289">
        <f t="shared" si="12"/>
        <v>4.0438888938854764E-2</v>
      </c>
      <c r="T294" s="289">
        <f t="shared" si="12"/>
        <v>4.0461752808033324E-2</v>
      </c>
      <c r="U294" s="289">
        <f t="shared" si="12"/>
        <v>3.5453503174084848E-2</v>
      </c>
      <c r="V294" s="289">
        <f t="shared" si="12"/>
        <v>2.9830930615409132E-2</v>
      </c>
      <c r="W294" s="289">
        <f t="shared" si="12"/>
        <v>2.7444737277713346E-2</v>
      </c>
      <c r="X294" s="289">
        <f t="shared" si="12"/>
        <v>2.9820576725617904E-2</v>
      </c>
      <c r="Y294" s="289">
        <f t="shared" si="12"/>
        <v>3.1582917230767935E-2</v>
      </c>
      <c r="Z294" s="289">
        <f t="shared" si="12"/>
        <v>3.4435993793398692E-2</v>
      </c>
      <c r="AA294" s="289">
        <f t="shared" si="12"/>
        <v>3.5715076403721333E-2</v>
      </c>
      <c r="AB294" s="289">
        <f t="shared" si="12"/>
        <v>3.575492625368705E-2</v>
      </c>
      <c r="AC294" s="289">
        <f t="shared" si="12"/>
        <v>3.0185042173059631E-2</v>
      </c>
      <c r="AD294" s="289">
        <f t="shared" si="12"/>
        <v>2.6734837709989596E-2</v>
      </c>
      <c r="AE294" s="289">
        <f t="shared" si="12"/>
        <v>2.3132220727815279E-2</v>
      </c>
      <c r="AF294" s="289">
        <f t="shared" si="12"/>
        <v>2.2599996357820836E-2</v>
      </c>
      <c r="AG294" s="289">
        <f t="shared" si="12"/>
        <v>2.0295616790757993E-2</v>
      </c>
      <c r="AH294" s="289">
        <f t="shared" si="12"/>
        <v>1.70378003038438E-2</v>
      </c>
      <c r="AI294" s="289">
        <f t="shared" si="12"/>
        <v>1.7179091267153682E-2</v>
      </c>
      <c r="AJ294" s="289">
        <f t="shared" si="12"/>
        <v>1.8583660281503718E-2</v>
      </c>
      <c r="AK294" s="289">
        <f t="shared" si="12"/>
        <v>1.916443141539733E-2</v>
      </c>
      <c r="AL294" s="289">
        <f t="shared" si="12"/>
        <v>1.9175348638356026E-2</v>
      </c>
      <c r="AM294" s="289">
        <f t="shared" si="12"/>
        <v>1.9351777670124703E-2</v>
      </c>
      <c r="AN294" s="289">
        <f t="shared" si="12"/>
        <v>1.7800443163033149E-2</v>
      </c>
      <c r="AO294" s="289">
        <f t="shared" si="12"/>
        <v>1.6624771290445883E-2</v>
      </c>
      <c r="AP294" s="289">
        <f t="shared" si="12"/>
        <v>1.7008807426964149E-2</v>
      </c>
      <c r="AQ294" s="289">
        <f t="shared" si="12"/>
        <v>1.7775453446876071E-2</v>
      </c>
      <c r="AR294" s="289">
        <f t="shared" si="12"/>
        <v>1.8038541206224834E-2</v>
      </c>
      <c r="AS294" s="289">
        <f t="shared" si="12"/>
        <v>1.7193511065497966E-2</v>
      </c>
      <c r="AT294" s="289">
        <f t="shared" si="12"/>
        <v>1.712181455797156E-2</v>
      </c>
      <c r="AU294" s="289">
        <f t="shared" si="12"/>
        <v>1.6623488746361124E-2</v>
      </c>
      <c r="AV294" s="289">
        <f t="shared" si="12"/>
        <v>1.8064312530790282E-2</v>
      </c>
      <c r="AW294" s="289">
        <f t="shared" si="12"/>
        <v>1.9006360895246405E-2</v>
      </c>
      <c r="AX294" s="289">
        <f t="shared" si="12"/>
        <v>2.0769247604155716E-2</v>
      </c>
      <c r="AY294" s="289">
        <f t="shared" si="12"/>
        <v>2.2419363252097115E-2</v>
      </c>
      <c r="AZ294" s="289">
        <f t="shared" si="12"/>
        <v>2.9587930047894891E-2</v>
      </c>
      <c r="BA294" s="289">
        <f t="shared" si="12"/>
        <v>3.4560325434766781E-2</v>
      </c>
      <c r="BB294" s="289">
        <f t="shared" si="12"/>
        <v>3.5120372463478371E-2</v>
      </c>
      <c r="BC294" s="289">
        <f t="shared" si="7"/>
        <v>3.5120372463478371E-2</v>
      </c>
    </row>
    <row r="295" spans="2:55">
      <c r="B295" s="72" t="s">
        <v>489</v>
      </c>
      <c r="C295" s="72" t="s">
        <v>490</v>
      </c>
      <c r="D295" s="289">
        <f t="shared" si="4"/>
        <v>8.9978969927131169E-2</v>
      </c>
      <c r="E295" s="289">
        <f t="shared" si="12"/>
        <v>9.1413524061453755E-2</v>
      </c>
      <c r="F295" s="289">
        <f t="shared" si="12"/>
        <v>9.7308228070254216E-2</v>
      </c>
      <c r="G295" s="289">
        <f t="shared" si="12"/>
        <v>8.518208033103386E-2</v>
      </c>
      <c r="H295" s="289">
        <f t="shared" si="12"/>
        <v>8.6511788874804124E-2</v>
      </c>
      <c r="I295" s="289">
        <f t="shared" si="12"/>
        <v>8.6083030148339457E-2</v>
      </c>
      <c r="J295" s="289">
        <f t="shared" si="12"/>
        <v>8.0273499257100978E-2</v>
      </c>
      <c r="K295" s="289">
        <f t="shared" si="12"/>
        <v>8.9387939945582154E-2</v>
      </c>
      <c r="L295" s="289">
        <f t="shared" si="12"/>
        <v>9.3214130286637956E-2</v>
      </c>
      <c r="M295" s="289">
        <f t="shared" si="12"/>
        <v>9.6914697233838137E-2</v>
      </c>
      <c r="N295" s="289">
        <f t="shared" si="12"/>
        <v>8.5181962972565653E-2</v>
      </c>
      <c r="O295" s="289">
        <f t="shared" si="12"/>
        <v>8.1764243946121015E-2</v>
      </c>
      <c r="P295" s="289">
        <f t="shared" si="12"/>
        <v>9.0498877854350804E-2</v>
      </c>
      <c r="Q295" s="289">
        <f t="shared" si="12"/>
        <v>0.10637951976908011</v>
      </c>
      <c r="R295" s="289">
        <f t="shared" si="12"/>
        <v>9.5360404105524002E-2</v>
      </c>
      <c r="S295" s="289">
        <f t="shared" si="12"/>
        <v>0.10501153339604069</v>
      </c>
      <c r="T295" s="289">
        <f t="shared" si="12"/>
        <v>9.9305662944754972E-2</v>
      </c>
      <c r="U295" s="289">
        <f t="shared" si="12"/>
        <v>8.5134490254860862E-2</v>
      </c>
      <c r="V295" s="289">
        <f t="shared" si="12"/>
        <v>7.6256040712844822E-2</v>
      </c>
      <c r="W295" s="289">
        <f t="shared" si="12"/>
        <v>7.2828892522595987E-2</v>
      </c>
      <c r="X295" s="289">
        <f t="shared" si="12"/>
        <v>7.4554607920538488E-2</v>
      </c>
      <c r="Y295" s="289">
        <f t="shared" si="12"/>
        <v>7.0952957211695297E-2</v>
      </c>
      <c r="Z295" s="289">
        <f t="shared" si="12"/>
        <v>6.8039264192336524E-2</v>
      </c>
      <c r="AA295" s="289">
        <f t="shared" si="12"/>
        <v>6.7026632978698764E-2</v>
      </c>
      <c r="AB295" s="289">
        <f t="shared" si="12"/>
        <v>5.7509593181851788E-2</v>
      </c>
      <c r="AC295" s="289">
        <f t="shared" si="12"/>
        <v>5.0399554339649093E-2</v>
      </c>
      <c r="AD295" s="289">
        <f t="shared" si="12"/>
        <v>4.7270170781045631E-2</v>
      </c>
      <c r="AE295" s="289">
        <f t="shared" si="12"/>
        <v>3.9926921582477792E-2</v>
      </c>
      <c r="AF295" s="289">
        <f t="shared" si="12"/>
        <v>4.0054653843610857E-2</v>
      </c>
      <c r="AG295" s="289">
        <f t="shared" si="12"/>
        <v>3.3123935661951862E-2</v>
      </c>
      <c r="AH295" s="289">
        <f t="shared" si="12"/>
        <v>3.2105147866750922E-2</v>
      </c>
      <c r="AI295" s="289">
        <f t="shared" si="12"/>
        <v>3.016036384578381E-2</v>
      </c>
      <c r="AJ295" s="289">
        <f t="shared" si="12"/>
        <v>3.1186547125486557E-2</v>
      </c>
      <c r="AK295" s="289">
        <f t="shared" si="12"/>
        <v>2.7605670445483343E-2</v>
      </c>
      <c r="AL295" s="289">
        <f t="shared" si="12"/>
        <v>2.800483979465327E-2</v>
      </c>
      <c r="AM295" s="289">
        <f t="shared" si="12"/>
        <v>2.694703250592273E-2</v>
      </c>
      <c r="AN295" s="289">
        <f t="shared" si="12"/>
        <v>2.4087549271103497E-2</v>
      </c>
      <c r="AO295" s="289">
        <f t="shared" si="12"/>
        <v>2.0626330800620669E-2</v>
      </c>
      <c r="AP295" s="289">
        <f t="shared" si="12"/>
        <v>1.9694727416338507E-2</v>
      </c>
      <c r="AQ295" s="289">
        <f t="shared" si="12"/>
        <v>2.0170651645006508E-2</v>
      </c>
      <c r="AR295" s="289">
        <f t="shared" si="12"/>
        <v>1.9352447711957901E-2</v>
      </c>
      <c r="AS295" s="289">
        <f t="shared" si="12"/>
        <v>1.8240774052539453E-2</v>
      </c>
      <c r="AT295" s="289">
        <f t="shared" si="12"/>
        <v>1.994395922756885E-2</v>
      </c>
      <c r="AU295" s="289">
        <f t="shared" si="12"/>
        <v>2.0637232955693322E-2</v>
      </c>
      <c r="AV295" s="289">
        <f t="shared" si="12"/>
        <v>2.2704411457807831E-2</v>
      </c>
      <c r="AW295" s="289">
        <f t="shared" si="12"/>
        <v>2.4269702673774832E-2</v>
      </c>
      <c r="AX295" s="289">
        <f t="shared" si="12"/>
        <v>2.4004729736496689E-2</v>
      </c>
      <c r="AY295" s="289">
        <f t="shared" si="12"/>
        <v>2.8510609867776968E-2</v>
      </c>
      <c r="AZ295" s="289">
        <f t="shared" si="12"/>
        <v>3.1808476116393307E-2</v>
      </c>
      <c r="BA295" s="289">
        <f t="shared" si="12"/>
        <v>3.6853000758117246E-2</v>
      </c>
      <c r="BB295" s="289">
        <f t="shared" si="12"/>
        <v>3.7542563215407498E-2</v>
      </c>
      <c r="BC295" s="289">
        <f t="shared" si="7"/>
        <v>3.7542563215407498E-2</v>
      </c>
    </row>
    <row r="296" spans="2:55">
      <c r="B296" s="72" t="s">
        <v>491</v>
      </c>
      <c r="C296" s="72" t="s">
        <v>492</v>
      </c>
      <c r="D296" s="289">
        <f t="shared" si="4"/>
        <v>9.0081782277947192E-2</v>
      </c>
      <c r="E296" s="289">
        <f t="shared" si="12"/>
        <v>9.1516688190858342E-2</v>
      </c>
      <c r="F296" s="289">
        <f t="shared" si="12"/>
        <v>9.7415676540481583E-2</v>
      </c>
      <c r="G296" s="289">
        <f t="shared" si="12"/>
        <v>8.5269635533251897E-2</v>
      </c>
      <c r="H296" s="289">
        <f t="shared" si="12"/>
        <v>8.6480166795933761E-2</v>
      </c>
      <c r="I296" s="289">
        <f t="shared" si="12"/>
        <v>8.6053097281675844E-2</v>
      </c>
      <c r="J296" s="289">
        <f t="shared" si="12"/>
        <v>8.0237163459691077E-2</v>
      </c>
      <c r="K296" s="289">
        <f t="shared" si="12"/>
        <v>8.9368203915223321E-2</v>
      </c>
      <c r="L296" s="289">
        <f t="shared" si="12"/>
        <v>9.3211913159642876E-2</v>
      </c>
      <c r="M296" s="289">
        <f t="shared" si="12"/>
        <v>9.6931404120840309E-2</v>
      </c>
      <c r="N296" s="289">
        <f t="shared" si="12"/>
        <v>8.5196438741120831E-2</v>
      </c>
      <c r="O296" s="289">
        <f t="shared" si="12"/>
        <v>8.1783380619684667E-2</v>
      </c>
      <c r="P296" s="289">
        <f t="shared" si="12"/>
        <v>9.0517188466707463E-2</v>
      </c>
      <c r="Q296" s="289">
        <f t="shared" si="12"/>
        <v>0.1064060237252312</v>
      </c>
      <c r="R296" s="289">
        <f t="shared" si="12"/>
        <v>9.5378541861513524E-2</v>
      </c>
      <c r="S296" s="289">
        <f t="shared" si="12"/>
        <v>0.10503445725372643</v>
      </c>
      <c r="T296" s="289">
        <f t="shared" si="12"/>
        <v>9.9330112138988957E-2</v>
      </c>
      <c r="U296" s="289">
        <f t="shared" si="12"/>
        <v>8.5152824964133178E-2</v>
      </c>
      <c r="V296" s="289">
        <f t="shared" si="12"/>
        <v>7.6271158642989834E-2</v>
      </c>
      <c r="W296" s="289">
        <f t="shared" si="12"/>
        <v>7.2843201763384324E-2</v>
      </c>
      <c r="X296" s="289">
        <f t="shared" si="12"/>
        <v>7.4570337992984875E-2</v>
      </c>
      <c r="Y296" s="289">
        <f t="shared" si="12"/>
        <v>7.0969897243904054E-2</v>
      </c>
      <c r="Z296" s="289">
        <f t="shared" si="12"/>
        <v>6.8057821741881394E-2</v>
      </c>
      <c r="AA296" s="289">
        <f t="shared" si="12"/>
        <v>6.7047030988295508E-2</v>
      </c>
      <c r="AB296" s="289">
        <f t="shared" si="12"/>
        <v>5.7528452472680493E-2</v>
      </c>
      <c r="AC296" s="289">
        <f t="shared" si="12"/>
        <v>5.0414370198038495E-2</v>
      </c>
      <c r="AD296" s="289">
        <f t="shared" si="12"/>
        <v>4.7283901420291527E-2</v>
      </c>
      <c r="AE296" s="289">
        <f t="shared" si="12"/>
        <v>3.9938457870295117E-2</v>
      </c>
      <c r="AF296" s="289">
        <f t="shared" si="12"/>
        <v>4.0068975339717226E-2</v>
      </c>
      <c r="AG296" s="289">
        <f t="shared" si="12"/>
        <v>3.3133630987327793E-2</v>
      </c>
      <c r="AH296" s="289">
        <f t="shared" si="12"/>
        <v>3.2115333310503973E-2</v>
      </c>
      <c r="AI296" s="289">
        <f t="shared" si="12"/>
        <v>3.0167711159273778E-2</v>
      </c>
      <c r="AJ296" s="289">
        <f t="shared" si="12"/>
        <v>3.1193749240695873E-2</v>
      </c>
      <c r="AK296" s="289">
        <f t="shared" si="12"/>
        <v>2.7614442438353065E-2</v>
      </c>
      <c r="AL296" s="289">
        <f t="shared" si="12"/>
        <v>2.8012041272286604E-2</v>
      </c>
      <c r="AM296" s="289">
        <f t="shared" si="12"/>
        <v>2.6947023204812272E-2</v>
      </c>
      <c r="AN296" s="289">
        <f t="shared" si="12"/>
        <v>2.4071575799125746E-2</v>
      </c>
      <c r="AO296" s="289">
        <f t="shared" si="12"/>
        <v>2.0613403582476666E-2</v>
      </c>
      <c r="AP296" s="289">
        <f t="shared" si="12"/>
        <v>1.9657482734865037E-2</v>
      </c>
      <c r="AQ296" s="289">
        <f t="shared" si="12"/>
        <v>2.0111742189121061E-2</v>
      </c>
      <c r="AR296" s="289">
        <f t="shared" si="12"/>
        <v>1.9265035422127878E-2</v>
      </c>
      <c r="AS296" s="289">
        <f t="shared" si="12"/>
        <v>1.8141323140359367E-2</v>
      </c>
      <c r="AT296" s="289">
        <f t="shared" si="12"/>
        <v>1.9827434598476842E-2</v>
      </c>
      <c r="AU296" s="289">
        <f t="shared" si="12"/>
        <v>2.0459057708436749E-2</v>
      </c>
      <c r="AV296" s="289">
        <f t="shared" si="12"/>
        <v>2.2435954091193255E-2</v>
      </c>
      <c r="AW296" s="289">
        <f t="shared" si="12"/>
        <v>2.3981449364389056E-2</v>
      </c>
      <c r="AX296" s="289">
        <f t="shared" si="12"/>
        <v>2.36804852632806E-2</v>
      </c>
      <c r="AY296" s="289">
        <f t="shared" si="12"/>
        <v>2.8006144303178562E-2</v>
      </c>
      <c r="AZ296" s="289">
        <f t="shared" si="12"/>
        <v>3.1414804735074527E-2</v>
      </c>
      <c r="BA296" s="289">
        <f t="shared" si="12"/>
        <v>3.6409571842734356E-2</v>
      </c>
      <c r="BB296" s="289">
        <f t="shared" si="12"/>
        <v>3.6990160912680314E-2</v>
      </c>
      <c r="BC296" s="289">
        <f t="shared" si="7"/>
        <v>3.6990160912680314E-2</v>
      </c>
    </row>
    <row r="297" spans="2:55">
      <c r="B297" s="72" t="s">
        <v>493</v>
      </c>
      <c r="C297" s="72" t="s">
        <v>494</v>
      </c>
      <c r="D297" s="289">
        <f t="shared" si="4"/>
        <v>0.12807328846572164</v>
      </c>
      <c r="E297" s="289">
        <f t="shared" si="12"/>
        <v>0.12714729270848815</v>
      </c>
      <c r="F297" s="289">
        <f t="shared" si="12"/>
        <v>0.12325516258907969</v>
      </c>
      <c r="G297" s="289">
        <f t="shared" si="12"/>
        <v>0.12479725391829344</v>
      </c>
      <c r="H297" s="289">
        <f t="shared" si="12"/>
        <v>0.12618632738630806</v>
      </c>
      <c r="I297" s="289">
        <f t="shared" si="12"/>
        <v>0.12788891289064058</v>
      </c>
      <c r="J297" s="289">
        <f t="shared" si="12"/>
        <v>0.1224804488632813</v>
      </c>
      <c r="K297" s="289">
        <f t="shared" si="12"/>
        <v>0.13431024988553317</v>
      </c>
      <c r="L297" s="289">
        <f t="shared" si="12"/>
        <v>0.13712204257892699</v>
      </c>
      <c r="M297" s="289">
        <f t="shared" si="12"/>
        <v>0.1329317691950927</v>
      </c>
      <c r="N297" s="289">
        <f t="shared" si="12"/>
        <v>0.12653638020430441</v>
      </c>
      <c r="O297" s="289">
        <f t="shared" si="12"/>
        <v>0.12320040594270586</v>
      </c>
      <c r="P297" s="289">
        <f t="shared" si="12"/>
        <v>0.13980074911582135</v>
      </c>
      <c r="Q297" s="289">
        <f t="shared" si="12"/>
        <v>0.15954152487883469</v>
      </c>
      <c r="R297" s="289">
        <f t="shared" si="12"/>
        <v>0.1419843742743899</v>
      </c>
      <c r="S297" s="289">
        <f t="shared" si="12"/>
        <v>0.1572626855885518</v>
      </c>
      <c r="T297" s="289">
        <f t="shared" si="12"/>
        <v>0.15327428566658385</v>
      </c>
      <c r="U297" s="289">
        <f t="shared" si="12"/>
        <v>0.12747545831275239</v>
      </c>
      <c r="V297" s="289">
        <f t="shared" si="12"/>
        <v>0.11692774401556977</v>
      </c>
      <c r="W297" s="289">
        <f t="shared" si="12"/>
        <v>0.1026205177469896</v>
      </c>
      <c r="X297" s="289">
        <f t="shared" si="12"/>
        <v>0.11743959892113132</v>
      </c>
      <c r="Y297" s="289">
        <f t="shared" si="12"/>
        <v>0.11826789079831108</v>
      </c>
      <c r="Z297" s="289">
        <f t="shared" si="12"/>
        <v>0.11985012578665051</v>
      </c>
      <c r="AA297" s="289">
        <f t="shared" si="12"/>
        <v>0.12828799864945431</v>
      </c>
      <c r="AB297" s="289">
        <f t="shared" si="12"/>
        <v>0.12613902137014607</v>
      </c>
      <c r="AC297" s="289">
        <f t="shared" si="12"/>
        <v>0.1060075099055067</v>
      </c>
      <c r="AD297" s="289">
        <f t="shared" si="12"/>
        <v>8.5031067472107563E-2</v>
      </c>
      <c r="AE297" s="289">
        <f t="shared" si="12"/>
        <v>7.573176190584302E-2</v>
      </c>
      <c r="AF297" s="289">
        <f t="shared" si="12"/>
        <v>8.0552445463270478E-2</v>
      </c>
      <c r="AG297" s="289">
        <f t="shared" si="12"/>
        <v>7.4396908381460111E-2</v>
      </c>
      <c r="AH297" s="289">
        <f t="shared" si="12"/>
        <v>7.2645846104109124E-2</v>
      </c>
      <c r="AI297" s="289">
        <f t="shared" si="12"/>
        <v>7.2744790857639671E-2</v>
      </c>
      <c r="AJ297" s="289">
        <f t="shared" si="12"/>
        <v>8.4289509838305493E-2</v>
      </c>
      <c r="AK297" s="289">
        <f t="shared" si="12"/>
        <v>8.5768738416173759E-2</v>
      </c>
      <c r="AL297" s="289">
        <f t="shared" si="12"/>
        <v>8.6792058425174221E-2</v>
      </c>
      <c r="AM297" s="289">
        <f t="shared" si="12"/>
        <v>8.8737018001042375E-2</v>
      </c>
      <c r="AN297" s="289">
        <f t="shared" si="12"/>
        <v>8.3535799613162709E-2</v>
      </c>
      <c r="AO297" s="289">
        <f t="shared" si="12"/>
        <v>7.6294640285748241E-2</v>
      </c>
      <c r="AP297" s="289">
        <f t="shared" si="12"/>
        <v>6.9395147509038829E-2</v>
      </c>
      <c r="AQ297" s="289">
        <f t="shared" si="12"/>
        <v>7.7530366494094657E-2</v>
      </c>
      <c r="AR297" s="289">
        <f t="shared" si="12"/>
        <v>7.8298513198453629E-2</v>
      </c>
      <c r="AS297" s="289">
        <f t="shared" si="12"/>
        <v>7.1796750746608157E-2</v>
      </c>
      <c r="AT297" s="289">
        <f t="shared" si="12"/>
        <v>7.0570997159377827E-2</v>
      </c>
      <c r="AU297" s="289">
        <f t="shared" si="12"/>
        <v>7.1431171879472788E-2</v>
      </c>
      <c r="AV297" s="289">
        <f t="shared" si="12"/>
        <v>8.1972310746300653E-2</v>
      </c>
      <c r="AW297" s="289">
        <f t="shared" si="12"/>
        <v>9.1226254605885945E-2</v>
      </c>
      <c r="AX297" s="289">
        <f t="shared" ref="E297:BB302" si="13">AX47/AX$251</f>
        <v>9.8117335737851669E-2</v>
      </c>
      <c r="AY297" s="289">
        <f t="shared" si="13"/>
        <v>0.12738746435349527</v>
      </c>
      <c r="AZ297" s="289">
        <f t="shared" si="13"/>
        <v>0.14783469762002005</v>
      </c>
      <c r="BA297" s="289">
        <f t="shared" si="13"/>
        <v>0.17263427559456665</v>
      </c>
      <c r="BB297" s="289">
        <f t="shared" si="13"/>
        <v>0.18766040173598464</v>
      </c>
      <c r="BC297" s="289">
        <f t="shared" si="7"/>
        <v>0.18766040173598464</v>
      </c>
    </row>
    <row r="298" spans="2:55">
      <c r="B298" s="72" t="s">
        <v>495</v>
      </c>
      <c r="C298" s="72" t="s">
        <v>496</v>
      </c>
      <c r="D298" s="289">
        <f t="shared" si="4"/>
        <v>0.31206139490004109</v>
      </c>
      <c r="E298" s="289">
        <f t="shared" si="13"/>
        <v>0.31539418445310052</v>
      </c>
      <c r="F298" s="289">
        <f t="shared" si="13"/>
        <v>0.31585647619660057</v>
      </c>
      <c r="G298" s="289">
        <f t="shared" si="13"/>
        <v>0.31211546652041172</v>
      </c>
      <c r="H298" s="289">
        <f t="shared" si="13"/>
        <v>0.31540643653106587</v>
      </c>
      <c r="I298" s="289">
        <f t="shared" si="13"/>
        <v>0.31646806671228384</v>
      </c>
      <c r="J298" s="289">
        <f t="shared" si="13"/>
        <v>0.31945355384108554</v>
      </c>
      <c r="K298" s="289">
        <f t="shared" si="13"/>
        <v>0.36015914022802958</v>
      </c>
      <c r="L298" s="289">
        <f t="shared" si="13"/>
        <v>0.36219442707985161</v>
      </c>
      <c r="M298" s="289">
        <f t="shared" si="13"/>
        <v>0.34996960001576111</v>
      </c>
      <c r="N298" s="289">
        <f t="shared" si="13"/>
        <v>0.33622198008850368</v>
      </c>
      <c r="O298" s="289">
        <f t="shared" si="13"/>
        <v>0.33248470020262172</v>
      </c>
      <c r="P298" s="289">
        <f t="shared" si="13"/>
        <v>0.35361366897388968</v>
      </c>
      <c r="Q298" s="289">
        <f t="shared" si="13"/>
        <v>0.37079451332471641</v>
      </c>
      <c r="R298" s="289">
        <f t="shared" si="13"/>
        <v>0.33951595882696739</v>
      </c>
      <c r="S298" s="289">
        <f t="shared" si="13"/>
        <v>0.37787109827656762</v>
      </c>
      <c r="T298" s="289">
        <f t="shared" si="13"/>
        <v>0.37203437774376213</v>
      </c>
      <c r="U298" s="289">
        <f t="shared" si="13"/>
        <v>0.33965586092799477</v>
      </c>
      <c r="V298" s="289">
        <f t="shared" si="13"/>
        <v>0.29845201242678271</v>
      </c>
      <c r="W298" s="289">
        <f t="shared" si="13"/>
        <v>0.25759162917243789</v>
      </c>
      <c r="X298" s="289">
        <f t="shared" si="13"/>
        <v>0.27337267411082489</v>
      </c>
      <c r="Y298" s="289">
        <f t="shared" si="13"/>
        <v>0.27886049172098459</v>
      </c>
      <c r="Z298" s="289">
        <f t="shared" si="13"/>
        <v>0.2952427889673519</v>
      </c>
      <c r="AA298" s="289">
        <f t="shared" si="13"/>
        <v>0.32014576938686307</v>
      </c>
      <c r="AB298" s="289">
        <f t="shared" si="13"/>
        <v>0.31303723656937266</v>
      </c>
      <c r="AC298" s="289">
        <f t="shared" si="13"/>
        <v>0.29689700032376654</v>
      </c>
      <c r="AD298" s="289">
        <f t="shared" si="13"/>
        <v>0.27035170165826022</v>
      </c>
      <c r="AE298" s="289">
        <f t="shared" si="13"/>
        <v>0.24511044921159683</v>
      </c>
      <c r="AF298" s="289">
        <f t="shared" si="13"/>
        <v>0.25104061983829212</v>
      </c>
      <c r="AG298" s="289">
        <f t="shared" si="13"/>
        <v>0.23468968850938768</v>
      </c>
      <c r="AH298" s="289">
        <f t="shared" si="13"/>
        <v>0.2330351945308404</v>
      </c>
      <c r="AI298" s="289">
        <f t="shared" si="13"/>
        <v>0.23795331190365693</v>
      </c>
      <c r="AJ298" s="289">
        <f t="shared" si="13"/>
        <v>0.26505255458905524</v>
      </c>
      <c r="AK298" s="289">
        <f t="shared" si="13"/>
        <v>0.26079483028947431</v>
      </c>
      <c r="AL298" s="289">
        <f t="shared" si="13"/>
        <v>0.26135244828838372</v>
      </c>
      <c r="AM298" s="289">
        <f t="shared" si="13"/>
        <v>0.25011224911081159</v>
      </c>
      <c r="AN298" s="289">
        <f t="shared" si="13"/>
        <v>0.21987408893902785</v>
      </c>
      <c r="AO298" s="289">
        <f t="shared" si="13"/>
        <v>0.20277563987548597</v>
      </c>
      <c r="AP298" s="289">
        <f t="shared" si="13"/>
        <v>0.20242801208623082</v>
      </c>
      <c r="AQ298" s="289">
        <f t="shared" si="13"/>
        <v>0.21091339809913906</v>
      </c>
      <c r="AR298" s="289">
        <f t="shared" si="13"/>
        <v>0.20889082231908151</v>
      </c>
      <c r="AS298" s="289">
        <f t="shared" si="13"/>
        <v>0.1971981900224421</v>
      </c>
      <c r="AT298" s="289">
        <f t="shared" si="13"/>
        <v>0.18997587021645815</v>
      </c>
      <c r="AU298" s="289">
        <f t="shared" si="13"/>
        <v>0.17930345081273397</v>
      </c>
      <c r="AV298" s="289">
        <f t="shared" si="13"/>
        <v>0.18438705552228501</v>
      </c>
      <c r="AW298" s="289">
        <f t="shared" si="13"/>
        <v>0.18587014208252889</v>
      </c>
      <c r="AX298" s="289">
        <f t="shared" si="13"/>
        <v>0.18098075435631419</v>
      </c>
      <c r="AY298" s="289">
        <f t="shared" si="13"/>
        <v>0.21066886338816115</v>
      </c>
      <c r="AZ298" s="289">
        <f t="shared" si="13"/>
        <v>0.24057432998086609</v>
      </c>
      <c r="BA298" s="289">
        <f t="shared" si="13"/>
        <v>0.25281843840356977</v>
      </c>
      <c r="BB298" s="289">
        <f t="shared" si="13"/>
        <v>0.25705588628961568</v>
      </c>
      <c r="BC298" s="289">
        <f t="shared" si="7"/>
        <v>0.25705588628961568</v>
      </c>
    </row>
    <row r="299" spans="2:55">
      <c r="B299" s="72" t="s">
        <v>497</v>
      </c>
      <c r="C299" s="72" t="s">
        <v>498</v>
      </c>
      <c r="D299" s="289">
        <f t="shared" si="4"/>
        <v>3.8324914232316327E-2</v>
      </c>
      <c r="E299" s="289">
        <f t="shared" si="13"/>
        <v>3.5912920761399299E-2</v>
      </c>
      <c r="F299" s="289">
        <f t="shared" si="13"/>
        <v>4.5961387991534111E-2</v>
      </c>
      <c r="G299" s="289">
        <f t="shared" si="13"/>
        <v>4.4161574867397552E-2</v>
      </c>
      <c r="H299" s="289">
        <f t="shared" si="13"/>
        <v>5.0837942598989327E-2</v>
      </c>
      <c r="I299" s="289">
        <f t="shared" si="13"/>
        <v>6.5376958022617976E-2</v>
      </c>
      <c r="J299" s="289">
        <f t="shared" si="13"/>
        <v>7.4070530094853301E-2</v>
      </c>
      <c r="K299" s="289">
        <f t="shared" si="13"/>
        <v>6.3463572745971336E-2</v>
      </c>
      <c r="L299" s="289">
        <f t="shared" si="13"/>
        <v>5.9367393731501704E-2</v>
      </c>
      <c r="M299" s="289">
        <f t="shared" si="13"/>
        <v>6.5196201167561946E-2</v>
      </c>
      <c r="N299" s="289">
        <f t="shared" si="13"/>
        <v>5.9073195242029752E-2</v>
      </c>
      <c r="O299" s="289">
        <f t="shared" si="13"/>
        <v>4.3809022057354818E-2</v>
      </c>
      <c r="P299" s="289">
        <f t="shared" si="13"/>
        <v>4.1201435228143457E-2</v>
      </c>
      <c r="Q299" s="289">
        <f t="shared" si="13"/>
        <v>4.6355146351969863E-2</v>
      </c>
      <c r="R299" s="289">
        <f t="shared" si="13"/>
        <v>4.1674179096680003E-2</v>
      </c>
      <c r="S299" s="289">
        <f t="shared" si="13"/>
        <v>4.5669490662854285E-2</v>
      </c>
      <c r="T299" s="289">
        <f t="shared" si="13"/>
        <v>4.5562481650846171E-2</v>
      </c>
      <c r="U299" s="289">
        <f t="shared" si="13"/>
        <v>3.9183382897394169E-2</v>
      </c>
      <c r="V299" s="289">
        <f t="shared" si="13"/>
        <v>3.2985868616212638E-2</v>
      </c>
      <c r="W299" s="289">
        <f t="shared" si="13"/>
        <v>2.4729516909401929E-2</v>
      </c>
      <c r="X299" s="289">
        <f t="shared" si="13"/>
        <v>2.4301436523292957E-2</v>
      </c>
      <c r="Y299" s="289">
        <f t="shared" si="13"/>
        <v>0</v>
      </c>
      <c r="Z299" s="289">
        <f t="shared" si="13"/>
        <v>0</v>
      </c>
      <c r="AA299" s="289">
        <f t="shared" si="13"/>
        <v>0</v>
      </c>
      <c r="AB299" s="289">
        <f t="shared" si="13"/>
        <v>0</v>
      </c>
      <c r="AC299" s="289">
        <f t="shared" si="13"/>
        <v>0</v>
      </c>
      <c r="AD299" s="289">
        <f t="shared" si="13"/>
        <v>0</v>
      </c>
      <c r="AE299" s="289">
        <f t="shared" si="13"/>
        <v>0</v>
      </c>
      <c r="AF299" s="289">
        <f t="shared" si="13"/>
        <v>0</v>
      </c>
      <c r="AG299" s="289">
        <f t="shared" si="13"/>
        <v>0</v>
      </c>
      <c r="AH299" s="289">
        <f t="shared" si="13"/>
        <v>0</v>
      </c>
      <c r="AI299" s="289">
        <f t="shared" si="13"/>
        <v>0</v>
      </c>
      <c r="AJ299" s="289">
        <f t="shared" si="13"/>
        <v>0</v>
      </c>
      <c r="AK299" s="289">
        <f t="shared" si="13"/>
        <v>0</v>
      </c>
      <c r="AL299" s="289">
        <f t="shared" si="13"/>
        <v>0</v>
      </c>
      <c r="AM299" s="289">
        <f t="shared" si="13"/>
        <v>0</v>
      </c>
      <c r="AN299" s="289">
        <f t="shared" si="13"/>
        <v>0</v>
      </c>
      <c r="AO299" s="289">
        <f t="shared" si="13"/>
        <v>0</v>
      </c>
      <c r="AP299" s="289">
        <f t="shared" si="13"/>
        <v>0</v>
      </c>
      <c r="AQ299" s="289">
        <f t="shared" si="13"/>
        <v>0</v>
      </c>
      <c r="AR299" s="289">
        <f t="shared" si="13"/>
        <v>3.7125456789590325E-3</v>
      </c>
      <c r="AS299" s="289">
        <f t="shared" si="13"/>
        <v>5.5210717309312077E-3</v>
      </c>
      <c r="AT299" s="289">
        <f t="shared" si="13"/>
        <v>5.2134195346649351E-3</v>
      </c>
      <c r="AU299" s="289">
        <f t="shared" si="13"/>
        <v>4.9532862040732517E-3</v>
      </c>
      <c r="AV299" s="289">
        <f t="shared" si="13"/>
        <v>5.4991210288666157E-3</v>
      </c>
      <c r="AW299" s="289">
        <f t="shared" si="13"/>
        <v>5.6689695627998686E-3</v>
      </c>
      <c r="AX299" s="289">
        <f t="shared" si="13"/>
        <v>5.9522427305457063E-3</v>
      </c>
      <c r="AY299" s="289">
        <f t="shared" si="13"/>
        <v>7.5674214439427848E-3</v>
      </c>
      <c r="AZ299" s="289">
        <f t="shared" si="13"/>
        <v>1.0364236587389301E-2</v>
      </c>
      <c r="BA299" s="289">
        <f t="shared" si="13"/>
        <v>1.2603746405964431E-2</v>
      </c>
      <c r="BB299" s="289">
        <f t="shared" si="13"/>
        <v>1.3907743780867851E-2</v>
      </c>
      <c r="BC299" s="289">
        <f t="shared" si="7"/>
        <v>1.3907743780867851E-2</v>
      </c>
    </row>
    <row r="300" spans="2:55">
      <c r="B300" s="72" t="s">
        <v>499</v>
      </c>
      <c r="C300" s="72" t="s">
        <v>330</v>
      </c>
      <c r="D300" s="289">
        <f t="shared" si="4"/>
        <v>0</v>
      </c>
      <c r="E300" s="289">
        <f t="shared" si="13"/>
        <v>0</v>
      </c>
      <c r="F300" s="289">
        <f t="shared" si="13"/>
        <v>0</v>
      </c>
      <c r="G300" s="289">
        <f t="shared" si="13"/>
        <v>0</v>
      </c>
      <c r="H300" s="289">
        <f t="shared" si="13"/>
        <v>0</v>
      </c>
      <c r="I300" s="289">
        <f t="shared" si="13"/>
        <v>0</v>
      </c>
      <c r="J300" s="289">
        <f t="shared" si="13"/>
        <v>0</v>
      </c>
      <c r="K300" s="289">
        <f t="shared" si="13"/>
        <v>0</v>
      </c>
      <c r="L300" s="289">
        <f t="shared" si="13"/>
        <v>0</v>
      </c>
      <c r="M300" s="289">
        <f t="shared" si="13"/>
        <v>0</v>
      </c>
      <c r="N300" s="289">
        <f t="shared" si="13"/>
        <v>0</v>
      </c>
      <c r="O300" s="289">
        <f t="shared" si="13"/>
        <v>0</v>
      </c>
      <c r="P300" s="289">
        <f t="shared" si="13"/>
        <v>0</v>
      </c>
      <c r="Q300" s="289">
        <f t="shared" si="13"/>
        <v>0</v>
      </c>
      <c r="R300" s="289">
        <f t="shared" si="13"/>
        <v>0</v>
      </c>
      <c r="S300" s="289">
        <f t="shared" si="13"/>
        <v>0</v>
      </c>
      <c r="T300" s="289">
        <f t="shared" si="13"/>
        <v>0</v>
      </c>
      <c r="U300" s="289">
        <f t="shared" si="13"/>
        <v>0</v>
      </c>
      <c r="V300" s="289">
        <f t="shared" si="13"/>
        <v>0</v>
      </c>
      <c r="W300" s="289">
        <f t="shared" si="13"/>
        <v>0</v>
      </c>
      <c r="X300" s="289">
        <f t="shared" si="13"/>
        <v>0</v>
      </c>
      <c r="Y300" s="289">
        <f t="shared" si="13"/>
        <v>0</v>
      </c>
      <c r="Z300" s="289">
        <f t="shared" si="13"/>
        <v>0</v>
      </c>
      <c r="AA300" s="289">
        <f t="shared" si="13"/>
        <v>8.5578175514399696E-2</v>
      </c>
      <c r="AB300" s="289">
        <f t="shared" si="13"/>
        <v>8.0947681046215691E-2</v>
      </c>
      <c r="AC300" s="289">
        <f t="shared" si="13"/>
        <v>7.1206108577085564E-2</v>
      </c>
      <c r="AD300" s="289">
        <f t="shared" si="13"/>
        <v>5.6118021183978538E-2</v>
      </c>
      <c r="AE300" s="289">
        <f t="shared" si="13"/>
        <v>4.4508246840293766E-2</v>
      </c>
      <c r="AF300" s="289">
        <f t="shared" si="13"/>
        <v>4.76322309849962E-2</v>
      </c>
      <c r="AG300" s="289">
        <f t="shared" si="13"/>
        <v>3.6120767538939252E-2</v>
      </c>
      <c r="AH300" s="289">
        <f t="shared" si="13"/>
        <v>1.8822089151283968E-2</v>
      </c>
      <c r="AI300" s="289">
        <f t="shared" si="13"/>
        <v>1.1453214433637606E-2</v>
      </c>
      <c r="AJ300" s="289">
        <f t="shared" si="13"/>
        <v>2.2403233369097018E-2</v>
      </c>
      <c r="AK300" s="289">
        <f t="shared" si="13"/>
        <v>3.4074729801420491E-2</v>
      </c>
      <c r="AL300" s="289">
        <f t="shared" si="13"/>
        <v>3.8701926537906078E-2</v>
      </c>
      <c r="AM300" s="289">
        <f t="shared" si="13"/>
        <v>4.6172926563717735E-2</v>
      </c>
      <c r="AN300" s="289">
        <f t="shared" si="13"/>
        <v>3.0278063456296835E-2</v>
      </c>
      <c r="AO300" s="289">
        <f t="shared" si="13"/>
        <v>3.5442181992076154E-2</v>
      </c>
      <c r="AP300" s="289">
        <f t="shared" si="13"/>
        <v>4.3617390717799728E-2</v>
      </c>
      <c r="AQ300" s="289">
        <f t="shared" si="13"/>
        <v>4.7895121203655515E-2</v>
      </c>
      <c r="AR300" s="289">
        <f t="shared" si="13"/>
        <v>5.3525762648275937E-2</v>
      </c>
      <c r="AS300" s="289">
        <f t="shared" si="13"/>
        <v>5.3340431716600883E-2</v>
      </c>
      <c r="AT300" s="289">
        <f t="shared" si="13"/>
        <v>5.8402033552704437E-2</v>
      </c>
      <c r="AU300" s="289">
        <f t="shared" si="13"/>
        <v>6.5096603109635998E-2</v>
      </c>
      <c r="AV300" s="289">
        <f t="shared" si="13"/>
        <v>6.993788846174756E-2</v>
      </c>
      <c r="AW300" s="289">
        <f t="shared" si="13"/>
        <v>7.1469593553465549E-2</v>
      </c>
      <c r="AX300" s="289">
        <f t="shared" si="13"/>
        <v>7.2894530500365942E-2</v>
      </c>
      <c r="AY300" s="289">
        <f t="shared" si="13"/>
        <v>9.4477443390404536E-2</v>
      </c>
      <c r="AZ300" s="289">
        <f t="shared" si="13"/>
        <v>0.10743139668877459</v>
      </c>
      <c r="BA300" s="289">
        <f t="shared" si="13"/>
        <v>0.10207240986450172</v>
      </c>
      <c r="BB300" s="289">
        <f t="shared" si="13"/>
        <v>0.10322462409187025</v>
      </c>
      <c r="BC300" s="289">
        <f t="shared" si="7"/>
        <v>0.10322462409187025</v>
      </c>
    </row>
    <row r="301" spans="2:55">
      <c r="B301" s="72" t="s">
        <v>500</v>
      </c>
      <c r="C301" s="72" t="s">
        <v>501</v>
      </c>
      <c r="D301" s="289">
        <f t="shared" si="4"/>
        <v>0.15229056357362397</v>
      </c>
      <c r="E301" s="289">
        <f t="shared" si="13"/>
        <v>0.11795642689535231</v>
      </c>
      <c r="F301" s="289">
        <f t="shared" si="13"/>
        <v>0.14860649578820237</v>
      </c>
      <c r="G301" s="289">
        <f t="shared" si="13"/>
        <v>0.14434119886649946</v>
      </c>
      <c r="H301" s="289">
        <f t="shared" si="13"/>
        <v>0.1421130672153694</v>
      </c>
      <c r="I301" s="289">
        <f t="shared" si="13"/>
        <v>0.1268407037039776</v>
      </c>
      <c r="J301" s="289">
        <f t="shared" si="13"/>
        <v>0.13249069454310042</v>
      </c>
      <c r="K301" s="289">
        <f t="shared" si="13"/>
        <v>0.15691280942341923</v>
      </c>
      <c r="L301" s="289">
        <f t="shared" si="13"/>
        <v>0.15704026923941655</v>
      </c>
      <c r="M301" s="289">
        <f t="shared" si="13"/>
        <v>0.1578103770658332</v>
      </c>
      <c r="N301" s="289">
        <f t="shared" si="13"/>
        <v>0.14190997608922076</v>
      </c>
      <c r="O301" s="289">
        <f t="shared" si="13"/>
        <v>0.16013769551529236</v>
      </c>
      <c r="P301" s="289">
        <f t="shared" si="13"/>
        <v>0.17774984437831137</v>
      </c>
      <c r="Q301" s="289">
        <f t="shared" si="13"/>
        <v>0.24198317135591735</v>
      </c>
      <c r="R301" s="289">
        <f t="shared" si="13"/>
        <v>0.23098321027257923</v>
      </c>
      <c r="S301" s="289">
        <f t="shared" si="13"/>
        <v>0.26534750533656359</v>
      </c>
      <c r="T301" s="289">
        <f t="shared" si="13"/>
        <v>0.2691316087701911</v>
      </c>
      <c r="U301" s="289">
        <f t="shared" si="13"/>
        <v>0.25855816875950882</v>
      </c>
      <c r="V301" s="289">
        <f t="shared" si="13"/>
        <v>0.24310835078562554</v>
      </c>
      <c r="W301" s="289">
        <f t="shared" si="13"/>
        <v>0.23392634412946584</v>
      </c>
      <c r="X301" s="289">
        <f t="shared" si="13"/>
        <v>0.24949786958075776</v>
      </c>
      <c r="Y301" s="289">
        <f t="shared" si="13"/>
        <v>0.25803247351710557</v>
      </c>
      <c r="Z301" s="289">
        <f t="shared" si="13"/>
        <v>0.28433078801185807</v>
      </c>
      <c r="AA301" s="289">
        <f t="shared" si="13"/>
        <v>0.32212758640250555</v>
      </c>
      <c r="AB301" s="289">
        <f t="shared" si="13"/>
        <v>0.31935163896314234</v>
      </c>
      <c r="AC301" s="289">
        <f t="shared" si="13"/>
        <v>0.27816476640377991</v>
      </c>
      <c r="AD301" s="289">
        <f t="shared" si="13"/>
        <v>0.23128099389782752</v>
      </c>
      <c r="AE301" s="289">
        <f t="shared" si="13"/>
        <v>0.16443223391789236</v>
      </c>
      <c r="AF301" s="289">
        <f t="shared" si="13"/>
        <v>0.1497757001927458</v>
      </c>
      <c r="AG301" s="289">
        <f t="shared" si="13"/>
        <v>0.13865335953528904</v>
      </c>
      <c r="AH301" s="289">
        <f t="shared" si="13"/>
        <v>9.5884954433048147E-2</v>
      </c>
      <c r="AI301" s="289">
        <f t="shared" si="13"/>
        <v>9.532945456136907E-2</v>
      </c>
      <c r="AJ301" s="289">
        <f t="shared" si="13"/>
        <v>0.10814842435482501</v>
      </c>
      <c r="AK301" s="289">
        <f t="shared" si="13"/>
        <v>8.3641028979820967E-2</v>
      </c>
      <c r="AL301" s="289">
        <f t="shared" si="13"/>
        <v>7.4018094514463936E-2</v>
      </c>
      <c r="AM301" s="289">
        <f t="shared" si="13"/>
        <v>7.7775439450391878E-2</v>
      </c>
      <c r="AN301" s="289">
        <f t="shared" si="13"/>
        <v>7.0226992375046079E-2</v>
      </c>
      <c r="AO301" s="289">
        <f t="shared" si="13"/>
        <v>6.4967600171787612E-2</v>
      </c>
      <c r="AP301" s="289">
        <f t="shared" si="13"/>
        <v>6.3063638304618697E-2</v>
      </c>
      <c r="AQ301" s="289">
        <f t="shared" si="13"/>
        <v>7.1611178414162743E-2</v>
      </c>
      <c r="AR301" s="289">
        <f t="shared" si="13"/>
        <v>7.1711551905033061E-2</v>
      </c>
      <c r="AS301" s="289">
        <f t="shared" si="13"/>
        <v>6.7213368505248366E-2</v>
      </c>
      <c r="AT301" s="289">
        <f t="shared" si="13"/>
        <v>6.8415436664525028E-2</v>
      </c>
      <c r="AU301" s="289">
        <f t="shared" si="13"/>
        <v>7.1513746257268099E-2</v>
      </c>
      <c r="AV301" s="289">
        <f t="shared" si="13"/>
        <v>8.1625809744170941E-2</v>
      </c>
      <c r="AW301" s="289">
        <f t="shared" si="13"/>
        <v>8.6680470586209493E-2</v>
      </c>
      <c r="AX301" s="289">
        <f t="shared" si="13"/>
        <v>8.6449449411356322E-2</v>
      </c>
      <c r="AY301" s="289">
        <f t="shared" si="13"/>
        <v>0.11510861323866799</v>
      </c>
      <c r="AZ301" s="289">
        <f t="shared" si="13"/>
        <v>0.11185303201314997</v>
      </c>
      <c r="BA301" s="289">
        <f t="shared" si="13"/>
        <v>0.12596231385471141</v>
      </c>
      <c r="BB301" s="289">
        <f t="shared" si="13"/>
        <v>0.13432976380182576</v>
      </c>
      <c r="BC301" s="289">
        <f t="shared" si="7"/>
        <v>0.13432976380182576</v>
      </c>
    </row>
    <row r="302" spans="2:55">
      <c r="B302" s="72" t="s">
        <v>502</v>
      </c>
      <c r="C302" s="72" t="s">
        <v>503</v>
      </c>
      <c r="D302" s="289">
        <f t="shared" si="4"/>
        <v>0</v>
      </c>
      <c r="E302" s="289">
        <f t="shared" si="13"/>
        <v>0</v>
      </c>
      <c r="F302" s="289">
        <f t="shared" si="13"/>
        <v>0</v>
      </c>
      <c r="G302" s="289">
        <f t="shared" si="13"/>
        <v>0</v>
      </c>
      <c r="H302" s="289">
        <f t="shared" si="13"/>
        <v>0</v>
      </c>
      <c r="I302" s="289">
        <f t="shared" si="13"/>
        <v>0</v>
      </c>
      <c r="J302" s="289">
        <f t="shared" si="13"/>
        <v>0</v>
      </c>
      <c r="K302" s="289">
        <f t="shared" si="13"/>
        <v>0</v>
      </c>
      <c r="L302" s="289">
        <f t="shared" si="13"/>
        <v>0</v>
      </c>
      <c r="M302" s="289">
        <f t="shared" si="13"/>
        <v>0</v>
      </c>
      <c r="N302" s="289">
        <f t="shared" si="13"/>
        <v>0</v>
      </c>
      <c r="O302" s="289">
        <f t="shared" si="13"/>
        <v>0</v>
      </c>
      <c r="P302" s="289">
        <f t="shared" si="13"/>
        <v>0</v>
      </c>
      <c r="Q302" s="289">
        <f t="shared" si="13"/>
        <v>0</v>
      </c>
      <c r="R302" s="289">
        <f t="shared" si="13"/>
        <v>0</v>
      </c>
      <c r="S302" s="289">
        <f t="shared" si="13"/>
        <v>0</v>
      </c>
      <c r="T302" s="289">
        <f t="shared" si="13"/>
        <v>0</v>
      </c>
      <c r="U302" s="289">
        <f t="shared" si="13"/>
        <v>0</v>
      </c>
      <c r="V302" s="289">
        <f t="shared" si="13"/>
        <v>0</v>
      </c>
      <c r="W302" s="289">
        <f t="shared" si="13"/>
        <v>0</v>
      </c>
      <c r="X302" s="289">
        <f t="shared" si="13"/>
        <v>0</v>
      </c>
      <c r="Y302" s="289">
        <f t="shared" si="13"/>
        <v>0</v>
      </c>
      <c r="Z302" s="289">
        <f t="shared" si="13"/>
        <v>0</v>
      </c>
      <c r="AA302" s="289">
        <f t="shared" si="13"/>
        <v>0</v>
      </c>
      <c r="AB302" s="289">
        <f t="shared" si="13"/>
        <v>0</v>
      </c>
      <c r="AC302" s="289">
        <f t="shared" si="13"/>
        <v>0</v>
      </c>
      <c r="AD302" s="289">
        <f t="shared" si="13"/>
        <v>0</v>
      </c>
      <c r="AE302" s="289">
        <f t="shared" si="13"/>
        <v>0</v>
      </c>
      <c r="AF302" s="289">
        <f t="shared" si="13"/>
        <v>0</v>
      </c>
      <c r="AG302" s="289">
        <f t="shared" si="13"/>
        <v>0</v>
      </c>
      <c r="AH302" s="289">
        <f t="shared" si="13"/>
        <v>0</v>
      </c>
      <c r="AI302" s="289">
        <f t="shared" si="13"/>
        <v>0</v>
      </c>
      <c r="AJ302" s="289">
        <f t="shared" si="13"/>
        <v>0</v>
      </c>
      <c r="AK302" s="289">
        <f t="shared" si="13"/>
        <v>0</v>
      </c>
      <c r="AL302" s="289">
        <f t="shared" si="13"/>
        <v>0</v>
      </c>
      <c r="AM302" s="289">
        <f t="shared" si="13"/>
        <v>0</v>
      </c>
      <c r="AN302" s="289">
        <f t="shared" si="13"/>
        <v>0</v>
      </c>
      <c r="AO302" s="289">
        <f t="shared" si="13"/>
        <v>0</v>
      </c>
      <c r="AP302" s="289">
        <f t="shared" si="13"/>
        <v>0</v>
      </c>
      <c r="AQ302" s="289">
        <f t="shared" si="13"/>
        <v>0</v>
      </c>
      <c r="AR302" s="289">
        <f t="shared" si="13"/>
        <v>0</v>
      </c>
      <c r="AS302" s="289">
        <f t="shared" si="13"/>
        <v>0</v>
      </c>
      <c r="AT302" s="289">
        <f t="shared" si="13"/>
        <v>0</v>
      </c>
      <c r="AU302" s="289">
        <f t="shared" si="13"/>
        <v>0</v>
      </c>
      <c r="AV302" s="289">
        <f t="shared" si="13"/>
        <v>0</v>
      </c>
      <c r="AW302" s="289">
        <f t="shared" si="13"/>
        <v>0</v>
      </c>
      <c r="AX302" s="289">
        <f t="shared" si="13"/>
        <v>0</v>
      </c>
      <c r="AY302" s="289">
        <f t="shared" si="13"/>
        <v>0</v>
      </c>
      <c r="AZ302" s="289">
        <f t="shared" si="13"/>
        <v>0</v>
      </c>
      <c r="BA302" s="289">
        <f t="shared" si="13"/>
        <v>0</v>
      </c>
      <c r="BB302" s="289">
        <f t="shared" si="13"/>
        <v>0</v>
      </c>
      <c r="BC302" s="289">
        <f t="shared" si="7"/>
        <v>0</v>
      </c>
    </row>
    <row r="303" spans="2:55">
      <c r="B303" s="72" t="s">
        <v>504</v>
      </c>
      <c r="C303" s="72" t="s">
        <v>505</v>
      </c>
      <c r="D303" s="289">
        <f t="shared" si="4"/>
        <v>0</v>
      </c>
      <c r="E303" s="289">
        <f t="shared" ref="E303:BB308" si="14">E53/E$251</f>
        <v>0</v>
      </c>
      <c r="F303" s="289">
        <f t="shared" si="14"/>
        <v>0</v>
      </c>
      <c r="G303" s="289">
        <f t="shared" si="14"/>
        <v>0</v>
      </c>
      <c r="H303" s="289">
        <f t="shared" si="14"/>
        <v>0</v>
      </c>
      <c r="I303" s="289">
        <f t="shared" si="14"/>
        <v>0</v>
      </c>
      <c r="J303" s="289">
        <f t="shared" si="14"/>
        <v>0</v>
      </c>
      <c r="K303" s="289">
        <f t="shared" si="14"/>
        <v>0</v>
      </c>
      <c r="L303" s="289">
        <f t="shared" si="14"/>
        <v>0</v>
      </c>
      <c r="M303" s="289">
        <f t="shared" si="14"/>
        <v>1.439265647889737</v>
      </c>
      <c r="N303" s="289">
        <f t="shared" si="14"/>
        <v>1.3797852617076269</v>
      </c>
      <c r="O303" s="289">
        <f t="shared" si="14"/>
        <v>1.452636698461236</v>
      </c>
      <c r="P303" s="289">
        <f t="shared" si="14"/>
        <v>1.6330617078248513</v>
      </c>
      <c r="Q303" s="289">
        <f t="shared" si="14"/>
        <v>1.7870232926269398</v>
      </c>
      <c r="R303" s="289">
        <f t="shared" si="14"/>
        <v>1.6903954527949494</v>
      </c>
      <c r="S303" s="289">
        <f t="shared" si="14"/>
        <v>1.7490975955171637</v>
      </c>
      <c r="T303" s="289">
        <f t="shared" si="14"/>
        <v>1.6717644402410978</v>
      </c>
      <c r="U303" s="289">
        <f t="shared" si="14"/>
        <v>1.5462481145581353</v>
      </c>
      <c r="V303" s="289">
        <f t="shared" si="14"/>
        <v>1.5325133898583845</v>
      </c>
      <c r="W303" s="289">
        <f t="shared" si="14"/>
        <v>1.2426768550273652</v>
      </c>
      <c r="X303" s="289">
        <f t="shared" si="14"/>
        <v>1.0846590272977004</v>
      </c>
      <c r="Y303" s="289">
        <f t="shared" si="14"/>
        <v>1.0417505874377393</v>
      </c>
      <c r="Z303" s="289">
        <f t="shared" si="14"/>
        <v>0.90888151851536481</v>
      </c>
      <c r="AA303" s="289">
        <f t="shared" si="14"/>
        <v>0.92859587583737979</v>
      </c>
      <c r="AB303" s="289">
        <f t="shared" si="14"/>
        <v>0.89077178266681667</v>
      </c>
      <c r="AC303" s="289">
        <f t="shared" si="14"/>
        <v>0.98439716348784723</v>
      </c>
      <c r="AD303" s="289">
        <f t="shared" si="14"/>
        <v>1.0012457426028789</v>
      </c>
      <c r="AE303" s="289">
        <f t="shared" si="14"/>
        <v>0.96051687449325407</v>
      </c>
      <c r="AF303" s="289">
        <f t="shared" si="14"/>
        <v>1.0310344566245335</v>
      </c>
      <c r="AG303" s="289">
        <f t="shared" si="14"/>
        <v>1.1023729120221273</v>
      </c>
      <c r="AH303" s="289">
        <f t="shared" si="14"/>
        <v>1.0946464457699203</v>
      </c>
      <c r="AI303" s="289">
        <f t="shared" si="14"/>
        <v>1.1047240287460904</v>
      </c>
      <c r="AJ303" s="289">
        <f t="shared" si="14"/>
        <v>0.97655852557811673</v>
      </c>
      <c r="AK303" s="289">
        <f t="shared" si="14"/>
        <v>0.87967852867550611</v>
      </c>
      <c r="AL303" s="289">
        <f t="shared" si="14"/>
        <v>0.91351359412835431</v>
      </c>
      <c r="AM303" s="289">
        <f t="shared" si="14"/>
        <v>0.89503930119397579</v>
      </c>
      <c r="AN303" s="289">
        <f t="shared" si="14"/>
        <v>0.77538750435848369</v>
      </c>
      <c r="AO303" s="289">
        <f t="shared" si="14"/>
        <v>0.7546951254559513</v>
      </c>
      <c r="AP303" s="289">
        <f t="shared" si="14"/>
        <v>0.75617053764042585</v>
      </c>
      <c r="AQ303" s="289">
        <f t="shared" si="14"/>
        <v>0.6999645829607426</v>
      </c>
      <c r="AR303" s="289">
        <f t="shared" si="14"/>
        <v>0.7670393024494877</v>
      </c>
      <c r="AS303" s="289">
        <f t="shared" si="14"/>
        <v>0.78124267323816077</v>
      </c>
      <c r="AT303" s="289">
        <f t="shared" si="14"/>
        <v>0.85267197366683767</v>
      </c>
      <c r="AU303" s="289">
        <f t="shared" si="14"/>
        <v>0.84049542923859544</v>
      </c>
      <c r="AV303" s="289">
        <f t="shared" si="14"/>
        <v>0.85536466632407437</v>
      </c>
      <c r="AW303" s="289">
        <f t="shared" si="14"/>
        <v>0.87323700846457408</v>
      </c>
      <c r="AX303" s="289">
        <f t="shared" si="14"/>
        <v>0.86066497370317174</v>
      </c>
      <c r="AY303" s="289">
        <f t="shared" si="14"/>
        <v>1.0418471011746133</v>
      </c>
      <c r="AZ303" s="289">
        <f t="shared" si="14"/>
        <v>0</v>
      </c>
      <c r="BA303" s="289">
        <f t="shared" si="14"/>
        <v>0</v>
      </c>
      <c r="BB303" s="289">
        <f t="shared" si="14"/>
        <v>0</v>
      </c>
      <c r="BC303" s="289">
        <f t="shared" si="7"/>
        <v>0</v>
      </c>
    </row>
    <row r="304" spans="2:55">
      <c r="B304" s="72" t="s">
        <v>506</v>
      </c>
      <c r="C304" s="72" t="s">
        <v>507</v>
      </c>
      <c r="D304" s="289">
        <f t="shared" si="4"/>
        <v>0</v>
      </c>
      <c r="E304" s="289">
        <f t="shared" si="14"/>
        <v>0</v>
      </c>
      <c r="F304" s="289">
        <f t="shared" si="14"/>
        <v>0</v>
      </c>
      <c r="G304" s="289">
        <f t="shared" si="14"/>
        <v>0</v>
      </c>
      <c r="H304" s="289">
        <f t="shared" si="14"/>
        <v>0</v>
      </c>
      <c r="I304" s="289">
        <f t="shared" si="14"/>
        <v>0</v>
      </c>
      <c r="J304" s="289">
        <f t="shared" si="14"/>
        <v>0</v>
      </c>
      <c r="K304" s="289">
        <f t="shared" si="14"/>
        <v>0</v>
      </c>
      <c r="L304" s="289">
        <f t="shared" si="14"/>
        <v>0</v>
      </c>
      <c r="M304" s="289">
        <f t="shared" si="14"/>
        <v>0</v>
      </c>
      <c r="N304" s="289">
        <f t="shared" si="14"/>
        <v>0</v>
      </c>
      <c r="O304" s="289">
        <f t="shared" si="14"/>
        <v>0</v>
      </c>
      <c r="P304" s="289">
        <f t="shared" si="14"/>
        <v>0</v>
      </c>
      <c r="Q304" s="289">
        <f t="shared" si="14"/>
        <v>0</v>
      </c>
      <c r="R304" s="289">
        <f t="shared" si="14"/>
        <v>0</v>
      </c>
      <c r="S304" s="289">
        <f t="shared" si="14"/>
        <v>0</v>
      </c>
      <c r="T304" s="289">
        <f t="shared" si="14"/>
        <v>0</v>
      </c>
      <c r="U304" s="289">
        <f t="shared" si="14"/>
        <v>0</v>
      </c>
      <c r="V304" s="289">
        <f t="shared" si="14"/>
        <v>0</v>
      </c>
      <c r="W304" s="289">
        <f t="shared" si="14"/>
        <v>0</v>
      </c>
      <c r="X304" s="289">
        <f t="shared" si="14"/>
        <v>0</v>
      </c>
      <c r="Y304" s="289">
        <f t="shared" si="14"/>
        <v>0</v>
      </c>
      <c r="Z304" s="289">
        <f t="shared" si="14"/>
        <v>0</v>
      </c>
      <c r="AA304" s="289">
        <f t="shared" si="14"/>
        <v>0</v>
      </c>
      <c r="AB304" s="289">
        <f t="shared" si="14"/>
        <v>9.1422435770671356E-2</v>
      </c>
      <c r="AC304" s="289">
        <f t="shared" si="14"/>
        <v>6.7744680050022349E-2</v>
      </c>
      <c r="AD304" s="289">
        <f t="shared" si="14"/>
        <v>6.2601043266410653E-2</v>
      </c>
      <c r="AE304" s="289">
        <f t="shared" si="14"/>
        <v>5.4432688831734667E-2</v>
      </c>
      <c r="AF304" s="289">
        <f t="shared" si="14"/>
        <v>6.1329624775121744E-2</v>
      </c>
      <c r="AG304" s="289">
        <f t="shared" si="14"/>
        <v>5.6127057950921988E-2</v>
      </c>
      <c r="AH304" s="289">
        <f t="shared" si="14"/>
        <v>6.2250720945989949E-2</v>
      </c>
      <c r="AI304" s="289">
        <f t="shared" si="14"/>
        <v>2.7702927321641854E-2</v>
      </c>
      <c r="AJ304" s="289">
        <f t="shared" si="14"/>
        <v>2.7344538310983744E-2</v>
      </c>
      <c r="AK304" s="289">
        <f t="shared" si="14"/>
        <v>1.8861612083769543E-2</v>
      </c>
      <c r="AL304" s="289">
        <f t="shared" si="14"/>
        <v>2.087442437164921E-2</v>
      </c>
      <c r="AM304" s="289">
        <f t="shared" si="14"/>
        <v>2.8827391908532826E-2</v>
      </c>
      <c r="AN304" s="289">
        <f t="shared" si="14"/>
        <v>1.4859837652679456E-2</v>
      </c>
      <c r="AO304" s="289">
        <f t="shared" si="14"/>
        <v>2.7625020520192049E-3</v>
      </c>
      <c r="AP304" s="289">
        <f t="shared" si="14"/>
        <v>4.9392902876148146E-3</v>
      </c>
      <c r="AQ304" s="289">
        <f t="shared" si="14"/>
        <v>1.1908789421254753E-2</v>
      </c>
      <c r="AR304" s="289">
        <f t="shared" si="14"/>
        <v>1.2671381804883553E-2</v>
      </c>
      <c r="AS304" s="289">
        <f t="shared" si="14"/>
        <v>1.6592195475884346E-2</v>
      </c>
      <c r="AT304" s="289">
        <f t="shared" si="14"/>
        <v>2.5945424757315167E-2</v>
      </c>
      <c r="AU304" s="289">
        <f t="shared" si="14"/>
        <v>3.2369630004723877E-2</v>
      </c>
      <c r="AV304" s="289">
        <f t="shared" si="14"/>
        <v>4.8711511877672219E-2</v>
      </c>
      <c r="AW304" s="289">
        <f t="shared" si="14"/>
        <v>6.3585200871776451E-2</v>
      </c>
      <c r="AX304" s="289">
        <f t="shared" si="14"/>
        <v>7.6108365489466964E-2</v>
      </c>
      <c r="AY304" s="289">
        <f t="shared" si="14"/>
        <v>0.10230328787002038</v>
      </c>
      <c r="AZ304" s="289">
        <f t="shared" si="14"/>
        <v>9.939514563298793E-2</v>
      </c>
      <c r="BA304" s="289">
        <f t="shared" si="14"/>
        <v>0.11687296891206209</v>
      </c>
      <c r="BB304" s="289">
        <f t="shared" si="14"/>
        <v>0.13622567600816049</v>
      </c>
      <c r="BC304" s="289">
        <f t="shared" si="7"/>
        <v>0.13622567600816049</v>
      </c>
    </row>
    <row r="305" spans="2:55">
      <c r="B305" s="72" t="s">
        <v>508</v>
      </c>
      <c r="C305" s="72" t="s">
        <v>509</v>
      </c>
      <c r="D305" s="289">
        <f t="shared" si="4"/>
        <v>0</v>
      </c>
      <c r="E305" s="289">
        <f t="shared" si="14"/>
        <v>0</v>
      </c>
      <c r="F305" s="289">
        <f t="shared" si="14"/>
        <v>0</v>
      </c>
      <c r="G305" s="289">
        <f t="shared" si="14"/>
        <v>0</v>
      </c>
      <c r="H305" s="289">
        <f t="shared" si="14"/>
        <v>0</v>
      </c>
      <c r="I305" s="289">
        <f t="shared" si="14"/>
        <v>0</v>
      </c>
      <c r="J305" s="289">
        <f t="shared" si="14"/>
        <v>0</v>
      </c>
      <c r="K305" s="289">
        <f t="shared" si="14"/>
        <v>0</v>
      </c>
      <c r="L305" s="289">
        <f t="shared" si="14"/>
        <v>0</v>
      </c>
      <c r="M305" s="289">
        <f t="shared" si="14"/>
        <v>0</v>
      </c>
      <c r="N305" s="289">
        <f t="shared" si="14"/>
        <v>0</v>
      </c>
      <c r="O305" s="289">
        <f t="shared" si="14"/>
        <v>0</v>
      </c>
      <c r="P305" s="289">
        <f t="shared" si="14"/>
        <v>0</v>
      </c>
      <c r="Q305" s="289">
        <f t="shared" si="14"/>
        <v>0</v>
      </c>
      <c r="R305" s="289">
        <f t="shared" si="14"/>
        <v>0</v>
      </c>
      <c r="S305" s="289">
        <f t="shared" si="14"/>
        <v>0</v>
      </c>
      <c r="T305" s="289">
        <f t="shared" si="14"/>
        <v>0.20608519734163072</v>
      </c>
      <c r="U305" s="289">
        <f t="shared" si="14"/>
        <v>0.18343983380471027</v>
      </c>
      <c r="V305" s="289">
        <f t="shared" si="14"/>
        <v>0.17413083803515678</v>
      </c>
      <c r="W305" s="289">
        <f t="shared" si="14"/>
        <v>0.16286814373783107</v>
      </c>
      <c r="X305" s="289">
        <f t="shared" si="14"/>
        <v>0.19548984543675951</v>
      </c>
      <c r="Y305" s="289">
        <f t="shared" si="14"/>
        <v>0.22997995918461203</v>
      </c>
      <c r="Z305" s="289">
        <f t="shared" si="14"/>
        <v>0.27349970005574925</v>
      </c>
      <c r="AA305" s="289">
        <f t="shared" si="14"/>
        <v>0.33446206083270957</v>
      </c>
      <c r="AB305" s="289">
        <f t="shared" si="14"/>
        <v>0.37473615960213907</v>
      </c>
      <c r="AC305" s="289">
        <f t="shared" si="14"/>
        <v>0.37858733562958552</v>
      </c>
      <c r="AD305" s="289">
        <f t="shared" si="14"/>
        <v>0.36573762607959204</v>
      </c>
      <c r="AE305" s="289">
        <f t="shared" si="14"/>
        <v>0.36148136973076889</v>
      </c>
      <c r="AF305" s="289">
        <f t="shared" si="14"/>
        <v>0.39874979928198628</v>
      </c>
      <c r="AG305" s="289">
        <f t="shared" si="14"/>
        <v>0.35590563488672611</v>
      </c>
      <c r="AH305" s="289">
        <f t="shared" si="14"/>
        <v>0.35567581256541808</v>
      </c>
      <c r="AI305" s="289">
        <f t="shared" si="14"/>
        <v>0.35029956233062348</v>
      </c>
      <c r="AJ305" s="289">
        <f t="shared" si="14"/>
        <v>0.41169819674452796</v>
      </c>
      <c r="AK305" s="289">
        <f t="shared" si="14"/>
        <v>0.40787691990615604</v>
      </c>
      <c r="AL305" s="289">
        <f t="shared" si="14"/>
        <v>0.36098771165070692</v>
      </c>
      <c r="AM305" s="289">
        <f t="shared" si="14"/>
        <v>0.36631567161003453</v>
      </c>
      <c r="AN305" s="289">
        <f t="shared" si="14"/>
        <v>0.34176205528102965</v>
      </c>
      <c r="AO305" s="289">
        <f t="shared" si="14"/>
        <v>0.33435187554819429</v>
      </c>
      <c r="AP305" s="289">
        <f t="shared" si="14"/>
        <v>0.33477515361145899</v>
      </c>
      <c r="AQ305" s="289">
        <f t="shared" si="14"/>
        <v>0.40480184053230511</v>
      </c>
      <c r="AR305" s="289">
        <f t="shared" si="14"/>
        <v>0.39585154325076261</v>
      </c>
      <c r="AS305" s="289">
        <f t="shared" si="14"/>
        <v>0.37107255530176103</v>
      </c>
      <c r="AT305" s="289">
        <f t="shared" si="14"/>
        <v>0.33359609198618101</v>
      </c>
      <c r="AU305" s="289">
        <f t="shared" si="14"/>
        <v>0.2977590431296715</v>
      </c>
      <c r="AV305" s="289">
        <f t="shared" si="14"/>
        <v>0.31321291073500634</v>
      </c>
      <c r="AW305" s="289">
        <f t="shared" si="14"/>
        <v>0.33191006389587235</v>
      </c>
      <c r="AX305" s="289">
        <f t="shared" si="14"/>
        <v>0.32547035134939706</v>
      </c>
      <c r="AY305" s="289">
        <f t="shared" si="14"/>
        <v>0.36136219480007736</v>
      </c>
      <c r="AZ305" s="289">
        <f t="shared" si="14"/>
        <v>0.39143304188877448</v>
      </c>
      <c r="BA305" s="289">
        <f t="shared" si="14"/>
        <v>0.35873502280377467</v>
      </c>
      <c r="BB305" s="289">
        <f t="shared" si="14"/>
        <v>0.31967321291227424</v>
      </c>
      <c r="BC305" s="289">
        <f t="shared" si="7"/>
        <v>0.31967321291227424</v>
      </c>
    </row>
    <row r="306" spans="2:55">
      <c r="B306" s="72" t="s">
        <v>510</v>
      </c>
      <c r="C306" s="72" t="s">
        <v>511</v>
      </c>
      <c r="D306" s="289">
        <f t="shared" si="4"/>
        <v>0</v>
      </c>
      <c r="E306" s="289">
        <f t="shared" si="14"/>
        <v>0.75847074010088344</v>
      </c>
      <c r="F306" s="289">
        <f t="shared" si="14"/>
        <v>0.5303457427448437</v>
      </c>
      <c r="G306" s="289">
        <f t="shared" si="14"/>
        <v>0.67402053954185936</v>
      </c>
      <c r="H306" s="289">
        <f t="shared" si="14"/>
        <v>0.68681055688106807</v>
      </c>
      <c r="I306" s="289">
        <f t="shared" si="14"/>
        <v>0.64583818994910558</v>
      </c>
      <c r="J306" s="289">
        <f t="shared" si="14"/>
        <v>0.52241255361665218</v>
      </c>
      <c r="K306" s="289">
        <f t="shared" si="14"/>
        <v>0.59900132453316035</v>
      </c>
      <c r="L306" s="289">
        <f t="shared" si="14"/>
        <v>0.65120135080130326</v>
      </c>
      <c r="M306" s="289">
        <f t="shared" si="14"/>
        <v>0.58739462240825002</v>
      </c>
      <c r="N306" s="289">
        <f t="shared" si="14"/>
        <v>0.54078137359287293</v>
      </c>
      <c r="O306" s="289">
        <f t="shared" si="14"/>
        <v>0.48443511618856333</v>
      </c>
      <c r="P306" s="289">
        <f t="shared" si="14"/>
        <v>0.63955991177630356</v>
      </c>
      <c r="Q306" s="289">
        <f t="shared" si="14"/>
        <v>0.80297245336004663</v>
      </c>
      <c r="R306" s="289">
        <f t="shared" si="14"/>
        <v>0.47819725850367845</v>
      </c>
      <c r="S306" s="289">
        <f t="shared" si="14"/>
        <v>0.47796001951829048</v>
      </c>
      <c r="T306" s="289">
        <f t="shared" si="14"/>
        <v>0.46235864327774551</v>
      </c>
      <c r="U306" s="289">
        <f t="shared" si="14"/>
        <v>0.367705103852557</v>
      </c>
      <c r="V306" s="289">
        <f t="shared" si="14"/>
        <v>0.33270975358994154</v>
      </c>
      <c r="W306" s="289">
        <f t="shared" si="14"/>
        <v>0.28430255788148767</v>
      </c>
      <c r="X306" s="289">
        <f t="shared" si="14"/>
        <v>0.30130171524787275</v>
      </c>
      <c r="Y306" s="289">
        <f t="shared" si="14"/>
        <v>0.33344337528274431</v>
      </c>
      <c r="Z306" s="289">
        <f t="shared" si="14"/>
        <v>0.42713755874505249</v>
      </c>
      <c r="AA306" s="289">
        <f t="shared" si="14"/>
        <v>0.3401081479828898</v>
      </c>
      <c r="AB306" s="289">
        <f t="shared" si="14"/>
        <v>0.35479725616696811</v>
      </c>
      <c r="AC306" s="289">
        <f t="shared" si="14"/>
        <v>0.35776444021929188</v>
      </c>
      <c r="AD306" s="289">
        <f t="shared" si="14"/>
        <v>0.28809757888478038</v>
      </c>
      <c r="AE306" s="289">
        <f t="shared" si="14"/>
        <v>0.26604364811624098</v>
      </c>
      <c r="AF306" s="289">
        <f t="shared" si="14"/>
        <v>0.15812897791368308</v>
      </c>
      <c r="AG306" s="289">
        <f t="shared" si="14"/>
        <v>0.24482166558474203</v>
      </c>
      <c r="AH306" s="289">
        <f t="shared" si="14"/>
        <v>0.31179525041602596</v>
      </c>
      <c r="AI306" s="289">
        <f t="shared" si="14"/>
        <v>0.35975300185215237</v>
      </c>
      <c r="AJ306" s="289">
        <f t="shared" si="14"/>
        <v>0.4098743511911932</v>
      </c>
      <c r="AK306" s="289">
        <f t="shared" si="14"/>
        <v>0.40807147546485883</v>
      </c>
      <c r="AL306" s="289">
        <f t="shared" si="14"/>
        <v>0.37119225459547894</v>
      </c>
      <c r="AM306" s="289">
        <f t="shared" si="14"/>
        <v>0.3678507018860418</v>
      </c>
      <c r="AN306" s="289">
        <f t="shared" si="14"/>
        <v>0.3495311265088894</v>
      </c>
      <c r="AO306" s="289">
        <f t="shared" si="14"/>
        <v>0.33098166832152143</v>
      </c>
      <c r="AP306" s="289">
        <f t="shared" si="14"/>
        <v>0.30278875858619192</v>
      </c>
      <c r="AQ306" s="289">
        <f t="shared" si="14"/>
        <v>0.30711600142234508</v>
      </c>
      <c r="AR306" s="289">
        <f t="shared" si="14"/>
        <v>0.2900286950730479</v>
      </c>
      <c r="AS306" s="289">
        <f t="shared" si="14"/>
        <v>0.1003707516475854</v>
      </c>
      <c r="AT306" s="289">
        <f t="shared" si="14"/>
        <v>0.10947064955443535</v>
      </c>
      <c r="AU306" s="289">
        <f t="shared" si="14"/>
        <v>0.10884018881106894</v>
      </c>
      <c r="AV306" s="289">
        <f t="shared" si="14"/>
        <v>0.12423372269879503</v>
      </c>
      <c r="AW306" s="289">
        <f t="shared" si="14"/>
        <v>0.13550871652676524</v>
      </c>
      <c r="AX306" s="289">
        <f t="shared" si="14"/>
        <v>0.14297061413574455</v>
      </c>
      <c r="AY306" s="289">
        <f t="shared" si="14"/>
        <v>0.19058887273841146</v>
      </c>
      <c r="AZ306" s="289">
        <f t="shared" si="14"/>
        <v>0.21700047966139685</v>
      </c>
      <c r="BA306" s="289">
        <f t="shared" si="14"/>
        <v>0.25166406594832891</v>
      </c>
      <c r="BB306" s="289">
        <f t="shared" si="14"/>
        <v>0.28028665070846887</v>
      </c>
      <c r="BC306" s="289">
        <f t="shared" si="7"/>
        <v>0.28028665070846887</v>
      </c>
    </row>
    <row r="307" spans="2:55">
      <c r="B307" s="72" t="s">
        <v>512</v>
      </c>
      <c r="C307" s="72" t="s">
        <v>513</v>
      </c>
      <c r="D307" s="289">
        <f t="shared" si="4"/>
        <v>0</v>
      </c>
      <c r="E307" s="289">
        <f t="shared" si="14"/>
        <v>0</v>
      </c>
      <c r="F307" s="289">
        <f t="shared" si="14"/>
        <v>0</v>
      </c>
      <c r="G307" s="289">
        <f t="shared" si="14"/>
        <v>0</v>
      </c>
      <c r="H307" s="289">
        <f t="shared" si="14"/>
        <v>0</v>
      </c>
      <c r="I307" s="289">
        <f t="shared" si="14"/>
        <v>0</v>
      </c>
      <c r="J307" s="289">
        <f t="shared" si="14"/>
        <v>0</v>
      </c>
      <c r="K307" s="289">
        <f t="shared" si="14"/>
        <v>0</v>
      </c>
      <c r="L307" s="289">
        <f t="shared" si="14"/>
        <v>0</v>
      </c>
      <c r="M307" s="289">
        <f t="shared" si="14"/>
        <v>0</v>
      </c>
      <c r="N307" s="289">
        <f t="shared" si="14"/>
        <v>0</v>
      </c>
      <c r="O307" s="289">
        <f t="shared" si="14"/>
        <v>0</v>
      </c>
      <c r="P307" s="289">
        <f t="shared" si="14"/>
        <v>0</v>
      </c>
      <c r="Q307" s="289">
        <f t="shared" si="14"/>
        <v>0</v>
      </c>
      <c r="R307" s="289">
        <f t="shared" si="14"/>
        <v>0</v>
      </c>
      <c r="S307" s="289">
        <f t="shared" si="14"/>
        <v>0</v>
      </c>
      <c r="T307" s="289">
        <f t="shared" si="14"/>
        <v>0</v>
      </c>
      <c r="U307" s="289">
        <f t="shared" si="14"/>
        <v>0</v>
      </c>
      <c r="V307" s="289">
        <f t="shared" si="14"/>
        <v>0</v>
      </c>
      <c r="W307" s="289">
        <f t="shared" si="14"/>
        <v>0</v>
      </c>
      <c r="X307" s="289">
        <f t="shared" si="14"/>
        <v>0</v>
      </c>
      <c r="Y307" s="289">
        <f t="shared" si="14"/>
        <v>0</v>
      </c>
      <c r="Z307" s="289">
        <f t="shared" si="14"/>
        <v>0</v>
      </c>
      <c r="AA307" s="289">
        <f t="shared" si="14"/>
        <v>0</v>
      </c>
      <c r="AB307" s="289">
        <f t="shared" si="14"/>
        <v>0</v>
      </c>
      <c r="AC307" s="289">
        <f t="shared" si="14"/>
        <v>0</v>
      </c>
      <c r="AD307" s="289">
        <f t="shared" si="14"/>
        <v>0</v>
      </c>
      <c r="AE307" s="289">
        <f t="shared" si="14"/>
        <v>0</v>
      </c>
      <c r="AF307" s="289">
        <f t="shared" si="14"/>
        <v>0</v>
      </c>
      <c r="AG307" s="289">
        <f t="shared" si="14"/>
        <v>3.5995737581236274E-2</v>
      </c>
      <c r="AH307" s="289">
        <f t="shared" si="14"/>
        <v>3.2033207021102059E-2</v>
      </c>
      <c r="AI307" s="289">
        <f t="shared" si="14"/>
        <v>1.9454658166679361E-2</v>
      </c>
      <c r="AJ307" s="289">
        <f t="shared" si="14"/>
        <v>2.0969200942005699E-2</v>
      </c>
      <c r="AK307" s="289">
        <f t="shared" si="14"/>
        <v>2.1806530310150053E-2</v>
      </c>
      <c r="AL307" s="289">
        <f t="shared" si="14"/>
        <v>2.2841727012968674E-2</v>
      </c>
      <c r="AM307" s="289">
        <f t="shared" si="14"/>
        <v>2.4011413116250463E-2</v>
      </c>
      <c r="AN307" s="289">
        <f t="shared" si="14"/>
        <v>2.2293169970680364E-2</v>
      </c>
      <c r="AO307" s="289">
        <f t="shared" si="14"/>
        <v>2.4367665830095878E-2</v>
      </c>
      <c r="AP307" s="289">
        <f t="shared" si="14"/>
        <v>2.3302143552752251E-2</v>
      </c>
      <c r="AQ307" s="289">
        <f t="shared" si="14"/>
        <v>2.4799840797393825E-2</v>
      </c>
      <c r="AR307" s="289">
        <f t="shared" si="14"/>
        <v>2.7822024810525682E-2</v>
      </c>
      <c r="AS307" s="289">
        <f t="shared" si="14"/>
        <v>2.8755424379044638E-2</v>
      </c>
      <c r="AT307" s="289">
        <f t="shared" si="14"/>
        <v>2.9440969029638067E-2</v>
      </c>
      <c r="AU307" s="289">
        <f t="shared" si="14"/>
        <v>3.1825236349080938E-2</v>
      </c>
      <c r="AV307" s="289">
        <f t="shared" si="14"/>
        <v>4.1927450597896695E-2</v>
      </c>
      <c r="AW307" s="289">
        <f t="shared" si="14"/>
        <v>5.1375598338453468E-2</v>
      </c>
      <c r="AX307" s="289">
        <f t="shared" si="14"/>
        <v>6.4638314286555767E-2</v>
      </c>
      <c r="AY307" s="289">
        <f t="shared" si="14"/>
        <v>8.7781470864425962E-2</v>
      </c>
      <c r="AZ307" s="289">
        <f t="shared" si="14"/>
        <v>7.9342312478871524E-2</v>
      </c>
      <c r="BA307" s="289">
        <f t="shared" si="14"/>
        <v>8.3591949221287251E-2</v>
      </c>
      <c r="BB307" s="289">
        <f t="shared" si="14"/>
        <v>8.4672572906611218E-2</v>
      </c>
      <c r="BC307" s="289">
        <f t="shared" si="7"/>
        <v>8.4672572906611218E-2</v>
      </c>
    </row>
    <row r="308" spans="2:55">
      <c r="B308" s="72" t="s">
        <v>514</v>
      </c>
      <c r="C308" s="72" t="s">
        <v>515</v>
      </c>
      <c r="D308" s="289">
        <f t="shared" si="4"/>
        <v>0</v>
      </c>
      <c r="E308" s="289">
        <f t="shared" si="14"/>
        <v>0</v>
      </c>
      <c r="F308" s="289">
        <f t="shared" si="14"/>
        <v>0</v>
      </c>
      <c r="G308" s="289">
        <f t="shared" si="14"/>
        <v>0</v>
      </c>
      <c r="H308" s="289">
        <f t="shared" si="14"/>
        <v>0</v>
      </c>
      <c r="I308" s="289">
        <f t="shared" si="14"/>
        <v>0</v>
      </c>
      <c r="J308" s="289">
        <f t="shared" ref="E308:BB313" si="15">J58/J$251</f>
        <v>0</v>
      </c>
      <c r="K308" s="289">
        <f t="shared" si="15"/>
        <v>0</v>
      </c>
      <c r="L308" s="289">
        <f t="shared" si="15"/>
        <v>0</v>
      </c>
      <c r="M308" s="289">
        <f t="shared" si="15"/>
        <v>0</v>
      </c>
      <c r="N308" s="289">
        <f t="shared" si="15"/>
        <v>0</v>
      </c>
      <c r="O308" s="289">
        <f t="shared" si="15"/>
        <v>0</v>
      </c>
      <c r="P308" s="289">
        <f t="shared" si="15"/>
        <v>0</v>
      </c>
      <c r="Q308" s="289">
        <f t="shared" si="15"/>
        <v>0</v>
      </c>
      <c r="R308" s="289">
        <f t="shared" si="15"/>
        <v>0</v>
      </c>
      <c r="S308" s="289">
        <f t="shared" si="15"/>
        <v>0</v>
      </c>
      <c r="T308" s="289">
        <f t="shared" si="15"/>
        <v>0</v>
      </c>
      <c r="U308" s="289">
        <f t="shared" si="15"/>
        <v>0</v>
      </c>
      <c r="V308" s="289">
        <f t="shared" si="15"/>
        <v>0</v>
      </c>
      <c r="W308" s="289">
        <f t="shared" si="15"/>
        <v>0</v>
      </c>
      <c r="X308" s="289">
        <f t="shared" si="15"/>
        <v>0</v>
      </c>
      <c r="Y308" s="289">
        <f t="shared" si="15"/>
        <v>0</v>
      </c>
      <c r="Z308" s="289">
        <f t="shared" si="15"/>
        <v>0</v>
      </c>
      <c r="AA308" s="289">
        <f t="shared" si="15"/>
        <v>0</v>
      </c>
      <c r="AB308" s="289">
        <f t="shared" si="15"/>
        <v>0</v>
      </c>
      <c r="AC308" s="289">
        <f t="shared" si="15"/>
        <v>0</v>
      </c>
      <c r="AD308" s="289">
        <f t="shared" si="15"/>
        <v>0</v>
      </c>
      <c r="AE308" s="289">
        <f t="shared" si="15"/>
        <v>0</v>
      </c>
      <c r="AF308" s="289">
        <f t="shared" si="15"/>
        <v>0</v>
      </c>
      <c r="AG308" s="289">
        <f t="shared" si="15"/>
        <v>0</v>
      </c>
      <c r="AH308" s="289">
        <f t="shared" si="15"/>
        <v>0.7337282140342003</v>
      </c>
      <c r="AI308" s="289">
        <f t="shared" si="15"/>
        <v>0.74042911327457328</v>
      </c>
      <c r="AJ308" s="289">
        <f t="shared" si="15"/>
        <v>0.87811890284802607</v>
      </c>
      <c r="AK308" s="289">
        <f t="shared" si="15"/>
        <v>0.88548493353090663</v>
      </c>
      <c r="AL308" s="289">
        <f t="shared" si="15"/>
        <v>0.82441740601093494</v>
      </c>
      <c r="AM308" s="289">
        <f t="shared" si="15"/>
        <v>0.79229102534790019</v>
      </c>
      <c r="AN308" s="289">
        <f t="shared" si="15"/>
        <v>0.76674496891566146</v>
      </c>
      <c r="AO308" s="289">
        <f t="shared" si="15"/>
        <v>0.76733616587849274</v>
      </c>
      <c r="AP308" s="289">
        <f t="shared" si="15"/>
        <v>0.76021245816900818</v>
      </c>
      <c r="AQ308" s="289">
        <f t="shared" si="15"/>
        <v>0.82169723818912321</v>
      </c>
      <c r="AR308" s="289">
        <f t="shared" si="15"/>
        <v>0.82777479798598153</v>
      </c>
      <c r="AS308" s="289">
        <f t="shared" si="15"/>
        <v>0.7483628411688229</v>
      </c>
      <c r="AT308" s="289">
        <f t="shared" si="15"/>
        <v>0</v>
      </c>
      <c r="AU308" s="289">
        <f t="shared" si="15"/>
        <v>0</v>
      </c>
      <c r="AV308" s="289">
        <f t="shared" si="15"/>
        <v>0</v>
      </c>
      <c r="AW308" s="289">
        <f t="shared" si="15"/>
        <v>0</v>
      </c>
      <c r="AX308" s="289">
        <f t="shared" si="15"/>
        <v>0</v>
      </c>
      <c r="AY308" s="289">
        <f t="shared" si="15"/>
        <v>0</v>
      </c>
      <c r="AZ308" s="289">
        <f t="shared" si="15"/>
        <v>0</v>
      </c>
      <c r="BA308" s="289">
        <f t="shared" si="15"/>
        <v>0</v>
      </c>
      <c r="BB308" s="289">
        <f t="shared" si="15"/>
        <v>0</v>
      </c>
      <c r="BC308" s="289">
        <f t="shared" si="7"/>
        <v>0</v>
      </c>
    </row>
    <row r="309" spans="2:55">
      <c r="B309" s="72" t="s">
        <v>516</v>
      </c>
      <c r="C309" s="72" t="s">
        <v>331</v>
      </c>
      <c r="D309" s="289">
        <f t="shared" si="4"/>
        <v>1.2903594333945081</v>
      </c>
      <c r="E309" s="289">
        <f t="shared" si="15"/>
        <v>1.2223248056089038</v>
      </c>
      <c r="F309" s="289">
        <f t="shared" si="15"/>
        <v>1.2325804130922282</v>
      </c>
      <c r="G309" s="289">
        <f t="shared" si="15"/>
        <v>1.2301181607571592</v>
      </c>
      <c r="H309" s="289">
        <f t="shared" si="15"/>
        <v>1.2302650818995771</v>
      </c>
      <c r="I309" s="289">
        <f t="shared" si="15"/>
        <v>1.1934452086916676</v>
      </c>
      <c r="J309" s="289">
        <f t="shared" si="15"/>
        <v>1.2722109041146343</v>
      </c>
      <c r="K309" s="289">
        <f t="shared" si="15"/>
        <v>1.4338583742958482</v>
      </c>
      <c r="L309" s="289">
        <f t="shared" si="15"/>
        <v>1.469210175904786</v>
      </c>
      <c r="M309" s="289">
        <f t="shared" si="15"/>
        <v>1.4719687553388461</v>
      </c>
      <c r="N309" s="289">
        <f t="shared" si="15"/>
        <v>1.3818840855354195</v>
      </c>
      <c r="O309" s="289">
        <f t="shared" si="15"/>
        <v>1.36329915111539</v>
      </c>
      <c r="P309" s="289">
        <f t="shared" si="15"/>
        <v>1.4625325054748357</v>
      </c>
      <c r="Q309" s="289">
        <f t="shared" si="15"/>
        <v>1.8413586595624423</v>
      </c>
      <c r="R309" s="289">
        <f t="shared" si="15"/>
        <v>1.6629180307648259</v>
      </c>
      <c r="S309" s="289">
        <f t="shared" si="15"/>
        <v>1.85040428561945</v>
      </c>
      <c r="T309" s="289">
        <f t="shared" si="15"/>
        <v>1.7006153427481581</v>
      </c>
      <c r="U309" s="289">
        <f t="shared" si="15"/>
        <v>1.4242654696975976</v>
      </c>
      <c r="V309" s="289">
        <f t="shared" si="15"/>
        <v>1.2357584347057395</v>
      </c>
      <c r="W309" s="289">
        <f t="shared" si="15"/>
        <v>1.0598299628721533</v>
      </c>
      <c r="X309" s="289">
        <f t="shared" si="15"/>
        <v>1.2961150355229578</v>
      </c>
      <c r="Y309" s="289">
        <f t="shared" si="15"/>
        <v>1.4655507644945143</v>
      </c>
      <c r="Z309" s="289">
        <f t="shared" si="15"/>
        <v>1.3940375662472846</v>
      </c>
      <c r="AA309" s="289">
        <f t="shared" si="15"/>
        <v>1.6012820436565818</v>
      </c>
      <c r="AB309" s="289">
        <f t="shared" si="15"/>
        <v>1.3960948077975783</v>
      </c>
      <c r="AC309" s="289">
        <f t="shared" si="15"/>
        <v>1.1289027701784291</v>
      </c>
      <c r="AD309" s="289">
        <f t="shared" si="15"/>
        <v>0.94200419404300417</v>
      </c>
      <c r="AE309" s="289">
        <f t="shared" si="15"/>
        <v>0.95547556046219972</v>
      </c>
      <c r="AF309" s="289">
        <f t="shared" si="15"/>
        <v>1.1839780874251262</v>
      </c>
      <c r="AG309" s="289">
        <f t="shared" si="15"/>
        <v>1.0318463674133584</v>
      </c>
      <c r="AH309" s="289">
        <f t="shared" si="15"/>
        <v>1.0264389673911465</v>
      </c>
      <c r="AI309" s="289">
        <f t="shared" si="15"/>
        <v>0.98158481413037402</v>
      </c>
      <c r="AJ309" s="289">
        <f t="shared" si="15"/>
        <v>1.0400247886037943</v>
      </c>
      <c r="AK309" s="289">
        <f t="shared" si="15"/>
        <v>0.98828252016696494</v>
      </c>
      <c r="AL309" s="289">
        <f t="shared" si="15"/>
        <v>1.0226712965014864</v>
      </c>
      <c r="AM309" s="289">
        <f t="shared" si="15"/>
        <v>1.0468545965907556</v>
      </c>
      <c r="AN309" s="289">
        <f t="shared" si="15"/>
        <v>1.0034249336554837</v>
      </c>
      <c r="AO309" s="289">
        <f t="shared" si="15"/>
        <v>0.85470896161155552</v>
      </c>
      <c r="AP309" s="289">
        <f t="shared" si="15"/>
        <v>0.80306888010801047</v>
      </c>
      <c r="AQ309" s="289">
        <f t="shared" si="15"/>
        <v>0.86632500853042094</v>
      </c>
      <c r="AR309" s="289">
        <f t="shared" si="15"/>
        <v>0.78680705180596544</v>
      </c>
      <c r="AS309" s="289">
        <f t="shared" si="15"/>
        <v>0.74456454145909923</v>
      </c>
      <c r="AT309" s="289">
        <f t="shared" si="15"/>
        <v>0.75259544144774071</v>
      </c>
      <c r="AU309" s="289">
        <f t="shared" si="15"/>
        <v>0.82778869371066499</v>
      </c>
      <c r="AV309" s="289">
        <f t="shared" si="15"/>
        <v>0.8904405079754496</v>
      </c>
      <c r="AW309" s="289">
        <f t="shared" si="15"/>
        <v>0.8889627720986828</v>
      </c>
      <c r="AX309" s="289">
        <f t="shared" si="15"/>
        <v>0.87097301721994924</v>
      </c>
      <c r="AY309" s="289">
        <f t="shared" si="15"/>
        <v>1.1350005903443701</v>
      </c>
      <c r="AZ309" s="289">
        <f t="shared" si="15"/>
        <v>1.1887486456052194</v>
      </c>
      <c r="BA309" s="289">
        <f t="shared" si="15"/>
        <v>1.4090266066447701</v>
      </c>
      <c r="BB309" s="289">
        <f t="shared" si="15"/>
        <v>1.5620245173072229</v>
      </c>
      <c r="BC309" s="289">
        <f t="shared" si="7"/>
        <v>1.5620245173072229</v>
      </c>
    </row>
    <row r="310" spans="2:55">
      <c r="B310" s="72" t="s">
        <v>517</v>
      </c>
      <c r="C310" s="72" t="s">
        <v>518</v>
      </c>
      <c r="D310" s="289">
        <f t="shared" si="4"/>
        <v>0.71034991069556652</v>
      </c>
      <c r="E310" s="289">
        <f t="shared" si="15"/>
        <v>0.71868212755421312</v>
      </c>
      <c r="F310" s="289">
        <f t="shared" si="15"/>
        <v>0.73275770726747214</v>
      </c>
      <c r="G310" s="289">
        <f t="shared" si="15"/>
        <v>0.73401908119277581</v>
      </c>
      <c r="H310" s="289">
        <f t="shared" si="15"/>
        <v>0.74260709295118366</v>
      </c>
      <c r="I310" s="289">
        <f t="shared" si="15"/>
        <v>0.75880153543902629</v>
      </c>
      <c r="J310" s="289">
        <f t="shared" si="15"/>
        <v>0.7756699953330437</v>
      </c>
      <c r="K310" s="289">
        <f t="shared" si="15"/>
        <v>0.8846684513455646</v>
      </c>
      <c r="L310" s="289">
        <f t="shared" si="15"/>
        <v>0.89816656154603136</v>
      </c>
      <c r="M310" s="289">
        <f t="shared" si="15"/>
        <v>0.9088504330830538</v>
      </c>
      <c r="N310" s="289">
        <f t="shared" si="15"/>
        <v>0.9330413507089711</v>
      </c>
      <c r="O310" s="289">
        <f t="shared" si="15"/>
        <v>1.0007003565653663</v>
      </c>
      <c r="P310" s="289">
        <f t="shared" si="15"/>
        <v>1.1821880444809647</v>
      </c>
      <c r="Q310" s="289">
        <f t="shared" si="15"/>
        <v>1.3033650874865215</v>
      </c>
      <c r="R310" s="289">
        <f t="shared" si="15"/>
        <v>1.2440931431803575</v>
      </c>
      <c r="S310" s="289">
        <f t="shared" si="15"/>
        <v>1.3907423836880766</v>
      </c>
      <c r="T310" s="289">
        <f t="shared" si="15"/>
        <v>1.4764438192311644</v>
      </c>
      <c r="U310" s="289">
        <f t="shared" si="15"/>
        <v>1.403719159221533</v>
      </c>
      <c r="V310" s="289">
        <f t="shared" si="15"/>
        <v>1.2905075561614932</v>
      </c>
      <c r="W310" s="289">
        <f t="shared" si="15"/>
        <v>1.1179359203343959</v>
      </c>
      <c r="X310" s="289">
        <f t="shared" si="15"/>
        <v>1.0160083348726536</v>
      </c>
      <c r="Y310" s="289">
        <f t="shared" si="15"/>
        <v>1.0682928428558918</v>
      </c>
      <c r="Z310" s="289">
        <f t="shared" si="15"/>
        <v>1.1418847395801861</v>
      </c>
      <c r="AA310" s="289">
        <f t="shared" si="15"/>
        <v>1.1441366891767477</v>
      </c>
      <c r="AB310" s="289">
        <f t="shared" si="15"/>
        <v>1.1057296203166687</v>
      </c>
      <c r="AC310" s="289">
        <f t="shared" si="15"/>
        <v>1.2866515196720727</v>
      </c>
      <c r="AD310" s="289">
        <f t="shared" si="15"/>
        <v>1.3155083827509568</v>
      </c>
      <c r="AE310" s="289">
        <f t="shared" si="15"/>
        <v>1.1636646572531402</v>
      </c>
      <c r="AF310" s="289">
        <f t="shared" si="15"/>
        <v>1.1482539169771113</v>
      </c>
      <c r="AG310" s="289">
        <f t="shared" si="15"/>
        <v>1.2131747139813551</v>
      </c>
      <c r="AH310" s="289">
        <f t="shared" si="15"/>
        <v>1.2063532936906565</v>
      </c>
      <c r="AI310" s="289">
        <f t="shared" si="15"/>
        <v>1.2987303416552309</v>
      </c>
      <c r="AJ310" s="289">
        <f t="shared" si="15"/>
        <v>1.4021758579096286</v>
      </c>
      <c r="AK310" s="289">
        <f t="shared" si="15"/>
        <v>1.3849112485323085</v>
      </c>
      <c r="AL310" s="289">
        <f t="shared" si="15"/>
        <v>1.5049443732538677</v>
      </c>
      <c r="AM310" s="289">
        <f t="shared" si="15"/>
        <v>1.4063384649217801</v>
      </c>
      <c r="AN310" s="289">
        <f t="shared" si="15"/>
        <v>1.1117976805189635</v>
      </c>
      <c r="AO310" s="289">
        <f t="shared" si="15"/>
        <v>1.0699278775356034</v>
      </c>
      <c r="AP310" s="289">
        <f t="shared" si="15"/>
        <v>1.0366036601176893</v>
      </c>
      <c r="AQ310" s="289">
        <f t="shared" si="15"/>
        <v>0.95676242431831182</v>
      </c>
      <c r="AR310" s="289">
        <f t="shared" si="15"/>
        <v>0.95963481197670741</v>
      </c>
      <c r="AS310" s="289">
        <f t="shared" si="15"/>
        <v>0.95118424277723201</v>
      </c>
      <c r="AT310" s="289">
        <f t="shared" si="15"/>
        <v>1.0037120971292468</v>
      </c>
      <c r="AU310" s="289">
        <f t="shared" si="15"/>
        <v>0.97185096428258699</v>
      </c>
      <c r="AV310" s="289">
        <f t="shared" si="15"/>
        <v>0.97234533246097232</v>
      </c>
      <c r="AW310" s="289">
        <f t="shared" si="15"/>
        <v>0.97081721866230819</v>
      </c>
      <c r="AX310" s="289">
        <f t="shared" si="15"/>
        <v>0.97520457300278629</v>
      </c>
      <c r="AY310" s="289">
        <f t="shared" si="15"/>
        <v>1.151396553435041</v>
      </c>
      <c r="AZ310" s="289">
        <f t="shared" si="15"/>
        <v>1.2979836650422538</v>
      </c>
      <c r="BA310" s="289">
        <f t="shared" si="15"/>
        <v>1.2388665947931294</v>
      </c>
      <c r="BB310" s="289">
        <f t="shared" si="15"/>
        <v>1.2707664090845732</v>
      </c>
      <c r="BC310" s="289">
        <f t="shared" si="7"/>
        <v>1.2707664090845732</v>
      </c>
    </row>
    <row r="311" spans="2:55">
      <c r="B311" s="72" t="s">
        <v>519</v>
      </c>
      <c r="C311" s="72" t="s">
        <v>520</v>
      </c>
      <c r="D311" s="289">
        <f t="shared" si="4"/>
        <v>0</v>
      </c>
      <c r="E311" s="289">
        <f t="shared" si="15"/>
        <v>0</v>
      </c>
      <c r="F311" s="289">
        <f t="shared" si="15"/>
        <v>0</v>
      </c>
      <c r="G311" s="289">
        <f t="shared" si="15"/>
        <v>0</v>
      </c>
      <c r="H311" s="289">
        <f t="shared" si="15"/>
        <v>0</v>
      </c>
      <c r="I311" s="289">
        <f t="shared" si="15"/>
        <v>0</v>
      </c>
      <c r="J311" s="289">
        <f t="shared" si="15"/>
        <v>0</v>
      </c>
      <c r="K311" s="289">
        <f t="shared" si="15"/>
        <v>0</v>
      </c>
      <c r="L311" s="289">
        <f t="shared" si="15"/>
        <v>0</v>
      </c>
      <c r="M311" s="289">
        <f t="shared" si="15"/>
        <v>0</v>
      </c>
      <c r="N311" s="289">
        <f t="shared" si="15"/>
        <v>0</v>
      </c>
      <c r="O311" s="289">
        <f t="shared" si="15"/>
        <v>0</v>
      </c>
      <c r="P311" s="289">
        <f t="shared" si="15"/>
        <v>0</v>
      </c>
      <c r="Q311" s="289">
        <f t="shared" si="15"/>
        <v>0</v>
      </c>
      <c r="R311" s="289">
        <f t="shared" si="15"/>
        <v>0</v>
      </c>
      <c r="S311" s="289">
        <f t="shared" si="15"/>
        <v>0</v>
      </c>
      <c r="T311" s="289">
        <f t="shared" si="15"/>
        <v>0</v>
      </c>
      <c r="U311" s="289">
        <f t="shared" si="15"/>
        <v>0</v>
      </c>
      <c r="V311" s="289">
        <f t="shared" si="15"/>
        <v>0</v>
      </c>
      <c r="W311" s="289">
        <f t="shared" si="15"/>
        <v>0</v>
      </c>
      <c r="X311" s="289">
        <f t="shared" si="15"/>
        <v>0</v>
      </c>
      <c r="Y311" s="289">
        <f t="shared" si="15"/>
        <v>0</v>
      </c>
      <c r="Z311" s="289">
        <f t="shared" si="15"/>
        <v>0</v>
      </c>
      <c r="AA311" s="289">
        <f t="shared" si="15"/>
        <v>0</v>
      </c>
      <c r="AB311" s="289">
        <f t="shared" si="15"/>
        <v>0</v>
      </c>
      <c r="AC311" s="289">
        <f t="shared" si="15"/>
        <v>0</v>
      </c>
      <c r="AD311" s="289">
        <f t="shared" si="15"/>
        <v>0</v>
      </c>
      <c r="AE311" s="289">
        <f t="shared" si="15"/>
        <v>0</v>
      </c>
      <c r="AF311" s="289">
        <f t="shared" si="15"/>
        <v>0</v>
      </c>
      <c r="AG311" s="289">
        <f t="shared" si="15"/>
        <v>6.9954073376227E-2</v>
      </c>
      <c r="AH311" s="289">
        <f t="shared" si="15"/>
        <v>6.5767562297994631E-2</v>
      </c>
      <c r="AI311" s="289">
        <f t="shared" si="15"/>
        <v>3.566111531469817E-2</v>
      </c>
      <c r="AJ311" s="289">
        <f t="shared" si="15"/>
        <v>3.1185558286900127E-2</v>
      </c>
      <c r="AK311" s="289">
        <f t="shared" si="15"/>
        <v>2.3798624265476985E-2</v>
      </c>
      <c r="AL311" s="289">
        <f t="shared" si="15"/>
        <v>1.9915893842417133E-2</v>
      </c>
      <c r="AM311" s="289">
        <f t="shared" si="15"/>
        <v>1.9517903284780175E-2</v>
      </c>
      <c r="AN311" s="289">
        <f t="shared" si="15"/>
        <v>2.1550156880707171E-2</v>
      </c>
      <c r="AO311" s="289">
        <f t="shared" si="15"/>
        <v>2.2480114182503216E-2</v>
      </c>
      <c r="AP311" s="289">
        <f t="shared" si="15"/>
        <v>2.239551433656722E-2</v>
      </c>
      <c r="AQ311" s="289">
        <f t="shared" si="15"/>
        <v>2.6143648189213352E-2</v>
      </c>
      <c r="AR311" s="289">
        <f t="shared" si="15"/>
        <v>2.8332303615525144E-2</v>
      </c>
      <c r="AS311" s="289">
        <f t="shared" si="15"/>
        <v>2.8266177828019077E-2</v>
      </c>
      <c r="AT311" s="289">
        <f t="shared" si="15"/>
        <v>2.8363700303323268E-2</v>
      </c>
      <c r="AU311" s="289">
        <f t="shared" si="15"/>
        <v>2.8478601788504313E-2</v>
      </c>
      <c r="AV311" s="289">
        <f t="shared" si="15"/>
        <v>4.1403531412897931E-2</v>
      </c>
      <c r="AW311" s="289">
        <f t="shared" si="15"/>
        <v>6.1090384073086826E-2</v>
      </c>
      <c r="AX311" s="289">
        <f t="shared" si="15"/>
        <v>8.3127675998869277E-2</v>
      </c>
      <c r="AY311" s="289">
        <f t="shared" si="15"/>
        <v>0.12920077500549235</v>
      </c>
      <c r="AZ311" s="289">
        <f t="shared" si="15"/>
        <v>0.14011082124974641</v>
      </c>
      <c r="BA311" s="289">
        <f t="shared" si="15"/>
        <v>0.16116416557599655</v>
      </c>
      <c r="BB311" s="289">
        <f t="shared" si="15"/>
        <v>0.17715238454149371</v>
      </c>
      <c r="BC311" s="289">
        <f t="shared" si="7"/>
        <v>0.17715238454149371</v>
      </c>
    </row>
    <row r="312" spans="2:55">
      <c r="B312" s="72" t="s">
        <v>521</v>
      </c>
      <c r="C312" s="72" t="s">
        <v>522</v>
      </c>
      <c r="D312" s="289">
        <f t="shared" si="4"/>
        <v>1.1369026363011612</v>
      </c>
      <c r="E312" s="289">
        <f t="shared" si="15"/>
        <v>1.1580286749296227</v>
      </c>
      <c r="F312" s="289">
        <f t="shared" si="15"/>
        <v>1.1722812294973932</v>
      </c>
      <c r="G312" s="289">
        <f t="shared" si="15"/>
        <v>1.1532099661814266</v>
      </c>
      <c r="H312" s="289">
        <f t="shared" si="15"/>
        <v>1.1586956245107074</v>
      </c>
      <c r="I312" s="289">
        <f t="shared" si="15"/>
        <v>1.1852952685584262</v>
      </c>
      <c r="J312" s="289">
        <f t="shared" si="15"/>
        <v>1.263375167364335</v>
      </c>
      <c r="K312" s="289">
        <f t="shared" si="15"/>
        <v>1.4788147187010623</v>
      </c>
      <c r="L312" s="289">
        <f t="shared" si="15"/>
        <v>1.582010000919442</v>
      </c>
      <c r="M312" s="289">
        <f t="shared" si="15"/>
        <v>1.4179630122010349</v>
      </c>
      <c r="N312" s="289">
        <f t="shared" si="15"/>
        <v>1.3057232144478952</v>
      </c>
      <c r="O312" s="289">
        <f t="shared" si="15"/>
        <v>1.1488600253870855</v>
      </c>
      <c r="P312" s="289">
        <f t="shared" si="15"/>
        <v>1.1348710918434068</v>
      </c>
      <c r="Q312" s="289">
        <f t="shared" si="15"/>
        <v>0.97164088962224526</v>
      </c>
      <c r="R312" s="289">
        <f t="shared" si="15"/>
        <v>0.75070799776591446</v>
      </c>
      <c r="S312" s="289">
        <f t="shared" si="15"/>
        <v>0.82377967907309169</v>
      </c>
      <c r="T312" s="289">
        <f t="shared" si="15"/>
        <v>0.79239162382717954</v>
      </c>
      <c r="U312" s="289">
        <f t="shared" si="15"/>
        <v>0.7141263151804762</v>
      </c>
      <c r="V312" s="289">
        <f t="shared" si="15"/>
        <v>0.73667944146374564</v>
      </c>
      <c r="W312" s="289">
        <f t="shared" si="15"/>
        <v>0.658887263042226</v>
      </c>
      <c r="X312" s="289">
        <f t="shared" si="15"/>
        <v>0.72460920705675202</v>
      </c>
      <c r="Y312" s="289">
        <f t="shared" si="15"/>
        <v>0.82217778952302856</v>
      </c>
      <c r="Z312" s="289">
        <f t="shared" si="15"/>
        <v>0.93128547484919588</v>
      </c>
      <c r="AA312" s="289">
        <f t="shared" si="15"/>
        <v>1.1415084495537635</v>
      </c>
      <c r="AB312" s="289">
        <f t="shared" si="15"/>
        <v>1.2051565335395158</v>
      </c>
      <c r="AC312" s="289">
        <f t="shared" si="15"/>
        <v>1.0280037923765468</v>
      </c>
      <c r="AD312" s="289">
        <f t="shared" si="15"/>
        <v>0.90470795211622712</v>
      </c>
      <c r="AE312" s="289">
        <f t="shared" si="15"/>
        <v>0.76179537594105551</v>
      </c>
      <c r="AF312" s="289">
        <f t="shared" si="15"/>
        <v>0.80803168668876524</v>
      </c>
      <c r="AG312" s="289">
        <f t="shared" si="15"/>
        <v>0.69884884381894641</v>
      </c>
      <c r="AH312" s="289">
        <f t="shared" si="15"/>
        <v>0.64869413409205257</v>
      </c>
      <c r="AI312" s="289">
        <f t="shared" si="15"/>
        <v>0.6169931911243457</v>
      </c>
      <c r="AJ312" s="289">
        <f t="shared" si="15"/>
        <v>0.67197516986851069</v>
      </c>
      <c r="AK312" s="289">
        <f t="shared" si="15"/>
        <v>0.64558735739937423</v>
      </c>
      <c r="AL312" s="289">
        <f t="shared" si="15"/>
        <v>0.61454367854633252</v>
      </c>
      <c r="AM312" s="289">
        <f t="shared" si="15"/>
        <v>0.60679573762299521</v>
      </c>
      <c r="AN312" s="289">
        <f t="shared" si="15"/>
        <v>0.73628633648993491</v>
      </c>
      <c r="AO312" s="289">
        <f t="shared" si="15"/>
        <v>0.73708742916210535</v>
      </c>
      <c r="AP312" s="289">
        <f t="shared" si="15"/>
        <v>0.79909250513669905</v>
      </c>
      <c r="AQ312" s="289">
        <f t="shared" si="15"/>
        <v>0.84837657839409963</v>
      </c>
      <c r="AR312" s="289">
        <f t="shared" si="15"/>
        <v>0.8699545532955274</v>
      </c>
      <c r="AS312" s="289">
        <f t="shared" si="15"/>
        <v>0.84281104210401048</v>
      </c>
      <c r="AT312" s="289">
        <f t="shared" si="15"/>
        <v>0.71911645190725537</v>
      </c>
      <c r="AU312" s="289">
        <f t="shared" si="15"/>
        <v>0.61426716512947266</v>
      </c>
      <c r="AV312" s="289">
        <f t="shared" si="15"/>
        <v>0.63298441589636323</v>
      </c>
      <c r="AW312" s="289">
        <f t="shared" si="15"/>
        <v>0.60720250384025243</v>
      </c>
      <c r="AX312" s="289">
        <f t="shared" si="15"/>
        <v>0.54600162833193189</v>
      </c>
      <c r="AY312" s="289">
        <f t="shared" si="15"/>
        <v>0.57282666732591669</v>
      </c>
      <c r="AZ312" s="289">
        <f t="shared" si="15"/>
        <v>0.64553093201680145</v>
      </c>
      <c r="BA312" s="289">
        <f t="shared" si="15"/>
        <v>0.62513376111484209</v>
      </c>
      <c r="BB312" s="289">
        <f t="shared" si="15"/>
        <v>0.57458791489299021</v>
      </c>
      <c r="BC312" s="289">
        <f t="shared" si="7"/>
        <v>0.57458791489299021</v>
      </c>
    </row>
    <row r="313" spans="2:55">
      <c r="B313" s="72" t="s">
        <v>523</v>
      </c>
      <c r="C313" s="72" t="s">
        <v>524</v>
      </c>
      <c r="D313" s="289">
        <f t="shared" si="4"/>
        <v>0</v>
      </c>
      <c r="E313" s="289">
        <f t="shared" si="15"/>
        <v>0</v>
      </c>
      <c r="F313" s="289">
        <f t="shared" si="15"/>
        <v>0</v>
      </c>
      <c r="G313" s="289">
        <f t="shared" si="15"/>
        <v>0</v>
      </c>
      <c r="H313" s="289">
        <f t="shared" si="15"/>
        <v>0</v>
      </c>
      <c r="I313" s="289">
        <f t="shared" si="15"/>
        <v>0</v>
      </c>
      <c r="J313" s="289">
        <f t="shared" si="15"/>
        <v>0</v>
      </c>
      <c r="K313" s="289">
        <f t="shared" si="15"/>
        <v>0</v>
      </c>
      <c r="L313" s="289">
        <f t="shared" si="15"/>
        <v>0</v>
      </c>
      <c r="M313" s="289">
        <f t="shared" si="15"/>
        <v>0</v>
      </c>
      <c r="N313" s="289">
        <f t="shared" si="15"/>
        <v>0</v>
      </c>
      <c r="O313" s="289">
        <f t="shared" ref="E313:BB318" si="16">O63/O$251</f>
        <v>0</v>
      </c>
      <c r="P313" s="289">
        <f t="shared" si="16"/>
        <v>0</v>
      </c>
      <c r="Q313" s="289">
        <f t="shared" si="16"/>
        <v>0</v>
      </c>
      <c r="R313" s="289">
        <f t="shared" si="16"/>
        <v>0</v>
      </c>
      <c r="S313" s="289">
        <f t="shared" si="16"/>
        <v>0</v>
      </c>
      <c r="T313" s="289">
        <f t="shared" si="16"/>
        <v>0</v>
      </c>
      <c r="U313" s="289">
        <f t="shared" si="16"/>
        <v>0</v>
      </c>
      <c r="V313" s="289">
        <f t="shared" si="16"/>
        <v>0</v>
      </c>
      <c r="W313" s="289">
        <f t="shared" si="16"/>
        <v>0.89203050743509715</v>
      </c>
      <c r="X313" s="289">
        <f t="shared" si="16"/>
        <v>1.0194449171336277</v>
      </c>
      <c r="Y313" s="289">
        <f t="shared" si="16"/>
        <v>1.089602499895838</v>
      </c>
      <c r="Z313" s="289">
        <f t="shared" si="16"/>
        <v>1.1463127403343625</v>
      </c>
      <c r="AA313" s="289">
        <f t="shared" si="16"/>
        <v>1.2404133132695998</v>
      </c>
      <c r="AB313" s="289">
        <f t="shared" si="16"/>
        <v>1.0668852489463161</v>
      </c>
      <c r="AC313" s="289">
        <f t="shared" si="16"/>
        <v>0.7039726980944786</v>
      </c>
      <c r="AD313" s="289">
        <f t="shared" si="16"/>
        <v>0.61646991734026868</v>
      </c>
      <c r="AE313" s="289">
        <f t="shared" si="16"/>
        <v>0.53579163711621713</v>
      </c>
      <c r="AF313" s="289">
        <f t="shared" si="16"/>
        <v>0.53681067362583912</v>
      </c>
      <c r="AG313" s="289">
        <f t="shared" si="16"/>
        <v>0.48517347290398199</v>
      </c>
      <c r="AH313" s="289">
        <f t="shared" si="16"/>
        <v>0.4955060010080119</v>
      </c>
      <c r="AI313" s="289">
        <f t="shared" si="16"/>
        <v>0.48216136110584684</v>
      </c>
      <c r="AJ313" s="289">
        <f t="shared" si="16"/>
        <v>0.57467475024293502</v>
      </c>
      <c r="AK313" s="289">
        <f t="shared" si="16"/>
        <v>0.55703361085633163</v>
      </c>
      <c r="AL313" s="289">
        <f t="shared" si="16"/>
        <v>0.5246184852178315</v>
      </c>
      <c r="AM313" s="289">
        <f t="shared" si="16"/>
        <v>0.50621992745634048</v>
      </c>
      <c r="AN313" s="289">
        <f t="shared" si="16"/>
        <v>0.456406671268269</v>
      </c>
      <c r="AO313" s="289">
        <f t="shared" si="16"/>
        <v>0.40475034434439966</v>
      </c>
      <c r="AP313" s="289">
        <f t="shared" si="16"/>
        <v>0.41225247242909002</v>
      </c>
      <c r="AQ313" s="289">
        <f t="shared" si="16"/>
        <v>0.49843005754056147</v>
      </c>
      <c r="AR313" s="289">
        <f t="shared" si="16"/>
        <v>0.49687483573990815</v>
      </c>
      <c r="AS313" s="289">
        <f t="shared" si="16"/>
        <v>0.4898586440252618</v>
      </c>
      <c r="AT313" s="289">
        <f t="shared" si="16"/>
        <v>0.48348569087299609</v>
      </c>
      <c r="AU313" s="289">
        <f t="shared" si="16"/>
        <v>0.45580204638878608</v>
      </c>
      <c r="AV313" s="289">
        <f t="shared" si="16"/>
        <v>0.48714514701952288</v>
      </c>
      <c r="AW313" s="289">
        <f t="shared" si="16"/>
        <v>0.48269578935066026</v>
      </c>
      <c r="AX313" s="289">
        <f t="shared" si="16"/>
        <v>0.43071438527830547</v>
      </c>
      <c r="AY313" s="289">
        <f t="shared" si="16"/>
        <v>0.48237930315375466</v>
      </c>
      <c r="AZ313" s="289">
        <f t="shared" si="16"/>
        <v>0.46751126422615824</v>
      </c>
      <c r="BA313" s="289">
        <f t="shared" si="16"/>
        <v>0.50154986801641088</v>
      </c>
      <c r="BB313" s="289">
        <f t="shared" si="16"/>
        <v>0</v>
      </c>
      <c r="BC313" s="289">
        <f t="shared" si="7"/>
        <v>0</v>
      </c>
    </row>
    <row r="314" spans="2:55">
      <c r="B314" s="72" t="s">
        <v>525</v>
      </c>
      <c r="C314" s="72" t="s">
        <v>526</v>
      </c>
      <c r="D314" s="289">
        <f t="shared" si="4"/>
        <v>6.4361651748521917E-2</v>
      </c>
      <c r="E314" s="289">
        <f t="shared" si="16"/>
        <v>6.33678831480953E-2</v>
      </c>
      <c r="F314" s="289">
        <f t="shared" si="16"/>
        <v>6.1314776735829794E-2</v>
      </c>
      <c r="G314" s="289">
        <f t="shared" si="16"/>
        <v>5.554390153051892E-2</v>
      </c>
      <c r="H314" s="289">
        <f t="shared" si="16"/>
        <v>5.5217709373928565E-2</v>
      </c>
      <c r="I314" s="289">
        <f t="shared" si="16"/>
        <v>5.5062224968219657E-2</v>
      </c>
      <c r="J314" s="289">
        <f t="shared" si="16"/>
        <v>5.8092059978811256E-2</v>
      </c>
      <c r="K314" s="289">
        <f t="shared" si="16"/>
        <v>6.1947887440711183E-2</v>
      </c>
      <c r="L314" s="289">
        <f t="shared" si="16"/>
        <v>6.3659777022380348E-2</v>
      </c>
      <c r="M314" s="289">
        <f t="shared" si="16"/>
        <v>5.9973211772015096E-2</v>
      </c>
      <c r="N314" s="289">
        <f t="shared" si="16"/>
        <v>5.1072208908806566E-2</v>
      </c>
      <c r="O314" s="289">
        <f t="shared" si="16"/>
        <v>3.1760363859882013E-2</v>
      </c>
      <c r="P314" s="289">
        <f t="shared" si="16"/>
        <v>3.5927380233402313E-2</v>
      </c>
      <c r="Q314" s="289">
        <f t="shared" si="16"/>
        <v>5.0931429061860781E-2</v>
      </c>
      <c r="R314" s="289">
        <f t="shared" si="16"/>
        <v>6.5351728881549498E-2</v>
      </c>
      <c r="S314" s="289">
        <f t="shared" si="16"/>
        <v>3.46294873254046E-2</v>
      </c>
      <c r="T314" s="289">
        <f t="shared" si="16"/>
        <v>2.854406069374215E-2</v>
      </c>
      <c r="U314" s="289">
        <f t="shared" si="16"/>
        <v>3.022039505568843E-2</v>
      </c>
      <c r="V314" s="289">
        <f t="shared" si="16"/>
        <v>2.6486884198693338E-2</v>
      </c>
      <c r="W314" s="289">
        <f t="shared" si="16"/>
        <v>2.3348224054694847E-2</v>
      </c>
      <c r="X314" s="289">
        <f t="shared" si="16"/>
        <v>2.6080721991305823E-2</v>
      </c>
      <c r="Y314" s="289">
        <f t="shared" si="16"/>
        <v>2.4362344918262856E-2</v>
      </c>
      <c r="Z314" s="289">
        <f t="shared" si="16"/>
        <v>2.3729005733844972E-2</v>
      </c>
      <c r="AA314" s="289">
        <f t="shared" si="16"/>
        <v>2.8154382594634871E-2</v>
      </c>
      <c r="AB314" s="289">
        <f t="shared" si="16"/>
        <v>2.8527298024238101E-2</v>
      </c>
      <c r="AC314" s="289">
        <f t="shared" si="16"/>
        <v>2.2173368332256773E-2</v>
      </c>
      <c r="AD314" s="289">
        <f t="shared" si="16"/>
        <v>1.9791303910824488E-2</v>
      </c>
      <c r="AE314" s="289">
        <f t="shared" si="16"/>
        <v>1.7137777671327493E-2</v>
      </c>
      <c r="AF314" s="289">
        <f t="shared" si="16"/>
        <v>1.7350310869668949E-2</v>
      </c>
      <c r="AG314" s="289">
        <f t="shared" si="16"/>
        <v>1.6183182185151451E-2</v>
      </c>
      <c r="AH314" s="289">
        <f t="shared" si="16"/>
        <v>1.5623286823146587E-2</v>
      </c>
      <c r="AI314" s="289">
        <f t="shared" si="16"/>
        <v>1.5172225328641436E-2</v>
      </c>
      <c r="AJ314" s="289">
        <f t="shared" si="16"/>
        <v>1.7321677360186336E-2</v>
      </c>
      <c r="AK314" s="289">
        <f t="shared" si="16"/>
        <v>1.6012855529265919E-2</v>
      </c>
      <c r="AL314" s="289">
        <f t="shared" si="16"/>
        <v>1.6191887751987228E-2</v>
      </c>
      <c r="AM314" s="289">
        <f t="shared" si="16"/>
        <v>1.6172915867659822E-2</v>
      </c>
      <c r="AN314" s="289">
        <f t="shared" si="16"/>
        <v>1.4741245448290101E-2</v>
      </c>
      <c r="AO314" s="289">
        <f t="shared" si="16"/>
        <v>1.4133920665839596E-2</v>
      </c>
      <c r="AP314" s="289">
        <f t="shared" si="16"/>
        <v>1.4016974253583643E-2</v>
      </c>
      <c r="AQ314" s="289">
        <f t="shared" si="16"/>
        <v>1.4512153237444632E-2</v>
      </c>
      <c r="AR314" s="289">
        <f t="shared" si="16"/>
        <v>1.4338575877295567E-2</v>
      </c>
      <c r="AS314" s="289">
        <f t="shared" si="16"/>
        <v>1.3123841498657685E-2</v>
      </c>
      <c r="AT314" s="289">
        <f t="shared" si="16"/>
        <v>1.2206813821548619E-2</v>
      </c>
      <c r="AU314" s="289">
        <f t="shared" si="16"/>
        <v>1.1118306206618285E-2</v>
      </c>
      <c r="AV314" s="289">
        <f t="shared" si="16"/>
        <v>1.1247006883255892E-2</v>
      </c>
      <c r="AW314" s="289">
        <f t="shared" si="16"/>
        <v>1.074186064599349E-2</v>
      </c>
      <c r="AX314" s="289">
        <f t="shared" si="16"/>
        <v>1.0257870270776926E-2</v>
      </c>
      <c r="AY314" s="289">
        <f t="shared" si="16"/>
        <v>1.2674091262981991E-2</v>
      </c>
      <c r="AZ314" s="289">
        <f t="shared" si="16"/>
        <v>1.7201893753204234E-2</v>
      </c>
      <c r="BA314" s="289">
        <f t="shared" si="16"/>
        <v>1.8615716754868054E-2</v>
      </c>
      <c r="BB314" s="289">
        <f t="shared" si="16"/>
        <v>1.9043123850395801E-2</v>
      </c>
      <c r="BC314" s="289">
        <f t="shared" si="7"/>
        <v>1.9043123850395801E-2</v>
      </c>
    </row>
    <row r="315" spans="2:55">
      <c r="B315" s="72" t="s">
        <v>527</v>
      </c>
      <c r="C315" s="72" t="s">
        <v>528</v>
      </c>
      <c r="D315" s="289">
        <f t="shared" si="4"/>
        <v>0.27712338254032426</v>
      </c>
      <c r="E315" s="289">
        <f t="shared" si="16"/>
        <v>0.27549680305758523</v>
      </c>
      <c r="F315" s="289">
        <f t="shared" si="16"/>
        <v>0.29333724228356867</v>
      </c>
      <c r="G315" s="289">
        <f t="shared" si="16"/>
        <v>0.2673046193764313</v>
      </c>
      <c r="H315" s="289">
        <f t="shared" si="16"/>
        <v>0.26335102401642391</v>
      </c>
      <c r="I315" s="289">
        <f t="shared" si="16"/>
        <v>0.26737637332090114</v>
      </c>
      <c r="J315" s="289">
        <f t="shared" si="16"/>
        <v>0.28654459603313304</v>
      </c>
      <c r="K315" s="289">
        <f t="shared" si="16"/>
        <v>0.30552230790635632</v>
      </c>
      <c r="L315" s="289">
        <f t="shared" si="16"/>
        <v>0.31966774875642723</v>
      </c>
      <c r="M315" s="289">
        <f t="shared" si="16"/>
        <v>0.33930391003130178</v>
      </c>
      <c r="N315" s="289">
        <f t="shared" si="16"/>
        <v>0.33679009437599916</v>
      </c>
      <c r="O315" s="289">
        <f t="shared" si="16"/>
        <v>0.33437721999375097</v>
      </c>
      <c r="P315" s="289">
        <f t="shared" si="16"/>
        <v>0.35983545773502112</v>
      </c>
      <c r="Q315" s="289">
        <f t="shared" si="16"/>
        <v>0.39613886281710337</v>
      </c>
      <c r="R315" s="289">
        <f t="shared" si="16"/>
        <v>0.38934031478187558</v>
      </c>
      <c r="S315" s="289">
        <f t="shared" si="16"/>
        <v>0.43753043796616575</v>
      </c>
      <c r="T315" s="289">
        <f t="shared" si="16"/>
        <v>0.43883421930659777</v>
      </c>
      <c r="U315" s="289">
        <f t="shared" si="16"/>
        <v>0.38597443783818658</v>
      </c>
      <c r="V315" s="289">
        <f t="shared" si="16"/>
        <v>0.35970371713097166</v>
      </c>
      <c r="W315" s="289">
        <f t="shared" si="16"/>
        <v>0.35939088462647789</v>
      </c>
      <c r="X315" s="289">
        <f t="shared" si="16"/>
        <v>0.41477939579412176</v>
      </c>
      <c r="Y315" s="289">
        <f t="shared" si="16"/>
        <v>0.45248366898753667</v>
      </c>
      <c r="Z315" s="289">
        <f t="shared" si="16"/>
        <v>0.50423009550966824</v>
      </c>
      <c r="AA315" s="289">
        <f t="shared" si="16"/>
        <v>0.58128897081026443</v>
      </c>
      <c r="AB315" s="289">
        <f t="shared" si="16"/>
        <v>0.57363822211706406</v>
      </c>
      <c r="AC315" s="289">
        <f t="shared" si="16"/>
        <v>0.51156877534915535</v>
      </c>
      <c r="AD315" s="289">
        <f t="shared" si="16"/>
        <v>0.45775634893200462</v>
      </c>
      <c r="AE315" s="289">
        <f t="shared" si="16"/>
        <v>0.4000550098617861</v>
      </c>
      <c r="AF315" s="289">
        <f t="shared" si="16"/>
        <v>0.437620749344102</v>
      </c>
      <c r="AG315" s="289">
        <f t="shared" si="16"/>
        <v>0.37264660938573529</v>
      </c>
      <c r="AH315" s="289">
        <f t="shared" si="16"/>
        <v>0.35245127166314688</v>
      </c>
      <c r="AI315" s="289">
        <f t="shared" si="16"/>
        <v>0.32082733337133856</v>
      </c>
      <c r="AJ315" s="289">
        <f t="shared" si="16"/>
        <v>0.36869022219549441</v>
      </c>
      <c r="AK315" s="289">
        <f t="shared" si="16"/>
        <v>0.35875471536196679</v>
      </c>
      <c r="AL315" s="289">
        <f t="shared" si="16"/>
        <v>0.35388643869376823</v>
      </c>
      <c r="AM315" s="289">
        <f t="shared" si="16"/>
        <v>0.3579201796013276</v>
      </c>
      <c r="AN315" s="289">
        <f t="shared" si="16"/>
        <v>0.35253290541303201</v>
      </c>
      <c r="AO315" s="289">
        <f t="shared" si="16"/>
        <v>0.35570743021712353</v>
      </c>
      <c r="AP315" s="289">
        <f t="shared" si="16"/>
        <v>0.36110282782577585</v>
      </c>
      <c r="AQ315" s="289">
        <f t="shared" si="16"/>
        <v>0.38173632204514962</v>
      </c>
      <c r="AR315" s="289">
        <f t="shared" si="16"/>
        <v>0.38345903359520223</v>
      </c>
      <c r="AS315" s="289">
        <f t="shared" si="16"/>
        <v>0.34119595775671435</v>
      </c>
      <c r="AT315" s="289">
        <f t="shared" si="16"/>
        <v>0.32111443065350348</v>
      </c>
      <c r="AU315" s="289">
        <f t="shared" si="16"/>
        <v>0.28508711012813975</v>
      </c>
      <c r="AV315" s="289">
        <f t="shared" si="16"/>
        <v>0.29140814879470567</v>
      </c>
      <c r="AW315" s="289">
        <f t="shared" si="16"/>
        <v>0.29079955530951224</v>
      </c>
      <c r="AX315" s="289">
        <f t="shared" si="16"/>
        <v>0.2709126772793915</v>
      </c>
      <c r="AY315" s="289">
        <f t="shared" si="16"/>
        <v>0.3125262098965314</v>
      </c>
      <c r="AZ315" s="289">
        <f t="shared" si="16"/>
        <v>0.37307850744104337</v>
      </c>
      <c r="BA315" s="289">
        <f t="shared" si="16"/>
        <v>0.41468666978281293</v>
      </c>
      <c r="BB315" s="289">
        <f t="shared" si="16"/>
        <v>0.34459832644719507</v>
      </c>
      <c r="BC315" s="289">
        <f t="shared" si="7"/>
        <v>0.34459832644719507</v>
      </c>
    </row>
    <row r="316" spans="2:55">
      <c r="B316" s="72" t="s">
        <v>529</v>
      </c>
      <c r="C316" s="72" t="s">
        <v>530</v>
      </c>
      <c r="D316" s="289">
        <f t="shared" si="4"/>
        <v>0</v>
      </c>
      <c r="E316" s="289">
        <f t="shared" si="16"/>
        <v>0</v>
      </c>
      <c r="F316" s="289">
        <f t="shared" si="16"/>
        <v>0</v>
      </c>
      <c r="G316" s="289">
        <f t="shared" si="16"/>
        <v>0</v>
      </c>
      <c r="H316" s="289">
        <f t="shared" si="16"/>
        <v>0</v>
      </c>
      <c r="I316" s="289">
        <f t="shared" si="16"/>
        <v>0</v>
      </c>
      <c r="J316" s="289">
        <f t="shared" si="16"/>
        <v>0</v>
      </c>
      <c r="K316" s="289">
        <f t="shared" si="16"/>
        <v>0</v>
      </c>
      <c r="L316" s="289">
        <f t="shared" si="16"/>
        <v>0</v>
      </c>
      <c r="M316" s="289">
        <f t="shared" si="16"/>
        <v>0</v>
      </c>
      <c r="N316" s="289">
        <f t="shared" si="16"/>
        <v>0</v>
      </c>
      <c r="O316" s="289">
        <f t="shared" si="16"/>
        <v>0</v>
      </c>
      <c r="P316" s="289">
        <f t="shared" si="16"/>
        <v>0</v>
      </c>
      <c r="Q316" s="289">
        <f t="shared" si="16"/>
        <v>0</v>
      </c>
      <c r="R316" s="289">
        <f t="shared" si="16"/>
        <v>0</v>
      </c>
      <c r="S316" s="289">
        <f t="shared" si="16"/>
        <v>0</v>
      </c>
      <c r="T316" s="289">
        <f t="shared" si="16"/>
        <v>0</v>
      </c>
      <c r="U316" s="289">
        <f t="shared" si="16"/>
        <v>0</v>
      </c>
      <c r="V316" s="289">
        <f t="shared" si="16"/>
        <v>0</v>
      </c>
      <c r="W316" s="289">
        <f t="shared" si="16"/>
        <v>0</v>
      </c>
      <c r="X316" s="289">
        <f t="shared" si="16"/>
        <v>0</v>
      </c>
      <c r="Y316" s="289">
        <f t="shared" si="16"/>
        <v>0</v>
      </c>
      <c r="Z316" s="289">
        <f t="shared" si="16"/>
        <v>0</v>
      </c>
      <c r="AA316" s="289">
        <f t="shared" si="16"/>
        <v>0</v>
      </c>
      <c r="AB316" s="289">
        <f t="shared" si="16"/>
        <v>0</v>
      </c>
      <c r="AC316" s="289">
        <f t="shared" si="16"/>
        <v>0</v>
      </c>
      <c r="AD316" s="289">
        <f t="shared" si="16"/>
        <v>0</v>
      </c>
      <c r="AE316" s="289">
        <f t="shared" si="16"/>
        <v>0</v>
      </c>
      <c r="AF316" s="289">
        <f t="shared" si="16"/>
        <v>0</v>
      </c>
      <c r="AG316" s="289">
        <f t="shared" si="16"/>
        <v>9.6380156636460407E-2</v>
      </c>
      <c r="AH316" s="289">
        <f t="shared" si="16"/>
        <v>9.5039049280842738E-2</v>
      </c>
      <c r="AI316" s="289">
        <f t="shared" si="16"/>
        <v>8.7879018937465539E-2</v>
      </c>
      <c r="AJ316" s="289">
        <f t="shared" si="16"/>
        <v>9.3542806690046887E-2</v>
      </c>
      <c r="AK316" s="289">
        <f t="shared" si="16"/>
        <v>7.9658782744306086E-2</v>
      </c>
      <c r="AL316" s="289">
        <f t="shared" si="16"/>
        <v>6.8726842027764773E-2</v>
      </c>
      <c r="AM316" s="289">
        <f t="shared" si="16"/>
        <v>6.9275562251776876E-2</v>
      </c>
      <c r="AN316" s="289">
        <f t="shared" si="16"/>
        <v>5.9527665651158877E-2</v>
      </c>
      <c r="AO316" s="289">
        <f t="shared" si="16"/>
        <v>6.0480770929046475E-2</v>
      </c>
      <c r="AP316" s="289">
        <f t="shared" si="16"/>
        <v>4.7204055327449992E-2</v>
      </c>
      <c r="AQ316" s="289">
        <f t="shared" si="16"/>
        <v>5.0804883010878446E-2</v>
      </c>
      <c r="AR316" s="289">
        <f t="shared" si="16"/>
        <v>4.9893276289893013E-2</v>
      </c>
      <c r="AS316" s="289">
        <f t="shared" si="16"/>
        <v>5.4469866047741261E-2</v>
      </c>
      <c r="AT316" s="289">
        <f t="shared" si="16"/>
        <v>5.7949373078014135E-2</v>
      </c>
      <c r="AU316" s="289">
        <f t="shared" si="16"/>
        <v>6.4191194915301009E-2</v>
      </c>
      <c r="AV316" s="289">
        <f t="shared" si="16"/>
        <v>8.1065921586936804E-2</v>
      </c>
      <c r="AW316" s="289">
        <f t="shared" si="16"/>
        <v>9.381651136910768E-2</v>
      </c>
      <c r="AX316" s="289">
        <f t="shared" si="16"/>
        <v>0.1007254958136931</v>
      </c>
      <c r="AY316" s="289">
        <f t="shared" si="16"/>
        <v>0.14666688606689199</v>
      </c>
      <c r="AZ316" s="289">
        <f t="shared" si="16"/>
        <v>0.14650292145821514</v>
      </c>
      <c r="BA316" s="289">
        <f t="shared" si="16"/>
        <v>0.16046712235025309</v>
      </c>
      <c r="BB316" s="289">
        <f t="shared" si="16"/>
        <v>0.14908164822610878</v>
      </c>
      <c r="BC316" s="289">
        <f t="shared" si="7"/>
        <v>0.14908164822610878</v>
      </c>
    </row>
    <row r="317" spans="2:55">
      <c r="B317" s="72" t="s">
        <v>531</v>
      </c>
      <c r="C317" s="72" t="s">
        <v>532</v>
      </c>
      <c r="D317" s="289">
        <f t="shared" si="4"/>
        <v>0.92953949365742072</v>
      </c>
      <c r="E317" s="289">
        <f t="shared" si="16"/>
        <v>0.95036623817664778</v>
      </c>
      <c r="F317" s="289">
        <f t="shared" si="16"/>
        <v>0.96383886467767854</v>
      </c>
      <c r="G317" s="289">
        <f t="shared" si="16"/>
        <v>0.98406747840728837</v>
      </c>
      <c r="H317" s="289">
        <f t="shared" si="16"/>
        <v>0.99170157840483975</v>
      </c>
      <c r="I317" s="289">
        <f t="shared" si="16"/>
        <v>0.99897850542670419</v>
      </c>
      <c r="J317" s="289">
        <f t="shared" si="16"/>
        <v>1.0311363824377919</v>
      </c>
      <c r="K317" s="289">
        <f t="shared" si="16"/>
        <v>1.1718925541697498</v>
      </c>
      <c r="L317" s="289">
        <f t="shared" si="16"/>
        <v>1.2094793892835562</v>
      </c>
      <c r="M317" s="289">
        <f t="shared" si="16"/>
        <v>1.2186704217638262</v>
      </c>
      <c r="N317" s="289">
        <f t="shared" si="16"/>
        <v>1.2057998673915793</v>
      </c>
      <c r="O317" s="289">
        <f t="shared" si="16"/>
        <v>1.3087889921527833</v>
      </c>
      <c r="P317" s="289">
        <f t="shared" si="16"/>
        <v>1.486291835003942</v>
      </c>
      <c r="Q317" s="289">
        <f t="shared" si="16"/>
        <v>1.6107305726562886</v>
      </c>
      <c r="R317" s="289">
        <f t="shared" si="16"/>
        <v>1.5742996500585382</v>
      </c>
      <c r="S317" s="289">
        <f t="shared" si="16"/>
        <v>1.7705552487993002</v>
      </c>
      <c r="T317" s="289">
        <f t="shared" si="16"/>
        <v>1.8233350144038651</v>
      </c>
      <c r="U317" s="289">
        <f t="shared" si="16"/>
        <v>1.7569073046826931</v>
      </c>
      <c r="V317" s="289">
        <f t="shared" si="16"/>
        <v>1.5532802928480194</v>
      </c>
      <c r="W317" s="289">
        <f t="shared" si="16"/>
        <v>1.3205292760002587</v>
      </c>
      <c r="X317" s="289">
        <f t="shared" si="16"/>
        <v>1.1477756422692413</v>
      </c>
      <c r="Y317" s="289">
        <f t="shared" si="16"/>
        <v>1.05871111867053</v>
      </c>
      <c r="Z317" s="289">
        <f t="shared" si="16"/>
        <v>1.0571017633903415</v>
      </c>
      <c r="AA317" s="289">
        <f t="shared" si="16"/>
        <v>1.0741460413848036</v>
      </c>
      <c r="AB317" s="289">
        <f t="shared" si="16"/>
        <v>1.0529201142875744</v>
      </c>
      <c r="AC317" s="289">
        <f t="shared" si="16"/>
        <v>1.1945646006517276</v>
      </c>
      <c r="AD317" s="289">
        <f t="shared" si="16"/>
        <v>1.2123125305016873</v>
      </c>
      <c r="AE317" s="289">
        <f t="shared" si="16"/>
        <v>1.0829725695324142</v>
      </c>
      <c r="AF317" s="289">
        <f t="shared" si="16"/>
        <v>1.0841284673403426</v>
      </c>
      <c r="AG317" s="289">
        <f t="shared" si="16"/>
        <v>1.1504978371538965</v>
      </c>
      <c r="AH317" s="289">
        <f t="shared" si="16"/>
        <v>1.1304762145348888</v>
      </c>
      <c r="AI317" s="289">
        <f t="shared" si="16"/>
        <v>1.2176978997230181</v>
      </c>
      <c r="AJ317" s="289">
        <f t="shared" si="16"/>
        <v>1.29502090673425</v>
      </c>
      <c r="AK317" s="289">
        <f t="shared" si="16"/>
        <v>1.3047452734369691</v>
      </c>
      <c r="AL317" s="289">
        <f t="shared" si="16"/>
        <v>1.4073548767761748</v>
      </c>
      <c r="AM317" s="289">
        <f t="shared" si="16"/>
        <v>1.2951467093930549</v>
      </c>
      <c r="AN317" s="289">
        <f t="shared" si="16"/>
        <v>1.0457085793428553</v>
      </c>
      <c r="AO317" s="289">
        <f t="shared" si="16"/>
        <v>1.0022186476154307</v>
      </c>
      <c r="AP317" s="289">
        <f t="shared" si="16"/>
        <v>0.97118595545323139</v>
      </c>
      <c r="AQ317" s="289">
        <f t="shared" si="16"/>
        <v>0.90579305470090032</v>
      </c>
      <c r="AR317" s="289">
        <f t="shared" si="16"/>
        <v>0.90999315084732224</v>
      </c>
      <c r="AS317" s="289">
        <f t="shared" si="16"/>
        <v>0.90622509358816861</v>
      </c>
      <c r="AT317" s="289">
        <f t="shared" si="16"/>
        <v>0.9642443430655494</v>
      </c>
      <c r="AU317" s="289">
        <f t="shared" si="16"/>
        <v>0.94581160873504677</v>
      </c>
      <c r="AV317" s="289">
        <f t="shared" si="16"/>
        <v>0.9446482931773118</v>
      </c>
      <c r="AW317" s="289">
        <f t="shared" si="16"/>
        <v>0.93670634169443556</v>
      </c>
      <c r="AX317" s="289">
        <f t="shared" si="16"/>
        <v>0.93363189672804614</v>
      </c>
      <c r="AY317" s="289">
        <f t="shared" si="16"/>
        <v>1.0979821401610954</v>
      </c>
      <c r="AZ317" s="289">
        <f t="shared" si="16"/>
        <v>1.2410531997585399</v>
      </c>
      <c r="BA317" s="289">
        <f t="shared" si="16"/>
        <v>1.1861792580365977</v>
      </c>
      <c r="BB317" s="289">
        <f t="shared" si="16"/>
        <v>1.1952963905251013</v>
      </c>
      <c r="BC317" s="289">
        <f t="shared" si="7"/>
        <v>1.1952963905251013</v>
      </c>
    </row>
    <row r="318" spans="2:55">
      <c r="B318" s="72" t="s">
        <v>533</v>
      </c>
      <c r="C318" s="72" t="s">
        <v>534</v>
      </c>
      <c r="D318" s="289">
        <f t="shared" si="4"/>
        <v>0.21889764759576641</v>
      </c>
      <c r="E318" s="289">
        <f t="shared" si="16"/>
        <v>0.2154875946538414</v>
      </c>
      <c r="F318" s="289">
        <f t="shared" si="16"/>
        <v>0.20941734971903139</v>
      </c>
      <c r="G318" s="289">
        <f t="shared" si="16"/>
        <v>0.20009543111425612</v>
      </c>
      <c r="H318" s="289">
        <f t="shared" si="16"/>
        <v>0.20093794074871088</v>
      </c>
      <c r="I318" s="289">
        <f t="shared" si="16"/>
        <v>0.20480385824990996</v>
      </c>
      <c r="J318" s="289">
        <f t="shared" si="16"/>
        <v>0.20658605156248308</v>
      </c>
      <c r="K318" s="289">
        <f t="shared" si="16"/>
        <v>0.20453000152002174</v>
      </c>
      <c r="L318" s="289">
        <f t="shared" si="16"/>
        <v>0.1972640471168387</v>
      </c>
      <c r="M318" s="289">
        <f t="shared" si="16"/>
        <v>0.19791346166021251</v>
      </c>
      <c r="N318" s="289">
        <f t="shared" si="16"/>
        <v>0.19259284871763985</v>
      </c>
      <c r="O318" s="289">
        <f t="shared" si="16"/>
        <v>0.18539540601450011</v>
      </c>
      <c r="P318" s="289">
        <f t="shared" si="16"/>
        <v>0.19292173500046012</v>
      </c>
      <c r="Q318" s="289">
        <f t="shared" si="16"/>
        <v>0.23218283161424438</v>
      </c>
      <c r="R318" s="289">
        <f t="shared" si="16"/>
        <v>0.21821298276451154</v>
      </c>
      <c r="S318" s="289">
        <f t="shared" si="16"/>
        <v>0.18248288464493007</v>
      </c>
      <c r="T318" s="289">
        <f t="shared" ref="E318:BB323" si="17">T68/T$251</f>
        <v>0.19134376529287037</v>
      </c>
      <c r="U318" s="289">
        <f t="shared" si="17"/>
        <v>0.17030082005858529</v>
      </c>
      <c r="V318" s="289">
        <f t="shared" si="17"/>
        <v>0.1421620943090432</v>
      </c>
      <c r="W318" s="289">
        <f t="shared" si="17"/>
        <v>0.13861660282883786</v>
      </c>
      <c r="X318" s="289">
        <f t="shared" si="17"/>
        <v>0.14076282391219061</v>
      </c>
      <c r="Y318" s="289">
        <f t="shared" si="17"/>
        <v>0.13363983613835193</v>
      </c>
      <c r="Z318" s="289">
        <f t="shared" si="17"/>
        <v>0.14563909294882138</v>
      </c>
      <c r="AA318" s="289">
        <f t="shared" si="17"/>
        <v>0.16740200543395084</v>
      </c>
      <c r="AB318" s="289">
        <f t="shared" si="17"/>
        <v>0.15328240886091427</v>
      </c>
      <c r="AC318" s="289">
        <f t="shared" si="17"/>
        <v>0.13286658621696876</v>
      </c>
      <c r="AD318" s="289">
        <f t="shared" si="17"/>
        <v>0.12798704844678979</v>
      </c>
      <c r="AE318" s="289">
        <f t="shared" si="17"/>
        <v>0.11714161772965415</v>
      </c>
      <c r="AF318" s="289">
        <f t="shared" si="17"/>
        <v>0.1316488223483572</v>
      </c>
      <c r="AG318" s="289">
        <f t="shared" si="17"/>
        <v>0.12355781063095422</v>
      </c>
      <c r="AH318" s="289">
        <f t="shared" si="17"/>
        <v>0.12467683853317944</v>
      </c>
      <c r="AI318" s="289">
        <f t="shared" si="17"/>
        <v>0.13732449992129889</v>
      </c>
      <c r="AJ318" s="289">
        <f t="shared" si="17"/>
        <v>0.16063912559285301</v>
      </c>
      <c r="AK318" s="289">
        <f t="shared" si="17"/>
        <v>0.150172354744291</v>
      </c>
      <c r="AL318" s="289">
        <f t="shared" si="17"/>
        <v>0.14359809096992915</v>
      </c>
      <c r="AM318" s="289">
        <f t="shared" si="17"/>
        <v>0.13777442797605852</v>
      </c>
      <c r="AN318" s="289">
        <f t="shared" si="17"/>
        <v>0.12124356422512393</v>
      </c>
      <c r="AO318" s="289">
        <f t="shared" si="17"/>
        <v>0.11555319708553186</v>
      </c>
      <c r="AP318" s="289">
        <f t="shared" si="17"/>
        <v>0.11760313093703288</v>
      </c>
      <c r="AQ318" s="289">
        <f t="shared" si="17"/>
        <v>0.13288032106219277</v>
      </c>
      <c r="AR318" s="289">
        <f t="shared" si="17"/>
        <v>0.13642986838456084</v>
      </c>
      <c r="AS318" s="289">
        <f t="shared" si="17"/>
        <v>0.13026940000626863</v>
      </c>
      <c r="AT318" s="289">
        <f t="shared" si="17"/>
        <v>0.11589640018719441</v>
      </c>
      <c r="AU318" s="289">
        <f t="shared" si="17"/>
        <v>0.1018610246990011</v>
      </c>
      <c r="AV318" s="289">
        <f t="shared" si="17"/>
        <v>0.10022360919241037</v>
      </c>
      <c r="AW318" s="289">
        <f t="shared" si="17"/>
        <v>9.9431569933312286E-2</v>
      </c>
      <c r="AX318" s="289">
        <f t="shared" si="17"/>
        <v>8.8467503984195617E-2</v>
      </c>
      <c r="AY318" s="289">
        <f t="shared" si="17"/>
        <v>9.8110509157868467E-2</v>
      </c>
      <c r="AZ318" s="289">
        <f t="shared" si="17"/>
        <v>0.11459022536168563</v>
      </c>
      <c r="BA318" s="289">
        <f t="shared" si="17"/>
        <v>0.11190285524043371</v>
      </c>
      <c r="BB318" s="289">
        <f t="shared" si="17"/>
        <v>0.10397874604038849</v>
      </c>
      <c r="BC318" s="289">
        <f t="shared" si="7"/>
        <v>0.10397874604038849</v>
      </c>
    </row>
    <row r="319" spans="2:55">
      <c r="B319" s="72" t="s">
        <v>535</v>
      </c>
      <c r="C319" s="72" t="s">
        <v>536</v>
      </c>
      <c r="D319" s="289">
        <f t="shared" si="4"/>
        <v>6.6192166926774154E-2</v>
      </c>
      <c r="E319" s="289">
        <f t="shared" si="17"/>
        <v>6.2851575610490179E-2</v>
      </c>
      <c r="F319" s="289">
        <f t="shared" si="17"/>
        <v>6.3221946291985437E-2</v>
      </c>
      <c r="G319" s="289">
        <f t="shared" si="17"/>
        <v>6.0920565953493641E-2</v>
      </c>
      <c r="H319" s="289">
        <f t="shared" si="17"/>
        <v>5.9747162673164662E-2</v>
      </c>
      <c r="I319" s="289">
        <f t="shared" si="17"/>
        <v>5.8137323671503364E-2</v>
      </c>
      <c r="J319" s="289">
        <f t="shared" si="17"/>
        <v>5.6006173587696113E-2</v>
      </c>
      <c r="K319" s="289">
        <f t="shared" si="17"/>
        <v>6.2944963050529754E-2</v>
      </c>
      <c r="L319" s="289">
        <f t="shared" si="17"/>
        <v>5.8305833620929531E-2</v>
      </c>
      <c r="M319" s="289">
        <f t="shared" si="17"/>
        <v>5.1977290157822272E-2</v>
      </c>
      <c r="N319" s="289">
        <f t="shared" si="17"/>
        <v>4.5319060015610327E-2</v>
      </c>
      <c r="O319" s="289">
        <f t="shared" si="17"/>
        <v>4.771420861221088E-2</v>
      </c>
      <c r="P319" s="289">
        <f t="shared" si="17"/>
        <v>5.1012708301090719E-2</v>
      </c>
      <c r="Q319" s="289">
        <f t="shared" si="17"/>
        <v>5.0790847176976107E-2</v>
      </c>
      <c r="R319" s="289">
        <f t="shared" si="17"/>
        <v>5.0584223401830095E-2</v>
      </c>
      <c r="S319" s="289">
        <f t="shared" si="17"/>
        <v>5.3009774604834296E-2</v>
      </c>
      <c r="T319" s="289">
        <f t="shared" si="17"/>
        <v>4.9166053445484151E-2</v>
      </c>
      <c r="U319" s="289">
        <f t="shared" si="17"/>
        <v>4.6847476939215545E-2</v>
      </c>
      <c r="V319" s="289">
        <f t="shared" si="17"/>
        <v>4.490622234180347E-2</v>
      </c>
      <c r="W319" s="289">
        <f t="shared" si="17"/>
        <v>4.0441387169732293E-2</v>
      </c>
      <c r="X319" s="289">
        <f t="shared" si="17"/>
        <v>3.8079112869931112E-2</v>
      </c>
      <c r="Y319" s="289">
        <f t="shared" si="17"/>
        <v>3.8152148820962864E-2</v>
      </c>
      <c r="Z319" s="289">
        <f t="shared" si="17"/>
        <v>3.3819475353233625E-2</v>
      </c>
      <c r="AA319" s="289">
        <f t="shared" si="17"/>
        <v>3.3554558708788006E-2</v>
      </c>
      <c r="AB319" s="289">
        <f t="shared" si="17"/>
        <v>3.0765355528218616E-2</v>
      </c>
      <c r="AC319" s="289">
        <f t="shared" si="17"/>
        <v>3.1205604664669234E-2</v>
      </c>
      <c r="AD319" s="289">
        <f t="shared" si="17"/>
        <v>2.8979412988141943E-2</v>
      </c>
      <c r="AE319" s="289">
        <f t="shared" si="17"/>
        <v>2.4112939958768041E-2</v>
      </c>
      <c r="AF319" s="289">
        <f t="shared" si="17"/>
        <v>2.1562116892619571E-2</v>
      </c>
      <c r="AG319" s="289">
        <f t="shared" si="17"/>
        <v>2.1854035117706564E-2</v>
      </c>
      <c r="AH319" s="289">
        <f t="shared" si="17"/>
        <v>2.0698837366280889E-2</v>
      </c>
      <c r="AI319" s="289">
        <f t="shared" si="17"/>
        <v>1.6770143332880572E-2</v>
      </c>
      <c r="AJ319" s="289">
        <f t="shared" si="17"/>
        <v>2.342158387777225E-2</v>
      </c>
      <c r="AK319" s="289">
        <f t="shared" si="17"/>
        <v>1.4921412551714143E-2</v>
      </c>
      <c r="AL319" s="289">
        <f t="shared" si="17"/>
        <v>1.78272897657481E-2</v>
      </c>
      <c r="AM319" s="289">
        <f t="shared" si="17"/>
        <v>1.8089266106835162E-2</v>
      </c>
      <c r="AN319" s="289">
        <f t="shared" si="17"/>
        <v>1.5352853940679603E-2</v>
      </c>
      <c r="AO319" s="289">
        <f t="shared" si="17"/>
        <v>1.5175042037178645E-2</v>
      </c>
      <c r="AP319" s="289">
        <f t="shared" si="17"/>
        <v>1.4719161119693777E-2</v>
      </c>
      <c r="AQ319" s="289">
        <f t="shared" si="17"/>
        <v>1.3806197256640278E-2</v>
      </c>
      <c r="AR319" s="289">
        <f t="shared" si="17"/>
        <v>1.4207965942903571E-2</v>
      </c>
      <c r="AS319" s="289">
        <f t="shared" si="17"/>
        <v>1.4988193273891759E-2</v>
      </c>
      <c r="AT319" s="289">
        <f t="shared" si="17"/>
        <v>1.5940042787395678E-2</v>
      </c>
      <c r="AU319" s="289">
        <f t="shared" si="17"/>
        <v>1.490933105854206E-2</v>
      </c>
      <c r="AV319" s="289">
        <f t="shared" si="17"/>
        <v>1.4733008694613007E-2</v>
      </c>
      <c r="AW319" s="289">
        <f t="shared" si="17"/>
        <v>1.4858859779434059E-2</v>
      </c>
      <c r="AX319" s="289">
        <f t="shared" si="17"/>
        <v>1.4756065235414305E-2</v>
      </c>
      <c r="AY319" s="289">
        <f t="shared" si="17"/>
        <v>1.8535683463076789E-2</v>
      </c>
      <c r="AZ319" s="289">
        <f t="shared" si="17"/>
        <v>2.1667870336273563E-2</v>
      </c>
      <c r="BA319" s="289">
        <f t="shared" si="17"/>
        <v>2.0439797668585787E-2</v>
      </c>
      <c r="BB319" s="289">
        <f t="shared" si="17"/>
        <v>2.0534634723577295E-2</v>
      </c>
      <c r="BC319" s="289">
        <f t="shared" si="7"/>
        <v>2.0534634723577295E-2</v>
      </c>
    </row>
    <row r="320" spans="2:55">
      <c r="B320" s="72" t="s">
        <v>537</v>
      </c>
      <c r="C320" s="72" t="s">
        <v>538</v>
      </c>
      <c r="D320" s="289">
        <f t="shared" si="4"/>
        <v>1.3504150041471723</v>
      </c>
      <c r="E320" s="289">
        <f t="shared" si="17"/>
        <v>1.3347762240573011</v>
      </c>
      <c r="F320" s="289">
        <f t="shared" si="17"/>
        <v>1.2685212128785963</v>
      </c>
      <c r="G320" s="289">
        <f t="shared" si="17"/>
        <v>1.2719596593324374</v>
      </c>
      <c r="H320" s="289">
        <f t="shared" si="17"/>
        <v>1.2329942281323765</v>
      </c>
      <c r="I320" s="289">
        <f t="shared" si="17"/>
        <v>1.342525568662662</v>
      </c>
      <c r="J320" s="289">
        <f t="shared" si="17"/>
        <v>1.4739617890907486</v>
      </c>
      <c r="K320" s="289">
        <f t="shared" si="17"/>
        <v>1.4924111241146822</v>
      </c>
      <c r="L320" s="289">
        <f t="shared" si="17"/>
        <v>1.5025503465754424</v>
      </c>
      <c r="M320" s="289">
        <f t="shared" si="17"/>
        <v>1.5108456492137372</v>
      </c>
      <c r="N320" s="289">
        <f t="shared" si="17"/>
        <v>1.5308272008956976</v>
      </c>
      <c r="O320" s="289">
        <f t="shared" si="17"/>
        <v>1.5017987949872817</v>
      </c>
      <c r="P320" s="289">
        <f t="shared" si="17"/>
        <v>1.5378640929594012</v>
      </c>
      <c r="Q320" s="289">
        <f t="shared" si="17"/>
        <v>1.6647420138807392</v>
      </c>
      <c r="R320" s="289">
        <f t="shared" si="17"/>
        <v>1.5480510446863676</v>
      </c>
      <c r="S320" s="289">
        <f t="shared" si="17"/>
        <v>1.79688365225673</v>
      </c>
      <c r="T320" s="289">
        <f t="shared" si="17"/>
        <v>1.8335012138830011</v>
      </c>
      <c r="U320" s="289">
        <f t="shared" si="17"/>
        <v>1.5343400531707139</v>
      </c>
      <c r="V320" s="289">
        <f t="shared" si="17"/>
        <v>1.2798888371268364</v>
      </c>
      <c r="W320" s="289">
        <f t="shared" si="17"/>
        <v>1.1802386230744513</v>
      </c>
      <c r="X320" s="289">
        <f t="shared" si="17"/>
        <v>1.486075736847132</v>
      </c>
      <c r="Y320" s="289">
        <f t="shared" si="17"/>
        <v>1.6441274128023342</v>
      </c>
      <c r="Z320" s="289">
        <f t="shared" si="17"/>
        <v>1.9491045371763354</v>
      </c>
      <c r="AA320" s="289">
        <f t="shared" si="17"/>
        <v>2.279406981324239</v>
      </c>
      <c r="AB320" s="289">
        <f t="shared" si="17"/>
        <v>2.2610072106342107</v>
      </c>
      <c r="AC320" s="289">
        <f t="shared" si="17"/>
        <v>2.0493077080988482</v>
      </c>
      <c r="AD320" s="289">
        <f t="shared" si="17"/>
        <v>1.8187420569820079</v>
      </c>
      <c r="AE320" s="289">
        <f t="shared" si="17"/>
        <v>1.6124166855489239</v>
      </c>
      <c r="AF320" s="289">
        <f t="shared" si="17"/>
        <v>1.6731522673054631</v>
      </c>
      <c r="AG320" s="289">
        <f t="shared" si="17"/>
        <v>1.4880797028383455</v>
      </c>
      <c r="AH320" s="289">
        <f t="shared" si="17"/>
        <v>1.4576776366794149</v>
      </c>
      <c r="AI320" s="289">
        <f t="shared" si="17"/>
        <v>1.4524610734458288</v>
      </c>
      <c r="AJ320" s="289">
        <f t="shared" si="17"/>
        <v>1.7556220800314639</v>
      </c>
      <c r="AK320" s="289">
        <f t="shared" si="17"/>
        <v>1.6618685409243474</v>
      </c>
      <c r="AL320" s="289">
        <f t="shared" si="17"/>
        <v>1.6503038403560097</v>
      </c>
      <c r="AM320" s="289">
        <f t="shared" si="17"/>
        <v>2.080237411380141</v>
      </c>
      <c r="AN320" s="289">
        <f t="shared" si="17"/>
        <v>2.0196356832379898</v>
      </c>
      <c r="AO320" s="289">
        <f t="shared" si="17"/>
        <v>2.0201701088658126</v>
      </c>
      <c r="AP320" s="289">
        <f t="shared" si="17"/>
        <v>2.0924644342468306</v>
      </c>
      <c r="AQ320" s="289">
        <f t="shared" si="17"/>
        <v>2.2365327745531682</v>
      </c>
      <c r="AR320" s="289">
        <f t="shared" si="17"/>
        <v>2.3710290677377266</v>
      </c>
      <c r="AS320" s="289">
        <f t="shared" si="17"/>
        <v>2.3222868589090719</v>
      </c>
      <c r="AT320" s="289">
        <f t="shared" si="17"/>
        <v>2.1331108991964518</v>
      </c>
      <c r="AU320" s="289">
        <f t="shared" si="17"/>
        <v>1.9307292308891113</v>
      </c>
      <c r="AV320" s="289">
        <f t="shared" si="17"/>
        <v>2.0078667527415162</v>
      </c>
      <c r="AW320" s="289">
        <f t="shared" si="17"/>
        <v>2.0963564279547078</v>
      </c>
      <c r="AX320" s="289">
        <f t="shared" si="17"/>
        <v>1.988120791610241</v>
      </c>
      <c r="AY320" s="289">
        <f t="shared" si="17"/>
        <v>2.205729118735674</v>
      </c>
      <c r="AZ320" s="289">
        <f t="shared" si="17"/>
        <v>2.5518788623798905</v>
      </c>
      <c r="BA320" s="289">
        <f t="shared" si="17"/>
        <v>2.4751567187785612</v>
      </c>
      <c r="BB320" s="289">
        <f t="shared" si="17"/>
        <v>0</v>
      </c>
      <c r="BC320" s="289">
        <f t="shared" si="7"/>
        <v>0</v>
      </c>
    </row>
    <row r="321" spans="2:55">
      <c r="B321" s="72" t="s">
        <v>539</v>
      </c>
      <c r="C321" s="72" t="s">
        <v>540</v>
      </c>
      <c r="D321" s="289">
        <f t="shared" si="4"/>
        <v>0</v>
      </c>
      <c r="E321" s="289">
        <f t="shared" si="17"/>
        <v>0</v>
      </c>
      <c r="F321" s="289">
        <f t="shared" si="17"/>
        <v>0</v>
      </c>
      <c r="G321" s="289">
        <f t="shared" si="17"/>
        <v>0</v>
      </c>
      <c r="H321" s="289">
        <f t="shared" si="17"/>
        <v>0</v>
      </c>
      <c r="I321" s="289">
        <f t="shared" si="17"/>
        <v>0</v>
      </c>
      <c r="J321" s="289">
        <f t="shared" si="17"/>
        <v>0</v>
      </c>
      <c r="K321" s="289">
        <f t="shared" si="17"/>
        <v>0</v>
      </c>
      <c r="L321" s="289">
        <f t="shared" si="17"/>
        <v>0</v>
      </c>
      <c r="M321" s="289">
        <f t="shared" si="17"/>
        <v>0</v>
      </c>
      <c r="N321" s="289">
        <f t="shared" si="17"/>
        <v>0</v>
      </c>
      <c r="O321" s="289">
        <f t="shared" si="17"/>
        <v>0</v>
      </c>
      <c r="P321" s="289">
        <f t="shared" si="17"/>
        <v>0</v>
      </c>
      <c r="Q321" s="289">
        <f t="shared" si="17"/>
        <v>0</v>
      </c>
      <c r="R321" s="289">
        <f t="shared" si="17"/>
        <v>0</v>
      </c>
      <c r="S321" s="289">
        <f t="shared" si="17"/>
        <v>0</v>
      </c>
      <c r="T321" s="289">
        <f t="shared" si="17"/>
        <v>0</v>
      </c>
      <c r="U321" s="289">
        <f t="shared" si="17"/>
        <v>0</v>
      </c>
      <c r="V321" s="289">
        <f t="shared" si="17"/>
        <v>0</v>
      </c>
      <c r="W321" s="289">
        <f t="shared" si="17"/>
        <v>3.2735099408936992E-2</v>
      </c>
      <c r="X321" s="289">
        <f t="shared" si="17"/>
        <v>3.617382232635126E-2</v>
      </c>
      <c r="Y321" s="289">
        <f t="shared" si="17"/>
        <v>3.7644960983140997E-2</v>
      </c>
      <c r="Z321" s="289">
        <f t="shared" si="17"/>
        <v>4.3092873459379621E-2</v>
      </c>
      <c r="AA321" s="289">
        <f t="shared" si="17"/>
        <v>4.5639503580617198E-2</v>
      </c>
      <c r="AB321" s="289">
        <f t="shared" si="17"/>
        <v>4.2771909290435665E-2</v>
      </c>
      <c r="AC321" s="289">
        <f t="shared" si="17"/>
        <v>3.9512092029907554E-2</v>
      </c>
      <c r="AD321" s="289">
        <f t="shared" si="17"/>
        <v>3.9166840836496943E-2</v>
      </c>
      <c r="AE321" s="289">
        <f t="shared" si="17"/>
        <v>3.5098991494294116E-2</v>
      </c>
      <c r="AF321" s="289">
        <f t="shared" si="17"/>
        <v>3.3131278069771841E-2</v>
      </c>
      <c r="AG321" s="289">
        <f t="shared" si="17"/>
        <v>3.0347255107510684E-2</v>
      </c>
      <c r="AH321" s="289">
        <f t="shared" si="17"/>
        <v>2.4470489058563371E-2</v>
      </c>
      <c r="AI321" s="289">
        <f t="shared" si="17"/>
        <v>2.4209897173356879E-2</v>
      </c>
      <c r="AJ321" s="289">
        <f t="shared" si="17"/>
        <v>2.5921380230846145E-2</v>
      </c>
      <c r="AK321" s="289">
        <f t="shared" si="17"/>
        <v>2.8227923881390768E-2</v>
      </c>
      <c r="AL321" s="289">
        <f t="shared" si="17"/>
        <v>2.9301696040581943E-2</v>
      </c>
      <c r="AM321" s="289">
        <f t="shared" si="17"/>
        <v>2.8993453022517112E-2</v>
      </c>
      <c r="AN321" s="289">
        <f t="shared" si="17"/>
        <v>2.9532465998874446E-2</v>
      </c>
      <c r="AO321" s="289">
        <f t="shared" si="17"/>
        <v>2.7901002190511635E-2</v>
      </c>
      <c r="AP321" s="289">
        <f t="shared" si="17"/>
        <v>2.9443907108869034E-2</v>
      </c>
      <c r="AQ321" s="289">
        <f t="shared" si="17"/>
        <v>3.0679338179898884E-2</v>
      </c>
      <c r="AR321" s="289">
        <f t="shared" si="17"/>
        <v>3.2616228973463508E-2</v>
      </c>
      <c r="AS321" s="289">
        <f t="shared" si="17"/>
        <v>3.2825394068216898E-2</v>
      </c>
      <c r="AT321" s="289">
        <f t="shared" si="17"/>
        <v>3.1976023350013497E-2</v>
      </c>
      <c r="AU321" s="289">
        <f t="shared" si="17"/>
        <v>2.9808814361382927E-2</v>
      </c>
      <c r="AV321" s="289">
        <f t="shared" si="17"/>
        <v>3.2581070124994609E-2</v>
      </c>
      <c r="AW321" s="289">
        <f t="shared" si="17"/>
        <v>3.2867632543337411E-2</v>
      </c>
      <c r="AX321" s="289">
        <f t="shared" si="17"/>
        <v>3.7491180967086646E-2</v>
      </c>
      <c r="AY321" s="289">
        <f t="shared" si="17"/>
        <v>4.1553684784631222E-2</v>
      </c>
      <c r="AZ321" s="289">
        <f t="shared" si="17"/>
        <v>5.0156711183608385E-2</v>
      </c>
      <c r="BA321" s="289">
        <f t="shared" si="17"/>
        <v>6.0222905802837366E-2</v>
      </c>
      <c r="BB321" s="289">
        <f t="shared" si="17"/>
        <v>6.0101934149980697E-2</v>
      </c>
      <c r="BC321" s="289">
        <f t="shared" si="7"/>
        <v>6.0101934149980697E-2</v>
      </c>
    </row>
    <row r="322" spans="2:55">
      <c r="B322" s="72" t="s">
        <v>541</v>
      </c>
      <c r="C322" s="72" t="s">
        <v>542</v>
      </c>
      <c r="D322" s="289">
        <f t="shared" si="4"/>
        <v>0.12293501881325429</v>
      </c>
      <c r="E322" s="289">
        <f t="shared" si="17"/>
        <v>0.12614869057442932</v>
      </c>
      <c r="F322" s="289">
        <f t="shared" si="17"/>
        <v>0.12624176677784774</v>
      </c>
      <c r="G322" s="289">
        <f t="shared" si="17"/>
        <v>0.12807205262636756</v>
      </c>
      <c r="H322" s="289">
        <f t="shared" si="17"/>
        <v>0.13084046028008256</v>
      </c>
      <c r="I322" s="289">
        <f t="shared" si="17"/>
        <v>0.13210802173401662</v>
      </c>
      <c r="J322" s="289">
        <f t="shared" si="17"/>
        <v>0.13633878193142257</v>
      </c>
      <c r="K322" s="289">
        <f t="shared" si="17"/>
        <v>0.1191745287602469</v>
      </c>
      <c r="L322" s="289">
        <f t="shared" si="17"/>
        <v>0.11527848942102915</v>
      </c>
      <c r="M322" s="289">
        <f t="shared" si="17"/>
        <v>0.10759812126313464</v>
      </c>
      <c r="N322" s="289">
        <f t="shared" si="17"/>
        <v>0.10041186386513822</v>
      </c>
      <c r="O322" s="289">
        <f t="shared" si="17"/>
        <v>9.8251666161330686E-2</v>
      </c>
      <c r="P322" s="289">
        <f t="shared" si="17"/>
        <v>8.5492103027533684E-2</v>
      </c>
      <c r="Q322" s="289">
        <f t="shared" si="17"/>
        <v>0.12851570783655755</v>
      </c>
      <c r="R322" s="289">
        <f t="shared" si="17"/>
        <v>0.12010828636932935</v>
      </c>
      <c r="S322" s="289">
        <f t="shared" si="17"/>
        <v>0.13861929299039086</v>
      </c>
      <c r="T322" s="289">
        <f t="shared" si="17"/>
        <v>0.14152141611461086</v>
      </c>
      <c r="U322" s="289">
        <f t="shared" si="17"/>
        <v>0.12701654186713968</v>
      </c>
      <c r="V322" s="289">
        <f t="shared" si="17"/>
        <v>0.11247286550799103</v>
      </c>
      <c r="W322" s="289">
        <f t="shared" si="17"/>
        <v>8.8092178379203495E-2</v>
      </c>
      <c r="X322" s="289">
        <f t="shared" si="17"/>
        <v>0.11778816839679766</v>
      </c>
      <c r="Y322" s="289">
        <f t="shared" si="17"/>
        <v>0.11480170257968862</v>
      </c>
      <c r="Z322" s="289">
        <f t="shared" si="17"/>
        <v>0.11491075781559887</v>
      </c>
      <c r="AA322" s="289">
        <f t="shared" si="17"/>
        <v>0.13604145122657241</v>
      </c>
      <c r="AB322" s="289">
        <f t="shared" si="17"/>
        <v>0.10994591406091925</v>
      </c>
      <c r="AC322" s="289">
        <f t="shared" si="17"/>
        <v>6.4603582608964469E-2</v>
      </c>
      <c r="AD322" s="289">
        <f t="shared" si="17"/>
        <v>5.6329775031066363E-2</v>
      </c>
      <c r="AE322" s="289">
        <f t="shared" si="17"/>
        <v>4.8324448030556279E-2</v>
      </c>
      <c r="AF322" s="289">
        <f t="shared" si="17"/>
        <v>4.8123016770924447E-2</v>
      </c>
      <c r="AG322" s="289">
        <f t="shared" si="17"/>
        <v>4.1330324770034663E-2</v>
      </c>
      <c r="AH322" s="289">
        <f t="shared" si="17"/>
        <v>4.2649589685283817E-2</v>
      </c>
      <c r="AI322" s="289">
        <f t="shared" si="17"/>
        <v>4.2681047866971085E-2</v>
      </c>
      <c r="AJ322" s="289">
        <f t="shared" si="17"/>
        <v>4.7263471251285501E-2</v>
      </c>
      <c r="AK322" s="289">
        <f t="shared" si="17"/>
        <v>4.4677704660348268E-2</v>
      </c>
      <c r="AL322" s="289">
        <f t="shared" si="17"/>
        <v>4.5068686274272372E-2</v>
      </c>
      <c r="AM322" s="289">
        <f t="shared" si="17"/>
        <v>4.6192812533685755E-2</v>
      </c>
      <c r="AN322" s="289">
        <f t="shared" si="17"/>
        <v>4.3289336389024387E-2</v>
      </c>
      <c r="AO322" s="289">
        <f t="shared" si="17"/>
        <v>4.2647829478276875E-2</v>
      </c>
      <c r="AP322" s="289">
        <f t="shared" si="17"/>
        <v>3.9725323995889461E-2</v>
      </c>
      <c r="AQ322" s="289">
        <f t="shared" si="17"/>
        <v>4.0343321846926586E-2</v>
      </c>
      <c r="AR322" s="289">
        <f t="shared" si="17"/>
        <v>3.8671403834695389E-2</v>
      </c>
      <c r="AS322" s="289">
        <f t="shared" si="17"/>
        <v>3.386609627558098E-2</v>
      </c>
      <c r="AT322" s="289">
        <f t="shared" si="17"/>
        <v>2.9428847102689715E-2</v>
      </c>
      <c r="AU322" s="289">
        <f t="shared" si="17"/>
        <v>2.6616104924342437E-2</v>
      </c>
      <c r="AV322" s="289">
        <f t="shared" si="17"/>
        <v>2.7386329208076095E-2</v>
      </c>
      <c r="AW322" s="289">
        <f t="shared" si="17"/>
        <v>3.0395551707787204E-2</v>
      </c>
      <c r="AX322" s="289">
        <f t="shared" si="17"/>
        <v>2.9925037937017732E-2</v>
      </c>
      <c r="AY322" s="289">
        <f t="shared" si="17"/>
        <v>4.0180149774559998E-2</v>
      </c>
      <c r="AZ322" s="289">
        <f t="shared" si="17"/>
        <v>5.0215988778897366E-2</v>
      </c>
      <c r="BA322" s="289">
        <f t="shared" si="17"/>
        <v>5.4580034433192204E-2</v>
      </c>
      <c r="BB322" s="289">
        <f t="shared" si="17"/>
        <v>6.0810563800385124E-2</v>
      </c>
      <c r="BC322" s="289">
        <f t="shared" si="7"/>
        <v>6.0810563800385124E-2</v>
      </c>
    </row>
    <row r="323" spans="2:55">
      <c r="B323" s="72" t="s">
        <v>543</v>
      </c>
      <c r="C323" s="72" t="s">
        <v>544</v>
      </c>
      <c r="D323" s="289">
        <f t="shared" si="4"/>
        <v>0</v>
      </c>
      <c r="E323" s="289">
        <f t="shared" si="17"/>
        <v>0</v>
      </c>
      <c r="F323" s="289">
        <f t="shared" si="17"/>
        <v>0</v>
      </c>
      <c r="G323" s="289">
        <f t="shared" si="17"/>
        <v>0</v>
      </c>
      <c r="H323" s="289">
        <f t="shared" si="17"/>
        <v>0</v>
      </c>
      <c r="I323" s="289">
        <f t="shared" si="17"/>
        <v>0</v>
      </c>
      <c r="J323" s="289">
        <f t="shared" si="17"/>
        <v>0</v>
      </c>
      <c r="K323" s="289">
        <f t="shared" si="17"/>
        <v>0</v>
      </c>
      <c r="L323" s="289">
        <f t="shared" si="17"/>
        <v>0</v>
      </c>
      <c r="M323" s="289">
        <f t="shared" si="17"/>
        <v>0</v>
      </c>
      <c r="N323" s="289">
        <f t="shared" si="17"/>
        <v>0</v>
      </c>
      <c r="O323" s="289">
        <f t="shared" si="17"/>
        <v>0</v>
      </c>
      <c r="P323" s="289">
        <f t="shared" si="17"/>
        <v>0</v>
      </c>
      <c r="Q323" s="289">
        <f t="shared" si="17"/>
        <v>0</v>
      </c>
      <c r="R323" s="289">
        <f t="shared" si="17"/>
        <v>0</v>
      </c>
      <c r="S323" s="289">
        <f t="shared" si="17"/>
        <v>0</v>
      </c>
      <c r="T323" s="289">
        <f t="shared" si="17"/>
        <v>0</v>
      </c>
      <c r="U323" s="289">
        <f t="shared" si="17"/>
        <v>0</v>
      </c>
      <c r="V323" s="289">
        <f t="shared" si="17"/>
        <v>0</v>
      </c>
      <c r="W323" s="289">
        <f t="shared" si="17"/>
        <v>0</v>
      </c>
      <c r="X323" s="289">
        <f t="shared" si="17"/>
        <v>0</v>
      </c>
      <c r="Y323" s="289">
        <f t="shared" ref="E323:BB328" si="18">Y73/Y$251</f>
        <v>0</v>
      </c>
      <c r="Z323" s="289">
        <f t="shared" si="18"/>
        <v>0</v>
      </c>
      <c r="AA323" s="289">
        <f t="shared" si="18"/>
        <v>0</v>
      </c>
      <c r="AB323" s="289">
        <f t="shared" si="18"/>
        <v>0</v>
      </c>
      <c r="AC323" s="289">
        <f t="shared" si="18"/>
        <v>0</v>
      </c>
      <c r="AD323" s="289">
        <f t="shared" si="18"/>
        <v>0</v>
      </c>
      <c r="AE323" s="289">
        <f t="shared" si="18"/>
        <v>0</v>
      </c>
      <c r="AF323" s="289">
        <f t="shared" si="18"/>
        <v>0</v>
      </c>
      <c r="AG323" s="289">
        <f t="shared" si="18"/>
        <v>0</v>
      </c>
      <c r="AH323" s="289">
        <f t="shared" si="18"/>
        <v>0</v>
      </c>
      <c r="AI323" s="289">
        <f t="shared" si="18"/>
        <v>0</v>
      </c>
      <c r="AJ323" s="289">
        <f t="shared" si="18"/>
        <v>0</v>
      </c>
      <c r="AK323" s="289">
        <f t="shared" si="18"/>
        <v>1.9790913697368715E-2</v>
      </c>
      <c r="AL323" s="289">
        <f t="shared" si="18"/>
        <v>2.8087936494005813E-2</v>
      </c>
      <c r="AM323" s="289">
        <f t="shared" si="18"/>
        <v>4.0198346887933542E-2</v>
      </c>
      <c r="AN323" s="289">
        <f t="shared" si="18"/>
        <v>4.6504357481701113E-2</v>
      </c>
      <c r="AO323" s="289">
        <f t="shared" si="18"/>
        <v>4.732230425981749E-2</v>
      </c>
      <c r="AP323" s="289">
        <f t="shared" si="18"/>
        <v>5.0773076972008786E-2</v>
      </c>
      <c r="AQ323" s="289">
        <f t="shared" si="18"/>
        <v>5.9488619398543184E-2</v>
      </c>
      <c r="AR323" s="289">
        <f t="shared" si="18"/>
        <v>6.175344940559771E-2</v>
      </c>
      <c r="AS323" s="289">
        <f t="shared" si="18"/>
        <v>6.524813928947161E-2</v>
      </c>
      <c r="AT323" s="289">
        <f t="shared" si="18"/>
        <v>7.1026914690510562E-2</v>
      </c>
      <c r="AU323" s="289">
        <f t="shared" si="18"/>
        <v>7.2232795608117767E-2</v>
      </c>
      <c r="AV323" s="289">
        <f t="shared" si="18"/>
        <v>7.5955517343681472E-2</v>
      </c>
      <c r="AW323" s="289">
        <f t="shared" si="18"/>
        <v>8.1002840927102943E-2</v>
      </c>
      <c r="AX323" s="289">
        <f t="shared" si="18"/>
        <v>8.7276124478447362E-2</v>
      </c>
      <c r="AY323" s="289">
        <f t="shared" si="18"/>
        <v>0.11387204509454896</v>
      </c>
      <c r="AZ323" s="289">
        <f t="shared" si="18"/>
        <v>0.12832982156016945</v>
      </c>
      <c r="BA323" s="289">
        <f t="shared" si="18"/>
        <v>0.12211346690554374</v>
      </c>
      <c r="BB323" s="289">
        <f t="shared" si="18"/>
        <v>0.12348505147977891</v>
      </c>
      <c r="BC323" s="289">
        <f t="shared" si="7"/>
        <v>0.12348505147977891</v>
      </c>
    </row>
    <row r="324" spans="2:55">
      <c r="B324" s="72" t="s">
        <v>545</v>
      </c>
      <c r="C324" s="72" t="s">
        <v>546</v>
      </c>
      <c r="D324" s="289">
        <f t="shared" si="4"/>
        <v>4.221816200717491E-2</v>
      </c>
      <c r="E324" s="289">
        <f t="shared" si="18"/>
        <v>4.2820031518956171E-2</v>
      </c>
      <c r="F324" s="289">
        <f t="shared" si="18"/>
        <v>4.2386565322224047E-2</v>
      </c>
      <c r="G324" s="289">
        <f t="shared" si="18"/>
        <v>4.1524300315314802E-2</v>
      </c>
      <c r="H324" s="289">
        <f t="shared" si="18"/>
        <v>4.1527598450869993E-2</v>
      </c>
      <c r="I324" s="289">
        <f t="shared" si="18"/>
        <v>4.2850106007966356E-2</v>
      </c>
      <c r="J324" s="289">
        <f t="shared" si="18"/>
        <v>4.5908823290709597E-2</v>
      </c>
      <c r="K324" s="289">
        <f t="shared" si="18"/>
        <v>5.3688821454008114E-2</v>
      </c>
      <c r="L324" s="289">
        <f t="shared" si="18"/>
        <v>5.6708067363215986E-2</v>
      </c>
      <c r="M324" s="289">
        <f t="shared" si="18"/>
        <v>6.1948798914716476E-2</v>
      </c>
      <c r="N324" s="289">
        <f t="shared" si="18"/>
        <v>7.0229613367557286E-2</v>
      </c>
      <c r="O324" s="289">
        <f t="shared" si="18"/>
        <v>7.72518301587653E-2</v>
      </c>
      <c r="P324" s="289">
        <f t="shared" si="18"/>
        <v>9.7956526422300585E-2</v>
      </c>
      <c r="Q324" s="289">
        <f t="shared" si="18"/>
        <v>0.10983010034425633</v>
      </c>
      <c r="R324" s="289">
        <f t="shared" si="18"/>
        <v>0.10276271810868336</v>
      </c>
      <c r="S324" s="289">
        <f t="shared" si="18"/>
        <v>0.10782915231147444</v>
      </c>
      <c r="T324" s="289">
        <f t="shared" si="18"/>
        <v>0.11143428321515474</v>
      </c>
      <c r="U324" s="289">
        <f t="shared" si="18"/>
        <v>0.11053554533887924</v>
      </c>
      <c r="V324" s="289">
        <f t="shared" si="18"/>
        <v>0.11375181197678744</v>
      </c>
      <c r="W324" s="289">
        <f t="shared" si="18"/>
        <v>0.11066481000411926</v>
      </c>
      <c r="X324" s="289">
        <f t="shared" si="18"/>
        <v>0.11371333220126825</v>
      </c>
      <c r="Y324" s="289">
        <f t="shared" si="18"/>
        <v>0.10882980747045175</v>
      </c>
      <c r="Z324" s="289">
        <f t="shared" si="18"/>
        <v>0.12812096315293214</v>
      </c>
      <c r="AA324" s="289">
        <f t="shared" si="18"/>
        <v>0.13940153880377959</v>
      </c>
      <c r="AB324" s="289">
        <f t="shared" si="18"/>
        <v>0.11480045170749444</v>
      </c>
      <c r="AC324" s="289">
        <f t="shared" si="18"/>
        <v>0.11325745412287488</v>
      </c>
      <c r="AD324" s="289">
        <f t="shared" si="18"/>
        <v>0.12634066675744157</v>
      </c>
      <c r="AE324" s="289">
        <f t="shared" si="18"/>
        <v>0.13594235758850742</v>
      </c>
      <c r="AF324" s="289">
        <f t="shared" si="18"/>
        <v>0.15266592307240553</v>
      </c>
      <c r="AG324" s="289">
        <f t="shared" si="18"/>
        <v>0.15503042701605663</v>
      </c>
      <c r="AH324" s="289">
        <f t="shared" si="18"/>
        <v>0.15063801411633587</v>
      </c>
      <c r="AI324" s="289">
        <f t="shared" si="18"/>
        <v>0.14928417246676359</v>
      </c>
      <c r="AJ324" s="289">
        <f t="shared" si="18"/>
        <v>0.16250954255810943</v>
      </c>
      <c r="AK324" s="289">
        <f t="shared" si="18"/>
        <v>0.15312583118317538</v>
      </c>
      <c r="AL324" s="289">
        <f t="shared" si="18"/>
        <v>0.15094348187500492</v>
      </c>
      <c r="AM324" s="289">
        <f t="shared" si="18"/>
        <v>0.14099375027124098</v>
      </c>
      <c r="AN324" s="289">
        <f t="shared" si="18"/>
        <v>0.13297180049025478</v>
      </c>
      <c r="AO324" s="289">
        <f t="shared" si="18"/>
        <v>0.12247194429828109</v>
      </c>
      <c r="AP324" s="289">
        <f t="shared" si="18"/>
        <v>0.13247069408913464</v>
      </c>
      <c r="AQ324" s="289">
        <f t="shared" si="18"/>
        <v>0.12786993778155076</v>
      </c>
      <c r="AR324" s="289">
        <f t="shared" si="18"/>
        <v>0.13614258664368509</v>
      </c>
      <c r="AS324" s="289">
        <f t="shared" si="18"/>
        <v>0.1247917363024983</v>
      </c>
      <c r="AT324" s="289">
        <f t="shared" si="18"/>
        <v>0.14183945042653615</v>
      </c>
      <c r="AU324" s="289">
        <f t="shared" si="18"/>
        <v>0.14784369387175395</v>
      </c>
      <c r="AV324" s="289">
        <f t="shared" si="18"/>
        <v>0.14342693941742468</v>
      </c>
      <c r="AW324" s="289">
        <f t="shared" si="18"/>
        <v>0.1462724125122267</v>
      </c>
      <c r="AX324" s="289">
        <f t="shared" si="18"/>
        <v>0.13861754760394529</v>
      </c>
      <c r="AY324" s="289">
        <f t="shared" si="18"/>
        <v>0.15938693958502431</v>
      </c>
      <c r="AZ324" s="289">
        <f t="shared" si="18"/>
        <v>0.16478588961363799</v>
      </c>
      <c r="BA324" s="289">
        <f t="shared" si="18"/>
        <v>0.20483854018363207</v>
      </c>
      <c r="BB324" s="289">
        <f t="shared" si="18"/>
        <v>0.21856952348322872</v>
      </c>
      <c r="BC324" s="289">
        <f t="shared" si="7"/>
        <v>0.21856952348322872</v>
      </c>
    </row>
    <row r="325" spans="2:55">
      <c r="B325" s="72" t="s">
        <v>547</v>
      </c>
      <c r="C325" s="72" t="s">
        <v>548</v>
      </c>
      <c r="D325" s="289">
        <f t="shared" si="4"/>
        <v>0.1399089662038441</v>
      </c>
      <c r="E325" s="289">
        <f t="shared" si="18"/>
        <v>0.1703469456018957</v>
      </c>
      <c r="F325" s="289">
        <f t="shared" si="18"/>
        <v>0.18150107651029621</v>
      </c>
      <c r="G325" s="289">
        <f t="shared" si="18"/>
        <v>0.14953896705371691</v>
      </c>
      <c r="H325" s="289">
        <f t="shared" si="18"/>
        <v>0.13950069480069519</v>
      </c>
      <c r="I325" s="289">
        <f t="shared" si="18"/>
        <v>0.15922182253418579</v>
      </c>
      <c r="J325" s="289">
        <f t="shared" si="18"/>
        <v>0.16972744830680514</v>
      </c>
      <c r="K325" s="289">
        <f t="shared" si="18"/>
        <v>0.19545269372729548</v>
      </c>
      <c r="L325" s="289">
        <f t="shared" si="18"/>
        <v>0.1966472300408578</v>
      </c>
      <c r="M325" s="289">
        <f t="shared" si="18"/>
        <v>0.19650257703293222</v>
      </c>
      <c r="N325" s="289">
        <f t="shared" si="18"/>
        <v>0.19789771494794595</v>
      </c>
      <c r="O325" s="289">
        <f t="shared" si="18"/>
        <v>0.2007547909697355</v>
      </c>
      <c r="P325" s="289">
        <f t="shared" si="18"/>
        <v>0.23574466435678382</v>
      </c>
      <c r="Q325" s="289">
        <f t="shared" si="18"/>
        <v>0.28285360010554661</v>
      </c>
      <c r="R325" s="289">
        <f t="shared" si="18"/>
        <v>0.27184463537721415</v>
      </c>
      <c r="S325" s="289">
        <f t="shared" si="18"/>
        <v>0.34097674865861505</v>
      </c>
      <c r="T325" s="289">
        <f t="shared" si="18"/>
        <v>0.34015415145365785</v>
      </c>
      <c r="U325" s="289">
        <f t="shared" si="18"/>
        <v>0.29884870133166669</v>
      </c>
      <c r="V325" s="289">
        <f t="shared" si="18"/>
        <v>0.25191431382674045</v>
      </c>
      <c r="W325" s="289">
        <f t="shared" si="18"/>
        <v>0.20066473099715626</v>
      </c>
      <c r="X325" s="289">
        <f t="shared" si="18"/>
        <v>0.23138766064549385</v>
      </c>
      <c r="Y325" s="289">
        <f t="shared" si="18"/>
        <v>0.25337818737927098</v>
      </c>
      <c r="Z325" s="289">
        <f t="shared" si="18"/>
        <v>0.18851676906634277</v>
      </c>
      <c r="AA325" s="289">
        <f t="shared" si="18"/>
        <v>0.20149152442852905</v>
      </c>
      <c r="AB325" s="289">
        <f t="shared" si="18"/>
        <v>0.19931165888344016</v>
      </c>
      <c r="AC325" s="289">
        <f t="shared" si="18"/>
        <v>0.19161266009393646</v>
      </c>
      <c r="AD325" s="289">
        <f t="shared" si="18"/>
        <v>0.16816992851850932</v>
      </c>
      <c r="AE325" s="289">
        <f t="shared" si="18"/>
        <v>0.15296287417962012</v>
      </c>
      <c r="AF325" s="289">
        <f t="shared" si="18"/>
        <v>0.19216485917480552</v>
      </c>
      <c r="AG325" s="289">
        <f t="shared" si="18"/>
        <v>0.17452141539362825</v>
      </c>
      <c r="AH325" s="289">
        <f t="shared" si="18"/>
        <v>0.1456102066858449</v>
      </c>
      <c r="AI325" s="289">
        <f t="shared" si="18"/>
        <v>0.13325598823468648</v>
      </c>
      <c r="AJ325" s="289">
        <f t="shared" si="18"/>
        <v>0.16425331498211074</v>
      </c>
      <c r="AK325" s="289">
        <f t="shared" si="18"/>
        <v>0.2103229785342797</v>
      </c>
      <c r="AL325" s="289">
        <f t="shared" si="18"/>
        <v>0.23822299764274568</v>
      </c>
      <c r="AM325" s="289">
        <f t="shared" si="18"/>
        <v>0.24369407804061125</v>
      </c>
      <c r="AN325" s="289">
        <f t="shared" si="18"/>
        <v>0.22254568372939171</v>
      </c>
      <c r="AO325" s="289">
        <f t="shared" si="18"/>
        <v>0.19927224617335246</v>
      </c>
      <c r="AP325" s="289">
        <f t="shared" si="18"/>
        <v>0.13319905683476449</v>
      </c>
      <c r="AQ325" s="289">
        <f t="shared" si="18"/>
        <v>0.14750593736406994</v>
      </c>
      <c r="AR325" s="289">
        <f t="shared" si="18"/>
        <v>0.12601506993335279</v>
      </c>
      <c r="AS325" s="289">
        <f t="shared" si="18"/>
        <v>0.10417220939586788</v>
      </c>
      <c r="AT325" s="289">
        <f t="shared" si="18"/>
        <v>9.7636792263608052E-2</v>
      </c>
      <c r="AU325" s="289">
        <f t="shared" si="18"/>
        <v>9.8374795617343816E-2</v>
      </c>
      <c r="AV325" s="289">
        <f t="shared" si="18"/>
        <v>0.12442475991738124</v>
      </c>
      <c r="AW325" s="289">
        <f t="shared" si="18"/>
        <v>0.1431141534219641</v>
      </c>
      <c r="AX325" s="289">
        <f t="shared" si="18"/>
        <v>0.1553419040544429</v>
      </c>
      <c r="AY325" s="289">
        <f t="shared" si="18"/>
        <v>0.19999042696331934</v>
      </c>
      <c r="AZ325" s="289">
        <f t="shared" si="18"/>
        <v>0.23751385071517736</v>
      </c>
      <c r="BA325" s="289">
        <f t="shared" si="18"/>
        <v>0.30320330888206304</v>
      </c>
      <c r="BB325" s="289">
        <f t="shared" si="18"/>
        <v>0.3226022103587966</v>
      </c>
      <c r="BC325" s="289">
        <f t="shared" si="7"/>
        <v>0.3226022103587966</v>
      </c>
    </row>
    <row r="326" spans="2:55">
      <c r="B326" s="72" t="s">
        <v>549</v>
      </c>
      <c r="C326" s="72" t="s">
        <v>550</v>
      </c>
      <c r="D326" s="289">
        <f t="shared" si="4"/>
        <v>0</v>
      </c>
      <c r="E326" s="289">
        <f t="shared" si="18"/>
        <v>0</v>
      </c>
      <c r="F326" s="289">
        <f t="shared" si="18"/>
        <v>0</v>
      </c>
      <c r="G326" s="289">
        <f t="shared" si="18"/>
        <v>0</v>
      </c>
      <c r="H326" s="289">
        <f t="shared" si="18"/>
        <v>0.61898789223726525</v>
      </c>
      <c r="I326" s="289">
        <f t="shared" si="18"/>
        <v>0.6505977062133077</v>
      </c>
      <c r="J326" s="289">
        <f t="shared" si="18"/>
        <v>0.63049311500076488</v>
      </c>
      <c r="K326" s="289">
        <f t="shared" si="18"/>
        <v>0.74344251311896281</v>
      </c>
      <c r="L326" s="289">
        <f t="shared" si="18"/>
        <v>0.66412188944543271</v>
      </c>
      <c r="M326" s="289">
        <f t="shared" si="18"/>
        <v>0.63855985330371612</v>
      </c>
      <c r="N326" s="289">
        <f t="shared" si="18"/>
        <v>0.5969585824776058</v>
      </c>
      <c r="O326" s="289">
        <f t="shared" si="18"/>
        <v>0.68263575663736442</v>
      </c>
      <c r="P326" s="289">
        <f t="shared" si="18"/>
        <v>0.92624202601361494</v>
      </c>
      <c r="Q326" s="289">
        <f t="shared" si="18"/>
        <v>2.0348307685048717</v>
      </c>
      <c r="R326" s="289">
        <f t="shared" si="18"/>
        <v>1.7742717486712087</v>
      </c>
      <c r="S326" s="289">
        <f t="shared" si="18"/>
        <v>2.1576900774259204</v>
      </c>
      <c r="T326" s="289">
        <f t="shared" si="18"/>
        <v>2.2342908734644729</v>
      </c>
      <c r="U326" s="289">
        <f t="shared" si="18"/>
        <v>1.9015454635620588</v>
      </c>
      <c r="V326" s="289">
        <f t="shared" si="18"/>
        <v>2.0399620177924715</v>
      </c>
      <c r="W326" s="289">
        <f t="shared" si="18"/>
        <v>2.7057235488973506</v>
      </c>
      <c r="X326" s="289">
        <f t="shared" si="18"/>
        <v>2.4441643280241769</v>
      </c>
      <c r="Y326" s="289">
        <f t="shared" si="18"/>
        <v>2.4297790637425503</v>
      </c>
      <c r="Z326" s="289">
        <f t="shared" si="18"/>
        <v>2.2455148208221365</v>
      </c>
      <c r="AA326" s="289">
        <f t="shared" si="18"/>
        <v>2.2832308801763368</v>
      </c>
      <c r="AB326" s="289">
        <f t="shared" si="18"/>
        <v>1.9593425032811922</v>
      </c>
      <c r="AC326" s="289">
        <f t="shared" si="18"/>
        <v>1.0402823886774555</v>
      </c>
      <c r="AD326" s="289">
        <f t="shared" si="18"/>
        <v>0.96391206421596554</v>
      </c>
      <c r="AE326" s="289">
        <f t="shared" si="18"/>
        <v>0.75520212115297514</v>
      </c>
      <c r="AF326" s="289">
        <f t="shared" si="18"/>
        <v>0.80891748997798796</v>
      </c>
      <c r="AG326" s="289">
        <f t="shared" si="18"/>
        <v>0.78944925079968442</v>
      </c>
      <c r="AH326" s="289">
        <f t="shared" si="18"/>
        <v>0.77624625886489018</v>
      </c>
      <c r="AI326" s="289">
        <f t="shared" si="18"/>
        <v>0.82702686258411862</v>
      </c>
      <c r="AJ326" s="289">
        <f t="shared" si="18"/>
        <v>0.88034572142851941</v>
      </c>
      <c r="AK326" s="289">
        <f t="shared" si="18"/>
        <v>0.79080067576952628</v>
      </c>
      <c r="AL326" s="289">
        <f t="shared" si="18"/>
        <v>0.81960228877840391</v>
      </c>
      <c r="AM326" s="289">
        <f t="shared" si="18"/>
        <v>0.82100407948670384</v>
      </c>
      <c r="AN326" s="289">
        <f t="shared" si="18"/>
        <v>0.72702319851500297</v>
      </c>
      <c r="AO326" s="289">
        <f t="shared" si="18"/>
        <v>0.51910401724247834</v>
      </c>
      <c r="AP326" s="289">
        <f t="shared" si="18"/>
        <v>0.56157773142900991</v>
      </c>
      <c r="AQ326" s="289">
        <f t="shared" si="18"/>
        <v>0.73231756882834331</v>
      </c>
      <c r="AR326" s="289">
        <f t="shared" si="18"/>
        <v>0.67450620035160314</v>
      </c>
      <c r="AS326" s="289">
        <f t="shared" si="18"/>
        <v>0.63364571016746207</v>
      </c>
      <c r="AT326" s="289">
        <f t="shared" si="18"/>
        <v>0.60351375403524909</v>
      </c>
      <c r="AU326" s="289">
        <f t="shared" si="18"/>
        <v>0.60271833834337574</v>
      </c>
      <c r="AV326" s="289">
        <f t="shared" si="18"/>
        <v>0.68854506293543083</v>
      </c>
      <c r="AW326" s="289">
        <f t="shared" si="18"/>
        <v>0.76518344998014753</v>
      </c>
      <c r="AX326" s="289">
        <f t="shared" si="18"/>
        <v>0.70025378858033882</v>
      </c>
      <c r="AY326" s="289">
        <f t="shared" si="18"/>
        <v>0.867139331081067</v>
      </c>
      <c r="AZ326" s="289">
        <f t="shared" si="18"/>
        <v>0.77523512548233686</v>
      </c>
      <c r="BA326" s="289">
        <f t="shared" si="18"/>
        <v>0.8552511131332412</v>
      </c>
      <c r="BB326" s="289">
        <f t="shared" si="18"/>
        <v>1.0323465480959788</v>
      </c>
      <c r="BC326" s="289">
        <f t="shared" si="7"/>
        <v>1.0323465480959788</v>
      </c>
    </row>
    <row r="327" spans="2:55">
      <c r="B327" s="72" t="s">
        <v>551</v>
      </c>
      <c r="C327" s="72" t="s">
        <v>552</v>
      </c>
      <c r="D327" s="289">
        <f t="shared" si="4"/>
        <v>0</v>
      </c>
      <c r="E327" s="289">
        <f t="shared" si="18"/>
        <v>0</v>
      </c>
      <c r="F327" s="289">
        <f t="shared" si="18"/>
        <v>0</v>
      </c>
      <c r="G327" s="289">
        <f t="shared" si="18"/>
        <v>0</v>
      </c>
      <c r="H327" s="289">
        <f t="shared" si="18"/>
        <v>0</v>
      </c>
      <c r="I327" s="289">
        <f t="shared" si="18"/>
        <v>0</v>
      </c>
      <c r="J327" s="289">
        <f t="shared" si="18"/>
        <v>0</v>
      </c>
      <c r="K327" s="289">
        <f t="shared" si="18"/>
        <v>0</v>
      </c>
      <c r="L327" s="289">
        <f t="shared" si="18"/>
        <v>0</v>
      </c>
      <c r="M327" s="289">
        <f t="shared" si="18"/>
        <v>0</v>
      </c>
      <c r="N327" s="289">
        <f t="shared" si="18"/>
        <v>0</v>
      </c>
      <c r="O327" s="289">
        <f t="shared" si="18"/>
        <v>0</v>
      </c>
      <c r="P327" s="289">
        <f t="shared" si="18"/>
        <v>0</v>
      </c>
      <c r="Q327" s="289">
        <f t="shared" si="18"/>
        <v>0</v>
      </c>
      <c r="R327" s="289">
        <f t="shared" si="18"/>
        <v>0</v>
      </c>
      <c r="S327" s="289">
        <f t="shared" si="18"/>
        <v>0</v>
      </c>
      <c r="T327" s="289">
        <f t="shared" si="18"/>
        <v>0</v>
      </c>
      <c r="U327" s="289">
        <f t="shared" si="18"/>
        <v>0</v>
      </c>
      <c r="V327" s="289">
        <f t="shared" si="18"/>
        <v>0</v>
      </c>
      <c r="W327" s="289">
        <f t="shared" si="18"/>
        <v>0.23500188594643148</v>
      </c>
      <c r="X327" s="289">
        <f t="shared" si="18"/>
        <v>0.24673442958739386</v>
      </c>
      <c r="Y327" s="289">
        <f t="shared" si="18"/>
        <v>0.25473217531833398</v>
      </c>
      <c r="Z327" s="289">
        <f t="shared" si="18"/>
        <v>0.22948927916300463</v>
      </c>
      <c r="AA327" s="289">
        <f t="shared" si="18"/>
        <v>0.24982662334527084</v>
      </c>
      <c r="AB327" s="289">
        <f t="shared" si="18"/>
        <v>0.23873053595456631</v>
      </c>
      <c r="AC327" s="289">
        <f t="shared" si="18"/>
        <v>0.2247410544666919</v>
      </c>
      <c r="AD327" s="289">
        <f t="shared" si="18"/>
        <v>0.25693909643262991</v>
      </c>
      <c r="AE327" s="289">
        <f t="shared" si="18"/>
        <v>0.17129956351479292</v>
      </c>
      <c r="AF327" s="289">
        <f t="shared" si="18"/>
        <v>0.16269985214860219</v>
      </c>
      <c r="AG327" s="289">
        <f t="shared" si="18"/>
        <v>0.13440639310948568</v>
      </c>
      <c r="AH327" s="289">
        <f t="shared" si="18"/>
        <v>6.8949071270422047E-2</v>
      </c>
      <c r="AI327" s="289">
        <f t="shared" si="18"/>
        <v>6.4053524238062001E-2</v>
      </c>
      <c r="AJ327" s="289">
        <f t="shared" si="18"/>
        <v>7.5216001181242012E-2</v>
      </c>
      <c r="AK327" s="289">
        <f t="shared" si="18"/>
        <v>6.2710240846604495E-2</v>
      </c>
      <c r="AL327" s="289">
        <f t="shared" si="18"/>
        <v>7.7955235767556641E-2</v>
      </c>
      <c r="AM327" s="289">
        <f t="shared" si="18"/>
        <v>5.0704200593288784E-2</v>
      </c>
      <c r="AN327" s="289">
        <f t="shared" si="18"/>
        <v>5.1556579495252761E-2</v>
      </c>
      <c r="AO327" s="289">
        <f t="shared" si="18"/>
        <v>6.3283404723593797E-2</v>
      </c>
      <c r="AP327" s="289">
        <f t="shared" si="18"/>
        <v>6.2872757145032862E-2</v>
      </c>
      <c r="AQ327" s="289">
        <f t="shared" si="18"/>
        <v>6.302867739722276E-2</v>
      </c>
      <c r="AR327" s="289">
        <f t="shared" si="18"/>
        <v>6.9623377159206093E-2</v>
      </c>
      <c r="AS327" s="289">
        <f t="shared" si="18"/>
        <v>7.5222825773174129E-2</v>
      </c>
      <c r="AT327" s="289">
        <f t="shared" si="18"/>
        <v>8.4800460929205554E-2</v>
      </c>
      <c r="AU327" s="289">
        <f t="shared" si="18"/>
        <v>8.8548155821736002E-2</v>
      </c>
      <c r="AV327" s="289">
        <f t="shared" si="18"/>
        <v>9.7930485249539845E-2</v>
      </c>
      <c r="AW327" s="289">
        <f t="shared" si="18"/>
        <v>0.10655455043192424</v>
      </c>
      <c r="AX327" s="289">
        <f t="shared" si="18"/>
        <v>0.11867054947233707</v>
      </c>
      <c r="AY327" s="289">
        <f t="shared" si="18"/>
        <v>0.15755815758057704</v>
      </c>
      <c r="AZ327" s="289">
        <f t="shared" si="18"/>
        <v>0.1812316879469556</v>
      </c>
      <c r="BA327" s="289">
        <f t="shared" si="18"/>
        <v>0.174720879789803</v>
      </c>
      <c r="BB327" s="289">
        <f t="shared" si="18"/>
        <v>0.18336166906263959</v>
      </c>
      <c r="BC327" s="289">
        <f t="shared" si="7"/>
        <v>0.18336166906263959</v>
      </c>
    </row>
    <row r="328" spans="2:55">
      <c r="B328" s="72" t="s">
        <v>553</v>
      </c>
      <c r="C328" s="72" t="s">
        <v>554</v>
      </c>
      <c r="D328" s="289">
        <f t="shared" si="4"/>
        <v>4.8644461370159771E-2</v>
      </c>
      <c r="E328" s="289">
        <f t="shared" si="18"/>
        <v>4.9820755578712385E-2</v>
      </c>
      <c r="F328" s="289">
        <f t="shared" si="18"/>
        <v>4.8396976391128985E-2</v>
      </c>
      <c r="G328" s="289">
        <f t="shared" si="18"/>
        <v>4.5667242423179197E-2</v>
      </c>
      <c r="H328" s="289">
        <f t="shared" si="18"/>
        <v>4.2925892646705557E-2</v>
      </c>
      <c r="I328" s="289">
        <f t="shared" si="18"/>
        <v>4.0967939702277544E-2</v>
      </c>
      <c r="J328" s="289">
        <f t="shared" si="18"/>
        <v>4.0511973326013792E-2</v>
      </c>
      <c r="K328" s="289">
        <f t="shared" si="18"/>
        <v>4.3600433286782682E-2</v>
      </c>
      <c r="L328" s="289">
        <f t="shared" si="18"/>
        <v>4.136852260734393E-2</v>
      </c>
      <c r="M328" s="289">
        <f t="shared" si="18"/>
        <v>3.5041398325232086E-2</v>
      </c>
      <c r="N328" s="289">
        <f t="shared" si="18"/>
        <v>3.2036742295973732E-2</v>
      </c>
      <c r="O328" s="289">
        <f t="shared" si="18"/>
        <v>3.3076477820005751E-2</v>
      </c>
      <c r="P328" s="289">
        <f t="shared" si="18"/>
        <v>3.3608116523468588E-2</v>
      </c>
      <c r="Q328" s="289">
        <f t="shared" si="18"/>
        <v>3.3938897448838559E-2</v>
      </c>
      <c r="R328" s="289">
        <f t="shared" si="18"/>
        <v>3.4735683413604793E-2</v>
      </c>
      <c r="S328" s="289">
        <f t="shared" si="18"/>
        <v>3.6735462369243251E-2</v>
      </c>
      <c r="T328" s="289">
        <f t="shared" si="18"/>
        <v>3.6840296323632359E-2</v>
      </c>
      <c r="U328" s="289">
        <f t="shared" si="18"/>
        <v>3.7067908760243518E-2</v>
      </c>
      <c r="V328" s="289">
        <f t="shared" si="18"/>
        <v>3.3052131948962497E-2</v>
      </c>
      <c r="W328" s="289">
        <f t="shared" si="18"/>
        <v>2.7787965577512102E-2</v>
      </c>
      <c r="X328" s="289">
        <f t="shared" si="18"/>
        <v>2.6289882251783123E-2</v>
      </c>
      <c r="Y328" s="289">
        <f t="shared" si="18"/>
        <v>2.6574197933713524E-2</v>
      </c>
      <c r="Z328" s="289">
        <f t="shared" si="18"/>
        <v>2.4933824387776995E-2</v>
      </c>
      <c r="AA328" s="289">
        <f t="shared" si="18"/>
        <v>2.3571575411681148E-2</v>
      </c>
      <c r="AB328" s="289">
        <f t="shared" si="18"/>
        <v>2.3146590486580545E-2</v>
      </c>
      <c r="AC328" s="289">
        <f t="shared" si="18"/>
        <v>2.4133211681011818E-2</v>
      </c>
      <c r="AD328" s="289">
        <f t="shared" ref="E328:BB333" si="19">AD78/AD$251</f>
        <v>2.2325276871872309E-2</v>
      </c>
      <c r="AE328" s="289">
        <f t="shared" si="19"/>
        <v>1.979871112136149E-2</v>
      </c>
      <c r="AF328" s="289">
        <f t="shared" si="19"/>
        <v>1.9138274363510829E-2</v>
      </c>
      <c r="AG328" s="289">
        <f t="shared" si="19"/>
        <v>1.8804961703165975E-2</v>
      </c>
      <c r="AH328" s="289">
        <f t="shared" si="19"/>
        <v>1.7798291830391035E-2</v>
      </c>
      <c r="AI328" s="289">
        <f t="shared" si="19"/>
        <v>1.2001555925199466E-2</v>
      </c>
      <c r="AJ328" s="289">
        <f t="shared" si="19"/>
        <v>1.3558561441009991E-2</v>
      </c>
      <c r="AK328" s="289">
        <f t="shared" si="19"/>
        <v>9.9421184298799578E-3</v>
      </c>
      <c r="AL328" s="289">
        <f t="shared" si="19"/>
        <v>1.1158753730856152E-2</v>
      </c>
      <c r="AM328" s="289">
        <f t="shared" si="19"/>
        <v>1.1223271206714288E-2</v>
      </c>
      <c r="AN328" s="289">
        <f t="shared" si="19"/>
        <v>9.2318608523026622E-3</v>
      </c>
      <c r="AO328" s="289">
        <f t="shared" si="19"/>
        <v>9.6560859312580637E-3</v>
      </c>
      <c r="AP328" s="289">
        <f t="shared" si="19"/>
        <v>9.8433060956836568E-3</v>
      </c>
      <c r="AQ328" s="289">
        <f t="shared" si="19"/>
        <v>8.4754833545781418E-3</v>
      </c>
      <c r="AR328" s="289">
        <f t="shared" si="19"/>
        <v>8.9540383241795904E-3</v>
      </c>
      <c r="AS328" s="289">
        <f t="shared" si="19"/>
        <v>9.3621453009472468E-3</v>
      </c>
      <c r="AT328" s="289">
        <f t="shared" si="19"/>
        <v>1.0233053738431048E-2</v>
      </c>
      <c r="AU328" s="289">
        <f t="shared" si="19"/>
        <v>1.0096479566486885E-2</v>
      </c>
      <c r="AV328" s="289">
        <f t="shared" si="19"/>
        <v>1.0092439187810569E-2</v>
      </c>
      <c r="AW328" s="289">
        <f t="shared" si="19"/>
        <v>9.8740758229590702E-3</v>
      </c>
      <c r="AX328" s="289">
        <f t="shared" si="19"/>
        <v>9.6817785380854948E-3</v>
      </c>
      <c r="AY328" s="289">
        <f t="shared" si="19"/>
        <v>1.2474149114273263E-2</v>
      </c>
      <c r="AZ328" s="289">
        <f t="shared" si="19"/>
        <v>1.4781992408456542E-2</v>
      </c>
      <c r="BA328" s="289">
        <f t="shared" si="19"/>
        <v>1.4780629136898829E-2</v>
      </c>
      <c r="BB328" s="289">
        <f t="shared" si="19"/>
        <v>1.5379279339574914E-2</v>
      </c>
      <c r="BC328" s="289">
        <f t="shared" si="7"/>
        <v>1.5379279339574914E-2</v>
      </c>
    </row>
    <row r="329" spans="2:55">
      <c r="B329" s="72" t="s">
        <v>555</v>
      </c>
      <c r="C329" s="72" t="s">
        <v>556</v>
      </c>
      <c r="D329" s="289">
        <f t="shared" si="4"/>
        <v>4.6695531415339268E-2</v>
      </c>
      <c r="E329" s="289">
        <f t="shared" si="19"/>
        <v>4.631576151026516E-2</v>
      </c>
      <c r="F329" s="289">
        <f t="shared" si="19"/>
        <v>4.7160477317695113E-2</v>
      </c>
      <c r="G329" s="289">
        <f t="shared" si="19"/>
        <v>4.7797142068313064E-2</v>
      </c>
      <c r="H329" s="289">
        <f t="shared" si="19"/>
        <v>2.6735925195979907E-2</v>
      </c>
      <c r="I329" s="289">
        <f t="shared" si="19"/>
        <v>2.5775432427465828E-2</v>
      </c>
      <c r="J329" s="289">
        <f t="shared" si="19"/>
        <v>2.6367894439808963E-2</v>
      </c>
      <c r="K329" s="289">
        <f t="shared" si="19"/>
        <v>2.8357702436320961E-2</v>
      </c>
      <c r="L329" s="289">
        <f t="shared" si="19"/>
        <v>2.7008386811801278E-2</v>
      </c>
      <c r="M329" s="289">
        <f t="shared" si="19"/>
        <v>3.0814714994902327E-2</v>
      </c>
      <c r="N329" s="289">
        <f t="shared" si="19"/>
        <v>2.8201263903425779E-2</v>
      </c>
      <c r="O329" s="289">
        <f t="shared" si="19"/>
        <v>2.3857016745570267E-2</v>
      </c>
      <c r="P329" s="289">
        <f t="shared" si="19"/>
        <v>2.5937730063020355E-2</v>
      </c>
      <c r="Q329" s="289">
        <f t="shared" si="19"/>
        <v>2.7016620365370819E-2</v>
      </c>
      <c r="R329" s="289">
        <f t="shared" si="19"/>
        <v>2.7202902976057906E-2</v>
      </c>
      <c r="S329" s="289">
        <f t="shared" si="19"/>
        <v>2.9650266350757924E-2</v>
      </c>
      <c r="T329" s="289">
        <f t="shared" si="19"/>
        <v>3.1402521831378677E-2</v>
      </c>
      <c r="U329" s="289">
        <f t="shared" si="19"/>
        <v>2.6975023733847508E-2</v>
      </c>
      <c r="V329" s="289">
        <f t="shared" si="19"/>
        <v>2.5952582615266628E-2</v>
      </c>
      <c r="W329" s="289">
        <f t="shared" si="19"/>
        <v>2.3141935723245969E-2</v>
      </c>
      <c r="X329" s="289">
        <f t="shared" si="19"/>
        <v>2.4896984752033564E-2</v>
      </c>
      <c r="Y329" s="289">
        <f t="shared" si="19"/>
        <v>2.6439930884058771E-2</v>
      </c>
      <c r="Z329" s="289">
        <f t="shared" si="19"/>
        <v>2.8839266283718627E-2</v>
      </c>
      <c r="AA329" s="289">
        <f t="shared" si="19"/>
        <v>2.7032785223461028E-2</v>
      </c>
      <c r="AB329" s="289">
        <f t="shared" si="19"/>
        <v>2.8877546451363402E-2</v>
      </c>
      <c r="AC329" s="289">
        <f t="shared" si="19"/>
        <v>2.3842942932541571E-2</v>
      </c>
      <c r="AD329" s="289">
        <f t="shared" si="19"/>
        <v>1.7757419541894994E-2</v>
      </c>
      <c r="AE329" s="289">
        <f t="shared" si="19"/>
        <v>1.3605523155073834E-2</v>
      </c>
      <c r="AF329" s="289">
        <f t="shared" si="19"/>
        <v>1.353100676312867E-2</v>
      </c>
      <c r="AG329" s="289">
        <f t="shared" si="19"/>
        <v>1.1425975083705733E-2</v>
      </c>
      <c r="AH329" s="289">
        <f t="shared" si="19"/>
        <v>1.1092191589591408E-2</v>
      </c>
      <c r="AI329" s="289">
        <f t="shared" si="19"/>
        <v>9.7892251308601946E-3</v>
      </c>
      <c r="AJ329" s="289">
        <f t="shared" si="19"/>
        <v>9.3068656490092796E-3</v>
      </c>
      <c r="AK329" s="289">
        <f t="shared" si="19"/>
        <v>8.387692651037712E-3</v>
      </c>
      <c r="AL329" s="289">
        <f t="shared" si="19"/>
        <v>8.2412501415363472E-3</v>
      </c>
      <c r="AM329" s="289">
        <f t="shared" si="19"/>
        <v>6.7504051831840314E-3</v>
      </c>
      <c r="AN329" s="289">
        <f t="shared" si="19"/>
        <v>6.7088857201472434E-3</v>
      </c>
      <c r="AO329" s="289">
        <f t="shared" si="19"/>
        <v>5.7454221287601311E-3</v>
      </c>
      <c r="AP329" s="289">
        <f t="shared" si="19"/>
        <v>5.018480482480674E-3</v>
      </c>
      <c r="AQ329" s="289">
        <f t="shared" si="19"/>
        <v>5.2298010716450277E-3</v>
      </c>
      <c r="AR329" s="289">
        <f t="shared" si="19"/>
        <v>5.093819555357728E-3</v>
      </c>
      <c r="AS329" s="289">
        <f t="shared" si="19"/>
        <v>4.3408937765673497E-3</v>
      </c>
      <c r="AT329" s="289">
        <f t="shared" si="19"/>
        <v>3.5631169263211659E-3</v>
      </c>
      <c r="AU329" s="289">
        <f t="shared" si="19"/>
        <v>3.4796367178773118E-3</v>
      </c>
      <c r="AV329" s="289">
        <f t="shared" si="19"/>
        <v>4.041644128300533E-3</v>
      </c>
      <c r="AW329" s="289">
        <f t="shared" si="19"/>
        <v>4.089418476317809E-3</v>
      </c>
      <c r="AX329" s="289">
        <f t="shared" si="19"/>
        <v>3.6945824163889178E-3</v>
      </c>
      <c r="AY329" s="289">
        <f t="shared" si="19"/>
        <v>4.7287525628995674E-3</v>
      </c>
      <c r="AZ329" s="289">
        <f t="shared" si="19"/>
        <v>6.2877237131839653E-3</v>
      </c>
      <c r="BA329" s="289">
        <f t="shared" si="19"/>
        <v>6.6688764189744435E-3</v>
      </c>
      <c r="BB329" s="289">
        <f t="shared" si="19"/>
        <v>6.9481472154572172E-3</v>
      </c>
      <c r="BC329" s="289">
        <f t="shared" si="7"/>
        <v>6.9481472154572172E-3</v>
      </c>
    </row>
    <row r="330" spans="2:55">
      <c r="B330" s="72" t="s">
        <v>557</v>
      </c>
      <c r="C330" s="72" t="s">
        <v>558</v>
      </c>
      <c r="D330" s="289">
        <f t="shared" si="4"/>
        <v>7.9539170478755875E-2</v>
      </c>
      <c r="E330" s="289">
        <f t="shared" si="19"/>
        <v>7.6529038267126703E-2</v>
      </c>
      <c r="F330" s="289">
        <f t="shared" si="19"/>
        <v>7.8385521919638976E-2</v>
      </c>
      <c r="G330" s="289">
        <f t="shared" si="19"/>
        <v>7.5653029215246775E-2</v>
      </c>
      <c r="H330" s="289">
        <f t="shared" si="19"/>
        <v>7.6408568904469662E-2</v>
      </c>
      <c r="I330" s="289">
        <f t="shared" si="19"/>
        <v>7.3936170450584579E-2</v>
      </c>
      <c r="J330" s="289">
        <f t="shared" si="19"/>
        <v>7.3361768199596639E-2</v>
      </c>
      <c r="K330" s="289">
        <f t="shared" si="19"/>
        <v>8.4412531682308362E-2</v>
      </c>
      <c r="L330" s="289">
        <f t="shared" si="19"/>
        <v>7.0709123266478657E-2</v>
      </c>
      <c r="M330" s="289">
        <f t="shared" si="19"/>
        <v>4.618520797883003E-2</v>
      </c>
      <c r="N330" s="289">
        <f t="shared" si="19"/>
        <v>5.4553424710958955E-2</v>
      </c>
      <c r="O330" s="289">
        <f t="shared" si="19"/>
        <v>2.4558506327844298E-2</v>
      </c>
      <c r="P330" s="289">
        <f t="shared" si="19"/>
        <v>3.0128671820007245E-2</v>
      </c>
      <c r="Q330" s="289">
        <f t="shared" si="19"/>
        <v>2.3379679785782679E-2</v>
      </c>
      <c r="R330" s="289">
        <f t="shared" si="19"/>
        <v>0</v>
      </c>
      <c r="S330" s="289">
        <f t="shared" si="19"/>
        <v>0</v>
      </c>
      <c r="T330" s="289">
        <f t="shared" si="19"/>
        <v>0</v>
      </c>
      <c r="U330" s="289">
        <f t="shared" si="19"/>
        <v>0</v>
      </c>
      <c r="V330" s="289">
        <f t="shared" si="19"/>
        <v>0</v>
      </c>
      <c r="W330" s="289">
        <f t="shared" si="19"/>
        <v>0</v>
      </c>
      <c r="X330" s="289">
        <f t="shared" si="19"/>
        <v>0</v>
      </c>
      <c r="Y330" s="289">
        <f t="shared" si="19"/>
        <v>0</v>
      </c>
      <c r="Z330" s="289">
        <f t="shared" si="19"/>
        <v>0</v>
      </c>
      <c r="AA330" s="289">
        <f t="shared" si="19"/>
        <v>0</v>
      </c>
      <c r="AB330" s="289">
        <f t="shared" si="19"/>
        <v>0</v>
      </c>
      <c r="AC330" s="289">
        <f t="shared" si="19"/>
        <v>0</v>
      </c>
      <c r="AD330" s="289">
        <f t="shared" si="19"/>
        <v>0</v>
      </c>
      <c r="AE330" s="289">
        <f t="shared" si="19"/>
        <v>0</v>
      </c>
      <c r="AF330" s="289">
        <f t="shared" si="19"/>
        <v>0</v>
      </c>
      <c r="AG330" s="289">
        <f t="shared" si="19"/>
        <v>0</v>
      </c>
      <c r="AH330" s="289">
        <f t="shared" si="19"/>
        <v>0</v>
      </c>
      <c r="AI330" s="289">
        <f t="shared" si="19"/>
        <v>0</v>
      </c>
      <c r="AJ330" s="289">
        <f t="shared" si="19"/>
        <v>1.4143414464054586E-2</v>
      </c>
      <c r="AK330" s="289">
        <f t="shared" si="19"/>
        <v>1.4021374454109246E-2</v>
      </c>
      <c r="AL330" s="289">
        <f t="shared" si="19"/>
        <v>1.5448271587903481E-2</v>
      </c>
      <c r="AM330" s="289">
        <f t="shared" si="19"/>
        <v>1.4596089270025321E-2</v>
      </c>
      <c r="AN330" s="289">
        <f t="shared" si="19"/>
        <v>1.2511933784897468E-2</v>
      </c>
      <c r="AO330" s="289">
        <f t="shared" si="19"/>
        <v>1.0415171508538715E-2</v>
      </c>
      <c r="AP330" s="289">
        <f t="shared" si="19"/>
        <v>1.1228104595558298E-2</v>
      </c>
      <c r="AQ330" s="289">
        <f t="shared" si="19"/>
        <v>1.1715739210251064E-2</v>
      </c>
      <c r="AR330" s="289">
        <f t="shared" si="19"/>
        <v>1.2663618058839756E-2</v>
      </c>
      <c r="AS330" s="289">
        <f t="shared" si="19"/>
        <v>1.2353659978506982E-2</v>
      </c>
      <c r="AT330" s="289">
        <f t="shared" si="19"/>
        <v>1.1480814762533161E-2</v>
      </c>
      <c r="AU330" s="289">
        <f t="shared" si="19"/>
        <v>1.1025066095476821E-2</v>
      </c>
      <c r="AV330" s="289">
        <f t="shared" si="19"/>
        <v>1.2358410886194741E-2</v>
      </c>
      <c r="AW330" s="289">
        <f t="shared" si="19"/>
        <v>1.3295460023942147E-2</v>
      </c>
      <c r="AX330" s="289">
        <f t="shared" si="19"/>
        <v>1.364090513209756E-2</v>
      </c>
      <c r="AY330" s="289">
        <f t="shared" si="19"/>
        <v>1.7357096628029756E-2</v>
      </c>
      <c r="AZ330" s="289">
        <f t="shared" si="19"/>
        <v>2.1062637437330292E-2</v>
      </c>
      <c r="BA330" s="289">
        <f t="shared" si="19"/>
        <v>2.1931990032368141E-2</v>
      </c>
      <c r="BB330" s="289">
        <f t="shared" si="19"/>
        <v>2.2973388022637049E-2</v>
      </c>
      <c r="BC330" s="289">
        <f t="shared" si="7"/>
        <v>2.2973388022637049E-2</v>
      </c>
    </row>
    <row r="331" spans="2:55">
      <c r="B331" s="72" t="s">
        <v>559</v>
      </c>
      <c r="C331" s="72" t="s">
        <v>560</v>
      </c>
      <c r="D331" s="289">
        <f t="shared" ref="D331:D394" si="20">D81/D$251</f>
        <v>8.1933297519558371E-2</v>
      </c>
      <c r="E331" s="289">
        <f t="shared" si="19"/>
        <v>8.1810705658304977E-2</v>
      </c>
      <c r="F331" s="289">
        <f t="shared" si="19"/>
        <v>7.8666949630318547E-2</v>
      </c>
      <c r="G331" s="289">
        <f t="shared" si="19"/>
        <v>7.6555724876519654E-2</v>
      </c>
      <c r="H331" s="289">
        <f t="shared" si="19"/>
        <v>7.2717814142655282E-2</v>
      </c>
      <c r="I331" s="289">
        <f t="shared" si="19"/>
        <v>7.029957305926085E-2</v>
      </c>
      <c r="J331" s="289">
        <f t="shared" si="19"/>
        <v>7.2744510640182225E-2</v>
      </c>
      <c r="K331" s="289">
        <f t="shared" si="19"/>
        <v>8.53858817794452E-2</v>
      </c>
      <c r="L331" s="289">
        <f t="shared" si="19"/>
        <v>8.5028086778987141E-2</v>
      </c>
      <c r="M331" s="289">
        <f t="shared" si="19"/>
        <v>7.5624195563962937E-2</v>
      </c>
      <c r="N331" s="289">
        <f t="shared" si="19"/>
        <v>6.9578346348918796E-2</v>
      </c>
      <c r="O331" s="289">
        <f t="shared" si="19"/>
        <v>6.8624283790826121E-2</v>
      </c>
      <c r="P331" s="289">
        <f t="shared" si="19"/>
        <v>7.2887555434436882E-2</v>
      </c>
      <c r="Q331" s="289">
        <f t="shared" si="19"/>
        <v>8.4213677094440498E-2</v>
      </c>
      <c r="R331" s="289">
        <f t="shared" si="19"/>
        <v>8.3523928921472992E-2</v>
      </c>
      <c r="S331" s="289">
        <f t="shared" si="19"/>
        <v>9.4307978215273758E-2</v>
      </c>
      <c r="T331" s="289">
        <f t="shared" si="19"/>
        <v>8.8617635427651428E-2</v>
      </c>
      <c r="U331" s="289">
        <f t="shared" si="19"/>
        <v>8.8855677551024151E-2</v>
      </c>
      <c r="V331" s="289">
        <f t="shared" si="19"/>
        <v>8.7500814561696227E-2</v>
      </c>
      <c r="W331" s="289">
        <f t="shared" si="19"/>
        <v>7.6894270559583894E-2</v>
      </c>
      <c r="X331" s="289">
        <f t="shared" si="19"/>
        <v>8.9055478230085014E-2</v>
      </c>
      <c r="Y331" s="289">
        <f t="shared" si="19"/>
        <v>8.7027513862215009E-2</v>
      </c>
      <c r="Z331" s="289">
        <f t="shared" si="19"/>
        <v>8.9929187858887497E-2</v>
      </c>
      <c r="AA331" s="289">
        <f t="shared" si="19"/>
        <v>9.8171043810315425E-2</v>
      </c>
      <c r="AB331" s="289">
        <f t="shared" si="19"/>
        <v>9.435391707668804E-2</v>
      </c>
      <c r="AC331" s="289">
        <f t="shared" si="19"/>
        <v>9.7423270478623675E-2</v>
      </c>
      <c r="AD331" s="289">
        <f t="shared" si="19"/>
        <v>8.9394162511424791E-2</v>
      </c>
      <c r="AE331" s="289">
        <f t="shared" si="19"/>
        <v>7.2701346252798393E-2</v>
      </c>
      <c r="AF331" s="289">
        <f t="shared" si="19"/>
        <v>6.2511930288813869E-2</v>
      </c>
      <c r="AG331" s="289">
        <f t="shared" si="19"/>
        <v>5.1759403499936164E-2</v>
      </c>
      <c r="AH331" s="289">
        <f t="shared" si="19"/>
        <v>5.3972946520861778E-2</v>
      </c>
      <c r="AI331" s="289">
        <f t="shared" si="19"/>
        <v>4.6656789992841424E-2</v>
      </c>
      <c r="AJ331" s="289">
        <f t="shared" si="19"/>
        <v>6.014436108448705E-2</v>
      </c>
      <c r="AK331" s="289">
        <f t="shared" si="19"/>
        <v>3.7018488757808506E-2</v>
      </c>
      <c r="AL331" s="289">
        <f t="shared" si="19"/>
        <v>3.1411892519678082E-2</v>
      </c>
      <c r="AM331" s="289">
        <f t="shared" si="19"/>
        <v>3.2489383401401228E-2</v>
      </c>
      <c r="AN331" s="289">
        <f t="shared" si="19"/>
        <v>2.8667885748234898E-2</v>
      </c>
      <c r="AO331" s="289">
        <f t="shared" si="19"/>
        <v>2.5724092114679343E-2</v>
      </c>
      <c r="AP331" s="289">
        <f t="shared" si="19"/>
        <v>2.6704678208950946E-2</v>
      </c>
      <c r="AQ331" s="289">
        <f t="shared" si="19"/>
        <v>2.3640399736439201E-2</v>
      </c>
      <c r="AR331" s="289">
        <f t="shared" si="19"/>
        <v>2.4181393401257599E-2</v>
      </c>
      <c r="AS331" s="289">
        <f t="shared" si="19"/>
        <v>2.4561059266333833E-2</v>
      </c>
      <c r="AT331" s="289">
        <f t="shared" si="19"/>
        <v>2.6052897723937343E-2</v>
      </c>
      <c r="AU331" s="289">
        <f t="shared" si="19"/>
        <v>2.504494143715915E-2</v>
      </c>
      <c r="AV331" s="289">
        <f t="shared" si="19"/>
        <v>2.4788790679836758E-2</v>
      </c>
      <c r="AW331" s="289">
        <f t="shared" si="19"/>
        <v>2.4709450442648752E-2</v>
      </c>
      <c r="AX331" s="289">
        <f t="shared" si="19"/>
        <v>2.4032834145522937E-2</v>
      </c>
      <c r="AY331" s="289">
        <f t="shared" si="19"/>
        <v>2.9325513841619754E-2</v>
      </c>
      <c r="AZ331" s="289">
        <f t="shared" si="19"/>
        <v>3.2751194925488059E-2</v>
      </c>
      <c r="BA331" s="289">
        <f t="shared" si="19"/>
        <v>3.1560277916292893E-2</v>
      </c>
      <c r="BB331" s="289">
        <f t="shared" si="19"/>
        <v>3.2272656261540411E-2</v>
      </c>
      <c r="BC331" s="289">
        <f t="shared" si="7"/>
        <v>3.2272656261540411E-2</v>
      </c>
    </row>
    <row r="332" spans="2:55">
      <c r="B332" s="72" t="s">
        <v>561</v>
      </c>
      <c r="C332" s="72" t="s">
        <v>336</v>
      </c>
      <c r="D332" s="289">
        <f t="shared" si="20"/>
        <v>1.5361274664399802</v>
      </c>
      <c r="E332" s="289">
        <f t="shared" ref="E332:S332" si="21">E82/E$251</f>
        <v>1.48992692227253</v>
      </c>
      <c r="F332" s="289">
        <f t="shared" si="21"/>
        <v>1.4785995961708795</v>
      </c>
      <c r="G332" s="289">
        <f t="shared" si="21"/>
        <v>1.4626565347405724</v>
      </c>
      <c r="H332" s="289">
        <f t="shared" si="21"/>
        <v>1.4800933528055067</v>
      </c>
      <c r="I332" s="289">
        <f t="shared" si="21"/>
        <v>1.5363661722243234</v>
      </c>
      <c r="J332" s="289">
        <f t="shared" si="21"/>
        <v>1.5680139223361205</v>
      </c>
      <c r="K332" s="289">
        <f t="shared" si="21"/>
        <v>1.798715455510089</v>
      </c>
      <c r="L332" s="289">
        <f t="shared" si="21"/>
        <v>1.8225186878407307</v>
      </c>
      <c r="M332" s="289">
        <f t="shared" si="21"/>
        <v>1.8052275174021992</v>
      </c>
      <c r="N332" s="289">
        <f t="shared" si="21"/>
        <v>1.7829943154683785</v>
      </c>
      <c r="O332" s="289">
        <f t="shared" si="21"/>
        <v>1.745683016746105</v>
      </c>
      <c r="P332" s="289">
        <f t="shared" si="21"/>
        <v>1.7696407407323551</v>
      </c>
      <c r="Q332" s="289">
        <f t="shared" si="21"/>
        <v>1.9667413976243018</v>
      </c>
      <c r="R332" s="289">
        <f t="shared" si="21"/>
        <v>1.7489666351999789</v>
      </c>
      <c r="S332" s="289">
        <f t="shared" si="21"/>
        <v>2.1342561786719516</v>
      </c>
      <c r="T332" s="289">
        <f t="shared" si="19"/>
        <v>1.9125495388773563</v>
      </c>
      <c r="U332" s="289">
        <f t="shared" si="19"/>
        <v>1.5437477349465452</v>
      </c>
      <c r="V332" s="289">
        <f t="shared" si="19"/>
        <v>1.3088721082633707</v>
      </c>
      <c r="W332" s="289">
        <f t="shared" si="19"/>
        <v>1.1362111524536154</v>
      </c>
      <c r="X332" s="289">
        <f t="shared" si="19"/>
        <v>1.3207622461715458</v>
      </c>
      <c r="Y332" s="289">
        <f t="shared" si="19"/>
        <v>1.4013533966434661</v>
      </c>
      <c r="Z332" s="289">
        <f t="shared" si="19"/>
        <v>1.5862978701373942</v>
      </c>
      <c r="AA332" s="289">
        <f t="shared" si="19"/>
        <v>1.7365632881232547</v>
      </c>
      <c r="AB332" s="289">
        <f t="shared" si="19"/>
        <v>1.6701325082562719</v>
      </c>
      <c r="AC332" s="289">
        <f t="shared" si="19"/>
        <v>1.3987458281228895</v>
      </c>
      <c r="AD332" s="289">
        <f t="shared" si="19"/>
        <v>1.2873320200873897</v>
      </c>
      <c r="AE332" s="289">
        <f t="shared" si="19"/>
        <v>1.2388866150795743</v>
      </c>
      <c r="AF332" s="289">
        <f t="shared" si="19"/>
        <v>1.3475144362262239</v>
      </c>
      <c r="AG332" s="289">
        <f t="shared" si="19"/>
        <v>1.1854609677756938</v>
      </c>
      <c r="AH332" s="289">
        <f t="shared" si="19"/>
        <v>1.1548873923297287</v>
      </c>
      <c r="AI332" s="289">
        <f t="shared" si="19"/>
        <v>1.0717283684539005</v>
      </c>
      <c r="AJ332" s="289">
        <f t="shared" si="19"/>
        <v>1.1500812605565798</v>
      </c>
      <c r="AK332" s="289">
        <f t="shared" si="19"/>
        <v>1.0579478776907909</v>
      </c>
      <c r="AL332" s="289">
        <f t="shared" si="19"/>
        <v>1.0086906355943992</v>
      </c>
      <c r="AM332" s="289">
        <f t="shared" si="19"/>
        <v>0.98658419040031808</v>
      </c>
      <c r="AN332" s="289">
        <f t="shared" si="19"/>
        <v>0.90624653176007319</v>
      </c>
      <c r="AO332" s="289">
        <f t="shared" si="19"/>
        <v>0.81574987880150973</v>
      </c>
      <c r="AP332" s="289">
        <f t="shared" si="19"/>
        <v>0.84609493860481355</v>
      </c>
      <c r="AQ332" s="289">
        <f t="shared" si="19"/>
        <v>0.9402133870843471</v>
      </c>
      <c r="AR332" s="289">
        <f t="shared" si="19"/>
        <v>0.92676101150779922</v>
      </c>
      <c r="AS332" s="289">
        <f t="shared" si="19"/>
        <v>0.86769828854934528</v>
      </c>
      <c r="AT332" s="289">
        <f t="shared" si="19"/>
        <v>0.87745384233624479</v>
      </c>
      <c r="AU332" s="289">
        <f t="shared" si="19"/>
        <v>0.84512301072796991</v>
      </c>
      <c r="AV332" s="289">
        <f t="shared" si="19"/>
        <v>0.92042114361176697</v>
      </c>
      <c r="AW332" s="289">
        <f t="shared" si="19"/>
        <v>0.96959155431489652</v>
      </c>
      <c r="AX332" s="289">
        <f t="shared" si="19"/>
        <v>0.93342025605409218</v>
      </c>
      <c r="AY332" s="289">
        <f t="shared" si="19"/>
        <v>1.0452590365645202</v>
      </c>
      <c r="AZ332" s="289">
        <f t="shared" si="19"/>
        <v>1.1223989892899464</v>
      </c>
      <c r="BA332" s="289">
        <f t="shared" si="19"/>
        <v>1.2746032520444974</v>
      </c>
      <c r="BB332" s="289">
        <f t="shared" si="19"/>
        <v>1.2896368638227163</v>
      </c>
      <c r="BC332" s="289">
        <f t="shared" ref="BC332:BC395" si="22">BC82/BC$251</f>
        <v>1.2896368638227163</v>
      </c>
    </row>
    <row r="333" spans="2:55">
      <c r="B333" s="72" t="s">
        <v>562</v>
      </c>
      <c r="C333" s="72" t="s">
        <v>563</v>
      </c>
      <c r="D333" s="289">
        <f t="shared" si="20"/>
        <v>0</v>
      </c>
      <c r="E333" s="289">
        <f t="shared" si="19"/>
        <v>0</v>
      </c>
      <c r="F333" s="289">
        <f t="shared" si="19"/>
        <v>0</v>
      </c>
      <c r="G333" s="289">
        <f t="shared" si="19"/>
        <v>0</v>
      </c>
      <c r="H333" s="289">
        <f t="shared" si="19"/>
        <v>0</v>
      </c>
      <c r="I333" s="289">
        <f t="shared" si="19"/>
        <v>0</v>
      </c>
      <c r="J333" s="289">
        <f t="shared" si="19"/>
        <v>0</v>
      </c>
      <c r="K333" s="289">
        <f t="shared" si="19"/>
        <v>0</v>
      </c>
      <c r="L333" s="289">
        <f t="shared" si="19"/>
        <v>0</v>
      </c>
      <c r="M333" s="289">
        <f t="shared" si="19"/>
        <v>0</v>
      </c>
      <c r="N333" s="289">
        <f t="shared" si="19"/>
        <v>0</v>
      </c>
      <c r="O333" s="289">
        <f t="shared" si="19"/>
        <v>0</v>
      </c>
      <c r="P333" s="289">
        <f t="shared" si="19"/>
        <v>0</v>
      </c>
      <c r="Q333" s="289">
        <f t="shared" si="19"/>
        <v>0</v>
      </c>
      <c r="R333" s="289">
        <f t="shared" si="19"/>
        <v>0</v>
      </c>
      <c r="S333" s="289">
        <f t="shared" si="19"/>
        <v>0</v>
      </c>
      <c r="T333" s="289">
        <f t="shared" si="19"/>
        <v>0</v>
      </c>
      <c r="U333" s="289">
        <f t="shared" si="19"/>
        <v>0</v>
      </c>
      <c r="V333" s="289">
        <f t="shared" si="19"/>
        <v>0</v>
      </c>
      <c r="W333" s="289">
        <f t="shared" si="19"/>
        <v>4.926563529673024E-2</v>
      </c>
      <c r="X333" s="289">
        <f t="shared" si="19"/>
        <v>5.0390196176224422E-2</v>
      </c>
      <c r="Y333" s="289">
        <f t="shared" si="19"/>
        <v>5.2332952230141637E-2</v>
      </c>
      <c r="Z333" s="289">
        <f t="shared" si="19"/>
        <v>5.3110071664031831E-2</v>
      </c>
      <c r="AA333" s="289">
        <f t="shared" si="19"/>
        <v>5.2623298347594369E-2</v>
      </c>
      <c r="AB333" s="289">
        <f t="shared" si="19"/>
        <v>5.107142121714587E-2</v>
      </c>
      <c r="AC333" s="289">
        <f t="shared" si="19"/>
        <v>5.6927905236955616E-2</v>
      </c>
      <c r="AD333" s="289">
        <f t="shared" si="19"/>
        <v>5.6776235911039231E-2</v>
      </c>
      <c r="AE333" s="289">
        <f t="shared" si="19"/>
        <v>5.2170178451912394E-2</v>
      </c>
      <c r="AF333" s="289">
        <f t="shared" si="19"/>
        <v>5.1838318099902879E-2</v>
      </c>
      <c r="AG333" s="289">
        <f t="shared" si="19"/>
        <v>4.9834326377594697E-2</v>
      </c>
      <c r="AH333" s="289">
        <f t="shared" si="19"/>
        <v>4.8908734570509448E-2</v>
      </c>
      <c r="AI333" s="289">
        <f t="shared" si="19"/>
        <v>5.1647225644115557E-2</v>
      </c>
      <c r="AJ333" s="289">
        <f t="shared" si="19"/>
        <v>7.6974469640764265E-2</v>
      </c>
      <c r="AK333" s="289">
        <f t="shared" si="19"/>
        <v>5.7603338367193314E-2</v>
      </c>
      <c r="AL333" s="289">
        <f t="shared" si="19"/>
        <v>6.1846725824723239E-2</v>
      </c>
      <c r="AM333" s="289">
        <f t="shared" si="19"/>
        <v>5.923871146969735E-2</v>
      </c>
      <c r="AN333" s="289">
        <f t="shared" si="19"/>
        <v>5.064947249875195E-2</v>
      </c>
      <c r="AO333" s="289">
        <f t="shared" si="19"/>
        <v>4.9571966437688131E-2</v>
      </c>
      <c r="AP333" s="289">
        <f t="shared" si="19"/>
        <v>5.3854357928539723E-2</v>
      </c>
      <c r="AQ333" s="289">
        <f t="shared" si="19"/>
        <v>4.9216878578862519E-2</v>
      </c>
      <c r="AR333" s="289">
        <f t="shared" si="19"/>
        <v>5.0931385909658795E-2</v>
      </c>
      <c r="AS333" s="289">
        <f t="shared" si="19"/>
        <v>5.0805421426525499E-2</v>
      </c>
      <c r="AT333" s="289">
        <f t="shared" si="19"/>
        <v>5.6796079588501976E-2</v>
      </c>
      <c r="AU333" s="289">
        <f t="shared" si="19"/>
        <v>5.3963123759336325E-2</v>
      </c>
      <c r="AV333" s="289">
        <f t="shared" si="19"/>
        <v>5.3917725959572414E-2</v>
      </c>
      <c r="AW333" s="289">
        <f t="shared" si="19"/>
        <v>5.7223672754736429E-2</v>
      </c>
      <c r="AX333" s="289">
        <f t="shared" ref="E333:BB338" si="23">AX83/AX$251</f>
        <v>5.9485847149615995E-2</v>
      </c>
      <c r="AY333" s="289">
        <f t="shared" si="23"/>
        <v>7.426712001216354E-2</v>
      </c>
      <c r="AZ333" s="289">
        <f t="shared" si="23"/>
        <v>9.2162702392602255E-2</v>
      </c>
      <c r="BA333" s="289">
        <f t="shared" si="23"/>
        <v>9.2257038793848001E-2</v>
      </c>
      <c r="BB333" s="289">
        <f t="shared" si="23"/>
        <v>9.7284297820231569E-2</v>
      </c>
      <c r="BC333" s="289">
        <f t="shared" si="22"/>
        <v>9.7284297820231569E-2</v>
      </c>
    </row>
    <row r="334" spans="2:55">
      <c r="B334" s="72" t="s">
        <v>564</v>
      </c>
      <c r="C334" s="72" t="s">
        <v>565</v>
      </c>
      <c r="D334" s="289">
        <f t="shared" si="20"/>
        <v>0</v>
      </c>
      <c r="E334" s="289">
        <f t="shared" si="23"/>
        <v>0</v>
      </c>
      <c r="F334" s="289">
        <f t="shared" si="23"/>
        <v>0</v>
      </c>
      <c r="G334" s="289">
        <f t="shared" si="23"/>
        <v>0</v>
      </c>
      <c r="H334" s="289">
        <f t="shared" si="23"/>
        <v>0</v>
      </c>
      <c r="I334" s="289">
        <f t="shared" si="23"/>
        <v>0</v>
      </c>
      <c r="J334" s="289">
        <f t="shared" si="23"/>
        <v>0</v>
      </c>
      <c r="K334" s="289">
        <f t="shared" si="23"/>
        <v>0</v>
      </c>
      <c r="L334" s="289">
        <f t="shared" si="23"/>
        <v>0</v>
      </c>
      <c r="M334" s="289">
        <f t="shared" si="23"/>
        <v>0</v>
      </c>
      <c r="N334" s="289">
        <f t="shared" si="23"/>
        <v>0</v>
      </c>
      <c r="O334" s="289">
        <f t="shared" si="23"/>
        <v>0</v>
      </c>
      <c r="P334" s="289">
        <f t="shared" si="23"/>
        <v>0</v>
      </c>
      <c r="Q334" s="289">
        <f t="shared" si="23"/>
        <v>0</v>
      </c>
      <c r="R334" s="289">
        <f t="shared" si="23"/>
        <v>0</v>
      </c>
      <c r="S334" s="289">
        <f t="shared" si="23"/>
        <v>0</v>
      </c>
      <c r="T334" s="289">
        <f t="shared" si="23"/>
        <v>0</v>
      </c>
      <c r="U334" s="289">
        <f t="shared" si="23"/>
        <v>0</v>
      </c>
      <c r="V334" s="289">
        <f t="shared" si="23"/>
        <v>0</v>
      </c>
      <c r="W334" s="289">
        <f t="shared" si="23"/>
        <v>0</v>
      </c>
      <c r="X334" s="289">
        <f t="shared" si="23"/>
        <v>0</v>
      </c>
      <c r="Y334" s="289">
        <f t="shared" si="23"/>
        <v>0</v>
      </c>
      <c r="Z334" s="289">
        <f t="shared" si="23"/>
        <v>0</v>
      </c>
      <c r="AA334" s="289">
        <f t="shared" si="23"/>
        <v>0</v>
      </c>
      <c r="AB334" s="289">
        <f t="shared" si="23"/>
        <v>0</v>
      </c>
      <c r="AC334" s="289">
        <f t="shared" si="23"/>
        <v>0</v>
      </c>
      <c r="AD334" s="289">
        <f t="shared" si="23"/>
        <v>0</v>
      </c>
      <c r="AE334" s="289">
        <f t="shared" si="23"/>
        <v>0</v>
      </c>
      <c r="AF334" s="289">
        <f t="shared" si="23"/>
        <v>0</v>
      </c>
      <c r="AG334" s="289">
        <f t="shared" si="23"/>
        <v>0</v>
      </c>
      <c r="AH334" s="289">
        <f t="shared" si="23"/>
        <v>0</v>
      </c>
      <c r="AI334" s="289">
        <f t="shared" si="23"/>
        <v>0</v>
      </c>
      <c r="AJ334" s="289">
        <f t="shared" si="23"/>
        <v>0</v>
      </c>
      <c r="AK334" s="289">
        <f t="shared" si="23"/>
        <v>0</v>
      </c>
      <c r="AL334" s="289">
        <f t="shared" si="23"/>
        <v>0</v>
      </c>
      <c r="AM334" s="289">
        <f t="shared" si="23"/>
        <v>1.4162742563999895</v>
      </c>
      <c r="AN334" s="289">
        <f t="shared" si="23"/>
        <v>0</v>
      </c>
      <c r="AO334" s="289">
        <f t="shared" si="23"/>
        <v>0</v>
      </c>
      <c r="AP334" s="289">
        <f t="shared" si="23"/>
        <v>0</v>
      </c>
      <c r="AQ334" s="289">
        <f t="shared" si="23"/>
        <v>0</v>
      </c>
      <c r="AR334" s="289">
        <f t="shared" si="23"/>
        <v>0</v>
      </c>
      <c r="AS334" s="289">
        <f t="shared" si="23"/>
        <v>0</v>
      </c>
      <c r="AT334" s="289">
        <f t="shared" si="23"/>
        <v>0</v>
      </c>
      <c r="AU334" s="289">
        <f t="shared" si="23"/>
        <v>0</v>
      </c>
      <c r="AV334" s="289">
        <f t="shared" si="23"/>
        <v>0</v>
      </c>
      <c r="AW334" s="289">
        <f t="shared" si="23"/>
        <v>0</v>
      </c>
      <c r="AX334" s="289">
        <f t="shared" si="23"/>
        <v>0</v>
      </c>
      <c r="AY334" s="289">
        <f t="shared" si="23"/>
        <v>0</v>
      </c>
      <c r="AZ334" s="289">
        <f t="shared" si="23"/>
        <v>0</v>
      </c>
      <c r="BA334" s="289">
        <f t="shared" si="23"/>
        <v>0</v>
      </c>
      <c r="BB334" s="289">
        <f t="shared" si="23"/>
        <v>0</v>
      </c>
      <c r="BC334" s="289">
        <f t="shared" si="22"/>
        <v>0</v>
      </c>
    </row>
    <row r="335" spans="2:55">
      <c r="B335" s="72" t="s">
        <v>566</v>
      </c>
      <c r="C335" s="72" t="s">
        <v>567</v>
      </c>
      <c r="D335" s="289">
        <f t="shared" si="20"/>
        <v>5.5433939107038928E-2</v>
      </c>
      <c r="E335" s="289">
        <f t="shared" si="23"/>
        <v>5.2830925220436309E-2</v>
      </c>
      <c r="F335" s="289">
        <f t="shared" si="23"/>
        <v>5.12285724106602E-2</v>
      </c>
      <c r="G335" s="289">
        <f t="shared" si="23"/>
        <v>5.0802774704623931E-2</v>
      </c>
      <c r="H335" s="289">
        <f t="shared" si="23"/>
        <v>4.9337653138523271E-2</v>
      </c>
      <c r="I335" s="289">
        <f t="shared" si="23"/>
        <v>4.7889239277451097E-2</v>
      </c>
      <c r="J335" s="289">
        <f t="shared" si="23"/>
        <v>4.7105649677478663E-2</v>
      </c>
      <c r="K335" s="289">
        <f t="shared" si="23"/>
        <v>5.7611210615746165E-2</v>
      </c>
      <c r="L335" s="289">
        <f t="shared" si="23"/>
        <v>5.1627004273254805E-2</v>
      </c>
      <c r="M335" s="289">
        <f t="shared" si="23"/>
        <v>4.6124519449074301E-2</v>
      </c>
      <c r="N335" s="289">
        <f t="shared" si="23"/>
        <v>4.2773589802376756E-2</v>
      </c>
      <c r="O335" s="289">
        <f t="shared" si="23"/>
        <v>4.1899940781792169E-2</v>
      </c>
      <c r="P335" s="289">
        <f t="shared" si="23"/>
        <v>4.2971698355374809E-2</v>
      </c>
      <c r="Q335" s="289">
        <f t="shared" si="23"/>
        <v>4.0498382317451391E-2</v>
      </c>
      <c r="R335" s="289">
        <f t="shared" si="23"/>
        <v>4.4638301785183077E-2</v>
      </c>
      <c r="S335" s="289">
        <f t="shared" si="23"/>
        <v>5.4156929810020266E-2</v>
      </c>
      <c r="T335" s="289">
        <f t="shared" si="23"/>
        <v>5.2705970156473658E-2</v>
      </c>
      <c r="U335" s="289">
        <f t="shared" si="23"/>
        <v>4.8892479891665147E-2</v>
      </c>
      <c r="V335" s="289">
        <f t="shared" si="23"/>
        <v>4.2149293543794014E-2</v>
      </c>
      <c r="W335" s="289">
        <f t="shared" si="23"/>
        <v>3.6429686446484498E-2</v>
      </c>
      <c r="X335" s="289">
        <f t="shared" si="23"/>
        <v>3.2480863811821421E-2</v>
      </c>
      <c r="Y335" s="289">
        <f t="shared" si="23"/>
        <v>3.5597856374535358E-2</v>
      </c>
      <c r="Z335" s="289">
        <f t="shared" si="23"/>
        <v>3.2062970640467578E-2</v>
      </c>
      <c r="AA335" s="289">
        <f t="shared" si="23"/>
        <v>3.2061406586439634E-2</v>
      </c>
      <c r="AB335" s="289">
        <f t="shared" si="23"/>
        <v>4.0105686269053399E-2</v>
      </c>
      <c r="AC335" s="289">
        <f t="shared" si="23"/>
        <v>4.1373746633101671E-2</v>
      </c>
      <c r="AD335" s="289">
        <f t="shared" si="23"/>
        <v>3.5732019131064691E-2</v>
      </c>
      <c r="AE335" s="289">
        <f t="shared" si="23"/>
        <v>3.0560185608405836E-2</v>
      </c>
      <c r="AF335" s="289">
        <f t="shared" si="23"/>
        <v>2.9372810326294817E-2</v>
      </c>
      <c r="AG335" s="289">
        <f t="shared" si="23"/>
        <v>2.8655845468327393E-2</v>
      </c>
      <c r="AH335" s="289">
        <f t="shared" si="23"/>
        <v>2.5396991278991241E-2</v>
      </c>
      <c r="AI335" s="289">
        <f t="shared" si="23"/>
        <v>2.451858295220008E-2</v>
      </c>
      <c r="AJ335" s="289">
        <f t="shared" si="23"/>
        <v>2.4136064146809088E-2</v>
      </c>
      <c r="AK335" s="289">
        <f t="shared" si="23"/>
        <v>1.4331020715961856E-2</v>
      </c>
      <c r="AL335" s="289">
        <f t="shared" si="23"/>
        <v>1.6904622310054823E-2</v>
      </c>
      <c r="AM335" s="289">
        <f t="shared" si="23"/>
        <v>1.4982775061924383E-2</v>
      </c>
      <c r="AN335" s="289">
        <f t="shared" si="23"/>
        <v>1.2247986759727277E-2</v>
      </c>
      <c r="AO335" s="289">
        <f t="shared" si="23"/>
        <v>1.1769587027765899E-2</v>
      </c>
      <c r="AP335" s="289">
        <f t="shared" si="23"/>
        <v>1.1295074483499711E-2</v>
      </c>
      <c r="AQ335" s="289">
        <f t="shared" si="23"/>
        <v>9.8584082679589475E-3</v>
      </c>
      <c r="AR335" s="289">
        <f t="shared" si="23"/>
        <v>9.9596888503156924E-3</v>
      </c>
      <c r="AS335" s="289">
        <f t="shared" si="23"/>
        <v>9.5902983123474488E-3</v>
      </c>
      <c r="AT335" s="289">
        <f t="shared" si="23"/>
        <v>9.4015563716758239E-3</v>
      </c>
      <c r="AU335" s="289">
        <f t="shared" si="23"/>
        <v>8.7542311338957412E-3</v>
      </c>
      <c r="AV335" s="289">
        <f t="shared" si="23"/>
        <v>8.8141704926811143E-3</v>
      </c>
      <c r="AW335" s="289">
        <f t="shared" si="23"/>
        <v>8.9028451132549431E-3</v>
      </c>
      <c r="AX335" s="289">
        <f t="shared" si="23"/>
        <v>8.8045516614720376E-3</v>
      </c>
      <c r="AY335" s="289">
        <f t="shared" si="23"/>
        <v>1.0845912867115219E-2</v>
      </c>
      <c r="AZ335" s="289">
        <f t="shared" si="23"/>
        <v>1.2989432411684678E-2</v>
      </c>
      <c r="BA335" s="289">
        <f t="shared" si="23"/>
        <v>1.2446472470556804E-2</v>
      </c>
      <c r="BB335" s="289">
        <f t="shared" si="23"/>
        <v>1.2529858648961348E-2</v>
      </c>
      <c r="BC335" s="289">
        <f t="shared" si="22"/>
        <v>1.2529858648961348E-2</v>
      </c>
    </row>
    <row r="336" spans="2:55">
      <c r="B336" s="72" t="s">
        <v>568</v>
      </c>
      <c r="C336" s="72" t="s">
        <v>569</v>
      </c>
      <c r="D336" s="289">
        <f t="shared" si="20"/>
        <v>7.6214880359579962E-2</v>
      </c>
      <c r="E336" s="289">
        <f t="shared" si="23"/>
        <v>7.6650794240162023E-2</v>
      </c>
      <c r="F336" s="289">
        <f t="shared" si="23"/>
        <v>7.4105231812275754E-2</v>
      </c>
      <c r="G336" s="289">
        <f t="shared" si="23"/>
        <v>7.0467955420896691E-2</v>
      </c>
      <c r="H336" s="289">
        <f t="shared" si="23"/>
        <v>6.7997838957023077E-2</v>
      </c>
      <c r="I336" s="289">
        <f t="shared" si="23"/>
        <v>6.5457606101863172E-2</v>
      </c>
      <c r="J336" s="289">
        <f t="shared" si="23"/>
        <v>6.4622835363736059E-2</v>
      </c>
      <c r="K336" s="289">
        <f t="shared" si="23"/>
        <v>6.8601204296975568E-2</v>
      </c>
      <c r="L336" s="289">
        <f t="shared" si="23"/>
        <v>6.497081906309965E-2</v>
      </c>
      <c r="M336" s="289">
        <f t="shared" si="23"/>
        <v>5.6983123499212501E-2</v>
      </c>
      <c r="N336" s="289">
        <f t="shared" si="23"/>
        <v>5.2754132134754814E-2</v>
      </c>
      <c r="O336" s="289">
        <f t="shared" si="23"/>
        <v>5.2695666101836749E-2</v>
      </c>
      <c r="P336" s="289">
        <f t="shared" si="23"/>
        <v>5.0566420280176515E-2</v>
      </c>
      <c r="Q336" s="289">
        <f t="shared" si="23"/>
        <v>4.6123298157561873E-2</v>
      </c>
      <c r="R336" s="289">
        <f t="shared" si="23"/>
        <v>4.9978814827524969E-2</v>
      </c>
      <c r="S336" s="289">
        <f t="shared" si="23"/>
        <v>5.1013837098474506E-2</v>
      </c>
      <c r="T336" s="289">
        <f t="shared" si="23"/>
        <v>4.780458384779418E-2</v>
      </c>
      <c r="U336" s="289">
        <f t="shared" si="23"/>
        <v>4.4053517672898015E-2</v>
      </c>
      <c r="V336" s="289">
        <f t="shared" si="23"/>
        <v>2.9986338333945324E-2</v>
      </c>
      <c r="W336" s="289">
        <f t="shared" si="23"/>
        <v>2.3571737707036789E-2</v>
      </c>
      <c r="X336" s="289">
        <f t="shared" si="23"/>
        <v>2.0600787563849872E-2</v>
      </c>
      <c r="Y336" s="289">
        <f t="shared" si="23"/>
        <v>2.0084110297172535E-2</v>
      </c>
      <c r="Z336" s="289">
        <f t="shared" si="23"/>
        <v>2.0622418571792353E-2</v>
      </c>
      <c r="AA336" s="289">
        <f t="shared" si="23"/>
        <v>2.3581570980192066E-2</v>
      </c>
      <c r="AB336" s="289">
        <f t="shared" si="23"/>
        <v>2.4427378497897223E-2</v>
      </c>
      <c r="AC336" s="289">
        <f t="shared" si="23"/>
        <v>2.0003004715647546E-2</v>
      </c>
      <c r="AD336" s="289">
        <f t="shared" si="23"/>
        <v>1.7245019887014639E-2</v>
      </c>
      <c r="AE336" s="289">
        <f t="shared" si="23"/>
        <v>1.7564460446448979E-2</v>
      </c>
      <c r="AF336" s="289">
        <f t="shared" si="23"/>
        <v>1.6340645461222082E-2</v>
      </c>
      <c r="AG336" s="289">
        <f t="shared" si="23"/>
        <v>1.6351922030853585E-2</v>
      </c>
      <c r="AH336" s="289">
        <f t="shared" si="23"/>
        <v>1.6472615528842268E-2</v>
      </c>
      <c r="AI336" s="289">
        <f t="shared" si="23"/>
        <v>1.5537515003679905E-2</v>
      </c>
      <c r="AJ336" s="289">
        <f t="shared" si="23"/>
        <v>1.3077137952522999E-2</v>
      </c>
      <c r="AK336" s="289">
        <f t="shared" si="23"/>
        <v>9.486322556142528E-3</v>
      </c>
      <c r="AL336" s="289">
        <f t="shared" si="23"/>
        <v>1.0359882886016417E-2</v>
      </c>
      <c r="AM336" s="289">
        <f t="shared" si="23"/>
        <v>1.0619623327756548E-2</v>
      </c>
      <c r="AN336" s="289">
        <f t="shared" si="23"/>
        <v>8.8398360257426201E-3</v>
      </c>
      <c r="AO336" s="289">
        <f t="shared" si="23"/>
        <v>9.0766007486458734E-3</v>
      </c>
      <c r="AP336" s="289">
        <f t="shared" si="23"/>
        <v>7.5471094203809295E-3</v>
      </c>
      <c r="AQ336" s="289">
        <f t="shared" si="23"/>
        <v>6.7225076106316711E-3</v>
      </c>
      <c r="AR336" s="289">
        <f t="shared" si="23"/>
        <v>8.0799160027213261E-3</v>
      </c>
      <c r="AS336" s="289">
        <f t="shared" si="23"/>
        <v>8.3378502220192059E-3</v>
      </c>
      <c r="AT336" s="289">
        <f t="shared" si="23"/>
        <v>9.5965817273674942E-3</v>
      </c>
      <c r="AU336" s="289">
        <f t="shared" si="23"/>
        <v>1.2698411640999458E-2</v>
      </c>
      <c r="AV336" s="289">
        <f t="shared" si="23"/>
        <v>1.4212258641098846E-2</v>
      </c>
      <c r="AW336" s="289">
        <f t="shared" si="23"/>
        <v>1.4940731958800692E-2</v>
      </c>
      <c r="AX336" s="289">
        <f t="shared" si="23"/>
        <v>1.4601168953737663E-2</v>
      </c>
      <c r="AY336" s="289">
        <f t="shared" si="23"/>
        <v>1.818050521271472E-2</v>
      </c>
      <c r="AZ336" s="289">
        <f t="shared" si="23"/>
        <v>1.8334249645591969E-2</v>
      </c>
      <c r="BA336" s="289">
        <f t="shared" si="23"/>
        <v>2.0981686803279827E-2</v>
      </c>
      <c r="BB336" s="289">
        <f t="shared" si="23"/>
        <v>2.1082349315725495E-2</v>
      </c>
      <c r="BC336" s="289">
        <f t="shared" si="22"/>
        <v>2.1082349315725495E-2</v>
      </c>
    </row>
    <row r="337" spans="2:55">
      <c r="B337" s="72" t="s">
        <v>570</v>
      </c>
      <c r="C337" s="72" t="s">
        <v>384</v>
      </c>
      <c r="D337" s="289">
        <f t="shared" si="20"/>
        <v>0</v>
      </c>
      <c r="E337" s="289">
        <f t="shared" si="23"/>
        <v>0</v>
      </c>
      <c r="F337" s="289">
        <f t="shared" si="23"/>
        <v>0</v>
      </c>
      <c r="G337" s="289">
        <f t="shared" si="23"/>
        <v>0</v>
      </c>
      <c r="H337" s="289">
        <f t="shared" si="23"/>
        <v>0</v>
      </c>
      <c r="I337" s="289">
        <f t="shared" si="23"/>
        <v>0</v>
      </c>
      <c r="J337" s="289">
        <f t="shared" si="23"/>
        <v>0</v>
      </c>
      <c r="K337" s="289">
        <f t="shared" si="23"/>
        <v>0</v>
      </c>
      <c r="L337" s="289">
        <f t="shared" si="23"/>
        <v>0</v>
      </c>
      <c r="M337" s="289">
        <f t="shared" si="23"/>
        <v>0</v>
      </c>
      <c r="N337" s="289">
        <f t="shared" si="23"/>
        <v>0</v>
      </c>
      <c r="O337" s="289">
        <f t="shared" si="23"/>
        <v>0</v>
      </c>
      <c r="P337" s="289">
        <f t="shared" si="23"/>
        <v>0</v>
      </c>
      <c r="Q337" s="289">
        <f t="shared" si="23"/>
        <v>0</v>
      </c>
      <c r="R337" s="289">
        <f t="shared" si="23"/>
        <v>0</v>
      </c>
      <c r="S337" s="289">
        <f t="shared" si="23"/>
        <v>0</v>
      </c>
      <c r="T337" s="289">
        <f t="shared" si="23"/>
        <v>0</v>
      </c>
      <c r="U337" s="289">
        <f t="shared" si="23"/>
        <v>0</v>
      </c>
      <c r="V337" s="289">
        <f t="shared" si="23"/>
        <v>0</v>
      </c>
      <c r="W337" s="289">
        <f t="shared" si="23"/>
        <v>0</v>
      </c>
      <c r="X337" s="289">
        <f t="shared" si="23"/>
        <v>0</v>
      </c>
      <c r="Y337" s="289">
        <f t="shared" si="23"/>
        <v>0</v>
      </c>
      <c r="Z337" s="289">
        <f t="shared" si="23"/>
        <v>0</v>
      </c>
      <c r="AA337" s="289">
        <f t="shared" si="23"/>
        <v>0</v>
      </c>
      <c r="AB337" s="289">
        <f t="shared" si="23"/>
        <v>0</v>
      </c>
      <c r="AC337" s="289">
        <f t="shared" si="23"/>
        <v>0</v>
      </c>
      <c r="AD337" s="289">
        <f t="shared" si="23"/>
        <v>0</v>
      </c>
      <c r="AE337" s="289">
        <f t="shared" si="23"/>
        <v>0</v>
      </c>
      <c r="AF337" s="289">
        <f t="shared" si="23"/>
        <v>0</v>
      </c>
      <c r="AG337" s="289">
        <f t="shared" si="23"/>
        <v>0</v>
      </c>
      <c r="AH337" s="289">
        <f t="shared" si="23"/>
        <v>0</v>
      </c>
      <c r="AI337" s="289">
        <f t="shared" si="23"/>
        <v>0</v>
      </c>
      <c r="AJ337" s="289">
        <f t="shared" si="23"/>
        <v>0</v>
      </c>
      <c r="AK337" s="289">
        <f t="shared" si="23"/>
        <v>0</v>
      </c>
      <c r="AL337" s="289">
        <f t="shared" si="23"/>
        <v>0</v>
      </c>
      <c r="AM337" s="289">
        <f t="shared" si="23"/>
        <v>0</v>
      </c>
      <c r="AN337" s="289">
        <f t="shared" si="23"/>
        <v>0</v>
      </c>
      <c r="AO337" s="289">
        <f t="shared" si="23"/>
        <v>1.6536060384398987</v>
      </c>
      <c r="AP337" s="289">
        <f t="shared" si="23"/>
        <v>1.6900801506151195</v>
      </c>
      <c r="AQ337" s="289">
        <f t="shared" si="23"/>
        <v>1.7683608325197417</v>
      </c>
      <c r="AR337" s="289">
        <f t="shared" si="23"/>
        <v>1.7189557401496551</v>
      </c>
      <c r="AS337" s="289">
        <f t="shared" si="23"/>
        <v>1.6834002102823833</v>
      </c>
      <c r="AT337" s="289">
        <f t="shared" si="23"/>
        <v>1.5982568072276482</v>
      </c>
      <c r="AU337" s="289">
        <f t="shared" si="23"/>
        <v>1.5753947895819007</v>
      </c>
      <c r="AV337" s="289">
        <f t="shared" si="23"/>
        <v>1.556542268149014</v>
      </c>
      <c r="AW337" s="289">
        <f t="shared" si="23"/>
        <v>1.596920247641217</v>
      </c>
      <c r="AX337" s="289">
        <f t="shared" si="23"/>
        <v>1.6493123874131173</v>
      </c>
      <c r="AY337" s="289">
        <f t="shared" si="23"/>
        <v>0</v>
      </c>
      <c r="AZ337" s="289">
        <f t="shared" si="23"/>
        <v>0</v>
      </c>
      <c r="BA337" s="289">
        <f t="shared" si="23"/>
        <v>0</v>
      </c>
      <c r="BB337" s="289">
        <f t="shared" si="23"/>
        <v>0</v>
      </c>
      <c r="BC337" s="289">
        <f t="shared" si="22"/>
        <v>0</v>
      </c>
    </row>
    <row r="338" spans="2:55">
      <c r="B338" s="72" t="s">
        <v>571</v>
      </c>
      <c r="C338" s="72" t="s">
        <v>572</v>
      </c>
      <c r="D338" s="289">
        <f t="shared" si="20"/>
        <v>0.41274838532608299</v>
      </c>
      <c r="E338" s="289">
        <f t="shared" si="23"/>
        <v>0.45159221075401956</v>
      </c>
      <c r="F338" s="289">
        <f t="shared" si="23"/>
        <v>0.41706713121467298</v>
      </c>
      <c r="G338" s="289">
        <f t="shared" si="23"/>
        <v>0.39617395630903429</v>
      </c>
      <c r="H338" s="289">
        <f t="shared" si="23"/>
        <v>0.37785700402658895</v>
      </c>
      <c r="I338" s="289">
        <f t="shared" si="23"/>
        <v>0.4044559211085334</v>
      </c>
      <c r="J338" s="289">
        <f t="shared" si="23"/>
        <v>0.3780468997113639</v>
      </c>
      <c r="K338" s="289">
        <f t="shared" si="23"/>
        <v>0.40461447644942089</v>
      </c>
      <c r="L338" s="289">
        <f t="shared" si="23"/>
        <v>0.42815896874839549</v>
      </c>
      <c r="M338" s="289">
        <f t="shared" si="23"/>
        <v>0.41825833418907626</v>
      </c>
      <c r="N338" s="289">
        <f t="shared" si="23"/>
        <v>0.43416812369805824</v>
      </c>
      <c r="O338" s="289">
        <f t="shared" si="23"/>
        <v>0.40175069096436611</v>
      </c>
      <c r="P338" s="289">
        <f t="shared" si="23"/>
        <v>0.49834002750295209</v>
      </c>
      <c r="Q338" s="289">
        <f t="shared" si="23"/>
        <v>0.43060329097431865</v>
      </c>
      <c r="R338" s="289">
        <f t="shared" si="23"/>
        <v>0.16494821947766583</v>
      </c>
      <c r="S338" s="289">
        <f t="shared" si="23"/>
        <v>0.23074652880012217</v>
      </c>
      <c r="T338" s="289">
        <f t="shared" si="23"/>
        <v>0.27296630320617016</v>
      </c>
      <c r="U338" s="289">
        <f t="shared" si="23"/>
        <v>0.2449350380338578</v>
      </c>
      <c r="V338" s="289">
        <f t="shared" si="23"/>
        <v>0.25046780208016156</v>
      </c>
      <c r="W338" s="289">
        <f t="shared" si="23"/>
        <v>0.2563113916977684</v>
      </c>
      <c r="X338" s="289">
        <f t="shared" si="23"/>
        <v>0.31464103562165374</v>
      </c>
      <c r="Y338" s="289">
        <f t="shared" si="23"/>
        <v>0.24218846749560527</v>
      </c>
      <c r="Z338" s="289">
        <f t="shared" si="23"/>
        <v>0.20416015200951662</v>
      </c>
      <c r="AA338" s="289">
        <f t="shared" si="23"/>
        <v>0.20765734564816696</v>
      </c>
      <c r="AB338" s="289">
        <f t="shared" si="23"/>
        <v>0.16585801831338021</v>
      </c>
      <c r="AC338" s="289">
        <f t="shared" si="23"/>
        <v>0.14304763077690616</v>
      </c>
      <c r="AD338" s="289">
        <f t="shared" si="23"/>
        <v>0.13537830608351942</v>
      </c>
      <c r="AE338" s="289">
        <f t="shared" si="23"/>
        <v>0.12943160712808313</v>
      </c>
      <c r="AF338" s="289">
        <f t="shared" si="23"/>
        <v>0.14550300983317072</v>
      </c>
      <c r="AG338" s="289">
        <f t="shared" si="23"/>
        <v>0.13529401680257527</v>
      </c>
      <c r="AH338" s="289">
        <f t="shared" si="23"/>
        <v>0.14751491114400256</v>
      </c>
      <c r="AI338" s="289">
        <f t="shared" si="23"/>
        <v>0.17146028033974198</v>
      </c>
      <c r="AJ338" s="289">
        <f t="shared" si="23"/>
        <v>0.20143511589472857</v>
      </c>
      <c r="AK338" s="289">
        <f t="shared" si="23"/>
        <v>0.21229252100535292</v>
      </c>
      <c r="AL338" s="289">
        <f t="shared" si="23"/>
        <v>0.24827635745828691</v>
      </c>
      <c r="AM338" s="289">
        <f t="shared" si="23"/>
        <v>0.24700412933805824</v>
      </c>
      <c r="AN338" s="289">
        <f t="shared" si="23"/>
        <v>0.23785905722695275</v>
      </c>
      <c r="AO338" s="289">
        <f t="shared" si="23"/>
        <v>0.21114652741261261</v>
      </c>
      <c r="AP338" s="289">
        <f t="shared" si="23"/>
        <v>0.18701769879359278</v>
      </c>
      <c r="AQ338" s="289">
        <f t="shared" si="23"/>
        <v>0.20531042380776068</v>
      </c>
      <c r="AR338" s="289">
        <f t="shared" si="23"/>
        <v>0.18665124830812796</v>
      </c>
      <c r="AS338" s="289">
        <f t="shared" si="23"/>
        <v>0.16658353163553963</v>
      </c>
      <c r="AT338" s="289">
        <f t="shared" si="23"/>
        <v>0.15655859247971857</v>
      </c>
      <c r="AU338" s="289">
        <f t="shared" si="23"/>
        <v>0.16999184299901102</v>
      </c>
      <c r="AV338" s="289">
        <f t="shared" si="23"/>
        <v>0.20018456153572023</v>
      </c>
      <c r="AW338" s="289">
        <f t="shared" si="23"/>
        <v>0.23161821141459238</v>
      </c>
      <c r="AX338" s="289">
        <f t="shared" si="23"/>
        <v>0.22432308009116653</v>
      </c>
      <c r="AY338" s="289">
        <f t="shared" si="23"/>
        <v>0.24787148579871848</v>
      </c>
      <c r="AZ338" s="289">
        <f t="shared" si="23"/>
        <v>0.28809860266899168</v>
      </c>
      <c r="BA338" s="289">
        <f t="shared" si="23"/>
        <v>0.34861872339885042</v>
      </c>
      <c r="BB338" s="289">
        <f t="shared" si="23"/>
        <v>0.36872513405659785</v>
      </c>
      <c r="BC338" s="289">
        <f t="shared" si="22"/>
        <v>0.36872513405659785</v>
      </c>
    </row>
    <row r="339" spans="2:55">
      <c r="B339" s="72" t="s">
        <v>573</v>
      </c>
      <c r="C339" s="72" t="s">
        <v>574</v>
      </c>
      <c r="D339" s="289">
        <f t="shared" si="20"/>
        <v>5.2234241529059852E-2</v>
      </c>
      <c r="E339" s="289">
        <f t="shared" ref="E339:BB344" si="24">E89/E$251</f>
        <v>4.6106964279636363E-2</v>
      </c>
      <c r="F339" s="289">
        <f t="shared" si="24"/>
        <v>4.6269054508810928E-2</v>
      </c>
      <c r="G339" s="289">
        <f t="shared" si="24"/>
        <v>4.8531534838607268E-2</v>
      </c>
      <c r="H339" s="289">
        <f t="shared" si="24"/>
        <v>5.2659362419504453E-2</v>
      </c>
      <c r="I339" s="289">
        <f t="shared" si="24"/>
        <v>5.2653452839437391E-2</v>
      </c>
      <c r="J339" s="289">
        <f t="shared" si="24"/>
        <v>4.7190841812192554E-2</v>
      </c>
      <c r="K339" s="289">
        <f t="shared" si="24"/>
        <v>4.7654483371306913E-2</v>
      </c>
      <c r="L339" s="289">
        <f t="shared" si="24"/>
        <v>4.8657972693945145E-2</v>
      </c>
      <c r="M339" s="289">
        <f t="shared" si="24"/>
        <v>4.9876963551652553E-2</v>
      </c>
      <c r="N339" s="289">
        <f t="shared" si="24"/>
        <v>4.6397007305315013E-2</v>
      </c>
      <c r="O339" s="289">
        <f t="shared" si="24"/>
        <v>4.4990361935583312E-2</v>
      </c>
      <c r="P339" s="289">
        <f t="shared" si="24"/>
        <v>4.760942015886898E-2</v>
      </c>
      <c r="Q339" s="289">
        <f t="shared" si="24"/>
        <v>4.4931881102258091E-2</v>
      </c>
      <c r="R339" s="289">
        <f t="shared" si="24"/>
        <v>4.1823784652878032E-2</v>
      </c>
      <c r="S339" s="289">
        <f t="shared" si="24"/>
        <v>4.0316484496963227E-2</v>
      </c>
      <c r="T339" s="289">
        <f t="shared" si="24"/>
        <v>4.0013130836258418E-2</v>
      </c>
      <c r="U339" s="289">
        <f t="shared" si="24"/>
        <v>2.6786463506399082E-2</v>
      </c>
      <c r="V339" s="289">
        <f t="shared" si="24"/>
        <v>2.4268684173683483E-2</v>
      </c>
      <c r="W339" s="289">
        <f t="shared" si="24"/>
        <v>2.0058459094019591E-2</v>
      </c>
      <c r="X339" s="289">
        <f t="shared" si="24"/>
        <v>2.1362441419902595E-2</v>
      </c>
      <c r="Y339" s="289">
        <f t="shared" si="24"/>
        <v>2.3106053172357425E-2</v>
      </c>
      <c r="Z339" s="289">
        <f t="shared" si="24"/>
        <v>2.7006750754988242E-2</v>
      </c>
      <c r="AA339" s="289">
        <f t="shared" si="24"/>
        <v>3.1923407521654762E-2</v>
      </c>
      <c r="AB339" s="289">
        <f t="shared" si="24"/>
        <v>3.5539620580627894E-2</v>
      </c>
      <c r="AC339" s="289">
        <f t="shared" si="24"/>
        <v>2.7741413195313654E-2</v>
      </c>
      <c r="AD339" s="289">
        <f t="shared" si="24"/>
        <v>2.0222980361129978E-2</v>
      </c>
      <c r="AE339" s="289">
        <f t="shared" si="24"/>
        <v>1.8792514329340915E-2</v>
      </c>
      <c r="AF339" s="289">
        <f t="shared" si="24"/>
        <v>2.042148718822568E-2</v>
      </c>
      <c r="AG339" s="289">
        <f t="shared" si="24"/>
        <v>1.7776825274463164E-2</v>
      </c>
      <c r="AH339" s="289">
        <f t="shared" si="24"/>
        <v>1.7934271687143382E-2</v>
      </c>
      <c r="AI339" s="289">
        <f t="shared" si="24"/>
        <v>1.9134990414575438E-2</v>
      </c>
      <c r="AJ339" s="289">
        <f t="shared" si="24"/>
        <v>2.1990895977904001E-2</v>
      </c>
      <c r="AK339" s="289">
        <f t="shared" si="24"/>
        <v>2.560034436531599E-2</v>
      </c>
      <c r="AL339" s="289">
        <f t="shared" si="24"/>
        <v>3.0296573480405813E-2</v>
      </c>
      <c r="AM339" s="289">
        <f t="shared" si="24"/>
        <v>3.353588024112051E-2</v>
      </c>
      <c r="AN339" s="289">
        <f t="shared" si="24"/>
        <v>3.3012639241469487E-2</v>
      </c>
      <c r="AO339" s="289">
        <f t="shared" si="24"/>
        <v>3.2839931281570256E-2</v>
      </c>
      <c r="AP339" s="289">
        <f t="shared" si="24"/>
        <v>3.3745267399535567E-2</v>
      </c>
      <c r="AQ339" s="289">
        <f t="shared" si="24"/>
        <v>3.7879826860916767E-2</v>
      </c>
      <c r="AR339" s="289">
        <f t="shared" si="24"/>
        <v>4.1940033332854836E-2</v>
      </c>
      <c r="AS339" s="289">
        <f t="shared" si="24"/>
        <v>4.2058344482886402E-2</v>
      </c>
      <c r="AT339" s="289">
        <f t="shared" si="24"/>
        <v>4.0883421890973652E-2</v>
      </c>
      <c r="AU339" s="289">
        <f t="shared" si="24"/>
        <v>4.0615183988908295E-2</v>
      </c>
      <c r="AV339" s="289">
        <f t="shared" si="24"/>
        <v>4.5410657363026914E-2</v>
      </c>
      <c r="AW339" s="289">
        <f t="shared" si="24"/>
        <v>5.111893498275439E-2</v>
      </c>
      <c r="AX339" s="289">
        <f t="shared" si="24"/>
        <v>5.7225254779211185E-2</v>
      </c>
      <c r="AY339" s="289">
        <f t="shared" si="24"/>
        <v>7.9115631577890727E-2</v>
      </c>
      <c r="AZ339" s="289">
        <f t="shared" si="24"/>
        <v>0.10610808303533202</v>
      </c>
      <c r="BA339" s="289">
        <f t="shared" si="24"/>
        <v>0.12226837536394851</v>
      </c>
      <c r="BB339" s="289">
        <f t="shared" si="24"/>
        <v>0.13947234456904001</v>
      </c>
      <c r="BC339" s="289">
        <f t="shared" si="22"/>
        <v>0.13947234456904001</v>
      </c>
    </row>
    <row r="340" spans="2:55">
      <c r="B340" s="72" t="s">
        <v>575</v>
      </c>
      <c r="C340" s="72" t="s">
        <v>576</v>
      </c>
      <c r="D340" s="289">
        <f t="shared" si="20"/>
        <v>0.19011133557194604</v>
      </c>
      <c r="E340" s="289">
        <f t="shared" si="24"/>
        <v>0.19326416264072199</v>
      </c>
      <c r="F340" s="289">
        <f t="shared" si="24"/>
        <v>0.17365892251997084</v>
      </c>
      <c r="G340" s="289">
        <f t="shared" si="24"/>
        <v>0.19228066314681816</v>
      </c>
      <c r="H340" s="289">
        <f t="shared" si="24"/>
        <v>0.16858668172664715</v>
      </c>
      <c r="I340" s="289">
        <f t="shared" si="24"/>
        <v>0.14565260497245597</v>
      </c>
      <c r="J340" s="289">
        <f t="shared" si="24"/>
        <v>0.14393352569595572</v>
      </c>
      <c r="K340" s="289">
        <f t="shared" si="24"/>
        <v>0.15430358060523414</v>
      </c>
      <c r="L340" s="289">
        <f t="shared" si="24"/>
        <v>0.15164704703151358</v>
      </c>
      <c r="M340" s="289">
        <f t="shared" si="24"/>
        <v>0.15052800326194035</v>
      </c>
      <c r="N340" s="289">
        <f t="shared" si="24"/>
        <v>0.14163613009871495</v>
      </c>
      <c r="O340" s="289">
        <f t="shared" si="24"/>
        <v>0.13396634111614722</v>
      </c>
      <c r="P340" s="289">
        <f t="shared" si="24"/>
        <v>0.13830668633482524</v>
      </c>
      <c r="Q340" s="289">
        <f t="shared" si="24"/>
        <v>0.15019419297508568</v>
      </c>
      <c r="R340" s="289">
        <f t="shared" si="24"/>
        <v>0.13000805939156423</v>
      </c>
      <c r="S340" s="289">
        <f t="shared" si="24"/>
        <v>0.15484572281050749</v>
      </c>
      <c r="T340" s="289">
        <f t="shared" si="24"/>
        <v>0.16998496527739024</v>
      </c>
      <c r="U340" s="289">
        <f t="shared" si="24"/>
        <v>0.15661041600334802</v>
      </c>
      <c r="V340" s="289">
        <f t="shared" si="24"/>
        <v>0.14159412406672728</v>
      </c>
      <c r="W340" s="289">
        <f t="shared" si="24"/>
        <v>0.12915148752287473</v>
      </c>
      <c r="X340" s="289">
        <f t="shared" si="24"/>
        <v>0.14480814761994992</v>
      </c>
      <c r="Y340" s="289">
        <f t="shared" si="24"/>
        <v>0.15903989978221053</v>
      </c>
      <c r="Z340" s="289">
        <f t="shared" si="24"/>
        <v>0.16307843597003063</v>
      </c>
      <c r="AA340" s="289">
        <f t="shared" si="24"/>
        <v>0.16752114068999957</v>
      </c>
      <c r="AB340" s="289">
        <f t="shared" si="24"/>
        <v>0.14170779272178785</v>
      </c>
      <c r="AC340" s="289">
        <f t="shared" si="24"/>
        <v>0.11335284319109305</v>
      </c>
      <c r="AD340" s="289">
        <f t="shared" si="24"/>
        <v>9.4312601646501612E-2</v>
      </c>
      <c r="AE340" s="289">
        <f t="shared" si="24"/>
        <v>8.2183048581082233E-2</v>
      </c>
      <c r="AF340" s="289">
        <f t="shared" si="24"/>
        <v>8.0657105858095629E-2</v>
      </c>
      <c r="AG340" s="289">
        <f t="shared" si="24"/>
        <v>6.8576425913054684E-2</v>
      </c>
      <c r="AH340" s="289">
        <f t="shared" si="24"/>
        <v>6.626066221111894E-2</v>
      </c>
      <c r="AI340" s="289">
        <f t="shared" si="24"/>
        <v>7.5341211399706148E-2</v>
      </c>
      <c r="AJ340" s="289">
        <f t="shared" si="24"/>
        <v>9.3406897149377666E-2</v>
      </c>
      <c r="AK340" s="289">
        <f t="shared" si="24"/>
        <v>0.12452538566067801</v>
      </c>
      <c r="AL340" s="289">
        <f t="shared" si="24"/>
        <v>0.1272422187462473</v>
      </c>
      <c r="AM340" s="289">
        <f t="shared" si="24"/>
        <v>0.12486655879748366</v>
      </c>
      <c r="AN340" s="289">
        <f t="shared" si="24"/>
        <v>0.12035710156388608</v>
      </c>
      <c r="AO340" s="289">
        <f t="shared" si="24"/>
        <v>0.10245813301881555</v>
      </c>
      <c r="AP340" s="289">
        <f t="shared" si="24"/>
        <v>8.6012878084164787E-2</v>
      </c>
      <c r="AQ340" s="289">
        <f t="shared" si="24"/>
        <v>0.10024796105029206</v>
      </c>
      <c r="AR340" s="289">
        <f t="shared" si="24"/>
        <v>9.7817156280431486E-2</v>
      </c>
      <c r="AS340" s="289">
        <f t="shared" si="24"/>
        <v>8.8309009469848349E-2</v>
      </c>
      <c r="AT340" s="289">
        <f t="shared" si="24"/>
        <v>7.2830159387821627E-2</v>
      </c>
      <c r="AU340" s="289">
        <f t="shared" si="24"/>
        <v>7.527236810385525E-2</v>
      </c>
      <c r="AV340" s="289">
        <f t="shared" si="24"/>
        <v>8.9299437219675759E-2</v>
      </c>
      <c r="AW340" s="289">
        <f t="shared" si="24"/>
        <v>9.2020822728658497E-2</v>
      </c>
      <c r="AX340" s="289">
        <f t="shared" si="24"/>
        <v>0.10099020547205205</v>
      </c>
      <c r="AY340" s="289">
        <f t="shared" si="24"/>
        <v>0.12569328821442854</v>
      </c>
      <c r="AZ340" s="289">
        <f t="shared" si="24"/>
        <v>0.14529309769006096</v>
      </c>
      <c r="BA340" s="289">
        <f t="shared" si="24"/>
        <v>0.17062066963075412</v>
      </c>
      <c r="BB340" s="289">
        <f t="shared" si="24"/>
        <v>0.18197529572377324</v>
      </c>
      <c r="BC340" s="289">
        <f t="shared" si="22"/>
        <v>0.18197529572377324</v>
      </c>
    </row>
    <row r="341" spans="2:55">
      <c r="B341" s="72" t="s">
        <v>577</v>
      </c>
      <c r="C341" s="72" t="s">
        <v>578</v>
      </c>
      <c r="D341" s="289">
        <f t="shared" si="20"/>
        <v>0</v>
      </c>
      <c r="E341" s="289">
        <f t="shared" si="24"/>
        <v>0</v>
      </c>
      <c r="F341" s="289">
        <f t="shared" si="24"/>
        <v>0</v>
      </c>
      <c r="G341" s="289">
        <f t="shared" si="24"/>
        <v>0</v>
      </c>
      <c r="H341" s="289">
        <f t="shared" si="24"/>
        <v>0</v>
      </c>
      <c r="I341" s="289">
        <f t="shared" si="24"/>
        <v>0</v>
      </c>
      <c r="J341" s="289">
        <f t="shared" si="24"/>
        <v>0</v>
      </c>
      <c r="K341" s="289">
        <f t="shared" si="24"/>
        <v>0</v>
      </c>
      <c r="L341" s="289">
        <f t="shared" si="24"/>
        <v>0</v>
      </c>
      <c r="M341" s="289">
        <f t="shared" si="24"/>
        <v>0</v>
      </c>
      <c r="N341" s="289">
        <f t="shared" si="24"/>
        <v>0</v>
      </c>
      <c r="O341" s="289">
        <f t="shared" si="24"/>
        <v>0</v>
      </c>
      <c r="P341" s="289">
        <f t="shared" si="24"/>
        <v>0</v>
      </c>
      <c r="Q341" s="289">
        <f t="shared" si="24"/>
        <v>0</v>
      </c>
      <c r="R341" s="289">
        <f t="shared" si="24"/>
        <v>0</v>
      </c>
      <c r="S341" s="289">
        <f t="shared" si="24"/>
        <v>0</v>
      </c>
      <c r="T341" s="289">
        <f t="shared" si="24"/>
        <v>0</v>
      </c>
      <c r="U341" s="289">
        <f t="shared" si="24"/>
        <v>0</v>
      </c>
      <c r="V341" s="289">
        <f t="shared" si="24"/>
        <v>0</v>
      </c>
      <c r="W341" s="289">
        <f t="shared" si="24"/>
        <v>3.9026996864625275E-2</v>
      </c>
      <c r="X341" s="289">
        <f t="shared" si="24"/>
        <v>3.6677897356413247E-2</v>
      </c>
      <c r="Y341" s="289">
        <f t="shared" si="24"/>
        <v>3.4854699996471575E-2</v>
      </c>
      <c r="Z341" s="289">
        <f t="shared" si="24"/>
        <v>3.7086412882350331E-2</v>
      </c>
      <c r="AA341" s="289">
        <f t="shared" si="24"/>
        <v>3.6868840051505931E-2</v>
      </c>
      <c r="AB341" s="289">
        <f t="shared" si="24"/>
        <v>3.6152724841989815E-2</v>
      </c>
      <c r="AC341" s="289">
        <f t="shared" si="24"/>
        <v>4.0731766933667243E-2</v>
      </c>
      <c r="AD341" s="289">
        <f t="shared" si="24"/>
        <v>3.9152866893924429E-2</v>
      </c>
      <c r="AE341" s="289">
        <f t="shared" si="24"/>
        <v>3.3272163285602625E-2</v>
      </c>
      <c r="AF341" s="289">
        <f t="shared" si="24"/>
        <v>3.0881642506707982E-2</v>
      </c>
      <c r="AG341" s="289">
        <f t="shared" si="24"/>
        <v>3.2282839692210269E-2</v>
      </c>
      <c r="AH341" s="289">
        <f t="shared" si="24"/>
        <v>2.992612322792226E-2</v>
      </c>
      <c r="AI341" s="289">
        <f t="shared" si="24"/>
        <v>3.0552356209856985E-2</v>
      </c>
      <c r="AJ341" s="289">
        <f t="shared" si="24"/>
        <v>3.2937629047993029E-2</v>
      </c>
      <c r="AK341" s="289">
        <f t="shared" si="24"/>
        <v>2.1009892658174691E-2</v>
      </c>
      <c r="AL341" s="289">
        <f t="shared" si="24"/>
        <v>2.3514314238727917E-2</v>
      </c>
      <c r="AM341" s="289">
        <f t="shared" si="24"/>
        <v>2.1681116055998432E-2</v>
      </c>
      <c r="AN341" s="289">
        <f t="shared" si="24"/>
        <v>1.7381519247486297E-2</v>
      </c>
      <c r="AO341" s="289">
        <f t="shared" si="24"/>
        <v>1.6144480517206003E-2</v>
      </c>
      <c r="AP341" s="289">
        <f t="shared" si="24"/>
        <v>1.5854277835282385E-2</v>
      </c>
      <c r="AQ341" s="289">
        <f t="shared" si="24"/>
        <v>1.4325103558016597E-2</v>
      </c>
      <c r="AR341" s="289">
        <f t="shared" si="24"/>
        <v>1.5344725942701021E-2</v>
      </c>
      <c r="AS341" s="289">
        <f t="shared" si="24"/>
        <v>1.5684129708510814E-2</v>
      </c>
      <c r="AT341" s="289">
        <f t="shared" si="24"/>
        <v>1.709485808856627E-2</v>
      </c>
      <c r="AU341" s="289">
        <f t="shared" si="24"/>
        <v>1.5780320946929539E-2</v>
      </c>
      <c r="AV341" s="289">
        <f t="shared" si="24"/>
        <v>1.579019162011339E-2</v>
      </c>
      <c r="AW341" s="289">
        <f t="shared" si="24"/>
        <v>1.5077730715015227E-2</v>
      </c>
      <c r="AX341" s="289">
        <f t="shared" si="24"/>
        <v>1.4788545620252678E-2</v>
      </c>
      <c r="AY341" s="289">
        <f t="shared" si="24"/>
        <v>1.7627111007005852E-2</v>
      </c>
      <c r="AZ341" s="289">
        <f t="shared" si="24"/>
        <v>2.1168570040200178E-2</v>
      </c>
      <c r="BA341" s="289">
        <f t="shared" si="24"/>
        <v>2.0396835078727821E-2</v>
      </c>
      <c r="BB341" s="289">
        <f t="shared" si="24"/>
        <v>2.0737859495246015E-2</v>
      </c>
      <c r="BC341" s="289">
        <f t="shared" si="22"/>
        <v>2.0737859495246015E-2</v>
      </c>
    </row>
    <row r="342" spans="2:55">
      <c r="B342" s="72" t="s">
        <v>579</v>
      </c>
      <c r="C342" s="72" t="s">
        <v>580</v>
      </c>
      <c r="D342" s="289">
        <f t="shared" si="20"/>
        <v>0.13477585412040427</v>
      </c>
      <c r="E342" s="289">
        <f t="shared" si="24"/>
        <v>0.15432522479146105</v>
      </c>
      <c r="F342" s="289">
        <f t="shared" si="24"/>
        <v>0.23484003530631753</v>
      </c>
      <c r="G342" s="289">
        <f t="shared" si="24"/>
        <v>9.7636751840268862E-2</v>
      </c>
      <c r="H342" s="289">
        <f t="shared" si="24"/>
        <v>0.12453545910775504</v>
      </c>
      <c r="I342" s="289">
        <f t="shared" si="24"/>
        <v>0.1281569818392555</v>
      </c>
      <c r="J342" s="289">
        <f t="shared" si="24"/>
        <v>9.0008864767074565E-2</v>
      </c>
      <c r="K342" s="289">
        <f t="shared" si="24"/>
        <v>0.10777216690629846</v>
      </c>
      <c r="L342" s="289">
        <f t="shared" si="24"/>
        <v>0.12572917823583318</v>
      </c>
      <c r="M342" s="289">
        <f t="shared" si="24"/>
        <v>0.10734801465339823</v>
      </c>
      <c r="N342" s="289">
        <f t="shared" si="24"/>
        <v>0.10626963140955029</v>
      </c>
      <c r="O342" s="289">
        <f t="shared" si="24"/>
        <v>9.9609719425917537E-2</v>
      </c>
      <c r="P342" s="289">
        <f t="shared" si="24"/>
        <v>0.10966354973126097</v>
      </c>
      <c r="Q342" s="289">
        <f t="shared" si="24"/>
        <v>0.12044644811765548</v>
      </c>
      <c r="R342" s="289">
        <f t="shared" si="24"/>
        <v>0.10441449966601159</v>
      </c>
      <c r="S342" s="289">
        <f t="shared" si="24"/>
        <v>9.9437860278277335E-2</v>
      </c>
      <c r="T342" s="289">
        <f t="shared" si="24"/>
        <v>0.10928970894567862</v>
      </c>
      <c r="U342" s="289">
        <f t="shared" si="24"/>
        <v>0.10422744058321265</v>
      </c>
      <c r="V342" s="289">
        <f t="shared" si="24"/>
        <v>7.6407840333616778E-2</v>
      </c>
      <c r="W342" s="289">
        <f t="shared" si="24"/>
        <v>5.5365067503596051E-2</v>
      </c>
      <c r="X342" s="289">
        <f t="shared" si="24"/>
        <v>4.9363978862090624E-2</v>
      </c>
      <c r="Y342" s="289">
        <f t="shared" si="24"/>
        <v>5.4844143198229986E-2</v>
      </c>
      <c r="Z342" s="289">
        <f t="shared" si="24"/>
        <v>4.5379067680085559E-2</v>
      </c>
      <c r="AA342" s="289">
        <f t="shared" si="24"/>
        <v>3.3489487959913286E-2</v>
      </c>
      <c r="AB342" s="289">
        <f t="shared" si="24"/>
        <v>2.8230529420561489E-2</v>
      </c>
      <c r="AC342" s="289">
        <f t="shared" si="24"/>
        <v>2.5166043484624357E-2</v>
      </c>
      <c r="AD342" s="289">
        <f t="shared" si="24"/>
        <v>1.886647712596904E-2</v>
      </c>
      <c r="AE342" s="289">
        <f t="shared" si="24"/>
        <v>1.7449697429083238E-2</v>
      </c>
      <c r="AF342" s="289">
        <f t="shared" si="24"/>
        <v>1.706182251206164E-2</v>
      </c>
      <c r="AG342" s="289">
        <f t="shared" si="24"/>
        <v>1.4519592032463979E-2</v>
      </c>
      <c r="AH342" s="289">
        <f t="shared" si="24"/>
        <v>1.3056586336617219E-2</v>
      </c>
      <c r="AI342" s="289">
        <f t="shared" si="24"/>
        <v>1.0972749752253165E-2</v>
      </c>
      <c r="AJ342" s="289">
        <f t="shared" si="24"/>
        <v>1.5333960905825424E-2</v>
      </c>
      <c r="AK342" s="289">
        <f t="shared" si="24"/>
        <v>7.4457016007822606E-3</v>
      </c>
      <c r="AL342" s="289">
        <f t="shared" si="24"/>
        <v>6.4212467043186184E-3</v>
      </c>
      <c r="AM342" s="289">
        <f t="shared" si="24"/>
        <v>6.0773525680691935E-3</v>
      </c>
      <c r="AN342" s="289">
        <f t="shared" si="24"/>
        <v>5.5991693049711484E-3</v>
      </c>
      <c r="AO342" s="289">
        <f t="shared" si="24"/>
        <v>5.2490132573891641E-3</v>
      </c>
      <c r="AP342" s="289">
        <f t="shared" si="24"/>
        <v>3.7962589977175477E-3</v>
      </c>
      <c r="AQ342" s="289">
        <f t="shared" si="24"/>
        <v>3.4622014832868349E-3</v>
      </c>
      <c r="AR342" s="289">
        <f t="shared" si="24"/>
        <v>3.7048702860941712E-3</v>
      </c>
      <c r="AS342" s="289">
        <f t="shared" si="24"/>
        <v>3.9125258594660114E-3</v>
      </c>
      <c r="AT342" s="289">
        <f t="shared" si="24"/>
        <v>3.3644183477016137E-3</v>
      </c>
      <c r="AU342" s="289">
        <f t="shared" si="24"/>
        <v>3.1824263111470516E-3</v>
      </c>
      <c r="AV342" s="289">
        <f t="shared" si="24"/>
        <v>3.2851864241695071E-3</v>
      </c>
      <c r="AW342" s="289">
        <f t="shared" si="24"/>
        <v>3.6889412730151754E-3</v>
      </c>
      <c r="AX342" s="289">
        <f t="shared" si="24"/>
        <v>3.5565737679485341E-3</v>
      </c>
      <c r="AY342" s="289">
        <f t="shared" si="24"/>
        <v>4.3312645576032366E-3</v>
      </c>
      <c r="AZ342" s="289">
        <f t="shared" si="24"/>
        <v>4.9391235967656032E-3</v>
      </c>
      <c r="BA342" s="289">
        <f t="shared" si="24"/>
        <v>5.4807115287773198E-3</v>
      </c>
      <c r="BB342" s="289">
        <f t="shared" si="24"/>
        <v>5.9178595160727593E-3</v>
      </c>
      <c r="BC342" s="289">
        <f t="shared" si="22"/>
        <v>5.9178595160727593E-3</v>
      </c>
    </row>
    <row r="343" spans="2:55">
      <c r="B343" s="72" t="s">
        <v>581</v>
      </c>
      <c r="C343" s="72" t="s">
        <v>582</v>
      </c>
      <c r="D343" s="289">
        <f t="shared" si="20"/>
        <v>0.10040828701357243</v>
      </c>
      <c r="E343" s="289">
        <f t="shared" si="24"/>
        <v>0.10304725103063607</v>
      </c>
      <c r="F343" s="289">
        <f t="shared" si="24"/>
        <v>9.8629329055282544E-2</v>
      </c>
      <c r="G343" s="289">
        <f t="shared" si="24"/>
        <v>9.5309940779636892E-2</v>
      </c>
      <c r="H343" s="289">
        <f t="shared" si="24"/>
        <v>9.2532338618493706E-2</v>
      </c>
      <c r="I343" s="289">
        <f t="shared" si="24"/>
        <v>9.4572528499335493E-2</v>
      </c>
      <c r="J343" s="289">
        <f t="shared" si="24"/>
        <v>9.5833304414982903E-2</v>
      </c>
      <c r="K343" s="289">
        <f t="shared" si="24"/>
        <v>0.10520563662122362</v>
      </c>
      <c r="L343" s="289">
        <f t="shared" si="24"/>
        <v>0.10060668981748661</v>
      </c>
      <c r="M343" s="289">
        <f t="shared" si="24"/>
        <v>9.186089342927202E-2</v>
      </c>
      <c r="N343" s="289">
        <f t="shared" si="24"/>
        <v>9.2692533229580848E-2</v>
      </c>
      <c r="O343" s="289">
        <f t="shared" si="24"/>
        <v>0.10008468806495917</v>
      </c>
      <c r="P343" s="289">
        <f t="shared" si="24"/>
        <v>0.1137120558381165</v>
      </c>
      <c r="Q343" s="289">
        <f t="shared" si="24"/>
        <v>0.11033924573154359</v>
      </c>
      <c r="R343" s="289">
        <f t="shared" si="24"/>
        <v>0.11733375624827691</v>
      </c>
      <c r="S343" s="289">
        <f t="shared" si="24"/>
        <v>0.11659827869451485</v>
      </c>
      <c r="T343" s="289">
        <f t="shared" si="24"/>
        <v>0.10166454862959244</v>
      </c>
      <c r="U343" s="289">
        <f t="shared" si="24"/>
        <v>8.9510955213671875E-2</v>
      </c>
      <c r="V343" s="289">
        <f t="shared" si="24"/>
        <v>9.1371795055026087E-2</v>
      </c>
      <c r="W343" s="289">
        <f t="shared" si="24"/>
        <v>9.8573329698127085E-2</v>
      </c>
      <c r="X343" s="289">
        <f t="shared" si="24"/>
        <v>0.11774449065765583</v>
      </c>
      <c r="Y343" s="289">
        <f t="shared" si="24"/>
        <v>0.12993510686084406</v>
      </c>
      <c r="Z343" s="289">
        <f t="shared" si="24"/>
        <v>0.12915908018462141</v>
      </c>
      <c r="AA343" s="289">
        <f t="shared" si="24"/>
        <v>0.13946038358316948</v>
      </c>
      <c r="AB343" s="289">
        <f t="shared" si="24"/>
        <v>0.12647096068377933</v>
      </c>
      <c r="AC343" s="289">
        <f t="shared" si="24"/>
        <v>8.5838687314376674E-2</v>
      </c>
      <c r="AD343" s="289">
        <f t="shared" si="24"/>
        <v>8.4642936203496971E-2</v>
      </c>
      <c r="AE343" s="289">
        <f t="shared" si="24"/>
        <v>6.5408196580638303E-2</v>
      </c>
      <c r="AF343" s="289">
        <f t="shared" si="24"/>
        <v>6.8257570552061705E-2</v>
      </c>
      <c r="AG343" s="289">
        <f t="shared" si="24"/>
        <v>6.623607030820397E-2</v>
      </c>
      <c r="AH343" s="289">
        <f t="shared" si="24"/>
        <v>6.0392041905328604E-2</v>
      </c>
      <c r="AI343" s="289">
        <f t="shared" si="24"/>
        <v>6.1384909349599046E-2</v>
      </c>
      <c r="AJ343" s="289">
        <f t="shared" si="24"/>
        <v>4.3617648423018886E-2</v>
      </c>
      <c r="AK343" s="289">
        <f t="shared" si="24"/>
        <v>3.6306408287366768E-2</v>
      </c>
      <c r="AL343" s="289">
        <f t="shared" si="24"/>
        <v>3.8825420639539282E-2</v>
      </c>
      <c r="AM343" s="289">
        <f t="shared" si="24"/>
        <v>4.3122921390925884E-2</v>
      </c>
      <c r="AN343" s="289">
        <f t="shared" si="24"/>
        <v>3.4249144225750976E-2</v>
      </c>
      <c r="AO343" s="289">
        <f t="shared" si="24"/>
        <v>2.6230564888520415E-2</v>
      </c>
      <c r="AP343" s="289">
        <f t="shared" si="24"/>
        <v>3.0064127686273225E-2</v>
      </c>
      <c r="AQ343" s="289">
        <f t="shared" si="24"/>
        <v>4.0978824813113893E-2</v>
      </c>
      <c r="AR343" s="289">
        <f t="shared" si="24"/>
        <v>3.5012532647837956E-2</v>
      </c>
      <c r="AS343" s="289">
        <f t="shared" si="24"/>
        <v>3.4012399989166456E-2</v>
      </c>
      <c r="AT343" s="289">
        <f t="shared" si="24"/>
        <v>3.3346347640272569E-2</v>
      </c>
      <c r="AU343" s="289">
        <f t="shared" si="24"/>
        <v>3.6764664867870923E-2</v>
      </c>
      <c r="AV343" s="289">
        <f t="shared" si="24"/>
        <v>4.5192607536416865E-2</v>
      </c>
      <c r="AW343" s="289">
        <f t="shared" si="24"/>
        <v>5.2633845145742049E-2</v>
      </c>
      <c r="AX343" s="289">
        <f t="shared" si="24"/>
        <v>4.856908286467753E-2</v>
      </c>
      <c r="AY343" s="289">
        <f t="shared" si="24"/>
        <v>7.1644484185754698E-2</v>
      </c>
      <c r="AZ343" s="289">
        <f t="shared" si="24"/>
        <v>6.8891064644122799E-2</v>
      </c>
      <c r="BA343" s="289">
        <f t="shared" si="24"/>
        <v>8.1920657676851458E-2</v>
      </c>
      <c r="BB343" s="289">
        <f t="shared" si="24"/>
        <v>8.9262187836906842E-2</v>
      </c>
      <c r="BC343" s="289">
        <f t="shared" si="22"/>
        <v>8.9262187836906842E-2</v>
      </c>
    </row>
    <row r="344" spans="2:55">
      <c r="B344" s="72" t="s">
        <v>583</v>
      </c>
      <c r="C344" s="72" t="s">
        <v>257</v>
      </c>
      <c r="D344" s="289">
        <f t="shared" si="20"/>
        <v>0.24435994911863826</v>
      </c>
      <c r="E344" s="289">
        <f t="shared" si="24"/>
        <v>0.22124359218234374</v>
      </c>
      <c r="F344" s="289">
        <f t="shared" si="24"/>
        <v>0.21694667926445896</v>
      </c>
      <c r="G344" s="289">
        <f t="shared" si="24"/>
        <v>0.20473835708617336</v>
      </c>
      <c r="H344" s="289">
        <f t="shared" si="24"/>
        <v>0.20244465161651309</v>
      </c>
      <c r="I344" s="289">
        <f t="shared" si="24"/>
        <v>0.20243674780362617</v>
      </c>
      <c r="J344" s="289">
        <f t="shared" ref="E344:BB349" si="25">J94/J$251</f>
        <v>0.20570956423174452</v>
      </c>
      <c r="K344" s="289">
        <f t="shared" si="25"/>
        <v>0.23615708006833427</v>
      </c>
      <c r="L344" s="289">
        <f t="shared" si="25"/>
        <v>0.23668351300726298</v>
      </c>
      <c r="M344" s="289">
        <f t="shared" si="25"/>
        <v>0.24130674203736227</v>
      </c>
      <c r="N344" s="289">
        <f t="shared" si="25"/>
        <v>0.22867569727680642</v>
      </c>
      <c r="O344" s="289">
        <f t="shared" si="25"/>
        <v>0.22429901273947461</v>
      </c>
      <c r="P344" s="289">
        <f t="shared" si="25"/>
        <v>0.24031560914423691</v>
      </c>
      <c r="Q344" s="289">
        <f t="shared" si="25"/>
        <v>0.2370337722417174</v>
      </c>
      <c r="R344" s="289">
        <f t="shared" si="25"/>
        <v>0.22760788994685766</v>
      </c>
      <c r="S344" s="289">
        <f t="shared" si="25"/>
        <v>0.28405383719142058</v>
      </c>
      <c r="T344" s="289">
        <f t="shared" si="25"/>
        <v>0.31183897556029883</v>
      </c>
      <c r="U344" s="289">
        <f t="shared" si="25"/>
        <v>0.27462822239960033</v>
      </c>
      <c r="V344" s="289">
        <f t="shared" si="25"/>
        <v>0.2357122503721103</v>
      </c>
      <c r="W344" s="289">
        <f t="shared" si="25"/>
        <v>0.21425533432499366</v>
      </c>
      <c r="X344" s="289">
        <f t="shared" si="25"/>
        <v>0.11911386588105949</v>
      </c>
      <c r="Y344" s="289">
        <f t="shared" si="25"/>
        <v>0.12067727639745095</v>
      </c>
      <c r="Z344" s="289">
        <f t="shared" si="25"/>
        <v>0.18882064381415653</v>
      </c>
      <c r="AA344" s="289">
        <f t="shared" si="25"/>
        <v>0.22552213412505176</v>
      </c>
      <c r="AB344" s="289">
        <f t="shared" si="25"/>
        <v>0.21705125841288886</v>
      </c>
      <c r="AC344" s="289">
        <f t="shared" si="25"/>
        <v>0.19681208307273537</v>
      </c>
      <c r="AD344" s="289">
        <f t="shared" si="25"/>
        <v>0.1667263620158434</v>
      </c>
      <c r="AE344" s="289">
        <f t="shared" si="25"/>
        <v>0.13905877339006223</v>
      </c>
      <c r="AF344" s="289">
        <f t="shared" si="25"/>
        <v>0.1523558581081613</v>
      </c>
      <c r="AG344" s="289">
        <f t="shared" si="25"/>
        <v>0.13633006767086289</v>
      </c>
      <c r="AH344" s="289">
        <f t="shared" si="25"/>
        <v>0.12376806911709315</v>
      </c>
      <c r="AI344" s="289">
        <f t="shared" si="25"/>
        <v>0.14021848754822075</v>
      </c>
      <c r="AJ344" s="289">
        <f t="shared" si="25"/>
        <v>0.17164885907673905</v>
      </c>
      <c r="AK344" s="289">
        <f t="shared" si="25"/>
        <v>0.17019377654995022</v>
      </c>
      <c r="AL344" s="289">
        <f t="shared" si="25"/>
        <v>0.16943905928166111</v>
      </c>
      <c r="AM344" s="289">
        <f t="shared" si="25"/>
        <v>0.15880142813644679</v>
      </c>
      <c r="AN344" s="289">
        <f t="shared" si="25"/>
        <v>0.14989360183645448</v>
      </c>
      <c r="AO344" s="289">
        <f t="shared" si="25"/>
        <v>0.15076004892396291</v>
      </c>
      <c r="AP344" s="289">
        <f t="shared" si="25"/>
        <v>0.1608887292094171</v>
      </c>
      <c r="AQ344" s="289">
        <f t="shared" si="25"/>
        <v>0.1623786457415477</v>
      </c>
      <c r="AR344" s="289">
        <f t="shared" si="25"/>
        <v>0.16499530950065519</v>
      </c>
      <c r="AS344" s="289">
        <f t="shared" si="25"/>
        <v>0.15280571841071267</v>
      </c>
      <c r="AT344" s="289">
        <f t="shared" si="25"/>
        <v>0.13515566604744489</v>
      </c>
      <c r="AU344" s="289">
        <f t="shared" si="25"/>
        <v>0.11964760945369646</v>
      </c>
      <c r="AV344" s="289">
        <f t="shared" si="25"/>
        <v>0.12152851423851223</v>
      </c>
      <c r="AW344" s="289">
        <f t="shared" si="25"/>
        <v>0.12699530965209019</v>
      </c>
      <c r="AX344" s="289">
        <f t="shared" si="25"/>
        <v>0.12759680859627387</v>
      </c>
      <c r="AY344" s="289">
        <f t="shared" si="25"/>
        <v>0.1528899216430247</v>
      </c>
      <c r="AZ344" s="289">
        <f t="shared" si="25"/>
        <v>0.18124397912973519</v>
      </c>
      <c r="BA344" s="289">
        <f t="shared" si="25"/>
        <v>0.21441570835725482</v>
      </c>
      <c r="BB344" s="289">
        <f t="shared" si="25"/>
        <v>0.2214945101148604</v>
      </c>
      <c r="BC344" s="289">
        <f t="shared" si="22"/>
        <v>0.2214945101148604</v>
      </c>
    </row>
    <row r="345" spans="2:55">
      <c r="B345" s="72" t="s">
        <v>584</v>
      </c>
      <c r="C345" s="72" t="s">
        <v>585</v>
      </c>
      <c r="D345" s="289">
        <f t="shared" si="20"/>
        <v>0.11267359035620862</v>
      </c>
      <c r="E345" s="289">
        <f t="shared" si="25"/>
        <v>0.10856116572016213</v>
      </c>
      <c r="F345" s="289">
        <f t="shared" si="25"/>
        <v>0.11696757812596818</v>
      </c>
      <c r="G345" s="289">
        <f t="shared" si="25"/>
        <v>0.1252759461690876</v>
      </c>
      <c r="H345" s="289">
        <f t="shared" si="25"/>
        <v>0.11232975527368362</v>
      </c>
      <c r="I345" s="289">
        <f t="shared" si="25"/>
        <v>0.11355004934855724</v>
      </c>
      <c r="J345" s="289">
        <f t="shared" si="25"/>
        <v>0.11175452639651284</v>
      </c>
      <c r="K345" s="289">
        <f t="shared" si="25"/>
        <v>0.13555220852735875</v>
      </c>
      <c r="L345" s="289">
        <f t="shared" si="25"/>
        <v>0.12899226469011732</v>
      </c>
      <c r="M345" s="289">
        <f t="shared" si="25"/>
        <v>0.11985743978739412</v>
      </c>
      <c r="N345" s="289">
        <f t="shared" si="25"/>
        <v>0.11090545343647559</v>
      </c>
      <c r="O345" s="289">
        <f t="shared" si="25"/>
        <v>0.10820796144142306</v>
      </c>
      <c r="P345" s="289">
        <f t="shared" si="25"/>
        <v>0.12461015013679141</v>
      </c>
      <c r="Q345" s="289">
        <f t="shared" si="25"/>
        <v>0.13502457936966875</v>
      </c>
      <c r="R345" s="289">
        <f t="shared" si="25"/>
        <v>0.13681686287030448</v>
      </c>
      <c r="S345" s="289">
        <f t="shared" si="25"/>
        <v>0.16280482263432072</v>
      </c>
      <c r="T345" s="289">
        <f t="shared" si="25"/>
        <v>0.18495565801811512</v>
      </c>
      <c r="U345" s="289">
        <f t="shared" si="25"/>
        <v>0.17581608167948892</v>
      </c>
      <c r="V345" s="289">
        <f t="shared" si="25"/>
        <v>0.14976012318021809</v>
      </c>
      <c r="W345" s="289">
        <f t="shared" si="25"/>
        <v>0.12438905488095439</v>
      </c>
      <c r="X345" s="289">
        <f t="shared" si="25"/>
        <v>0.10379986052609916</v>
      </c>
      <c r="Y345" s="289">
        <f t="shared" si="25"/>
        <v>9.3514164406389003E-2</v>
      </c>
      <c r="Z345" s="289">
        <f t="shared" si="25"/>
        <v>8.5416485789030855E-2</v>
      </c>
      <c r="AA345" s="289">
        <f t="shared" si="25"/>
        <v>8.7181022981177733E-2</v>
      </c>
      <c r="AB345" s="289">
        <f t="shared" si="25"/>
        <v>8.0984033808848027E-2</v>
      </c>
      <c r="AC345" s="289">
        <f t="shared" si="25"/>
        <v>8.3516730389996408E-2</v>
      </c>
      <c r="AD345" s="289">
        <f t="shared" si="25"/>
        <v>7.2416650892752343E-2</v>
      </c>
      <c r="AE345" s="289">
        <f t="shared" si="25"/>
        <v>5.8653806340712093E-2</v>
      </c>
      <c r="AF345" s="289">
        <f t="shared" si="25"/>
        <v>5.3552407143092652E-2</v>
      </c>
      <c r="AG345" s="289">
        <f t="shared" si="25"/>
        <v>4.875966174584663E-2</v>
      </c>
      <c r="AH345" s="289">
        <f t="shared" si="25"/>
        <v>4.4081144707509942E-2</v>
      </c>
      <c r="AI345" s="289">
        <f t="shared" si="25"/>
        <v>4.3956892256264923E-2</v>
      </c>
      <c r="AJ345" s="289">
        <f t="shared" si="25"/>
        <v>4.7020146138837163E-2</v>
      </c>
      <c r="AK345" s="289">
        <f t="shared" si="25"/>
        <v>3.1821980488931929E-2</v>
      </c>
      <c r="AL345" s="289">
        <f t="shared" si="25"/>
        <v>3.7579229422884726E-2</v>
      </c>
      <c r="AM345" s="289">
        <f t="shared" si="25"/>
        <v>3.8369341756278631E-2</v>
      </c>
      <c r="AN345" s="289">
        <f t="shared" si="25"/>
        <v>3.2253423363055519E-2</v>
      </c>
      <c r="AO345" s="289">
        <f t="shared" si="25"/>
        <v>3.2206143886623538E-2</v>
      </c>
      <c r="AP345" s="289">
        <f t="shared" si="25"/>
        <v>3.0167272432914619E-2</v>
      </c>
      <c r="AQ345" s="289">
        <f t="shared" si="25"/>
        <v>2.5071346641333848E-2</v>
      </c>
      <c r="AR345" s="289">
        <f t="shared" si="25"/>
        <v>2.5134318664195018E-2</v>
      </c>
      <c r="AS345" s="289">
        <f t="shared" si="25"/>
        <v>2.4765055506243059E-2</v>
      </c>
      <c r="AT345" s="289">
        <f t="shared" si="25"/>
        <v>2.5262430064198996E-2</v>
      </c>
      <c r="AU345" s="289">
        <f t="shared" si="25"/>
        <v>2.3792451849763818E-2</v>
      </c>
      <c r="AV345" s="289">
        <f t="shared" si="25"/>
        <v>2.3819149429160445E-2</v>
      </c>
      <c r="AW345" s="289">
        <f t="shared" si="25"/>
        <v>2.3410699107049088E-2</v>
      </c>
      <c r="AX345" s="289">
        <f t="shared" si="25"/>
        <v>2.2914117340103353E-2</v>
      </c>
      <c r="AY345" s="289">
        <f t="shared" si="25"/>
        <v>2.8580835111834492E-2</v>
      </c>
      <c r="AZ345" s="289">
        <f t="shared" si="25"/>
        <v>3.3703292600237897E-2</v>
      </c>
      <c r="BA345" s="289">
        <f t="shared" si="25"/>
        <v>3.2029534107933022E-2</v>
      </c>
      <c r="BB345" s="289">
        <f t="shared" si="25"/>
        <v>3.0599533184862367E-2</v>
      </c>
      <c r="BC345" s="289">
        <f t="shared" si="22"/>
        <v>3.0599533184862367E-2</v>
      </c>
    </row>
    <row r="346" spans="2:55">
      <c r="B346" s="72" t="s">
        <v>586</v>
      </c>
      <c r="C346" s="72" t="s">
        <v>587</v>
      </c>
      <c r="D346" s="289">
        <f t="shared" si="20"/>
        <v>0</v>
      </c>
      <c r="E346" s="289">
        <f t="shared" si="25"/>
        <v>0</v>
      </c>
      <c r="F346" s="289">
        <f t="shared" si="25"/>
        <v>0</v>
      </c>
      <c r="G346" s="289">
        <f t="shared" si="25"/>
        <v>0</v>
      </c>
      <c r="H346" s="289">
        <f t="shared" si="25"/>
        <v>0</v>
      </c>
      <c r="I346" s="289">
        <f t="shared" si="25"/>
        <v>0</v>
      </c>
      <c r="J346" s="289">
        <f t="shared" si="25"/>
        <v>0</v>
      </c>
      <c r="K346" s="289">
        <f t="shared" si="25"/>
        <v>0</v>
      </c>
      <c r="L346" s="289">
        <f t="shared" si="25"/>
        <v>0</v>
      </c>
      <c r="M346" s="289">
        <f t="shared" si="25"/>
        <v>0</v>
      </c>
      <c r="N346" s="289">
        <f t="shared" si="25"/>
        <v>0</v>
      </c>
      <c r="O346" s="289">
        <f t="shared" si="25"/>
        <v>0</v>
      </c>
      <c r="P346" s="289">
        <f t="shared" si="25"/>
        <v>0</v>
      </c>
      <c r="Q346" s="289">
        <f t="shared" si="25"/>
        <v>0</v>
      </c>
      <c r="R346" s="289">
        <f t="shared" si="25"/>
        <v>0</v>
      </c>
      <c r="S346" s="289">
        <f t="shared" si="25"/>
        <v>0</v>
      </c>
      <c r="T346" s="289">
        <f t="shared" si="25"/>
        <v>0</v>
      </c>
      <c r="U346" s="289">
        <f t="shared" si="25"/>
        <v>0</v>
      </c>
      <c r="V346" s="289">
        <f t="shared" si="25"/>
        <v>0</v>
      </c>
      <c r="W346" s="289">
        <f t="shared" si="25"/>
        <v>0</v>
      </c>
      <c r="X346" s="289">
        <f t="shared" si="25"/>
        <v>0</v>
      </c>
      <c r="Y346" s="289">
        <f t="shared" si="25"/>
        <v>0</v>
      </c>
      <c r="Z346" s="289">
        <f t="shared" si="25"/>
        <v>0</v>
      </c>
      <c r="AA346" s="289">
        <f t="shared" si="25"/>
        <v>0</v>
      </c>
      <c r="AB346" s="289">
        <f t="shared" si="25"/>
        <v>0</v>
      </c>
      <c r="AC346" s="289">
        <f t="shared" si="25"/>
        <v>0</v>
      </c>
      <c r="AD346" s="289">
        <f t="shared" si="25"/>
        <v>0</v>
      </c>
      <c r="AE346" s="289">
        <f t="shared" si="25"/>
        <v>0</v>
      </c>
      <c r="AF346" s="289">
        <f t="shared" si="25"/>
        <v>0</v>
      </c>
      <c r="AG346" s="289">
        <f t="shared" si="25"/>
        <v>0.29311680242467508</v>
      </c>
      <c r="AH346" s="289">
        <f t="shared" si="25"/>
        <v>0.21895496771556228</v>
      </c>
      <c r="AI346" s="289">
        <f t="shared" si="25"/>
        <v>0.1212870708928639</v>
      </c>
      <c r="AJ346" s="289">
        <f t="shared" si="25"/>
        <v>0.13820789473559464</v>
      </c>
      <c r="AK346" s="289">
        <f t="shared" si="25"/>
        <v>0.17105355805409808</v>
      </c>
      <c r="AL346" s="289">
        <f t="shared" si="25"/>
        <v>0.23675045250152785</v>
      </c>
      <c r="AM346" s="289">
        <f t="shared" si="25"/>
        <v>0.24772720720269736</v>
      </c>
      <c r="AN346" s="289">
        <f t="shared" si="25"/>
        <v>0.21911386296008215</v>
      </c>
      <c r="AO346" s="289">
        <f t="shared" si="25"/>
        <v>0.22315517366751927</v>
      </c>
      <c r="AP346" s="289">
        <f t="shared" si="25"/>
        <v>0.19775658717022998</v>
      </c>
      <c r="AQ346" s="289">
        <f t="shared" si="25"/>
        <v>0.19401997337174864</v>
      </c>
      <c r="AR346" s="289">
        <f t="shared" si="25"/>
        <v>0.20904441283307104</v>
      </c>
      <c r="AS346" s="289">
        <f t="shared" si="25"/>
        <v>0.22128688205150507</v>
      </c>
      <c r="AT346" s="289">
        <f t="shared" si="25"/>
        <v>0.24684492704397565</v>
      </c>
      <c r="AU346" s="289">
        <f t="shared" si="25"/>
        <v>0.25172584228976308</v>
      </c>
      <c r="AV346" s="289">
        <f t="shared" si="25"/>
        <v>0.26468921786385335</v>
      </c>
      <c r="AW346" s="289">
        <f t="shared" si="25"/>
        <v>0.27738030431891303</v>
      </c>
      <c r="AX346" s="289">
        <f t="shared" si="25"/>
        <v>0.2887100854626154</v>
      </c>
      <c r="AY346" s="289">
        <f t="shared" si="25"/>
        <v>0.36373103220757746</v>
      </c>
      <c r="AZ346" s="289">
        <f t="shared" si="25"/>
        <v>0.39750592716393868</v>
      </c>
      <c r="BA346" s="289">
        <f t="shared" si="25"/>
        <v>0.37128729976864028</v>
      </c>
      <c r="BB346" s="289">
        <f t="shared" si="25"/>
        <v>0.36324295395247286</v>
      </c>
      <c r="BC346" s="289">
        <f t="shared" si="22"/>
        <v>0.36324295395247286</v>
      </c>
    </row>
    <row r="347" spans="2:55">
      <c r="B347" s="72" t="s">
        <v>588</v>
      </c>
      <c r="C347" s="72" t="s">
        <v>589</v>
      </c>
      <c r="D347" s="289">
        <f t="shared" si="20"/>
        <v>0</v>
      </c>
      <c r="E347" s="289">
        <f t="shared" si="25"/>
        <v>0</v>
      </c>
      <c r="F347" s="289">
        <f t="shared" si="25"/>
        <v>0</v>
      </c>
      <c r="G347" s="289">
        <f t="shared" si="25"/>
        <v>0</v>
      </c>
      <c r="H347" s="289">
        <f t="shared" si="25"/>
        <v>0</v>
      </c>
      <c r="I347" s="289">
        <f t="shared" si="25"/>
        <v>0</v>
      </c>
      <c r="J347" s="289">
        <f t="shared" si="25"/>
        <v>0</v>
      </c>
      <c r="K347" s="289">
        <f t="shared" si="25"/>
        <v>0</v>
      </c>
      <c r="L347" s="289">
        <f t="shared" si="25"/>
        <v>0</v>
      </c>
      <c r="M347" s="289">
        <f t="shared" si="25"/>
        <v>0.29180862704894833</v>
      </c>
      <c r="N347" s="289">
        <f t="shared" si="25"/>
        <v>0.30914643351108945</v>
      </c>
      <c r="O347" s="289">
        <f t="shared" si="25"/>
        <v>0.31218868328914534</v>
      </c>
      <c r="P347" s="289">
        <f t="shared" si="25"/>
        <v>0.33472386456801795</v>
      </c>
      <c r="Q347" s="289">
        <f t="shared" si="25"/>
        <v>0.34881859100619406</v>
      </c>
      <c r="R347" s="289">
        <f t="shared" si="25"/>
        <v>0.32886013684780446</v>
      </c>
      <c r="S347" s="289">
        <f t="shared" si="25"/>
        <v>0.35824645273769479</v>
      </c>
      <c r="T347" s="289">
        <f t="shared" si="25"/>
        <v>0.32365679039247214</v>
      </c>
      <c r="U347" s="289">
        <f t="shared" si="25"/>
        <v>0.31833022508502984</v>
      </c>
      <c r="V347" s="289">
        <f t="shared" si="25"/>
        <v>0.26730631378471581</v>
      </c>
      <c r="W347" s="289">
        <f t="shared" si="25"/>
        <v>0.21089074512652289</v>
      </c>
      <c r="X347" s="289">
        <f t="shared" si="25"/>
        <v>0.22348052822278322</v>
      </c>
      <c r="Y347" s="289">
        <f t="shared" si="25"/>
        <v>0.24263130427448001</v>
      </c>
      <c r="Z347" s="289">
        <f t="shared" si="25"/>
        <v>0.26999792574515896</v>
      </c>
      <c r="AA347" s="289">
        <f t="shared" si="25"/>
        <v>0.3090338653246445</v>
      </c>
      <c r="AB347" s="289">
        <f t="shared" si="25"/>
        <v>0.27727705971011618</v>
      </c>
      <c r="AC347" s="289">
        <f t="shared" si="25"/>
        <v>0.23704918262495531</v>
      </c>
      <c r="AD347" s="289">
        <f t="shared" si="25"/>
        <v>0.19932149881622446</v>
      </c>
      <c r="AE347" s="289">
        <f t="shared" si="25"/>
        <v>0.17716617211522129</v>
      </c>
      <c r="AF347" s="289">
        <f t="shared" si="25"/>
        <v>0.17136618606182008</v>
      </c>
      <c r="AG347" s="289">
        <f t="shared" si="25"/>
        <v>0.15321326944831251</v>
      </c>
      <c r="AH347" s="289">
        <f t="shared" si="25"/>
        <v>0.12413901401425173</v>
      </c>
      <c r="AI347" s="289">
        <f t="shared" si="25"/>
        <v>0.1085883751804779</v>
      </c>
      <c r="AJ347" s="289">
        <f t="shared" si="25"/>
        <v>0.12194590795307164</v>
      </c>
      <c r="AK347" s="289">
        <f t="shared" si="25"/>
        <v>0.14308330680977546</v>
      </c>
      <c r="AL347" s="289">
        <f t="shared" si="25"/>
        <v>0.13996420065786025</v>
      </c>
      <c r="AM347" s="289">
        <f t="shared" si="25"/>
        <v>0.10897768415625246</v>
      </c>
      <c r="AN347" s="289">
        <f t="shared" si="25"/>
        <v>9.8365878130390563E-2</v>
      </c>
      <c r="AO347" s="289">
        <f t="shared" si="25"/>
        <v>9.3336372294149442E-2</v>
      </c>
      <c r="AP347" s="289">
        <f t="shared" si="25"/>
        <v>0.10000815874897759</v>
      </c>
      <c r="AQ347" s="289">
        <f t="shared" si="25"/>
        <v>0.10984893236530992</v>
      </c>
      <c r="AR347" s="289">
        <f t="shared" si="25"/>
        <v>0.114511933799927</v>
      </c>
      <c r="AS347" s="289">
        <f t="shared" si="25"/>
        <v>0.11133602734501394</v>
      </c>
      <c r="AT347" s="289">
        <f t="shared" si="25"/>
        <v>0.10282143092365144</v>
      </c>
      <c r="AU347" s="289">
        <f t="shared" si="25"/>
        <v>9.2664774329464114E-2</v>
      </c>
      <c r="AV347" s="289">
        <f t="shared" si="25"/>
        <v>9.9396942070831218E-2</v>
      </c>
      <c r="AW347" s="289">
        <f t="shared" si="25"/>
        <v>0.11565665398396319</v>
      </c>
      <c r="AX347" s="289">
        <f t="shared" si="25"/>
        <v>0.11224981495979122</v>
      </c>
      <c r="AY347" s="289">
        <f t="shared" si="25"/>
        <v>0.12508186361846679</v>
      </c>
      <c r="AZ347" s="289">
        <f t="shared" si="25"/>
        <v>0</v>
      </c>
      <c r="BA347" s="289">
        <f t="shared" si="25"/>
        <v>0</v>
      </c>
      <c r="BB347" s="289">
        <f t="shared" si="25"/>
        <v>0</v>
      </c>
      <c r="BC347" s="289">
        <f t="shared" si="22"/>
        <v>0</v>
      </c>
    </row>
    <row r="348" spans="2:55">
      <c r="B348" s="72" t="s">
        <v>590</v>
      </c>
      <c r="C348" s="72" t="s">
        <v>591</v>
      </c>
      <c r="D348" s="289">
        <f t="shared" si="20"/>
        <v>0</v>
      </c>
      <c r="E348" s="289">
        <f t="shared" si="25"/>
        <v>0</v>
      </c>
      <c r="F348" s="289">
        <f t="shared" si="25"/>
        <v>0</v>
      </c>
      <c r="G348" s="289">
        <f t="shared" si="25"/>
        <v>0</v>
      </c>
      <c r="H348" s="289">
        <f t="shared" si="25"/>
        <v>0</v>
      </c>
      <c r="I348" s="289">
        <f t="shared" si="25"/>
        <v>0</v>
      </c>
      <c r="J348" s="289">
        <f t="shared" si="25"/>
        <v>0</v>
      </c>
      <c r="K348" s="289">
        <f t="shared" si="25"/>
        <v>0</v>
      </c>
      <c r="L348" s="289">
        <f t="shared" si="25"/>
        <v>0</v>
      </c>
      <c r="M348" s="289">
        <f t="shared" si="25"/>
        <v>0</v>
      </c>
      <c r="N348" s="289">
        <f t="shared" si="25"/>
        <v>0</v>
      </c>
      <c r="O348" s="289">
        <f t="shared" si="25"/>
        <v>0</v>
      </c>
      <c r="P348" s="289">
        <f t="shared" si="25"/>
        <v>0</v>
      </c>
      <c r="Q348" s="289">
        <f t="shared" si="25"/>
        <v>0</v>
      </c>
      <c r="R348" s="289">
        <f t="shared" si="25"/>
        <v>0</v>
      </c>
      <c r="S348" s="289">
        <f t="shared" si="25"/>
        <v>0</v>
      </c>
      <c r="T348" s="289">
        <f t="shared" si="25"/>
        <v>0</v>
      </c>
      <c r="U348" s="289">
        <f t="shared" si="25"/>
        <v>0</v>
      </c>
      <c r="V348" s="289">
        <f t="shared" si="25"/>
        <v>0</v>
      </c>
      <c r="W348" s="289">
        <f t="shared" si="25"/>
        <v>0</v>
      </c>
      <c r="X348" s="289">
        <f t="shared" si="25"/>
        <v>0</v>
      </c>
      <c r="Y348" s="289">
        <f t="shared" si="25"/>
        <v>0</v>
      </c>
      <c r="Z348" s="289">
        <f t="shared" si="25"/>
        <v>0</v>
      </c>
      <c r="AA348" s="289">
        <f t="shared" si="25"/>
        <v>0</v>
      </c>
      <c r="AB348" s="289">
        <f t="shared" si="25"/>
        <v>0</v>
      </c>
      <c r="AC348" s="289">
        <f t="shared" si="25"/>
        <v>0</v>
      </c>
      <c r="AD348" s="289">
        <f t="shared" si="25"/>
        <v>0</v>
      </c>
      <c r="AE348" s="289">
        <f t="shared" si="25"/>
        <v>0</v>
      </c>
      <c r="AF348" s="289">
        <f t="shared" si="25"/>
        <v>0</v>
      </c>
      <c r="AG348" s="289">
        <f t="shared" si="25"/>
        <v>0</v>
      </c>
      <c r="AH348" s="289">
        <f t="shared" si="25"/>
        <v>0</v>
      </c>
      <c r="AI348" s="289">
        <f t="shared" si="25"/>
        <v>0</v>
      </c>
      <c r="AJ348" s="289">
        <f t="shared" si="25"/>
        <v>0</v>
      </c>
      <c r="AK348" s="289">
        <f t="shared" si="25"/>
        <v>0</v>
      </c>
      <c r="AL348" s="289">
        <f t="shared" si="25"/>
        <v>0</v>
      </c>
      <c r="AM348" s="289">
        <f t="shared" si="25"/>
        <v>0</v>
      </c>
      <c r="AN348" s="289">
        <f t="shared" si="25"/>
        <v>0</v>
      </c>
      <c r="AO348" s="289">
        <f t="shared" si="25"/>
        <v>0</v>
      </c>
      <c r="AP348" s="289">
        <f t="shared" si="25"/>
        <v>0</v>
      </c>
      <c r="AQ348" s="289">
        <f t="shared" si="25"/>
        <v>0</v>
      </c>
      <c r="AR348" s="289">
        <f t="shared" si="25"/>
        <v>0</v>
      </c>
      <c r="AS348" s="289">
        <f t="shared" si="25"/>
        <v>0</v>
      </c>
      <c r="AT348" s="289">
        <f t="shared" si="25"/>
        <v>0</v>
      </c>
      <c r="AU348" s="289">
        <f t="shared" si="25"/>
        <v>0</v>
      </c>
      <c r="AV348" s="289">
        <f t="shared" si="25"/>
        <v>0</v>
      </c>
      <c r="AW348" s="289">
        <f t="shared" si="25"/>
        <v>0</v>
      </c>
      <c r="AX348" s="289">
        <f t="shared" si="25"/>
        <v>0</v>
      </c>
      <c r="AY348" s="289">
        <f t="shared" si="25"/>
        <v>0</v>
      </c>
      <c r="AZ348" s="289">
        <f t="shared" si="25"/>
        <v>0</v>
      </c>
      <c r="BA348" s="289">
        <f t="shared" si="25"/>
        <v>0</v>
      </c>
      <c r="BB348" s="289">
        <f t="shared" si="25"/>
        <v>0</v>
      </c>
      <c r="BC348" s="289">
        <f t="shared" si="22"/>
        <v>0</v>
      </c>
    </row>
    <row r="349" spans="2:55">
      <c r="B349" s="72" t="s">
        <v>592</v>
      </c>
      <c r="C349" s="72" t="s">
        <v>593</v>
      </c>
      <c r="D349" s="289">
        <f t="shared" si="20"/>
        <v>0</v>
      </c>
      <c r="E349" s="289">
        <f t="shared" si="25"/>
        <v>0</v>
      </c>
      <c r="F349" s="289">
        <f t="shared" si="25"/>
        <v>0</v>
      </c>
      <c r="G349" s="289">
        <f t="shared" si="25"/>
        <v>0</v>
      </c>
      <c r="H349" s="289">
        <f t="shared" si="25"/>
        <v>0</v>
      </c>
      <c r="I349" s="289">
        <f t="shared" si="25"/>
        <v>0</v>
      </c>
      <c r="J349" s="289">
        <f t="shared" si="25"/>
        <v>0</v>
      </c>
      <c r="K349" s="289">
        <f t="shared" si="25"/>
        <v>0</v>
      </c>
      <c r="L349" s="289">
        <f t="shared" si="25"/>
        <v>0</v>
      </c>
      <c r="M349" s="289">
        <f t="shared" si="25"/>
        <v>0</v>
      </c>
      <c r="N349" s="289">
        <f t="shared" si="25"/>
        <v>0</v>
      </c>
      <c r="O349" s="289">
        <f t="shared" ref="E349:BB354" si="26">O99/O$251</f>
        <v>0</v>
      </c>
      <c r="P349" s="289">
        <f t="shared" si="26"/>
        <v>0</v>
      </c>
      <c r="Q349" s="289">
        <f t="shared" si="26"/>
        <v>0</v>
      </c>
      <c r="R349" s="289">
        <f t="shared" si="26"/>
        <v>0.23218736233394191</v>
      </c>
      <c r="S349" s="289">
        <f t="shared" si="26"/>
        <v>0.28641430390853123</v>
      </c>
      <c r="T349" s="289">
        <f t="shared" si="26"/>
        <v>0.32335100740772726</v>
      </c>
      <c r="U349" s="289">
        <f t="shared" si="26"/>
        <v>0.33349111009111843</v>
      </c>
      <c r="V349" s="289">
        <f t="shared" si="26"/>
        <v>0.34072571297516518</v>
      </c>
      <c r="W349" s="289">
        <f t="shared" si="26"/>
        <v>0.43978322911786666</v>
      </c>
      <c r="X349" s="289">
        <f t="shared" si="26"/>
        <v>0.44115451505116221</v>
      </c>
      <c r="Y349" s="289">
        <f t="shared" si="26"/>
        <v>0.47289034497901544</v>
      </c>
      <c r="Z349" s="289">
        <f t="shared" si="26"/>
        <v>0.49489346140502399</v>
      </c>
      <c r="AA349" s="289">
        <f t="shared" si="26"/>
        <v>0.54756213944015741</v>
      </c>
      <c r="AB349" s="289">
        <f t="shared" si="26"/>
        <v>0.54669623308462878</v>
      </c>
      <c r="AC349" s="289">
        <f t="shared" si="26"/>
        <v>0.56068381566259795</v>
      </c>
      <c r="AD349" s="289">
        <f t="shared" si="26"/>
        <v>0.54248791874062674</v>
      </c>
      <c r="AE349" s="289">
        <f t="shared" si="26"/>
        <v>0.5113773689258847</v>
      </c>
      <c r="AF349" s="289">
        <f t="shared" si="26"/>
        <v>0.53389243983668011</v>
      </c>
      <c r="AG349" s="289">
        <f t="shared" si="26"/>
        <v>0.54510152285868418</v>
      </c>
      <c r="AH349" s="289">
        <f t="shared" si="26"/>
        <v>0.52734788192383397</v>
      </c>
      <c r="AI349" s="289">
        <f t="shared" si="26"/>
        <v>0.59650799152353384</v>
      </c>
      <c r="AJ349" s="289">
        <f t="shared" si="26"/>
        <v>0.61925970088924931</v>
      </c>
      <c r="AK349" s="289">
        <f t="shared" si="26"/>
        <v>0.63386311104219517</v>
      </c>
      <c r="AL349" s="289">
        <f t="shared" si="26"/>
        <v>0.71260599569906158</v>
      </c>
      <c r="AM349" s="289">
        <f t="shared" si="26"/>
        <v>0.67409967355889</v>
      </c>
      <c r="AN349" s="289">
        <f t="shared" si="26"/>
        <v>0.56593745803374662</v>
      </c>
      <c r="AO349" s="289">
        <f t="shared" si="26"/>
        <v>0.56285734994876635</v>
      </c>
      <c r="AP349" s="289">
        <f t="shared" si="26"/>
        <v>0.55558292692173872</v>
      </c>
      <c r="AQ349" s="289">
        <f t="shared" si="26"/>
        <v>0.53563183100676504</v>
      </c>
      <c r="AR349" s="289">
        <f t="shared" si="26"/>
        <v>0.55552209688880072</v>
      </c>
      <c r="AS349" s="289">
        <f t="shared" si="26"/>
        <v>0.55052301507883683</v>
      </c>
      <c r="AT349" s="289">
        <f t="shared" si="26"/>
        <v>0.59156214455785239</v>
      </c>
      <c r="AU349" s="289">
        <f t="shared" si="26"/>
        <v>0.5826629985002908</v>
      </c>
      <c r="AV349" s="289">
        <f t="shared" si="26"/>
        <v>0.58839681973167512</v>
      </c>
      <c r="AW349" s="289">
        <f t="shared" si="26"/>
        <v>0.58950071033820028</v>
      </c>
      <c r="AX349" s="289">
        <f t="shared" si="26"/>
        <v>0.60134099466633673</v>
      </c>
      <c r="AY349" s="289">
        <f t="shared" si="26"/>
        <v>0.7399940439010857</v>
      </c>
      <c r="AZ349" s="289">
        <f t="shared" si="26"/>
        <v>0.83291372363368632</v>
      </c>
      <c r="BA349" s="289">
        <f t="shared" si="26"/>
        <v>0.79377694310227198</v>
      </c>
      <c r="BB349" s="289">
        <f t="shared" si="26"/>
        <v>0.78564356680179281</v>
      </c>
      <c r="BC349" s="289">
        <f t="shared" si="22"/>
        <v>0.78564356680179281</v>
      </c>
    </row>
    <row r="350" spans="2:55">
      <c r="B350" s="72" t="s">
        <v>594</v>
      </c>
      <c r="C350" s="72" t="s">
        <v>595</v>
      </c>
      <c r="D350" s="289">
        <f t="shared" si="20"/>
        <v>0</v>
      </c>
      <c r="E350" s="289">
        <f t="shared" si="26"/>
        <v>0</v>
      </c>
      <c r="F350" s="289">
        <f t="shared" si="26"/>
        <v>0</v>
      </c>
      <c r="G350" s="289">
        <f t="shared" si="26"/>
        <v>0</v>
      </c>
      <c r="H350" s="289">
        <f t="shared" si="26"/>
        <v>0</v>
      </c>
      <c r="I350" s="289">
        <f t="shared" si="26"/>
        <v>0</v>
      </c>
      <c r="J350" s="289">
        <f t="shared" si="26"/>
        <v>0</v>
      </c>
      <c r="K350" s="289">
        <f t="shared" si="26"/>
        <v>0</v>
      </c>
      <c r="L350" s="289">
        <f t="shared" si="26"/>
        <v>0</v>
      </c>
      <c r="M350" s="289">
        <f t="shared" si="26"/>
        <v>0</v>
      </c>
      <c r="N350" s="289">
        <f t="shared" si="26"/>
        <v>0</v>
      </c>
      <c r="O350" s="289">
        <f t="shared" si="26"/>
        <v>0</v>
      </c>
      <c r="P350" s="289">
        <f t="shared" si="26"/>
        <v>0</v>
      </c>
      <c r="Q350" s="289">
        <f t="shared" si="26"/>
        <v>0</v>
      </c>
      <c r="R350" s="289">
        <f t="shared" si="26"/>
        <v>0</v>
      </c>
      <c r="S350" s="289">
        <f t="shared" si="26"/>
        <v>0</v>
      </c>
      <c r="T350" s="289">
        <f t="shared" si="26"/>
        <v>0</v>
      </c>
      <c r="U350" s="289">
        <f t="shared" si="26"/>
        <v>0</v>
      </c>
      <c r="V350" s="289">
        <f t="shared" si="26"/>
        <v>0</v>
      </c>
      <c r="W350" s="289">
        <f t="shared" si="26"/>
        <v>0</v>
      </c>
      <c r="X350" s="289">
        <f t="shared" si="26"/>
        <v>0</v>
      </c>
      <c r="Y350" s="289">
        <f t="shared" si="26"/>
        <v>0</v>
      </c>
      <c r="Z350" s="289">
        <f t="shared" si="26"/>
        <v>0</v>
      </c>
      <c r="AA350" s="289">
        <f t="shared" si="26"/>
        <v>0</v>
      </c>
      <c r="AB350" s="289">
        <f t="shared" si="26"/>
        <v>0</v>
      </c>
      <c r="AC350" s="289">
        <f t="shared" si="26"/>
        <v>0</v>
      </c>
      <c r="AD350" s="289">
        <f t="shared" si="26"/>
        <v>0</v>
      </c>
      <c r="AE350" s="289">
        <f t="shared" si="26"/>
        <v>0</v>
      </c>
      <c r="AF350" s="289">
        <f t="shared" si="26"/>
        <v>0</v>
      </c>
      <c r="AG350" s="289">
        <f t="shared" si="26"/>
        <v>0.21409597163563229</v>
      </c>
      <c r="AH350" s="289">
        <f t="shared" si="26"/>
        <v>0.15135882042715826</v>
      </c>
      <c r="AI350" s="289">
        <f t="shared" si="26"/>
        <v>0.1709100385066899</v>
      </c>
      <c r="AJ350" s="289">
        <f t="shared" si="26"/>
        <v>0.22361392107228625</v>
      </c>
      <c r="AK350" s="289">
        <f t="shared" si="26"/>
        <v>0.24273165544475128</v>
      </c>
      <c r="AL350" s="289">
        <f t="shared" si="26"/>
        <v>0.28057026459580792</v>
      </c>
      <c r="AM350" s="289">
        <f t="shared" si="26"/>
        <v>0.30006147806031602</v>
      </c>
      <c r="AN350" s="289">
        <f t="shared" si="26"/>
        <v>0.24599084050339831</v>
      </c>
      <c r="AO350" s="289">
        <f t="shared" si="26"/>
        <v>0.24818903396957376</v>
      </c>
      <c r="AP350" s="289">
        <f t="shared" si="26"/>
        <v>0.23589923582151825</v>
      </c>
      <c r="AQ350" s="289">
        <f t="shared" si="26"/>
        <v>0.22846698731604198</v>
      </c>
      <c r="AR350" s="289">
        <f t="shared" si="26"/>
        <v>0.25320990389236731</v>
      </c>
      <c r="AS350" s="289">
        <f t="shared" si="26"/>
        <v>0.2846648434340841</v>
      </c>
      <c r="AT350" s="289">
        <f t="shared" si="26"/>
        <v>0.2996719706459357</v>
      </c>
      <c r="AU350" s="289">
        <f t="shared" si="26"/>
        <v>0.30403634928148549</v>
      </c>
      <c r="AV350" s="289">
        <f t="shared" si="26"/>
        <v>0.33329233034643485</v>
      </c>
      <c r="AW350" s="289">
        <f t="shared" si="26"/>
        <v>0.35685243379732196</v>
      </c>
      <c r="AX350" s="289">
        <f t="shared" si="26"/>
        <v>0.37701974986340708</v>
      </c>
      <c r="AY350" s="289">
        <f t="shared" si="26"/>
        <v>0.50124554330829019</v>
      </c>
      <c r="AZ350" s="289">
        <f t="shared" si="26"/>
        <v>0.53226645427467312</v>
      </c>
      <c r="BA350" s="289">
        <f t="shared" si="26"/>
        <v>0.52156882417311612</v>
      </c>
      <c r="BB350" s="289">
        <f t="shared" si="26"/>
        <v>0.52714786152449067</v>
      </c>
      <c r="BC350" s="289">
        <f t="shared" si="22"/>
        <v>0.52714786152449067</v>
      </c>
    </row>
    <row r="351" spans="2:55">
      <c r="B351" s="72" t="s">
        <v>596</v>
      </c>
      <c r="C351" s="72" t="s">
        <v>597</v>
      </c>
      <c r="D351" s="289">
        <f t="shared" si="20"/>
        <v>1.0351054973373131</v>
      </c>
      <c r="E351" s="289">
        <f t="shared" si="26"/>
        <v>1.1105792648623014</v>
      </c>
      <c r="F351" s="289">
        <f t="shared" si="26"/>
        <v>1.1147521328957353</v>
      </c>
      <c r="G351" s="289">
        <f t="shared" si="26"/>
        <v>1.1641280805492984</v>
      </c>
      <c r="H351" s="289">
        <f t="shared" si="26"/>
        <v>1.2123103346210697</v>
      </c>
      <c r="I351" s="289">
        <f t="shared" si="26"/>
        <v>1.2467978635629069</v>
      </c>
      <c r="J351" s="289">
        <f t="shared" si="26"/>
        <v>1.3069532627047589</v>
      </c>
      <c r="K351" s="289">
        <f t="shared" si="26"/>
        <v>1.4304109656595054</v>
      </c>
      <c r="L351" s="289">
        <f t="shared" si="26"/>
        <v>1.5097012107592938</v>
      </c>
      <c r="M351" s="289">
        <f t="shared" si="26"/>
        <v>1.5013877685132615</v>
      </c>
      <c r="N351" s="289">
        <f t="shared" si="26"/>
        <v>1.4771064846008117</v>
      </c>
      <c r="O351" s="289">
        <f t="shared" si="26"/>
        <v>1.564954132373594</v>
      </c>
      <c r="P351" s="289">
        <f t="shared" si="26"/>
        <v>1.8316601368687564</v>
      </c>
      <c r="Q351" s="289">
        <f t="shared" si="26"/>
        <v>1.8795922073617954</v>
      </c>
      <c r="R351" s="289">
        <f t="shared" si="26"/>
        <v>1.8609085898969466</v>
      </c>
      <c r="S351" s="289">
        <f t="shared" si="26"/>
        <v>2.1306907387837319</v>
      </c>
      <c r="T351" s="289">
        <f t="shared" si="26"/>
        <v>2.102999209384385</v>
      </c>
      <c r="U351" s="289">
        <f t="shared" si="26"/>
        <v>2.0079703814732812</v>
      </c>
      <c r="V351" s="289">
        <f t="shared" si="26"/>
        <v>1.7995235280460873</v>
      </c>
      <c r="W351" s="289">
        <f t="shared" si="26"/>
        <v>1.4140185640170535</v>
      </c>
      <c r="X351" s="289">
        <f t="shared" si="26"/>
        <v>1.289386553961329</v>
      </c>
      <c r="Y351" s="289">
        <f t="shared" si="26"/>
        <v>1.3209150096209705</v>
      </c>
      <c r="Z351" s="289">
        <f t="shared" si="26"/>
        <v>1.4003872301261218</v>
      </c>
      <c r="AA351" s="289">
        <f t="shared" si="26"/>
        <v>1.4517074927411979</v>
      </c>
      <c r="AB351" s="289">
        <f t="shared" si="26"/>
        <v>1.4578384781238387</v>
      </c>
      <c r="AC351" s="289">
        <f t="shared" si="26"/>
        <v>1.6759505863719153</v>
      </c>
      <c r="AD351" s="289">
        <f t="shared" si="26"/>
        <v>1.6979670195954506</v>
      </c>
      <c r="AE351" s="289">
        <f t="shared" si="26"/>
        <v>1.4764418839359783</v>
      </c>
      <c r="AF351" s="289">
        <f t="shared" si="26"/>
        <v>1.4241072869733582</v>
      </c>
      <c r="AG351" s="289">
        <f t="shared" si="26"/>
        <v>1.4938559426822442</v>
      </c>
      <c r="AH351" s="289">
        <f t="shared" si="26"/>
        <v>1.4423809700531875</v>
      </c>
      <c r="AI351" s="289">
        <f t="shared" si="26"/>
        <v>1.5318004060956167</v>
      </c>
      <c r="AJ351" s="289">
        <f t="shared" si="26"/>
        <v>1.5944783695755735</v>
      </c>
      <c r="AK351" s="289">
        <f t="shared" si="26"/>
        <v>1.6096388352347137</v>
      </c>
      <c r="AL351" s="289">
        <f t="shared" si="26"/>
        <v>1.7435853809425688</v>
      </c>
      <c r="AM351" s="289">
        <f t="shared" si="26"/>
        <v>1.6714198813058794</v>
      </c>
      <c r="AN351" s="289">
        <f t="shared" si="26"/>
        <v>1.3746525601035224</v>
      </c>
      <c r="AO351" s="289">
        <f t="shared" si="26"/>
        <v>1.3097630281279216</v>
      </c>
      <c r="AP351" s="289">
        <f t="shared" si="26"/>
        <v>1.2755130814620168</v>
      </c>
      <c r="AQ351" s="289">
        <f t="shared" si="26"/>
        <v>1.1964489529885396</v>
      </c>
      <c r="AR351" s="289">
        <f t="shared" si="26"/>
        <v>1.2057476864343279</v>
      </c>
      <c r="AS351" s="289">
        <f t="shared" si="26"/>
        <v>1.1980721303110469</v>
      </c>
      <c r="AT351" s="289">
        <f t="shared" si="26"/>
        <v>1.2661150978360907</v>
      </c>
      <c r="AU351" s="289">
        <f t="shared" si="26"/>
        <v>1.2340070681689426</v>
      </c>
      <c r="AV351" s="289">
        <f t="shared" si="26"/>
        <v>1.2472362326912774</v>
      </c>
      <c r="AW351" s="289">
        <f t="shared" si="26"/>
        <v>1.246567075176594</v>
      </c>
      <c r="AX351" s="289">
        <f t="shared" si="26"/>
        <v>1.2307548161192046</v>
      </c>
      <c r="AY351" s="289">
        <f t="shared" si="26"/>
        <v>1.4507784084235906</v>
      </c>
      <c r="AZ351" s="289">
        <f t="shared" si="26"/>
        <v>1.5914107446571251</v>
      </c>
      <c r="BA351" s="289">
        <f t="shared" si="26"/>
        <v>1.5579732282043917</v>
      </c>
      <c r="BB351" s="289">
        <f t="shared" si="26"/>
        <v>1.5331592516049688</v>
      </c>
      <c r="BC351" s="289">
        <f t="shared" si="22"/>
        <v>1.5331592516049688</v>
      </c>
    </row>
    <row r="352" spans="2:55">
      <c r="B352" s="72" t="s">
        <v>598</v>
      </c>
      <c r="C352" s="72" t="s">
        <v>599</v>
      </c>
      <c r="D352" s="289">
        <f t="shared" si="20"/>
        <v>0</v>
      </c>
      <c r="E352" s="289">
        <f t="shared" si="26"/>
        <v>0</v>
      </c>
      <c r="F352" s="289">
        <f t="shared" si="26"/>
        <v>0</v>
      </c>
      <c r="G352" s="289">
        <f t="shared" si="26"/>
        <v>0</v>
      </c>
      <c r="H352" s="289">
        <f t="shared" si="26"/>
        <v>0</v>
      </c>
      <c r="I352" s="289">
        <f t="shared" si="26"/>
        <v>0</v>
      </c>
      <c r="J352" s="289">
        <f t="shared" si="26"/>
        <v>0</v>
      </c>
      <c r="K352" s="289">
        <f t="shared" si="26"/>
        <v>0</v>
      </c>
      <c r="L352" s="289">
        <f t="shared" si="26"/>
        <v>0</v>
      </c>
      <c r="M352" s="289">
        <f t="shared" si="26"/>
        <v>0</v>
      </c>
      <c r="N352" s="289">
        <f t="shared" si="26"/>
        <v>0</v>
      </c>
      <c r="O352" s="289">
        <f t="shared" si="26"/>
        <v>0</v>
      </c>
      <c r="P352" s="289">
        <f t="shared" si="26"/>
        <v>0</v>
      </c>
      <c r="Q352" s="289">
        <f t="shared" si="26"/>
        <v>0</v>
      </c>
      <c r="R352" s="289">
        <f t="shared" si="26"/>
        <v>0</v>
      </c>
      <c r="S352" s="289">
        <f t="shared" si="26"/>
        <v>0</v>
      </c>
      <c r="T352" s="289">
        <f t="shared" si="26"/>
        <v>0</v>
      </c>
      <c r="U352" s="289">
        <f t="shared" si="26"/>
        <v>0</v>
      </c>
      <c r="V352" s="289">
        <f t="shared" si="26"/>
        <v>0</v>
      </c>
      <c r="W352" s="289">
        <f t="shared" si="26"/>
        <v>0</v>
      </c>
      <c r="X352" s="289">
        <f t="shared" si="26"/>
        <v>0</v>
      </c>
      <c r="Y352" s="289">
        <f t="shared" si="26"/>
        <v>0</v>
      </c>
      <c r="Z352" s="289">
        <f t="shared" si="26"/>
        <v>0</v>
      </c>
      <c r="AA352" s="289">
        <f t="shared" si="26"/>
        <v>0</v>
      </c>
      <c r="AB352" s="289">
        <f t="shared" si="26"/>
        <v>0.10300620427681353</v>
      </c>
      <c r="AC352" s="289">
        <f t="shared" si="26"/>
        <v>0</v>
      </c>
      <c r="AD352" s="289">
        <f t="shared" si="26"/>
        <v>6.5217010808260964E-2</v>
      </c>
      <c r="AE352" s="289">
        <f t="shared" si="26"/>
        <v>5.2852780040776898E-2</v>
      </c>
      <c r="AF352" s="289">
        <f t="shared" si="26"/>
        <v>5.0812620981617256E-2</v>
      </c>
      <c r="AG352" s="289">
        <f t="shared" si="26"/>
        <v>4.5480225771498274E-2</v>
      </c>
      <c r="AH352" s="289">
        <f t="shared" si="26"/>
        <v>4.3239795525842055E-2</v>
      </c>
      <c r="AI352" s="289">
        <f t="shared" si="26"/>
        <v>4.2415632647078795E-2</v>
      </c>
      <c r="AJ352" s="289">
        <f t="shared" si="26"/>
        <v>4.5428977546363311E-2</v>
      </c>
      <c r="AK352" s="289">
        <f t="shared" si="26"/>
        <v>4.3747243476874566E-2</v>
      </c>
      <c r="AL352" s="289">
        <f t="shared" si="26"/>
        <v>3.983221567213089E-2</v>
      </c>
      <c r="AM352" s="289">
        <f t="shared" si="26"/>
        <v>3.6562204317702122E-2</v>
      </c>
      <c r="AN352" s="289">
        <f t="shared" si="26"/>
        <v>3.2184782128373161E-2</v>
      </c>
      <c r="AO352" s="289">
        <f t="shared" si="26"/>
        <v>2.9863418877180647E-2</v>
      </c>
      <c r="AP352" s="289">
        <f t="shared" si="26"/>
        <v>2.9399671032877332E-2</v>
      </c>
      <c r="AQ352" s="289">
        <f t="shared" si="26"/>
        <v>3.0055521616558608E-2</v>
      </c>
      <c r="AR352" s="289">
        <f t="shared" si="26"/>
        <v>3.074631284684155E-2</v>
      </c>
      <c r="AS352" s="289">
        <f t="shared" si="26"/>
        <v>2.8611460636624925E-2</v>
      </c>
      <c r="AT352" s="289">
        <f t="shared" si="26"/>
        <v>2.5611071729481055E-2</v>
      </c>
      <c r="AU352" s="289">
        <f t="shared" si="26"/>
        <v>2.2868383458040584E-2</v>
      </c>
      <c r="AV352" s="289">
        <f t="shared" si="26"/>
        <v>2.3002295104267285E-2</v>
      </c>
      <c r="AW352" s="289">
        <f t="shared" si="26"/>
        <v>2.3059219521183519E-2</v>
      </c>
      <c r="AX352" s="289">
        <f t="shared" si="26"/>
        <v>2.180184966416646E-2</v>
      </c>
      <c r="AY352" s="289">
        <f t="shared" si="26"/>
        <v>2.6613980701388644E-2</v>
      </c>
      <c r="AZ352" s="289">
        <f t="shared" si="26"/>
        <v>3.4046880514179159E-2</v>
      </c>
      <c r="BA352" s="289">
        <f t="shared" si="26"/>
        <v>0</v>
      </c>
      <c r="BB352" s="289">
        <f t="shared" si="26"/>
        <v>0</v>
      </c>
      <c r="BC352" s="289">
        <f t="shared" si="22"/>
        <v>0</v>
      </c>
    </row>
    <row r="353" spans="2:55">
      <c r="B353" s="72" t="s">
        <v>600</v>
      </c>
      <c r="C353" s="72" t="s">
        <v>601</v>
      </c>
      <c r="D353" s="289">
        <f t="shared" si="20"/>
        <v>0</v>
      </c>
      <c r="E353" s="289">
        <f t="shared" si="26"/>
        <v>0</v>
      </c>
      <c r="F353" s="289">
        <f t="shared" si="26"/>
        <v>0</v>
      </c>
      <c r="G353" s="289">
        <f t="shared" si="26"/>
        <v>0</v>
      </c>
      <c r="H353" s="289">
        <f t="shared" si="26"/>
        <v>0</v>
      </c>
      <c r="I353" s="289">
        <f t="shared" si="26"/>
        <v>0</v>
      </c>
      <c r="J353" s="289">
        <f t="shared" si="26"/>
        <v>0</v>
      </c>
      <c r="K353" s="289">
        <f t="shared" si="26"/>
        <v>0</v>
      </c>
      <c r="L353" s="289">
        <f t="shared" si="26"/>
        <v>0</v>
      </c>
      <c r="M353" s="289">
        <f t="shared" si="26"/>
        <v>0</v>
      </c>
      <c r="N353" s="289">
        <f t="shared" si="26"/>
        <v>0</v>
      </c>
      <c r="O353" s="289">
        <f t="shared" si="26"/>
        <v>0</v>
      </c>
      <c r="P353" s="289">
        <f t="shared" si="26"/>
        <v>0</v>
      </c>
      <c r="Q353" s="289">
        <f t="shared" si="26"/>
        <v>0</v>
      </c>
      <c r="R353" s="289">
        <f t="shared" si="26"/>
        <v>0</v>
      </c>
      <c r="S353" s="289">
        <f t="shared" si="26"/>
        <v>0</v>
      </c>
      <c r="T353" s="289">
        <f t="shared" si="26"/>
        <v>0.10851645447339157</v>
      </c>
      <c r="U353" s="289">
        <f t="shared" si="26"/>
        <v>0.10516655673094041</v>
      </c>
      <c r="V353" s="289">
        <f t="shared" si="26"/>
        <v>7.8714375905532374E-2</v>
      </c>
      <c r="W353" s="289">
        <f t="shared" si="26"/>
        <v>8.1548116142920027E-2</v>
      </c>
      <c r="X353" s="289">
        <f t="shared" si="26"/>
        <v>9.6093610507310648E-2</v>
      </c>
      <c r="Y353" s="289">
        <f t="shared" si="26"/>
        <v>0.10994956663858381</v>
      </c>
      <c r="Z353" s="289">
        <f t="shared" si="26"/>
        <v>0.12935135629680131</v>
      </c>
      <c r="AA353" s="289">
        <f t="shared" si="26"/>
        <v>0.15566354261827423</v>
      </c>
      <c r="AB353" s="289">
        <f t="shared" si="26"/>
        <v>0.1630726126908249</v>
      </c>
      <c r="AC353" s="289">
        <f t="shared" si="26"/>
        <v>0.15250629217778344</v>
      </c>
      <c r="AD353" s="289">
        <f t="shared" si="26"/>
        <v>0.14156853717075474</v>
      </c>
      <c r="AE353" s="289">
        <f t="shared" si="26"/>
        <v>0.13403710823262291</v>
      </c>
      <c r="AF353" s="289">
        <f t="shared" si="26"/>
        <v>0.14298300903596761</v>
      </c>
      <c r="AG353" s="289">
        <f t="shared" si="26"/>
        <v>0.1325788409043461</v>
      </c>
      <c r="AH353" s="289">
        <f t="shared" si="26"/>
        <v>0.13852718412550138</v>
      </c>
      <c r="AI353" s="289">
        <f t="shared" si="26"/>
        <v>0.14252183342546174</v>
      </c>
      <c r="AJ353" s="289">
        <f t="shared" si="26"/>
        <v>0.16564462294633334</v>
      </c>
      <c r="AK353" s="289">
        <f t="shared" si="26"/>
        <v>0.16475810667953181</v>
      </c>
      <c r="AL353" s="289">
        <f t="shared" si="26"/>
        <v>0.15741032944224195</v>
      </c>
      <c r="AM353" s="289">
        <f t="shared" si="26"/>
        <v>0.15842600942709098</v>
      </c>
      <c r="AN353" s="289">
        <f t="shared" si="26"/>
        <v>0.14788054882338486</v>
      </c>
      <c r="AO353" s="289">
        <f t="shared" si="26"/>
        <v>0.14682588408846334</v>
      </c>
      <c r="AP353" s="289">
        <f t="shared" si="26"/>
        <v>0.1492553786257928</v>
      </c>
      <c r="AQ353" s="289">
        <f t="shared" si="26"/>
        <v>0.18585245844357437</v>
      </c>
      <c r="AR353" s="289">
        <f t="shared" si="26"/>
        <v>0.19187605383089831</v>
      </c>
      <c r="AS353" s="289">
        <f t="shared" si="26"/>
        <v>0.17477956185768093</v>
      </c>
      <c r="AT353" s="289">
        <f t="shared" si="26"/>
        <v>0.15808795195973371</v>
      </c>
      <c r="AU353" s="289">
        <f t="shared" si="26"/>
        <v>0.14475505144426512</v>
      </c>
      <c r="AV353" s="289">
        <f t="shared" si="26"/>
        <v>0.13762586641960786</v>
      </c>
      <c r="AW353" s="289">
        <f t="shared" si="26"/>
        <v>0.13941707200552028</v>
      </c>
      <c r="AX353" s="289">
        <f t="shared" si="26"/>
        <v>0.13207742356622759</v>
      </c>
      <c r="AY353" s="289">
        <f t="shared" si="26"/>
        <v>0.15715440153127674</v>
      </c>
      <c r="AZ353" s="289">
        <f t="shared" si="26"/>
        <v>0.20054318396330809</v>
      </c>
      <c r="BA353" s="289">
        <f t="shared" si="26"/>
        <v>0.19207497353940975</v>
      </c>
      <c r="BB353" s="289">
        <f t="shared" si="26"/>
        <v>0.18325148212722334</v>
      </c>
      <c r="BC353" s="289">
        <f t="shared" si="22"/>
        <v>0.18325148212722334</v>
      </c>
    </row>
    <row r="354" spans="2:55">
      <c r="B354" s="72" t="s">
        <v>602</v>
      </c>
      <c r="C354" s="72" t="s">
        <v>603</v>
      </c>
      <c r="D354" s="289">
        <f t="shared" si="20"/>
        <v>0.13161724610293518</v>
      </c>
      <c r="E354" s="289">
        <f t="shared" si="26"/>
        <v>0.15395136606850934</v>
      </c>
      <c r="F354" s="289">
        <f t="shared" si="26"/>
        <v>0.16167421069251675</v>
      </c>
      <c r="G354" s="289">
        <f t="shared" si="26"/>
        <v>0.15718205244234698</v>
      </c>
      <c r="H354" s="289">
        <f t="shared" si="26"/>
        <v>0.12323317957185305</v>
      </c>
      <c r="I354" s="289">
        <f t="shared" si="26"/>
        <v>0.1250457073142042</v>
      </c>
      <c r="J354" s="289">
        <f t="shared" si="26"/>
        <v>0.12357652459164883</v>
      </c>
      <c r="K354" s="289">
        <f t="shared" si="26"/>
        <v>0.13352165756753742</v>
      </c>
      <c r="L354" s="289">
        <f t="shared" si="26"/>
        <v>0.13803520597554012</v>
      </c>
      <c r="M354" s="289">
        <f t="shared" si="26"/>
        <v>0.14685373520068448</v>
      </c>
      <c r="N354" s="289">
        <f t="shared" si="26"/>
        <v>0.14227022587666324</v>
      </c>
      <c r="O354" s="289">
        <f t="shared" si="26"/>
        <v>0.14423384219006427</v>
      </c>
      <c r="P354" s="289">
        <f t="shared" si="26"/>
        <v>0.14715894674179616</v>
      </c>
      <c r="Q354" s="289">
        <f t="shared" si="26"/>
        <v>0.16576651306927651</v>
      </c>
      <c r="R354" s="289">
        <f t="shared" si="26"/>
        <v>0.16631357964572527</v>
      </c>
      <c r="S354" s="289">
        <f t="shared" si="26"/>
        <v>0.18538264777550814</v>
      </c>
      <c r="T354" s="289">
        <f t="shared" ref="E354:BB359" si="27">T104/T$251</f>
        <v>0.18597033465454382</v>
      </c>
      <c r="U354" s="289">
        <f t="shared" si="27"/>
        <v>0.14918860758462332</v>
      </c>
      <c r="V354" s="289">
        <f t="shared" si="27"/>
        <v>0.12930262738773118</v>
      </c>
      <c r="W354" s="289">
        <f t="shared" si="27"/>
        <v>0.11892841613287343</v>
      </c>
      <c r="X354" s="289">
        <f t="shared" si="27"/>
        <v>0.13407634051873488</v>
      </c>
      <c r="Y354" s="289">
        <f t="shared" si="27"/>
        <v>0.15062261703526106</v>
      </c>
      <c r="Z354" s="289">
        <f t="shared" si="27"/>
        <v>0.16815294330453889</v>
      </c>
      <c r="AA354" s="289">
        <f t="shared" si="27"/>
        <v>0.20943354154119326</v>
      </c>
      <c r="AB354" s="289">
        <f t="shared" si="27"/>
        <v>9.4791908426563959E-2</v>
      </c>
      <c r="AC354" s="289">
        <f t="shared" si="27"/>
        <v>9.1849720525132725E-2</v>
      </c>
      <c r="AD354" s="289">
        <f t="shared" si="27"/>
        <v>6.9843097941947707E-2</v>
      </c>
      <c r="AE354" s="289">
        <f t="shared" si="27"/>
        <v>5.2041518705229974E-2</v>
      </c>
      <c r="AF354" s="289">
        <f t="shared" si="27"/>
        <v>6.2985787965677928E-2</v>
      </c>
      <c r="AG354" s="289">
        <f t="shared" si="27"/>
        <v>5.5585798220966556E-2</v>
      </c>
      <c r="AH354" s="289">
        <f t="shared" si="27"/>
        <v>7.2057012765266715E-2</v>
      </c>
      <c r="AI354" s="289">
        <f t="shared" si="27"/>
        <v>7.9459075374728405E-2</v>
      </c>
      <c r="AJ354" s="289">
        <f t="shared" si="27"/>
        <v>0.10003968459149418</v>
      </c>
      <c r="AK354" s="289">
        <f t="shared" si="27"/>
        <v>0.10183108523226626</v>
      </c>
      <c r="AL354" s="289">
        <f t="shared" si="27"/>
        <v>0.10361276425958379</v>
      </c>
      <c r="AM354" s="289">
        <f t="shared" si="27"/>
        <v>0.10736629338920314</v>
      </c>
      <c r="AN354" s="289">
        <f t="shared" si="27"/>
        <v>0.10196975405343685</v>
      </c>
      <c r="AO354" s="289">
        <f t="shared" si="27"/>
        <v>0.10174432234769289</v>
      </c>
      <c r="AP354" s="289">
        <f t="shared" si="27"/>
        <v>0.10016055694706966</v>
      </c>
      <c r="AQ354" s="289">
        <f t="shared" si="27"/>
        <v>0.11145984402616724</v>
      </c>
      <c r="AR354" s="289">
        <f t="shared" si="27"/>
        <v>0.11486683258543059</v>
      </c>
      <c r="AS354" s="289">
        <f t="shared" si="27"/>
        <v>0.11107392194626986</v>
      </c>
      <c r="AT354" s="289">
        <f t="shared" si="27"/>
        <v>7.5893891799245994E-2</v>
      </c>
      <c r="AU354" s="289">
        <f t="shared" si="27"/>
        <v>6.5783768758217634E-2</v>
      </c>
      <c r="AV354" s="289">
        <f t="shared" si="27"/>
        <v>9.6282792525253916E-2</v>
      </c>
      <c r="AW354" s="289">
        <f t="shared" si="27"/>
        <v>9.4500442300780821E-2</v>
      </c>
      <c r="AX354" s="289">
        <f t="shared" si="27"/>
        <v>9.3552998744969543E-2</v>
      </c>
      <c r="AY354" s="289">
        <f t="shared" si="27"/>
        <v>0.10984188847062862</v>
      </c>
      <c r="AZ354" s="289">
        <f t="shared" si="27"/>
        <v>0.13517330120587226</v>
      </c>
      <c r="BA354" s="289">
        <f t="shared" si="27"/>
        <v>0.14329710025144435</v>
      </c>
      <c r="BB354" s="289">
        <f t="shared" si="27"/>
        <v>0.14165662267870824</v>
      </c>
      <c r="BC354" s="289">
        <f t="shared" si="22"/>
        <v>0.14165662267870824</v>
      </c>
    </row>
    <row r="355" spans="2:55">
      <c r="B355" s="72" t="s">
        <v>604</v>
      </c>
      <c r="C355" s="72" t="s">
        <v>605</v>
      </c>
      <c r="D355" s="289">
        <f t="shared" si="20"/>
        <v>0.14749276334636693</v>
      </c>
      <c r="E355" s="289">
        <f t="shared" si="27"/>
        <v>0.13455708417058565</v>
      </c>
      <c r="F355" s="289">
        <f t="shared" si="27"/>
        <v>0.1344819128351766</v>
      </c>
      <c r="G355" s="289">
        <f t="shared" si="27"/>
        <v>0.13384149598502731</v>
      </c>
      <c r="H355" s="289">
        <f t="shared" si="27"/>
        <v>0.12992344008270437</v>
      </c>
      <c r="I355" s="289">
        <f t="shared" si="27"/>
        <v>0.12834966333767517</v>
      </c>
      <c r="J355" s="289">
        <f t="shared" si="27"/>
        <v>0.13203460366698511</v>
      </c>
      <c r="K355" s="289">
        <f t="shared" si="27"/>
        <v>0.14603302750017416</v>
      </c>
      <c r="L355" s="289">
        <f t="shared" si="27"/>
        <v>0.14755514856957658</v>
      </c>
      <c r="M355" s="289">
        <f t="shared" si="27"/>
        <v>0.12507775547209549</v>
      </c>
      <c r="N355" s="289">
        <f t="shared" si="27"/>
        <v>0.10427059226255751</v>
      </c>
      <c r="O355" s="289">
        <f t="shared" si="27"/>
        <v>0.10548294653916893</v>
      </c>
      <c r="P355" s="289">
        <f t="shared" si="27"/>
        <v>0.1221570290070053</v>
      </c>
      <c r="Q355" s="289">
        <f t="shared" si="27"/>
        <v>0.16643786994446375</v>
      </c>
      <c r="R355" s="289">
        <f t="shared" si="27"/>
        <v>0.16013041973544664</v>
      </c>
      <c r="S355" s="289">
        <f t="shared" si="27"/>
        <v>0.19794903128266816</v>
      </c>
      <c r="T355" s="289">
        <f t="shared" si="27"/>
        <v>0.20736295057166723</v>
      </c>
      <c r="U355" s="289">
        <f t="shared" si="27"/>
        <v>0.17866211821319325</v>
      </c>
      <c r="V355" s="289">
        <f t="shared" si="27"/>
        <v>0.16493621960168489</v>
      </c>
      <c r="W355" s="289">
        <f t="shared" si="27"/>
        <v>0.15540668703129543</v>
      </c>
      <c r="X355" s="289">
        <f t="shared" si="27"/>
        <v>0.18688809396241296</v>
      </c>
      <c r="Y355" s="289">
        <f t="shared" si="27"/>
        <v>0.18010296577999088</v>
      </c>
      <c r="Z355" s="289">
        <f t="shared" si="27"/>
        <v>0.15683438478160219</v>
      </c>
      <c r="AA355" s="289">
        <f t="shared" si="27"/>
        <v>0.1652531542146099</v>
      </c>
      <c r="AB355" s="289">
        <f t="shared" si="27"/>
        <v>0.1586535482664323</v>
      </c>
      <c r="AC355" s="289">
        <f t="shared" si="27"/>
        <v>0.10987583670377729</v>
      </c>
      <c r="AD355" s="289">
        <f t="shared" si="27"/>
        <v>7.7191864782680655E-2</v>
      </c>
      <c r="AE355" s="289">
        <f t="shared" si="27"/>
        <v>6.214280056614644E-2</v>
      </c>
      <c r="AF355" s="289">
        <f t="shared" si="27"/>
        <v>6.3104840951063793E-2</v>
      </c>
      <c r="AG355" s="289">
        <f t="shared" si="27"/>
        <v>5.7062095298108559E-2</v>
      </c>
      <c r="AH355" s="289">
        <f t="shared" si="27"/>
        <v>5.8818778994186631E-2</v>
      </c>
      <c r="AI355" s="289">
        <f t="shared" si="27"/>
        <v>5.8993730214589299E-2</v>
      </c>
      <c r="AJ355" s="289">
        <f t="shared" si="27"/>
        <v>8.0906075601733768E-2</v>
      </c>
      <c r="AK355" s="289">
        <f t="shared" si="27"/>
        <v>9.0734187167940059E-2</v>
      </c>
      <c r="AL355" s="289">
        <f t="shared" si="27"/>
        <v>8.8992216186733142E-2</v>
      </c>
      <c r="AM355" s="289">
        <f t="shared" si="27"/>
        <v>8.7609931812119152E-2</v>
      </c>
      <c r="AN355" s="289">
        <f t="shared" si="27"/>
        <v>8.5612119952942101E-2</v>
      </c>
      <c r="AO355" s="289">
        <f t="shared" si="27"/>
        <v>7.7828727832304559E-2</v>
      </c>
      <c r="AP355" s="289">
        <f t="shared" si="27"/>
        <v>5.3588143627833804E-2</v>
      </c>
      <c r="AQ355" s="289">
        <f t="shared" si="27"/>
        <v>5.1534900218590619E-2</v>
      </c>
      <c r="AR355" s="289">
        <f t="shared" si="27"/>
        <v>6.8164280677576641E-2</v>
      </c>
      <c r="AS355" s="289">
        <f t="shared" si="27"/>
        <v>7.1712159562481864E-2</v>
      </c>
      <c r="AT355" s="289">
        <f t="shared" si="27"/>
        <v>7.0213600897089154E-2</v>
      </c>
      <c r="AU355" s="289">
        <f t="shared" si="27"/>
        <v>6.7352032997339731E-2</v>
      </c>
      <c r="AV355" s="289">
        <f t="shared" si="27"/>
        <v>7.2176293152702992E-2</v>
      </c>
      <c r="AW355" s="289">
        <f t="shared" si="27"/>
        <v>7.5532233789086051E-2</v>
      </c>
      <c r="AX355" s="289">
        <f t="shared" si="27"/>
        <v>7.0915272276988725E-2</v>
      </c>
      <c r="AY355" s="289">
        <f t="shared" si="27"/>
        <v>8.9378710056454855E-2</v>
      </c>
      <c r="AZ355" s="289">
        <f t="shared" si="27"/>
        <v>0.10324268363516381</v>
      </c>
      <c r="BA355" s="289">
        <f t="shared" si="27"/>
        <v>0.11055374979359242</v>
      </c>
      <c r="BB355" s="289">
        <f t="shared" si="27"/>
        <v>0.11518044507888522</v>
      </c>
      <c r="BC355" s="289">
        <f t="shared" si="22"/>
        <v>0.11518044507888522</v>
      </c>
    </row>
    <row r="356" spans="2:55">
      <c r="B356" s="72" t="s">
        <v>606</v>
      </c>
      <c r="C356" s="72" t="s">
        <v>607</v>
      </c>
      <c r="D356" s="289">
        <f t="shared" si="20"/>
        <v>0.10414971188829901</v>
      </c>
      <c r="E356" s="289">
        <f t="shared" si="27"/>
        <v>8.9932973108607844E-2</v>
      </c>
      <c r="F356" s="289">
        <f t="shared" si="27"/>
        <v>8.6552008461233634E-2</v>
      </c>
      <c r="G356" s="289">
        <f t="shared" si="27"/>
        <v>8.9277977284699134E-2</v>
      </c>
      <c r="H356" s="289">
        <f t="shared" si="27"/>
        <v>8.692182809053188E-2</v>
      </c>
      <c r="I356" s="289">
        <f t="shared" si="27"/>
        <v>8.3615121293914754E-2</v>
      </c>
      <c r="J356" s="289">
        <f t="shared" si="27"/>
        <v>8.2505973082006939E-2</v>
      </c>
      <c r="K356" s="289">
        <f t="shared" si="27"/>
        <v>9.4049656585469182E-2</v>
      </c>
      <c r="L356" s="289">
        <f t="shared" si="27"/>
        <v>9.6217613483528058E-2</v>
      </c>
      <c r="M356" s="289">
        <f t="shared" si="27"/>
        <v>9.5388502967258731E-2</v>
      </c>
      <c r="N356" s="289">
        <f t="shared" si="27"/>
        <v>8.9054340238990046E-2</v>
      </c>
      <c r="O356" s="289">
        <f t="shared" si="27"/>
        <v>8.0645482410096739E-2</v>
      </c>
      <c r="P356" s="289">
        <f t="shared" si="27"/>
        <v>7.6865669681013549E-2</v>
      </c>
      <c r="Q356" s="289">
        <f t="shared" si="27"/>
        <v>6.5304615077766276E-2</v>
      </c>
      <c r="R356" s="289">
        <f t="shared" si="27"/>
        <v>6.7779440913046787E-2</v>
      </c>
      <c r="S356" s="289">
        <f t="shared" si="27"/>
        <v>8.057332080418679E-2</v>
      </c>
      <c r="T356" s="289">
        <f t="shared" si="27"/>
        <v>7.6398492228730491E-2</v>
      </c>
      <c r="U356" s="289">
        <f t="shared" si="27"/>
        <v>5.9801256788234544E-2</v>
      </c>
      <c r="V356" s="289">
        <f t="shared" si="27"/>
        <v>5.5021800228797289E-2</v>
      </c>
      <c r="W356" s="289">
        <f t="shared" si="27"/>
        <v>5.2967477687548059E-2</v>
      </c>
      <c r="X356" s="289">
        <f t="shared" si="27"/>
        <v>5.5623216175430375E-2</v>
      </c>
      <c r="Y356" s="289">
        <f t="shared" si="27"/>
        <v>6.2280206886176602E-2</v>
      </c>
      <c r="Z356" s="289">
        <f t="shared" si="27"/>
        <v>7.0505722178437688E-2</v>
      </c>
      <c r="AA356" s="289">
        <f t="shared" si="27"/>
        <v>7.9668803964506693E-2</v>
      </c>
      <c r="AB356" s="289">
        <f t="shared" si="27"/>
        <v>8.3406960357131132E-2</v>
      </c>
      <c r="AC356" s="289">
        <f t="shared" si="27"/>
        <v>6.8695274542609222E-2</v>
      </c>
      <c r="AD356" s="289">
        <f t="shared" si="27"/>
        <v>6.1777243558750555E-2</v>
      </c>
      <c r="AE356" s="289">
        <f t="shared" si="27"/>
        <v>4.3060765772451375E-2</v>
      </c>
      <c r="AF356" s="289">
        <f t="shared" si="27"/>
        <v>4.7302464251034765E-2</v>
      </c>
      <c r="AG356" s="289">
        <f t="shared" si="27"/>
        <v>4.2897693864995416E-2</v>
      </c>
      <c r="AH356" s="289">
        <f t="shared" si="27"/>
        <v>3.4696429963041474E-2</v>
      </c>
      <c r="AI356" s="289">
        <f t="shared" si="27"/>
        <v>3.7412701537027367E-2</v>
      </c>
      <c r="AJ356" s="289">
        <f t="shared" si="27"/>
        <v>4.5655307344042148E-2</v>
      </c>
      <c r="AK356" s="289">
        <f t="shared" si="27"/>
        <v>4.6394649553205831E-2</v>
      </c>
      <c r="AL356" s="289">
        <f t="shared" si="27"/>
        <v>4.8602271088507218E-2</v>
      </c>
      <c r="AM356" s="289">
        <f t="shared" si="27"/>
        <v>5.1103062031972547E-2</v>
      </c>
      <c r="AN356" s="289">
        <f t="shared" si="27"/>
        <v>5.2079118319422704E-2</v>
      </c>
      <c r="AO356" s="289">
        <f t="shared" si="27"/>
        <v>5.1963752862417223E-2</v>
      </c>
      <c r="AP356" s="289">
        <f t="shared" si="27"/>
        <v>5.3265879929657221E-2</v>
      </c>
      <c r="AQ356" s="289">
        <f t="shared" si="27"/>
        <v>5.8898043413936188E-2</v>
      </c>
      <c r="AR356" s="289">
        <f t="shared" si="27"/>
        <v>5.7063778248716911E-2</v>
      </c>
      <c r="AS356" s="289">
        <f t="shared" si="27"/>
        <v>4.6371370313371539E-2</v>
      </c>
      <c r="AT356" s="289">
        <f t="shared" si="27"/>
        <v>3.722908323648292E-2</v>
      </c>
      <c r="AU356" s="289">
        <f t="shared" si="27"/>
        <v>2.9496252298239881E-2</v>
      </c>
      <c r="AV356" s="289">
        <f t="shared" si="27"/>
        <v>3.1705156554754858E-2</v>
      </c>
      <c r="AW356" s="289">
        <f t="shared" si="27"/>
        <v>3.5136023675623539E-2</v>
      </c>
      <c r="AX356" s="289">
        <f t="shared" si="27"/>
        <v>3.6602523062843742E-2</v>
      </c>
      <c r="AY356" s="289">
        <f t="shared" si="27"/>
        <v>4.8179584079340212E-2</v>
      </c>
      <c r="AZ356" s="289">
        <f t="shared" si="27"/>
        <v>6.7099495002396425E-2</v>
      </c>
      <c r="BA356" s="289">
        <f t="shared" si="27"/>
        <v>7.4425316033460406E-2</v>
      </c>
      <c r="BB356" s="289">
        <f t="shared" si="27"/>
        <v>7.1236144272519106E-2</v>
      </c>
      <c r="BC356" s="289">
        <f t="shared" si="22"/>
        <v>7.1236144272519106E-2</v>
      </c>
    </row>
    <row r="357" spans="2:55">
      <c r="B357" s="72" t="s">
        <v>608</v>
      </c>
      <c r="C357" s="72" t="s">
        <v>609</v>
      </c>
      <c r="D357" s="289">
        <f t="shared" si="20"/>
        <v>0.15319035854477492</v>
      </c>
      <c r="E357" s="289">
        <f t="shared" si="27"/>
        <v>0.15805268180321222</v>
      </c>
      <c r="F357" s="289">
        <f t="shared" si="27"/>
        <v>0.15372570286641385</v>
      </c>
      <c r="G357" s="289">
        <f t="shared" si="27"/>
        <v>0.15116092185258728</v>
      </c>
      <c r="H357" s="289">
        <f t="shared" si="27"/>
        <v>0.14614222527040896</v>
      </c>
      <c r="I357" s="289">
        <f t="shared" si="27"/>
        <v>0.14189084068276595</v>
      </c>
      <c r="J357" s="289">
        <f t="shared" si="27"/>
        <v>0.1402041189995665</v>
      </c>
      <c r="K357" s="289">
        <f t="shared" si="27"/>
        <v>0.15048239571580369</v>
      </c>
      <c r="L357" s="289">
        <f t="shared" si="27"/>
        <v>0.14197959515051525</v>
      </c>
      <c r="M357" s="289">
        <f t="shared" si="27"/>
        <v>0.13524653985893151</v>
      </c>
      <c r="N357" s="289">
        <f t="shared" si="27"/>
        <v>0.12239975110383651</v>
      </c>
      <c r="O357" s="289">
        <f t="shared" si="27"/>
        <v>0.11097024359220831</v>
      </c>
      <c r="P357" s="289">
        <f t="shared" si="27"/>
        <v>0.10965886773749903</v>
      </c>
      <c r="Q357" s="289">
        <f t="shared" si="27"/>
        <v>0.11453769327121735</v>
      </c>
      <c r="R357" s="289">
        <f t="shared" si="27"/>
        <v>0.10589387839016819</v>
      </c>
      <c r="S357" s="289">
        <f t="shared" si="27"/>
        <v>0.13326570179491767</v>
      </c>
      <c r="T357" s="289">
        <f t="shared" si="27"/>
        <v>0.14603119499745412</v>
      </c>
      <c r="U357" s="289">
        <f t="shared" si="27"/>
        <v>0.12021221733781624</v>
      </c>
      <c r="V357" s="289">
        <f t="shared" si="27"/>
        <v>0.10070835310951962</v>
      </c>
      <c r="W357" s="289">
        <f t="shared" si="27"/>
        <v>7.9763244529460708E-2</v>
      </c>
      <c r="X357" s="289">
        <f t="shared" si="27"/>
        <v>7.9493066109191199E-2</v>
      </c>
      <c r="Y357" s="289">
        <f t="shared" si="27"/>
        <v>8.1245969331601706E-2</v>
      </c>
      <c r="Z357" s="289">
        <f t="shared" si="27"/>
        <v>8.7175548627570584E-2</v>
      </c>
      <c r="AA357" s="289">
        <f t="shared" si="27"/>
        <v>9.5478840321863642E-2</v>
      </c>
      <c r="AB357" s="289">
        <f t="shared" si="27"/>
        <v>9.265705517347711E-2</v>
      </c>
      <c r="AC357" s="289">
        <f t="shared" si="27"/>
        <v>7.4061477679055548E-2</v>
      </c>
      <c r="AD357" s="289">
        <f t="shared" si="27"/>
        <v>6.2629333782444285E-2</v>
      </c>
      <c r="AE357" s="289">
        <f t="shared" si="27"/>
        <v>5.400063577024905E-2</v>
      </c>
      <c r="AF357" s="289">
        <f t="shared" si="27"/>
        <v>5.5218337468535335E-2</v>
      </c>
      <c r="AG357" s="289">
        <f t="shared" si="27"/>
        <v>5.0897219331860005E-2</v>
      </c>
      <c r="AH357" s="289">
        <f t="shared" si="27"/>
        <v>5.3360090552093439E-2</v>
      </c>
      <c r="AI357" s="289">
        <f t="shared" si="27"/>
        <v>5.7116993862550564E-2</v>
      </c>
      <c r="AJ357" s="289">
        <f t="shared" si="27"/>
        <v>7.3095074251049538E-2</v>
      </c>
      <c r="AK357" s="289">
        <f t="shared" si="27"/>
        <v>7.7888967341117971E-2</v>
      </c>
      <c r="AL357" s="289">
        <f t="shared" si="27"/>
        <v>8.3085717629891809E-2</v>
      </c>
      <c r="AM357" s="289">
        <f t="shared" si="27"/>
        <v>8.4954828169927263E-2</v>
      </c>
      <c r="AN357" s="289">
        <f t="shared" si="27"/>
        <v>8.1284972731249266E-2</v>
      </c>
      <c r="AO357" s="289">
        <f t="shared" si="27"/>
        <v>8.1729825761017227E-2</v>
      </c>
      <c r="AP357" s="289">
        <f t="shared" si="27"/>
        <v>8.2289531590754E-2</v>
      </c>
      <c r="AQ357" s="289">
        <f t="shared" si="27"/>
        <v>8.8237551283837701E-2</v>
      </c>
      <c r="AR357" s="289">
        <f t="shared" si="27"/>
        <v>9.3219513101120102E-2</v>
      </c>
      <c r="AS357" s="289">
        <f t="shared" si="27"/>
        <v>8.8496424348205469E-2</v>
      </c>
      <c r="AT357" s="289">
        <f t="shared" si="27"/>
        <v>8.0384780355773289E-2</v>
      </c>
      <c r="AU357" s="289">
        <f t="shared" si="27"/>
        <v>7.1412041834714599E-2</v>
      </c>
      <c r="AV357" s="289">
        <f t="shared" si="27"/>
        <v>7.410981371399572E-2</v>
      </c>
      <c r="AW357" s="289">
        <f t="shared" si="27"/>
        <v>7.5439686959513863E-2</v>
      </c>
      <c r="AX357" s="289">
        <f t="shared" si="27"/>
        <v>7.1128833138410591E-2</v>
      </c>
      <c r="AY357" s="289">
        <f t="shared" si="27"/>
        <v>8.1032535825302829E-2</v>
      </c>
      <c r="AZ357" s="289">
        <f t="shared" si="27"/>
        <v>9.4925178107339567E-2</v>
      </c>
      <c r="BA357" s="289">
        <f t="shared" si="27"/>
        <v>9.5433093605801239E-2</v>
      </c>
      <c r="BB357" s="289">
        <f t="shared" si="27"/>
        <v>9.4829269736615152E-2</v>
      </c>
      <c r="BC357" s="289">
        <f t="shared" si="22"/>
        <v>9.4829269736615152E-2</v>
      </c>
    </row>
    <row r="358" spans="2:55">
      <c r="B358" s="72" t="s">
        <v>610</v>
      </c>
      <c r="C358" s="72" t="s">
        <v>611</v>
      </c>
      <c r="D358" s="289">
        <f t="shared" si="20"/>
        <v>0</v>
      </c>
      <c r="E358" s="289">
        <f t="shared" si="27"/>
        <v>2.3365742886788311E-2</v>
      </c>
      <c r="F358" s="289">
        <f t="shared" si="27"/>
        <v>2.6079358794954488E-2</v>
      </c>
      <c r="G358" s="289">
        <f t="shared" si="27"/>
        <v>2.7765581224889726E-2</v>
      </c>
      <c r="H358" s="289">
        <f t="shared" si="27"/>
        <v>0.12983400336404288</v>
      </c>
      <c r="I358" s="289">
        <f t="shared" si="27"/>
        <v>0.12802354018234249</v>
      </c>
      <c r="J358" s="289">
        <f t="shared" si="27"/>
        <v>0.12652521112393889</v>
      </c>
      <c r="K358" s="289">
        <f t="shared" si="27"/>
        <v>0.12331544332047861</v>
      </c>
      <c r="L358" s="289">
        <f t="shared" si="27"/>
        <v>0.11327456473201578</v>
      </c>
      <c r="M358" s="289">
        <f t="shared" si="27"/>
        <v>0.10170331571695294</v>
      </c>
      <c r="N358" s="289">
        <f t="shared" si="27"/>
        <v>9.0256212906234257E-2</v>
      </c>
      <c r="O358" s="289">
        <f t="shared" si="27"/>
        <v>8.2302399513000876E-2</v>
      </c>
      <c r="P358" s="289">
        <f t="shared" si="27"/>
        <v>9.5014303440669592E-2</v>
      </c>
      <c r="Q358" s="289">
        <f t="shared" si="27"/>
        <v>0.10729374426423061</v>
      </c>
      <c r="R358" s="289">
        <f t="shared" si="27"/>
        <v>0.1041102617783608</v>
      </c>
      <c r="S358" s="289">
        <f t="shared" si="27"/>
        <v>0.11223754175354708</v>
      </c>
      <c r="T358" s="289">
        <f t="shared" si="27"/>
        <v>0.10332133138525484</v>
      </c>
      <c r="U358" s="289">
        <f t="shared" si="27"/>
        <v>0</v>
      </c>
      <c r="V358" s="289">
        <f t="shared" si="27"/>
        <v>0</v>
      </c>
      <c r="W358" s="289">
        <f t="shared" si="27"/>
        <v>0</v>
      </c>
      <c r="X358" s="289">
        <f t="shared" si="27"/>
        <v>0</v>
      </c>
      <c r="Y358" s="289">
        <f t="shared" si="27"/>
        <v>0</v>
      </c>
      <c r="Z358" s="289">
        <f t="shared" si="27"/>
        <v>0</v>
      </c>
      <c r="AA358" s="289">
        <f t="shared" si="27"/>
        <v>0</v>
      </c>
      <c r="AB358" s="289">
        <f t="shared" si="27"/>
        <v>3.100931479631211E-2</v>
      </c>
      <c r="AC358" s="289">
        <f t="shared" si="27"/>
        <v>2.9934779450764008E-2</v>
      </c>
      <c r="AD358" s="289">
        <f t="shared" si="27"/>
        <v>2.8480146766524286E-2</v>
      </c>
      <c r="AE358" s="289">
        <f t="shared" si="27"/>
        <v>2.4191358223980903E-2</v>
      </c>
      <c r="AF358" s="289">
        <f t="shared" si="27"/>
        <v>2.0530730097447505E-2</v>
      </c>
      <c r="AG358" s="289">
        <f t="shared" si="27"/>
        <v>1.9980403098335285E-2</v>
      </c>
      <c r="AH358" s="289">
        <f t="shared" si="27"/>
        <v>1.8375656990529388E-2</v>
      </c>
      <c r="AI358" s="289">
        <f t="shared" si="27"/>
        <v>2.0337527968247369E-2</v>
      </c>
      <c r="AJ358" s="289">
        <f t="shared" si="27"/>
        <v>2.163209353946358E-2</v>
      </c>
      <c r="AK358" s="289">
        <f t="shared" si="27"/>
        <v>1.6029293438823471E-2</v>
      </c>
      <c r="AL358" s="289">
        <f t="shared" si="27"/>
        <v>1.8579980393853827E-2</v>
      </c>
      <c r="AM358" s="289">
        <f t="shared" si="27"/>
        <v>2.7019801761534845E-2</v>
      </c>
      <c r="AN358" s="289">
        <f t="shared" si="27"/>
        <v>4.4904827631130621E-2</v>
      </c>
      <c r="AO358" s="289">
        <f t="shared" si="27"/>
        <v>3.7363820787618046E-2</v>
      </c>
      <c r="AP358" s="289">
        <f t="shared" si="27"/>
        <v>6.7518946027257332E-2</v>
      </c>
      <c r="AQ358" s="289">
        <f t="shared" si="27"/>
        <v>9.531428928217632E-2</v>
      </c>
      <c r="AR358" s="289">
        <f t="shared" si="27"/>
        <v>0.13012444630573344</v>
      </c>
      <c r="AS358" s="289">
        <f t="shared" si="27"/>
        <v>0.14342424192797035</v>
      </c>
      <c r="AT358" s="289">
        <f t="shared" si="27"/>
        <v>0.16568158693897839</v>
      </c>
      <c r="AU358" s="289">
        <f t="shared" si="27"/>
        <v>0.24215427083219379</v>
      </c>
      <c r="AV358" s="289">
        <f t="shared" si="27"/>
        <v>0.35468674089025037</v>
      </c>
      <c r="AW358" s="289">
        <f t="shared" si="27"/>
        <v>0.37908336713248209</v>
      </c>
      <c r="AX358" s="289">
        <f t="shared" si="27"/>
        <v>0.42150798401964362</v>
      </c>
      <c r="AY358" s="289">
        <f t="shared" si="27"/>
        <v>0.64474365240804943</v>
      </c>
      <c r="AZ358" s="289">
        <f t="shared" si="27"/>
        <v>0.50788969264421857</v>
      </c>
      <c r="BA358" s="289">
        <f t="shared" si="27"/>
        <v>0.57102532145293006</v>
      </c>
      <c r="BB358" s="289">
        <f t="shared" si="27"/>
        <v>0.70386249046400207</v>
      </c>
      <c r="BC358" s="289">
        <f t="shared" si="22"/>
        <v>0.70386249046400207</v>
      </c>
    </row>
    <row r="359" spans="2:55">
      <c r="B359" s="72" t="s">
        <v>612</v>
      </c>
      <c r="C359" s="72" t="s">
        <v>613</v>
      </c>
      <c r="D359" s="289">
        <f t="shared" si="20"/>
        <v>0</v>
      </c>
      <c r="E359" s="289">
        <f t="shared" si="27"/>
        <v>0</v>
      </c>
      <c r="F359" s="289">
        <f t="shared" si="27"/>
        <v>0</v>
      </c>
      <c r="G359" s="289">
        <f t="shared" si="27"/>
        <v>0</v>
      </c>
      <c r="H359" s="289">
        <f t="shared" si="27"/>
        <v>0</v>
      </c>
      <c r="I359" s="289">
        <f t="shared" si="27"/>
        <v>0</v>
      </c>
      <c r="J359" s="289">
        <f t="shared" si="27"/>
        <v>0</v>
      </c>
      <c r="K359" s="289">
        <f t="shared" si="27"/>
        <v>0</v>
      </c>
      <c r="L359" s="289">
        <f t="shared" si="27"/>
        <v>0</v>
      </c>
      <c r="M359" s="289">
        <f t="shared" si="27"/>
        <v>0</v>
      </c>
      <c r="N359" s="289">
        <f t="shared" si="27"/>
        <v>0</v>
      </c>
      <c r="O359" s="289">
        <f t="shared" si="27"/>
        <v>0</v>
      </c>
      <c r="P359" s="289">
        <f t="shared" si="27"/>
        <v>0</v>
      </c>
      <c r="Q359" s="289">
        <f t="shared" si="27"/>
        <v>0</v>
      </c>
      <c r="R359" s="289">
        <f t="shared" si="27"/>
        <v>0</v>
      </c>
      <c r="S359" s="289">
        <f t="shared" si="27"/>
        <v>0</v>
      </c>
      <c r="T359" s="289">
        <f t="shared" si="27"/>
        <v>0</v>
      </c>
      <c r="U359" s="289">
        <f t="shared" si="27"/>
        <v>0</v>
      </c>
      <c r="V359" s="289">
        <f t="shared" si="27"/>
        <v>0</v>
      </c>
      <c r="W359" s="289">
        <f t="shared" si="27"/>
        <v>0</v>
      </c>
      <c r="X359" s="289">
        <f t="shared" si="27"/>
        <v>0</v>
      </c>
      <c r="Y359" s="289">
        <f t="shared" ref="E359:BB364" si="28">Y109/Y$251</f>
        <v>0</v>
      </c>
      <c r="Z359" s="289">
        <f t="shared" si="28"/>
        <v>0</v>
      </c>
      <c r="AA359" s="289">
        <f t="shared" si="28"/>
        <v>0</v>
      </c>
      <c r="AB359" s="289">
        <f t="shared" si="28"/>
        <v>0</v>
      </c>
      <c r="AC359" s="289">
        <f t="shared" si="28"/>
        <v>0</v>
      </c>
      <c r="AD359" s="289">
        <f t="shared" si="28"/>
        <v>0</v>
      </c>
      <c r="AE359" s="289">
        <f t="shared" si="28"/>
        <v>0</v>
      </c>
      <c r="AF359" s="289">
        <f t="shared" si="28"/>
        <v>0</v>
      </c>
      <c r="AG359" s="289">
        <f t="shared" si="28"/>
        <v>0</v>
      </c>
      <c r="AH359" s="289">
        <f t="shared" si="28"/>
        <v>0</v>
      </c>
      <c r="AI359" s="289">
        <f t="shared" si="28"/>
        <v>7.9028942019970065E-3</v>
      </c>
      <c r="AJ359" s="289">
        <f t="shared" si="28"/>
        <v>8.6543338229727283E-3</v>
      </c>
      <c r="AK359" s="289">
        <f t="shared" si="28"/>
        <v>9.1049663578151516E-3</v>
      </c>
      <c r="AL359" s="289">
        <f t="shared" si="28"/>
        <v>9.0217057736197252E-3</v>
      </c>
      <c r="AM359" s="289">
        <f t="shared" si="28"/>
        <v>1.0137469069478542E-2</v>
      </c>
      <c r="AN359" s="289">
        <f t="shared" si="28"/>
        <v>8.7740075284532468E-3</v>
      </c>
      <c r="AO359" s="289">
        <f t="shared" si="28"/>
        <v>8.7000178035626357E-3</v>
      </c>
      <c r="AP359" s="289">
        <f t="shared" si="28"/>
        <v>7.5947357045454793E-3</v>
      </c>
      <c r="AQ359" s="289">
        <f t="shared" si="28"/>
        <v>6.8943978250361965E-3</v>
      </c>
      <c r="AR359" s="289">
        <f t="shared" si="28"/>
        <v>7.2616971641377235E-3</v>
      </c>
      <c r="AS359" s="289">
        <f t="shared" si="28"/>
        <v>6.2961137059610907E-3</v>
      </c>
      <c r="AT359" s="289">
        <f t="shared" si="28"/>
        <v>6.7384294895225898E-3</v>
      </c>
      <c r="AU359" s="289">
        <f t="shared" si="28"/>
        <v>6.9988167534446059E-3</v>
      </c>
      <c r="AV359" s="289">
        <f t="shared" si="28"/>
        <v>6.4226305887281985E-3</v>
      </c>
      <c r="AW359" s="289">
        <f t="shared" si="28"/>
        <v>6.4401563630456064E-3</v>
      </c>
      <c r="AX359" s="289">
        <f t="shared" si="28"/>
        <v>5.9283580820396675E-3</v>
      </c>
      <c r="AY359" s="289">
        <f t="shared" si="28"/>
        <v>6.4653750202650264E-3</v>
      </c>
      <c r="AZ359" s="289">
        <f t="shared" si="28"/>
        <v>1.0308282369321249E-2</v>
      </c>
      <c r="BA359" s="289">
        <f t="shared" si="28"/>
        <v>1.1114225921896169E-2</v>
      </c>
      <c r="BB359" s="289">
        <f t="shared" si="28"/>
        <v>1.2339942468220649E-2</v>
      </c>
      <c r="BC359" s="289">
        <f t="shared" si="22"/>
        <v>1.2339942468220649E-2</v>
      </c>
    </row>
    <row r="360" spans="2:55">
      <c r="B360" s="72" t="s">
        <v>614</v>
      </c>
      <c r="C360" s="72" t="s">
        <v>615</v>
      </c>
      <c r="D360" s="289">
        <f t="shared" si="20"/>
        <v>0</v>
      </c>
      <c r="E360" s="289">
        <f t="shared" si="28"/>
        <v>0</v>
      </c>
      <c r="F360" s="289">
        <f t="shared" si="28"/>
        <v>0</v>
      </c>
      <c r="G360" s="289">
        <f t="shared" si="28"/>
        <v>0</v>
      </c>
      <c r="H360" s="289">
        <f t="shared" si="28"/>
        <v>0</v>
      </c>
      <c r="I360" s="289">
        <f t="shared" si="28"/>
        <v>0</v>
      </c>
      <c r="J360" s="289">
        <f t="shared" si="28"/>
        <v>0</v>
      </c>
      <c r="K360" s="289">
        <f t="shared" si="28"/>
        <v>0</v>
      </c>
      <c r="L360" s="289">
        <f t="shared" si="28"/>
        <v>0</v>
      </c>
      <c r="M360" s="289">
        <f t="shared" si="28"/>
        <v>0</v>
      </c>
      <c r="N360" s="289">
        <f t="shared" si="28"/>
        <v>0</v>
      </c>
      <c r="O360" s="289">
        <f t="shared" si="28"/>
        <v>0</v>
      </c>
      <c r="P360" s="289">
        <f t="shared" si="28"/>
        <v>0</v>
      </c>
      <c r="Q360" s="289">
        <f t="shared" si="28"/>
        <v>0</v>
      </c>
      <c r="R360" s="289">
        <f t="shared" si="28"/>
        <v>0</v>
      </c>
      <c r="S360" s="289">
        <f t="shared" si="28"/>
        <v>0</v>
      </c>
      <c r="T360" s="289">
        <f t="shared" si="28"/>
        <v>0</v>
      </c>
      <c r="U360" s="289">
        <f t="shared" si="28"/>
        <v>0</v>
      </c>
      <c r="V360" s="289">
        <f t="shared" si="28"/>
        <v>0</v>
      </c>
      <c r="W360" s="289">
        <f t="shared" si="28"/>
        <v>0</v>
      </c>
      <c r="X360" s="289">
        <f t="shared" si="28"/>
        <v>0</v>
      </c>
      <c r="Y360" s="289">
        <f t="shared" si="28"/>
        <v>0</v>
      </c>
      <c r="Z360" s="289">
        <f t="shared" si="28"/>
        <v>0</v>
      </c>
      <c r="AA360" s="289">
        <f t="shared" si="28"/>
        <v>0</v>
      </c>
      <c r="AB360" s="289">
        <f t="shared" si="28"/>
        <v>0</v>
      </c>
      <c r="AC360" s="289">
        <f t="shared" si="28"/>
        <v>0</v>
      </c>
      <c r="AD360" s="289">
        <f t="shared" si="28"/>
        <v>0</v>
      </c>
      <c r="AE360" s="289">
        <f t="shared" si="28"/>
        <v>0</v>
      </c>
      <c r="AF360" s="289">
        <f t="shared" si="28"/>
        <v>0</v>
      </c>
      <c r="AG360" s="289">
        <f t="shared" si="28"/>
        <v>0</v>
      </c>
      <c r="AH360" s="289">
        <f t="shared" si="28"/>
        <v>0</v>
      </c>
      <c r="AI360" s="289">
        <f t="shared" si="28"/>
        <v>0</v>
      </c>
      <c r="AJ360" s="289">
        <f t="shared" si="28"/>
        <v>0</v>
      </c>
      <c r="AK360" s="289">
        <f t="shared" si="28"/>
        <v>0</v>
      </c>
      <c r="AL360" s="289">
        <f t="shared" si="28"/>
        <v>0.13182140918959648</v>
      </c>
      <c r="AM360" s="289">
        <f t="shared" si="28"/>
        <v>0.1592969250414274</v>
      </c>
      <c r="AN360" s="289">
        <f t="shared" si="28"/>
        <v>0.15387345935767349</v>
      </c>
      <c r="AO360" s="289">
        <f t="shared" si="28"/>
        <v>0.16144909808298319</v>
      </c>
      <c r="AP360" s="289">
        <f t="shared" si="28"/>
        <v>0.16195115092334481</v>
      </c>
      <c r="AQ360" s="289">
        <f t="shared" si="28"/>
        <v>0.16537597181129329</v>
      </c>
      <c r="AR360" s="289">
        <f t="shared" si="28"/>
        <v>0.18412171185723344</v>
      </c>
      <c r="AS360" s="289">
        <f t="shared" si="28"/>
        <v>0.19951843146418663</v>
      </c>
      <c r="AT360" s="289">
        <f t="shared" si="28"/>
        <v>0.23337359739610591</v>
      </c>
      <c r="AU360" s="289">
        <f t="shared" si="28"/>
        <v>0.24288744885155983</v>
      </c>
      <c r="AV360" s="289">
        <f t="shared" si="28"/>
        <v>0.27098167159659126</v>
      </c>
      <c r="AW360" s="289">
        <f t="shared" si="28"/>
        <v>0.30886428722761539</v>
      </c>
      <c r="AX360" s="289">
        <f t="shared" si="28"/>
        <v>0.35382331297523389</v>
      </c>
      <c r="AY360" s="289">
        <f t="shared" si="28"/>
        <v>0.41111996724132172</v>
      </c>
      <c r="AZ360" s="289">
        <f t="shared" si="28"/>
        <v>0.40372188868676823</v>
      </c>
      <c r="BA360" s="289">
        <f t="shared" si="28"/>
        <v>0.38785938836605388</v>
      </c>
      <c r="BB360" s="289">
        <f t="shared" si="28"/>
        <v>0.42351505477456819</v>
      </c>
      <c r="BC360" s="289">
        <f t="shared" si="22"/>
        <v>0.42351505477456819</v>
      </c>
    </row>
    <row r="361" spans="2:55">
      <c r="B361" s="72" t="s">
        <v>616</v>
      </c>
      <c r="C361" s="72" t="s">
        <v>617</v>
      </c>
      <c r="D361" s="289">
        <f t="shared" si="20"/>
        <v>0</v>
      </c>
      <c r="E361" s="289">
        <f t="shared" si="28"/>
        <v>0</v>
      </c>
      <c r="F361" s="289">
        <f t="shared" si="28"/>
        <v>0</v>
      </c>
      <c r="G361" s="289">
        <f t="shared" si="28"/>
        <v>0</v>
      </c>
      <c r="H361" s="289">
        <f t="shared" si="28"/>
        <v>0</v>
      </c>
      <c r="I361" s="289">
        <f t="shared" si="28"/>
        <v>0</v>
      </c>
      <c r="J361" s="289">
        <f t="shared" si="28"/>
        <v>0</v>
      </c>
      <c r="K361" s="289">
        <f t="shared" si="28"/>
        <v>0</v>
      </c>
      <c r="L361" s="289">
        <f t="shared" si="28"/>
        <v>0</v>
      </c>
      <c r="M361" s="289">
        <f t="shared" si="28"/>
        <v>0</v>
      </c>
      <c r="N361" s="289">
        <f t="shared" si="28"/>
        <v>0</v>
      </c>
      <c r="O361" s="289">
        <f t="shared" si="28"/>
        <v>0</v>
      </c>
      <c r="P361" s="289">
        <f t="shared" si="28"/>
        <v>0</v>
      </c>
      <c r="Q361" s="289">
        <f t="shared" si="28"/>
        <v>0</v>
      </c>
      <c r="R361" s="289">
        <f t="shared" si="28"/>
        <v>0</v>
      </c>
      <c r="S361" s="289">
        <f t="shared" si="28"/>
        <v>0</v>
      </c>
      <c r="T361" s="289">
        <f t="shared" si="28"/>
        <v>0</v>
      </c>
      <c r="U361" s="289">
        <f t="shared" si="28"/>
        <v>0</v>
      </c>
      <c r="V361" s="289">
        <f t="shared" si="28"/>
        <v>0</v>
      </c>
      <c r="W361" s="289">
        <f t="shared" si="28"/>
        <v>0</v>
      </c>
      <c r="X361" s="289">
        <f t="shared" si="28"/>
        <v>2.1914010392459719E-2</v>
      </c>
      <c r="Y361" s="289">
        <f t="shared" si="28"/>
        <v>2.350939076069563E-2</v>
      </c>
      <c r="Z361" s="289">
        <f t="shared" si="28"/>
        <v>2.6715675455894948E-2</v>
      </c>
      <c r="AA361" s="289">
        <f t="shared" si="28"/>
        <v>2.5977054312933366E-2</v>
      </c>
      <c r="AB361" s="289">
        <f t="shared" si="28"/>
        <v>2.7899309330889199E-2</v>
      </c>
      <c r="AC361" s="289">
        <f t="shared" si="28"/>
        <v>2.2895421713002368E-2</v>
      </c>
      <c r="AD361" s="289">
        <f t="shared" si="28"/>
        <v>1.9338695688424803E-2</v>
      </c>
      <c r="AE361" s="289">
        <f t="shared" si="28"/>
        <v>1.6005420920508578E-2</v>
      </c>
      <c r="AF361" s="289">
        <f t="shared" si="28"/>
        <v>1.6180534926681318E-2</v>
      </c>
      <c r="AG361" s="289">
        <f t="shared" si="28"/>
        <v>1.4133276984523106E-2</v>
      </c>
      <c r="AH361" s="289">
        <f t="shared" si="28"/>
        <v>1.4534284383256862E-2</v>
      </c>
      <c r="AI361" s="289">
        <f t="shared" si="28"/>
        <v>1.0616677156221435E-2</v>
      </c>
      <c r="AJ361" s="289">
        <f t="shared" si="28"/>
        <v>8.2326498169095121E-3</v>
      </c>
      <c r="AK361" s="289">
        <f t="shared" si="28"/>
        <v>7.1807661757887177E-3</v>
      </c>
      <c r="AL361" s="289">
        <f t="shared" si="28"/>
        <v>6.7884815134909432E-3</v>
      </c>
      <c r="AM361" s="289">
        <f t="shared" si="28"/>
        <v>6.8477207762212104E-3</v>
      </c>
      <c r="AN361" s="289">
        <f t="shared" si="28"/>
        <v>6.0690474278510577E-3</v>
      </c>
      <c r="AO361" s="289">
        <f t="shared" si="28"/>
        <v>5.0216926249659986E-3</v>
      </c>
      <c r="AP361" s="289">
        <f t="shared" si="28"/>
        <v>4.5226036062617362E-3</v>
      </c>
      <c r="AQ361" s="289">
        <f t="shared" si="28"/>
        <v>4.9358617732315306E-3</v>
      </c>
      <c r="AR361" s="289">
        <f t="shared" si="28"/>
        <v>4.8118566389625918E-3</v>
      </c>
      <c r="AS361" s="289">
        <f t="shared" si="28"/>
        <v>4.1677752849301735E-3</v>
      </c>
      <c r="AT361" s="289">
        <f t="shared" si="28"/>
        <v>3.8723028683504057E-3</v>
      </c>
      <c r="AU361" s="289">
        <f t="shared" si="28"/>
        <v>3.7707325482679225E-3</v>
      </c>
      <c r="AV361" s="289">
        <f t="shared" si="28"/>
        <v>4.3395974854355491E-3</v>
      </c>
      <c r="AW361" s="289">
        <f t="shared" si="28"/>
        <v>4.9194303509557938E-3</v>
      </c>
      <c r="AX361" s="289">
        <f t="shared" si="28"/>
        <v>5.3273968194706154E-3</v>
      </c>
      <c r="AY361" s="289">
        <f t="shared" si="28"/>
        <v>7.5456764514382881E-3</v>
      </c>
      <c r="AZ361" s="289">
        <f t="shared" si="28"/>
        <v>9.9276411155577692E-3</v>
      </c>
      <c r="BA361" s="289">
        <f t="shared" si="28"/>
        <v>8.8365670711875559E-3</v>
      </c>
      <c r="BB361" s="289">
        <f t="shared" si="28"/>
        <v>9.1439903893631418E-3</v>
      </c>
      <c r="BC361" s="289">
        <f t="shared" si="22"/>
        <v>9.1439903893631418E-3</v>
      </c>
    </row>
    <row r="362" spans="2:55">
      <c r="B362" s="72" t="s">
        <v>618</v>
      </c>
      <c r="C362" s="72" t="s">
        <v>619</v>
      </c>
      <c r="D362" s="289">
        <f t="shared" si="20"/>
        <v>0</v>
      </c>
      <c r="E362" s="289">
        <f t="shared" si="28"/>
        <v>0</v>
      </c>
      <c r="F362" s="289">
        <f t="shared" si="28"/>
        <v>0</v>
      </c>
      <c r="G362" s="289">
        <f t="shared" si="28"/>
        <v>0</v>
      </c>
      <c r="H362" s="289">
        <f t="shared" si="28"/>
        <v>0</v>
      </c>
      <c r="I362" s="289">
        <f t="shared" si="28"/>
        <v>0</v>
      </c>
      <c r="J362" s="289">
        <f t="shared" si="28"/>
        <v>0</v>
      </c>
      <c r="K362" s="289">
        <f t="shared" si="28"/>
        <v>0</v>
      </c>
      <c r="L362" s="289">
        <f t="shared" si="28"/>
        <v>0</v>
      </c>
      <c r="M362" s="289">
        <f t="shared" si="28"/>
        <v>0</v>
      </c>
      <c r="N362" s="289">
        <f t="shared" si="28"/>
        <v>0</v>
      </c>
      <c r="O362" s="289">
        <f t="shared" si="28"/>
        <v>0</v>
      </c>
      <c r="P362" s="289">
        <f t="shared" si="28"/>
        <v>0</v>
      </c>
      <c r="Q362" s="289">
        <f t="shared" si="28"/>
        <v>0</v>
      </c>
      <c r="R362" s="289">
        <f t="shared" si="28"/>
        <v>0</v>
      </c>
      <c r="S362" s="289">
        <f t="shared" si="28"/>
        <v>0</v>
      </c>
      <c r="T362" s="289">
        <f t="shared" si="28"/>
        <v>0</v>
      </c>
      <c r="U362" s="289">
        <f t="shared" si="28"/>
        <v>0</v>
      </c>
      <c r="V362" s="289">
        <f t="shared" si="28"/>
        <v>0</v>
      </c>
      <c r="W362" s="289">
        <f t="shared" si="28"/>
        <v>0</v>
      </c>
      <c r="X362" s="289">
        <f t="shared" si="28"/>
        <v>0</v>
      </c>
      <c r="Y362" s="289">
        <f t="shared" si="28"/>
        <v>0</v>
      </c>
      <c r="Z362" s="289">
        <f t="shared" si="28"/>
        <v>0</v>
      </c>
      <c r="AA362" s="289">
        <f t="shared" si="28"/>
        <v>0</v>
      </c>
      <c r="AB362" s="289">
        <f t="shared" si="28"/>
        <v>0</v>
      </c>
      <c r="AC362" s="289">
        <f t="shared" si="28"/>
        <v>0</v>
      </c>
      <c r="AD362" s="289">
        <f t="shared" si="28"/>
        <v>0</v>
      </c>
      <c r="AE362" s="289">
        <f t="shared" si="28"/>
        <v>0</v>
      </c>
      <c r="AF362" s="289">
        <f t="shared" si="28"/>
        <v>0</v>
      </c>
      <c r="AG362" s="289">
        <f t="shared" si="28"/>
        <v>0</v>
      </c>
      <c r="AH362" s="289">
        <f t="shared" si="28"/>
        <v>0</v>
      </c>
      <c r="AI362" s="289">
        <f t="shared" si="28"/>
        <v>0</v>
      </c>
      <c r="AJ362" s="289">
        <f t="shared" si="28"/>
        <v>0</v>
      </c>
      <c r="AK362" s="289">
        <f t="shared" si="28"/>
        <v>0</v>
      </c>
      <c r="AL362" s="289">
        <f t="shared" si="28"/>
        <v>0</v>
      </c>
      <c r="AM362" s="289">
        <f t="shared" si="28"/>
        <v>0</v>
      </c>
      <c r="AN362" s="289">
        <f t="shared" si="28"/>
        <v>0</v>
      </c>
      <c r="AO362" s="289">
        <f t="shared" si="28"/>
        <v>0.9972234926088227</v>
      </c>
      <c r="AP362" s="289">
        <f t="shared" si="28"/>
        <v>0.97467832063653315</v>
      </c>
      <c r="AQ362" s="289">
        <f t="shared" si="28"/>
        <v>0.92682803197264074</v>
      </c>
      <c r="AR362" s="289">
        <f t="shared" si="28"/>
        <v>1.0030710401824445</v>
      </c>
      <c r="AS362" s="289">
        <f t="shared" si="28"/>
        <v>1.0008680064954478</v>
      </c>
      <c r="AT362" s="289">
        <f t="shared" si="28"/>
        <v>1.0053872959114858</v>
      </c>
      <c r="AU362" s="289">
        <f t="shared" si="28"/>
        <v>0.95777049829636451</v>
      </c>
      <c r="AV362" s="289">
        <f t="shared" si="28"/>
        <v>0.94087196724762412</v>
      </c>
      <c r="AW362" s="289">
        <f t="shared" si="28"/>
        <v>1.0039853945402679</v>
      </c>
      <c r="AX362" s="289">
        <f t="shared" si="28"/>
        <v>1.0123879160469997</v>
      </c>
      <c r="AY362" s="289">
        <f t="shared" si="28"/>
        <v>1.1507307551847168</v>
      </c>
      <c r="AZ362" s="289">
        <f t="shared" si="28"/>
        <v>1.2794874486383707</v>
      </c>
      <c r="BA362" s="289">
        <f t="shared" si="28"/>
        <v>0</v>
      </c>
      <c r="BB362" s="289">
        <f t="shared" si="28"/>
        <v>0</v>
      </c>
      <c r="BC362" s="289">
        <f t="shared" si="22"/>
        <v>0</v>
      </c>
    </row>
    <row r="363" spans="2:55">
      <c r="B363" s="72" t="s">
        <v>620</v>
      </c>
      <c r="C363" s="72" t="s">
        <v>621</v>
      </c>
      <c r="D363" s="289">
        <f t="shared" si="20"/>
        <v>0.19783058100598427</v>
      </c>
      <c r="E363" s="289">
        <f t="shared" si="28"/>
        <v>0.19262348847356028</v>
      </c>
      <c r="F363" s="289">
        <f t="shared" si="28"/>
        <v>0.18635694546553583</v>
      </c>
      <c r="G363" s="289">
        <f t="shared" si="28"/>
        <v>0.17976843296943901</v>
      </c>
      <c r="H363" s="289">
        <f t="shared" si="28"/>
        <v>0.17130163615839863</v>
      </c>
      <c r="I363" s="289">
        <f t="shared" si="28"/>
        <v>0.16134336544789388</v>
      </c>
      <c r="J363" s="289">
        <f t="shared" si="28"/>
        <v>0.16470572250409329</v>
      </c>
      <c r="K363" s="289">
        <f t="shared" si="28"/>
        <v>0.1764619346973493</v>
      </c>
      <c r="L363" s="289">
        <f t="shared" si="28"/>
        <v>0.1758774547354206</v>
      </c>
      <c r="M363" s="289">
        <f t="shared" si="28"/>
        <v>0.18840223086066257</v>
      </c>
      <c r="N363" s="289">
        <f t="shared" si="28"/>
        <v>0.1845154630192341</v>
      </c>
      <c r="O363" s="289">
        <f t="shared" si="28"/>
        <v>0.20170103555560279</v>
      </c>
      <c r="P363" s="289">
        <f t="shared" si="28"/>
        <v>0.23598734535872565</v>
      </c>
      <c r="Q363" s="289">
        <f t="shared" si="28"/>
        <v>0.2809418933631882</v>
      </c>
      <c r="R363" s="289">
        <f t="shared" si="28"/>
        <v>0.28220729479819384</v>
      </c>
      <c r="S363" s="289">
        <f t="shared" si="28"/>
        <v>0.29252029037023169</v>
      </c>
      <c r="T363" s="289">
        <f t="shared" si="28"/>
        <v>0.26341966439813774</v>
      </c>
      <c r="U363" s="289">
        <f t="shared" si="28"/>
        <v>0.23520619961482112</v>
      </c>
      <c r="V363" s="289">
        <f t="shared" si="28"/>
        <v>0.21841919643205177</v>
      </c>
      <c r="W363" s="289">
        <f t="shared" si="28"/>
        <v>0.19670855409461463</v>
      </c>
      <c r="X363" s="289">
        <f t="shared" si="28"/>
        <v>0.20765142010018076</v>
      </c>
      <c r="Y363" s="289">
        <f t="shared" si="28"/>
        <v>0.20494387203684997</v>
      </c>
      <c r="Z363" s="289">
        <f t="shared" si="28"/>
        <v>0.19820543636075408</v>
      </c>
      <c r="AA363" s="289">
        <f t="shared" si="28"/>
        <v>0.21623651878410058</v>
      </c>
      <c r="AB363" s="289">
        <f t="shared" si="28"/>
        <v>0.19531351093278057</v>
      </c>
      <c r="AC363" s="289">
        <f t="shared" si="28"/>
        <v>0.17842474173289596</v>
      </c>
      <c r="AD363" s="289">
        <f t="shared" si="28"/>
        <v>0.13234851949034507</v>
      </c>
      <c r="AE363" s="289">
        <f t="shared" si="28"/>
        <v>0.10271935712979324</v>
      </c>
      <c r="AF363" s="289">
        <f t="shared" si="28"/>
        <v>0.1084289390555332</v>
      </c>
      <c r="AG363" s="289">
        <f t="shared" si="28"/>
        <v>0.10377790068192876</v>
      </c>
      <c r="AH363" s="289">
        <f t="shared" si="28"/>
        <v>0.10236349618892145</v>
      </c>
      <c r="AI363" s="289">
        <f t="shared" si="28"/>
        <v>0.1085299994253677</v>
      </c>
      <c r="AJ363" s="289">
        <f t="shared" si="28"/>
        <v>0.12743787161366371</v>
      </c>
      <c r="AK363" s="289">
        <f t="shared" si="28"/>
        <v>0.13005692673513022</v>
      </c>
      <c r="AL363" s="289">
        <f t="shared" si="28"/>
        <v>0.1273705845200368</v>
      </c>
      <c r="AM363" s="289">
        <f t="shared" si="28"/>
        <v>0.1294192817779436</v>
      </c>
      <c r="AN363" s="289">
        <f t="shared" si="28"/>
        <v>0.11253542448800474</v>
      </c>
      <c r="AO363" s="289">
        <f t="shared" si="28"/>
        <v>8.2782001425283108E-2</v>
      </c>
      <c r="AP363" s="289">
        <f t="shared" si="28"/>
        <v>9.3925909124676535E-2</v>
      </c>
      <c r="AQ363" s="289">
        <f t="shared" si="28"/>
        <v>8.2799078830903469E-2</v>
      </c>
      <c r="AR363" s="289">
        <f t="shared" si="28"/>
        <v>8.2036397862710941E-2</v>
      </c>
      <c r="AS363" s="289">
        <f t="shared" si="28"/>
        <v>8.3612002023048651E-2</v>
      </c>
      <c r="AT363" s="289">
        <f t="shared" si="28"/>
        <v>9.0954581600901849E-2</v>
      </c>
      <c r="AU363" s="289">
        <f t="shared" si="28"/>
        <v>9.0744291896981119E-2</v>
      </c>
      <c r="AV363" s="289">
        <f t="shared" si="28"/>
        <v>9.5886865456958376E-2</v>
      </c>
      <c r="AW363" s="289">
        <f t="shared" si="28"/>
        <v>9.2574309652788858E-2</v>
      </c>
      <c r="AX363" s="289">
        <f t="shared" si="28"/>
        <v>8.7339211795279481E-2</v>
      </c>
      <c r="AY363" s="289">
        <f t="shared" si="28"/>
        <v>9.8620029365804163E-2</v>
      </c>
      <c r="AZ363" s="289">
        <f t="shared" si="28"/>
        <v>9.5588638379850335E-2</v>
      </c>
      <c r="BA363" s="289">
        <f t="shared" si="28"/>
        <v>0.10169943319764209</v>
      </c>
      <c r="BB363" s="289">
        <f t="shared" si="28"/>
        <v>0.11262485275603736</v>
      </c>
      <c r="BC363" s="289">
        <f t="shared" si="22"/>
        <v>0.11262485275603736</v>
      </c>
    </row>
    <row r="364" spans="2:55">
      <c r="B364" s="72" t="s">
        <v>622</v>
      </c>
      <c r="C364" s="72" t="s">
        <v>385</v>
      </c>
      <c r="D364" s="289">
        <f t="shared" si="20"/>
        <v>0.91386324711992584</v>
      </c>
      <c r="E364" s="289">
        <f t="shared" si="28"/>
        <v>0.93264694427072992</v>
      </c>
      <c r="F364" s="289">
        <f t="shared" si="28"/>
        <v>0.95586173832508814</v>
      </c>
      <c r="G364" s="289">
        <f t="shared" si="28"/>
        <v>0.98733893832152031</v>
      </c>
      <c r="H364" s="289">
        <f t="shared" si="28"/>
        <v>1.0168194758847664</v>
      </c>
      <c r="I364" s="289">
        <f t="shared" si="28"/>
        <v>1.0258138947668289</v>
      </c>
      <c r="J364" s="289">
        <f t="shared" si="28"/>
        <v>1.0052190858303163</v>
      </c>
      <c r="K364" s="289">
        <f t="shared" si="28"/>
        <v>1.005637311891771</v>
      </c>
      <c r="L364" s="289">
        <f t="shared" si="28"/>
        <v>1.0716847271225793</v>
      </c>
      <c r="M364" s="289">
        <f t="shared" si="28"/>
        <v>1.0866961502410712</v>
      </c>
      <c r="N364" s="289">
        <f t="shared" si="28"/>
        <v>1.062669938539627</v>
      </c>
      <c r="O364" s="289">
        <f t="shared" si="28"/>
        <v>1.0857196564357294</v>
      </c>
      <c r="P364" s="289">
        <f t="shared" si="28"/>
        <v>1.2659469855905878</v>
      </c>
      <c r="Q364" s="289">
        <f t="shared" si="28"/>
        <v>1.4886297463226941</v>
      </c>
      <c r="R364" s="289">
        <f t="shared" si="28"/>
        <v>1.4699916002180458</v>
      </c>
      <c r="S364" s="289">
        <f t="shared" si="28"/>
        <v>1.6479898158099746</v>
      </c>
      <c r="T364" s="289">
        <f t="shared" si="28"/>
        <v>1.5299846681042977</v>
      </c>
      <c r="U364" s="289">
        <f t="shared" si="28"/>
        <v>1.3029470632523672</v>
      </c>
      <c r="V364" s="289">
        <f t="shared" si="28"/>
        <v>1.2276931117377601</v>
      </c>
      <c r="W364" s="289">
        <f t="shared" si="28"/>
        <v>1.1525069429658099</v>
      </c>
      <c r="X364" s="289">
        <f t="shared" si="28"/>
        <v>1.1801956343860263</v>
      </c>
      <c r="Y364" s="289">
        <f t="shared" si="28"/>
        <v>1.2398774047236918</v>
      </c>
      <c r="Z364" s="289">
        <f t="shared" si="28"/>
        <v>1.2527258006771242</v>
      </c>
      <c r="AA364" s="289">
        <f t="shared" si="28"/>
        <v>1.3726520096767245</v>
      </c>
      <c r="AB364" s="289">
        <f t="shared" si="28"/>
        <v>1.3660842801392585</v>
      </c>
      <c r="AC364" s="289">
        <f t="shared" si="28"/>
        <v>1.4611419267037526</v>
      </c>
      <c r="AD364" s="289">
        <f t="shared" ref="E364:BB369" si="29">AD114/AD$251</f>
        <v>1.4803244541861962</v>
      </c>
      <c r="AE364" s="289">
        <f t="shared" si="29"/>
        <v>1.4492937597145621</v>
      </c>
      <c r="AF364" s="289">
        <f t="shared" si="29"/>
        <v>1.5624878579863901</v>
      </c>
      <c r="AG364" s="289">
        <f t="shared" si="29"/>
        <v>1.5746728528503666</v>
      </c>
      <c r="AH364" s="289">
        <f t="shared" si="29"/>
        <v>1.3592263906494906</v>
      </c>
      <c r="AI364" s="289">
        <f t="shared" si="29"/>
        <v>1.1524362748101036</v>
      </c>
      <c r="AJ364" s="289">
        <f t="shared" si="29"/>
        <v>1.014254000858869</v>
      </c>
      <c r="AK364" s="289">
        <f t="shared" si="29"/>
        <v>1.0790217925239507</v>
      </c>
      <c r="AL364" s="289">
        <f t="shared" si="29"/>
        <v>1.2840667110824606</v>
      </c>
      <c r="AM364" s="289">
        <f t="shared" si="29"/>
        <v>1.1941994427180196</v>
      </c>
      <c r="AN364" s="289">
        <f t="shared" si="29"/>
        <v>1.0199701744343406</v>
      </c>
      <c r="AO364" s="289">
        <f t="shared" si="29"/>
        <v>1.0073498874536169</v>
      </c>
      <c r="AP364" s="289">
        <f t="shared" si="29"/>
        <v>0.98456066948005327</v>
      </c>
      <c r="AQ364" s="289">
        <f t="shared" si="29"/>
        <v>0.9390175337225044</v>
      </c>
      <c r="AR364" s="289">
        <f t="shared" si="29"/>
        <v>0.96733658472718376</v>
      </c>
      <c r="AS364" s="289">
        <f t="shared" si="29"/>
        <v>0.96284279352284696</v>
      </c>
      <c r="AT364" s="289">
        <f t="shared" si="29"/>
        <v>1.0114238623667622</v>
      </c>
      <c r="AU364" s="289">
        <f t="shared" si="29"/>
        <v>0.98548885005001752</v>
      </c>
      <c r="AV364" s="289">
        <f t="shared" si="29"/>
        <v>0.97894195310269105</v>
      </c>
      <c r="AW364" s="289">
        <f t="shared" si="29"/>
        <v>0.97544753763144199</v>
      </c>
      <c r="AX364" s="289">
        <f t="shared" si="29"/>
        <v>1.0044878987592265</v>
      </c>
      <c r="AY364" s="289">
        <f t="shared" si="29"/>
        <v>1.1863324797962334</v>
      </c>
      <c r="AZ364" s="289">
        <f t="shared" si="29"/>
        <v>1.2690655321152189</v>
      </c>
      <c r="BA364" s="289">
        <f t="shared" si="29"/>
        <v>1.2098398518000573</v>
      </c>
      <c r="BB364" s="289">
        <f t="shared" si="29"/>
        <v>1.2506461845930337</v>
      </c>
      <c r="BC364" s="289">
        <f t="shared" si="22"/>
        <v>1.2506461845930337</v>
      </c>
    </row>
    <row r="365" spans="2:55">
      <c r="B365" s="72" t="s">
        <v>623</v>
      </c>
      <c r="C365" s="72" t="s">
        <v>328</v>
      </c>
      <c r="D365" s="289">
        <f t="shared" si="20"/>
        <v>0.99572636062645425</v>
      </c>
      <c r="E365" s="289">
        <f t="shared" si="29"/>
        <v>1.0521472399678966</v>
      </c>
      <c r="F365" s="289">
        <f t="shared" si="29"/>
        <v>1.1054116997456784</v>
      </c>
      <c r="G365" s="289">
        <f t="shared" si="29"/>
        <v>1.1144700921381481</v>
      </c>
      <c r="H365" s="289">
        <f t="shared" si="29"/>
        <v>1.1076942463608248</v>
      </c>
      <c r="I365" s="289">
        <f t="shared" si="29"/>
        <v>1.1211981072904298</v>
      </c>
      <c r="J365" s="289">
        <f t="shared" si="29"/>
        <v>1.1625758103233443</v>
      </c>
      <c r="K365" s="289">
        <f t="shared" si="29"/>
        <v>1.33791971253056</v>
      </c>
      <c r="L365" s="289">
        <f t="shared" si="29"/>
        <v>1.3429214390889155</v>
      </c>
      <c r="M365" s="289">
        <f t="shared" si="29"/>
        <v>1.2571734667648427</v>
      </c>
      <c r="N365" s="289">
        <f t="shared" si="29"/>
        <v>1.2376108732862696</v>
      </c>
      <c r="O365" s="289">
        <f t="shared" si="29"/>
        <v>1.3162053078863272</v>
      </c>
      <c r="P365" s="289">
        <f t="shared" si="29"/>
        <v>1.5086209598715388</v>
      </c>
      <c r="Q365" s="289">
        <f t="shared" si="29"/>
        <v>1.4971646018415938</v>
      </c>
      <c r="R365" s="289">
        <f t="shared" si="29"/>
        <v>1.5679213575812239</v>
      </c>
      <c r="S365" s="289">
        <f t="shared" si="29"/>
        <v>1.6760887222777843</v>
      </c>
      <c r="T365" s="289">
        <f t="shared" si="29"/>
        <v>1.6301452814366111</v>
      </c>
      <c r="U365" s="289">
        <f t="shared" si="29"/>
        <v>1.5803473598553484</v>
      </c>
      <c r="V365" s="289">
        <f t="shared" si="29"/>
        <v>1.4667163208331906</v>
      </c>
      <c r="W365" s="289">
        <f t="shared" si="29"/>
        <v>1.3003852310971362</v>
      </c>
      <c r="X365" s="289">
        <f t="shared" si="29"/>
        <v>1.1940552743342876</v>
      </c>
      <c r="Y365" s="289">
        <f t="shared" si="29"/>
        <v>1.1824625267440507</v>
      </c>
      <c r="Z365" s="289">
        <f t="shared" si="29"/>
        <v>1.1877615229734346</v>
      </c>
      <c r="AA365" s="289">
        <f t="shared" si="29"/>
        <v>1.1898509011540164</v>
      </c>
      <c r="AB365" s="289">
        <f t="shared" si="29"/>
        <v>1.1676331500702781</v>
      </c>
      <c r="AC365" s="289">
        <f t="shared" si="29"/>
        <v>1.3218487989070469</v>
      </c>
      <c r="AD365" s="289">
        <f t="shared" si="29"/>
        <v>1.2978298387952105</v>
      </c>
      <c r="AE365" s="289">
        <f t="shared" si="29"/>
        <v>1.1611533734316972</v>
      </c>
      <c r="AF365" s="289">
        <f t="shared" si="29"/>
        <v>1.1534728465672985</v>
      </c>
      <c r="AG365" s="289">
        <f t="shared" si="29"/>
        <v>1.2070363733345104</v>
      </c>
      <c r="AH365" s="289">
        <f t="shared" si="29"/>
        <v>1.1568141306214916</v>
      </c>
      <c r="AI365" s="289">
        <f t="shared" si="29"/>
        <v>1.2311871702023063</v>
      </c>
      <c r="AJ365" s="289">
        <f t="shared" si="29"/>
        <v>1.291844684892534</v>
      </c>
      <c r="AK365" s="289">
        <f t="shared" si="29"/>
        <v>1.2584372867629092</v>
      </c>
      <c r="AL365" s="289">
        <f t="shared" si="29"/>
        <v>1.3235513598986155</v>
      </c>
      <c r="AM365" s="289">
        <f t="shared" si="29"/>
        <v>1.2544566606492775</v>
      </c>
      <c r="AN365" s="289">
        <f t="shared" si="29"/>
        <v>1.0091712066647953</v>
      </c>
      <c r="AO365" s="289">
        <f t="shared" si="29"/>
        <v>0.97455091315771669</v>
      </c>
      <c r="AP365" s="289">
        <f t="shared" si="29"/>
        <v>0.93950703664218826</v>
      </c>
      <c r="AQ365" s="289">
        <f t="shared" si="29"/>
        <v>0.86899708001686593</v>
      </c>
      <c r="AR365" s="289">
        <f t="shared" si="29"/>
        <v>0.87823861118009139</v>
      </c>
      <c r="AS365" s="289">
        <f t="shared" si="29"/>
        <v>0.87026346246892483</v>
      </c>
      <c r="AT365" s="289">
        <f t="shared" si="29"/>
        <v>0.92428268892841581</v>
      </c>
      <c r="AU365" s="289">
        <f t="shared" si="29"/>
        <v>0.89344158529312501</v>
      </c>
      <c r="AV365" s="289">
        <f t="shared" si="29"/>
        <v>0.88713927566197848</v>
      </c>
      <c r="AW365" s="289">
        <f t="shared" si="29"/>
        <v>0.8758999886705241</v>
      </c>
      <c r="AX365" s="289">
        <f t="shared" si="29"/>
        <v>0.87075392217794712</v>
      </c>
      <c r="AY365" s="289">
        <f t="shared" si="29"/>
        <v>1.0195905288135958</v>
      </c>
      <c r="AZ365" s="289">
        <f t="shared" si="29"/>
        <v>1.1456438411014307</v>
      </c>
      <c r="BA365" s="289">
        <f t="shared" si="29"/>
        <v>1.0803798780648981</v>
      </c>
      <c r="BB365" s="289">
        <f t="shared" si="29"/>
        <v>1.085530013380783</v>
      </c>
      <c r="BC365" s="289">
        <f t="shared" si="22"/>
        <v>1.085530013380783</v>
      </c>
    </row>
    <row r="366" spans="2:55">
      <c r="B366" s="72" t="s">
        <v>624</v>
      </c>
      <c r="C366" s="72" t="s">
        <v>625</v>
      </c>
      <c r="D366" s="289">
        <f t="shared" si="20"/>
        <v>0</v>
      </c>
      <c r="E366" s="289">
        <f t="shared" si="29"/>
        <v>0</v>
      </c>
      <c r="F366" s="289">
        <f t="shared" si="29"/>
        <v>0</v>
      </c>
      <c r="G366" s="289">
        <f t="shared" si="29"/>
        <v>0</v>
      </c>
      <c r="H366" s="289">
        <f t="shared" si="29"/>
        <v>1.0270935543175166</v>
      </c>
      <c r="I366" s="289">
        <f t="shared" si="29"/>
        <v>1.1442572655987187</v>
      </c>
      <c r="J366" s="289">
        <f t="shared" si="29"/>
        <v>1.0952189878243055</v>
      </c>
      <c r="K366" s="289">
        <f t="shared" si="29"/>
        <v>1.3240221195560387</v>
      </c>
      <c r="L366" s="289">
        <f t="shared" si="29"/>
        <v>1.1158372748443801</v>
      </c>
      <c r="M366" s="289">
        <f t="shared" si="29"/>
        <v>1.0219821620791338</v>
      </c>
      <c r="N366" s="289">
        <f t="shared" si="29"/>
        <v>1.0248751888370091</v>
      </c>
      <c r="O366" s="289">
        <f t="shared" si="29"/>
        <v>0.95239598679333215</v>
      </c>
      <c r="P366" s="289">
        <f t="shared" si="29"/>
        <v>1.0848481319826693</v>
      </c>
      <c r="Q366" s="289">
        <f t="shared" si="29"/>
        <v>1.254763785002553</v>
      </c>
      <c r="R366" s="289">
        <f t="shared" si="29"/>
        <v>1.2647585475106071</v>
      </c>
      <c r="S366" s="289">
        <f t="shared" si="29"/>
        <v>1.3536944728237967</v>
      </c>
      <c r="T366" s="289">
        <f t="shared" si="29"/>
        <v>1.2587221146776451</v>
      </c>
      <c r="U366" s="289">
        <f t="shared" si="29"/>
        <v>1.2215220917467622</v>
      </c>
      <c r="V366" s="289">
        <f t="shared" si="29"/>
        <v>1.1030586830624527</v>
      </c>
      <c r="W366" s="289">
        <f t="shared" si="29"/>
        <v>0.93682256989816082</v>
      </c>
      <c r="X366" s="289">
        <f t="shared" si="29"/>
        <v>0.89954839814022602</v>
      </c>
      <c r="Y366" s="289">
        <f t="shared" si="29"/>
        <v>0.92080199787827388</v>
      </c>
      <c r="Z366" s="289">
        <f t="shared" si="29"/>
        <v>0.98004785633826486</v>
      </c>
      <c r="AA366" s="289">
        <f t="shared" si="29"/>
        <v>1.0460291311208625</v>
      </c>
      <c r="AB366" s="289">
        <f t="shared" si="29"/>
        <v>1.0549601979968484</v>
      </c>
      <c r="AC366" s="289">
        <f t="shared" si="29"/>
        <v>1.2815440490583012</v>
      </c>
      <c r="AD366" s="289">
        <f t="shared" si="29"/>
        <v>1.1281299421717685</v>
      </c>
      <c r="AE366" s="289">
        <f t="shared" si="29"/>
        <v>0.96101141188066785</v>
      </c>
      <c r="AF366" s="289">
        <f t="shared" si="29"/>
        <v>0.91560023324874595</v>
      </c>
      <c r="AG366" s="289">
        <f t="shared" si="29"/>
        <v>0.92052260878002712</v>
      </c>
      <c r="AH366" s="289">
        <f t="shared" si="29"/>
        <v>0.89090955370766112</v>
      </c>
      <c r="AI366" s="289">
        <f t="shared" si="29"/>
        <v>0.92227244845207068</v>
      </c>
      <c r="AJ366" s="289">
        <f t="shared" si="29"/>
        <v>1.0475277352841199</v>
      </c>
      <c r="AK366" s="289">
        <f t="shared" si="29"/>
        <v>0.9082758162486122</v>
      </c>
      <c r="AL366" s="289">
        <f t="shared" si="29"/>
        <v>0.92531018697707468</v>
      </c>
      <c r="AM366" s="289">
        <f t="shared" si="29"/>
        <v>0.85670416429498886</v>
      </c>
      <c r="AN366" s="289">
        <f t="shared" si="29"/>
        <v>0.67678180229129581</v>
      </c>
      <c r="AO366" s="289">
        <f t="shared" si="29"/>
        <v>0.65903322986413215</v>
      </c>
      <c r="AP366" s="289">
        <f t="shared" si="29"/>
        <v>0.63449503225404225</v>
      </c>
      <c r="AQ366" s="289">
        <f t="shared" si="29"/>
        <v>0.57896740423109627</v>
      </c>
      <c r="AR366" s="289">
        <f t="shared" si="29"/>
        <v>0</v>
      </c>
      <c r="AS366" s="289">
        <f t="shared" si="29"/>
        <v>0</v>
      </c>
      <c r="AT366" s="289">
        <f t="shared" si="29"/>
        <v>0</v>
      </c>
      <c r="AU366" s="289">
        <f t="shared" si="29"/>
        <v>0</v>
      </c>
      <c r="AV366" s="289">
        <f t="shared" si="29"/>
        <v>0</v>
      </c>
      <c r="AW366" s="289">
        <f t="shared" si="29"/>
        <v>0</v>
      </c>
      <c r="AX366" s="289">
        <f t="shared" si="29"/>
        <v>0</v>
      </c>
      <c r="AY366" s="289">
        <f t="shared" si="29"/>
        <v>0</v>
      </c>
      <c r="AZ366" s="289">
        <f t="shared" si="29"/>
        <v>0</v>
      </c>
      <c r="BA366" s="289">
        <f t="shared" si="29"/>
        <v>0</v>
      </c>
      <c r="BB366" s="289">
        <f t="shared" si="29"/>
        <v>0</v>
      </c>
      <c r="BC366" s="289">
        <f t="shared" si="22"/>
        <v>0</v>
      </c>
    </row>
    <row r="367" spans="2:55">
      <c r="B367" s="72" t="s">
        <v>626</v>
      </c>
      <c r="C367" s="72" t="s">
        <v>627</v>
      </c>
      <c r="D367" s="289">
        <f t="shared" si="20"/>
        <v>0.23630472339699779</v>
      </c>
      <c r="E367" s="289">
        <f t="shared" si="29"/>
        <v>0.24576508663575317</v>
      </c>
      <c r="F367" s="289">
        <f t="shared" si="29"/>
        <v>0.19608883288470919</v>
      </c>
      <c r="G367" s="289">
        <f t="shared" si="29"/>
        <v>0.25034766084575283</v>
      </c>
      <c r="H367" s="289">
        <f t="shared" si="29"/>
        <v>0.24379410660208742</v>
      </c>
      <c r="I367" s="289">
        <f t="shared" si="29"/>
        <v>0.24805469794067592</v>
      </c>
      <c r="J367" s="289">
        <f t="shared" si="29"/>
        <v>0.26312488906152881</v>
      </c>
      <c r="K367" s="289">
        <f t="shared" si="29"/>
        <v>0.30153380022268761</v>
      </c>
      <c r="L367" s="289">
        <f t="shared" si="29"/>
        <v>0.30024744069798714</v>
      </c>
      <c r="M367" s="289">
        <f t="shared" si="29"/>
        <v>0.27274877483296317</v>
      </c>
      <c r="N367" s="289">
        <f t="shared" si="29"/>
        <v>0.28000325659894271</v>
      </c>
      <c r="O367" s="289">
        <f t="shared" si="29"/>
        <v>0.26977134241409129</v>
      </c>
      <c r="P367" s="289">
        <f t="shared" si="29"/>
        <v>0.39242865792146803</v>
      </c>
      <c r="Q367" s="289">
        <f t="shared" si="29"/>
        <v>0.7570135593276468</v>
      </c>
      <c r="R367" s="289">
        <f t="shared" si="29"/>
        <v>0.86176793925769046</v>
      </c>
      <c r="S367" s="289">
        <f t="shared" si="29"/>
        <v>1.2182567170741263</v>
      </c>
      <c r="T367" s="289">
        <f t="shared" si="29"/>
        <v>0.98009350142902385</v>
      </c>
      <c r="U367" s="289">
        <f t="shared" si="29"/>
        <v>0.64017367014780768</v>
      </c>
      <c r="V367" s="289">
        <f t="shared" si="29"/>
        <v>0.60814574711232383</v>
      </c>
      <c r="W367" s="289">
        <f t="shared" si="29"/>
        <v>0.65148631897005582</v>
      </c>
      <c r="X367" s="289">
        <f t="shared" si="29"/>
        <v>0.60099574996524241</v>
      </c>
      <c r="Y367" s="289">
        <f t="shared" si="29"/>
        <v>0.57304641639188503</v>
      </c>
      <c r="Z367" s="289">
        <f t="shared" si="29"/>
        <v>0.54960995710698002</v>
      </c>
      <c r="AA367" s="289">
        <f t="shared" si="29"/>
        <v>0.59496875032670216</v>
      </c>
      <c r="AB367" s="289">
        <f t="shared" si="29"/>
        <v>0.51248868907036871</v>
      </c>
      <c r="AC367" s="289">
        <f t="shared" si="29"/>
        <v>0.41301751987238078</v>
      </c>
      <c r="AD367" s="289">
        <f t="shared" si="29"/>
        <v>0.31499024443254475</v>
      </c>
      <c r="AE367" s="289">
        <f t="shared" si="29"/>
        <v>0.29422717262041725</v>
      </c>
      <c r="AF367" s="289">
        <f t="shared" si="29"/>
        <v>0.30901655370348435</v>
      </c>
      <c r="AG367" s="289">
        <f t="shared" si="29"/>
        <v>0.36222420911218633</v>
      </c>
      <c r="AH367" s="289">
        <f t="shared" si="29"/>
        <v>0.30621354106599763</v>
      </c>
      <c r="AI367" s="289">
        <f t="shared" si="29"/>
        <v>0.29754189643141321</v>
      </c>
      <c r="AJ367" s="289">
        <f t="shared" si="29"/>
        <v>0.25167631351251979</v>
      </c>
      <c r="AK367" s="289">
        <f t="shared" si="29"/>
        <v>0.21658637389093707</v>
      </c>
      <c r="AL367" s="289">
        <f t="shared" si="29"/>
        <v>0.22867202665497594</v>
      </c>
      <c r="AM367" s="289">
        <f t="shared" si="29"/>
        <v>0.24287061069223642</v>
      </c>
      <c r="AN367" s="289">
        <f t="shared" si="29"/>
        <v>0.19771780940166619</v>
      </c>
      <c r="AO367" s="289">
        <f t="shared" si="29"/>
        <v>0.15227162702903843</v>
      </c>
      <c r="AP367" s="289">
        <f t="shared" si="29"/>
        <v>0.15077843385348635</v>
      </c>
      <c r="AQ367" s="289">
        <f t="shared" si="29"/>
        <v>0.16372766692903717</v>
      </c>
      <c r="AR367" s="289">
        <f t="shared" si="29"/>
        <v>0.15022269424674761</v>
      </c>
      <c r="AS367" s="289">
        <f t="shared" si="29"/>
        <v>0.14154532859081759</v>
      </c>
      <c r="AT367" s="289">
        <f t="shared" si="29"/>
        <v>0.14752333219597488</v>
      </c>
      <c r="AU367" s="289">
        <f t="shared" si="29"/>
        <v>0.14552866045932583</v>
      </c>
      <c r="AV367" s="289">
        <f t="shared" si="29"/>
        <v>0.16583766938299185</v>
      </c>
      <c r="AW367" s="289">
        <f t="shared" si="29"/>
        <v>0.16877718547248138</v>
      </c>
      <c r="AX367" s="289">
        <f t="shared" si="29"/>
        <v>0.1754291666998879</v>
      </c>
      <c r="AY367" s="289">
        <f t="shared" si="29"/>
        <v>0.23227369321932051</v>
      </c>
      <c r="AZ367" s="289">
        <f t="shared" si="29"/>
        <v>0.20969100967929327</v>
      </c>
      <c r="BA367" s="289">
        <f t="shared" si="29"/>
        <v>0.24183095766823504</v>
      </c>
      <c r="BB367" s="289">
        <f t="shared" si="29"/>
        <v>0.28469076291588064</v>
      </c>
      <c r="BC367" s="289">
        <f t="shared" si="22"/>
        <v>0.28469076291588064</v>
      </c>
    </row>
    <row r="368" spans="2:55">
      <c r="B368" s="72" t="s">
        <v>628</v>
      </c>
      <c r="C368" s="72" t="s">
        <v>629</v>
      </c>
      <c r="D368" s="289">
        <f t="shared" si="20"/>
        <v>0</v>
      </c>
      <c r="E368" s="289">
        <f t="shared" si="29"/>
        <v>0</v>
      </c>
      <c r="F368" s="289">
        <f t="shared" si="29"/>
        <v>0</v>
      </c>
      <c r="G368" s="289">
        <f t="shared" si="29"/>
        <v>0</v>
      </c>
      <c r="H368" s="289">
        <f t="shared" si="29"/>
        <v>0</v>
      </c>
      <c r="I368" s="289">
        <f t="shared" si="29"/>
        <v>5.4058876255739671E-2</v>
      </c>
      <c r="J368" s="289">
        <f t="shared" si="29"/>
        <v>5.4165802088601542E-2</v>
      </c>
      <c r="K368" s="289">
        <f t="shared" si="29"/>
        <v>4.9821227222760105E-2</v>
      </c>
      <c r="L368" s="289">
        <f t="shared" si="29"/>
        <v>4.9776447884291648E-2</v>
      </c>
      <c r="M368" s="289">
        <f t="shared" si="29"/>
        <v>5.0856373986658668E-2</v>
      </c>
      <c r="N368" s="289">
        <f t="shared" si="29"/>
        <v>4.6705695216698824E-2</v>
      </c>
      <c r="O368" s="289">
        <f t="shared" si="29"/>
        <v>4.1937648653681159E-2</v>
      </c>
      <c r="P368" s="289">
        <f t="shared" si="29"/>
        <v>4.5774974338971181E-2</v>
      </c>
      <c r="Q368" s="289">
        <f t="shared" si="29"/>
        <v>5.2270181743409298E-2</v>
      </c>
      <c r="R368" s="289">
        <f t="shared" si="29"/>
        <v>5.0903433118856492E-2</v>
      </c>
      <c r="S368" s="289">
        <f t="shared" si="29"/>
        <v>5.00312848370447E-2</v>
      </c>
      <c r="T368" s="289">
        <f t="shared" si="29"/>
        <v>5.2890020195555137E-2</v>
      </c>
      <c r="U368" s="289">
        <f t="shared" si="29"/>
        <v>5.0377118835784593E-2</v>
      </c>
      <c r="V368" s="289">
        <f t="shared" si="29"/>
        <v>4.5301612088886639E-2</v>
      </c>
      <c r="W368" s="289">
        <f t="shared" si="29"/>
        <v>3.9779971374828089E-2</v>
      </c>
      <c r="X368" s="289">
        <f t="shared" si="29"/>
        <v>3.6654590195296093E-2</v>
      </c>
      <c r="Y368" s="289">
        <f t="shared" si="29"/>
        <v>3.6567669578135412E-2</v>
      </c>
      <c r="Z368" s="289">
        <f t="shared" si="29"/>
        <v>3.6630815394280314E-2</v>
      </c>
      <c r="AA368" s="289">
        <f t="shared" si="29"/>
        <v>3.1019903070263099E-2</v>
      </c>
      <c r="AB368" s="289">
        <f t="shared" si="29"/>
        <v>3.5778858053648915E-2</v>
      </c>
      <c r="AC368" s="289">
        <f t="shared" si="29"/>
        <v>2.2901479564277839E-2</v>
      </c>
      <c r="AD368" s="289">
        <f t="shared" si="29"/>
        <v>2.1154245049878222E-2</v>
      </c>
      <c r="AE368" s="289">
        <f t="shared" si="29"/>
        <v>2.0103548156505061E-2</v>
      </c>
      <c r="AF368" s="289">
        <f t="shared" si="29"/>
        <v>2.0334813971845094E-2</v>
      </c>
      <c r="AG368" s="289">
        <f t="shared" si="29"/>
        <v>1.8554886103600666E-2</v>
      </c>
      <c r="AH368" s="289">
        <f t="shared" si="29"/>
        <v>3.7497438278063684E-2</v>
      </c>
      <c r="AI368" s="289">
        <f t="shared" si="29"/>
        <v>3.6440896868752688E-2</v>
      </c>
      <c r="AJ368" s="289">
        <f t="shared" si="29"/>
        <v>4.1727220731331789E-2</v>
      </c>
      <c r="AK368" s="289">
        <f t="shared" si="29"/>
        <v>3.7196157847253435E-2</v>
      </c>
      <c r="AL368" s="289">
        <f t="shared" si="29"/>
        <v>3.4995011158500525E-2</v>
      </c>
      <c r="AM368" s="289">
        <f t="shared" si="29"/>
        <v>3.4928034764911429E-2</v>
      </c>
      <c r="AN368" s="289">
        <f t="shared" si="29"/>
        <v>2.8758545713370592E-2</v>
      </c>
      <c r="AO368" s="289">
        <f t="shared" si="29"/>
        <v>2.7441420001749865E-2</v>
      </c>
      <c r="AP368" s="289">
        <f t="shared" si="29"/>
        <v>2.5227525477213811E-2</v>
      </c>
      <c r="AQ368" s="289">
        <f t="shared" si="29"/>
        <v>2.4088301365851956E-2</v>
      </c>
      <c r="AR368" s="289">
        <f t="shared" si="29"/>
        <v>2.0721817774782318E-2</v>
      </c>
      <c r="AS368" s="289">
        <f t="shared" si="29"/>
        <v>1.5565392310818103E-2</v>
      </c>
      <c r="AT368" s="289">
        <f t="shared" si="29"/>
        <v>1.1026641671919385E-2</v>
      </c>
      <c r="AU368" s="289">
        <f t="shared" si="29"/>
        <v>1.0799648805203418E-2</v>
      </c>
      <c r="AV368" s="289">
        <f t="shared" si="29"/>
        <v>1.0888802671752929E-2</v>
      </c>
      <c r="AW368" s="289">
        <f t="shared" si="29"/>
        <v>1.045857762323325E-2</v>
      </c>
      <c r="AX368" s="289">
        <f t="shared" si="29"/>
        <v>1.0835370926511238E-2</v>
      </c>
      <c r="AY368" s="289">
        <f t="shared" si="29"/>
        <v>1.3680869680053625E-2</v>
      </c>
      <c r="AZ368" s="289">
        <f t="shared" si="29"/>
        <v>1.5157564291094369E-2</v>
      </c>
      <c r="BA368" s="289">
        <f t="shared" si="29"/>
        <v>1.5188873952575533E-2</v>
      </c>
      <c r="BB368" s="289">
        <f t="shared" si="29"/>
        <v>1.295544426031367E-2</v>
      </c>
      <c r="BC368" s="289">
        <f t="shared" si="22"/>
        <v>1.295544426031367E-2</v>
      </c>
    </row>
    <row r="369" spans="2:55">
      <c r="B369" s="72" t="s">
        <v>630</v>
      </c>
      <c r="C369" s="72" t="s">
        <v>631</v>
      </c>
      <c r="D369" s="289">
        <f t="shared" si="20"/>
        <v>0</v>
      </c>
      <c r="E369" s="289">
        <f t="shared" si="29"/>
        <v>0</v>
      </c>
      <c r="F369" s="289">
        <f t="shared" si="29"/>
        <v>0</v>
      </c>
      <c r="G369" s="289">
        <f t="shared" si="29"/>
        <v>0</v>
      </c>
      <c r="H369" s="289">
        <f t="shared" si="29"/>
        <v>0</v>
      </c>
      <c r="I369" s="289">
        <f t="shared" si="29"/>
        <v>0</v>
      </c>
      <c r="J369" s="289">
        <f t="shared" si="29"/>
        <v>0</v>
      </c>
      <c r="K369" s="289">
        <f t="shared" si="29"/>
        <v>0</v>
      </c>
      <c r="L369" s="289">
        <f t="shared" si="29"/>
        <v>0</v>
      </c>
      <c r="M369" s="289">
        <f t="shared" si="29"/>
        <v>0</v>
      </c>
      <c r="N369" s="289">
        <f t="shared" si="29"/>
        <v>0</v>
      </c>
      <c r="O369" s="289">
        <f t="shared" si="29"/>
        <v>0</v>
      </c>
      <c r="P369" s="289">
        <f t="shared" si="29"/>
        <v>0</v>
      </c>
      <c r="Q369" s="289">
        <f t="shared" si="29"/>
        <v>0</v>
      </c>
      <c r="R369" s="289">
        <f t="shared" si="29"/>
        <v>0</v>
      </c>
      <c r="S369" s="289">
        <f t="shared" si="29"/>
        <v>0</v>
      </c>
      <c r="T369" s="289">
        <f t="shared" si="29"/>
        <v>0</v>
      </c>
      <c r="U369" s="289">
        <f t="shared" si="29"/>
        <v>0</v>
      </c>
      <c r="V369" s="289">
        <f t="shared" si="29"/>
        <v>0</v>
      </c>
      <c r="W369" s="289">
        <f t="shared" si="29"/>
        <v>0</v>
      </c>
      <c r="X369" s="289">
        <f t="shared" si="29"/>
        <v>0</v>
      </c>
      <c r="Y369" s="289">
        <f t="shared" si="29"/>
        <v>0</v>
      </c>
      <c r="Z369" s="289">
        <f t="shared" si="29"/>
        <v>0</v>
      </c>
      <c r="AA369" s="289">
        <f t="shared" si="29"/>
        <v>0</v>
      </c>
      <c r="AB369" s="289">
        <f t="shared" si="29"/>
        <v>0</v>
      </c>
      <c r="AC369" s="289">
        <f t="shared" si="29"/>
        <v>0</v>
      </c>
      <c r="AD369" s="289">
        <f t="shared" si="29"/>
        <v>0</v>
      </c>
      <c r="AE369" s="289">
        <f t="shared" si="29"/>
        <v>0</v>
      </c>
      <c r="AF369" s="289">
        <f t="shared" si="29"/>
        <v>0</v>
      </c>
      <c r="AG369" s="289">
        <f t="shared" si="29"/>
        <v>9.1103629686126703E-2</v>
      </c>
      <c r="AH369" s="289">
        <f t="shared" si="29"/>
        <v>7.1273502239832934E-2</v>
      </c>
      <c r="AI369" s="289">
        <f t="shared" ref="E369:BB374" si="30">AI119/AI$251</f>
        <v>3.9945419829324917E-2</v>
      </c>
      <c r="AJ369" s="289">
        <f t="shared" si="30"/>
        <v>3.2357759727581571E-2</v>
      </c>
      <c r="AK369" s="289">
        <f t="shared" si="30"/>
        <v>2.8212352775338009E-2</v>
      </c>
      <c r="AL369" s="289">
        <f t="shared" si="30"/>
        <v>2.8531114405464755E-2</v>
      </c>
      <c r="AM369" s="289">
        <f t="shared" si="30"/>
        <v>3.1978151318626663E-2</v>
      </c>
      <c r="AN369" s="289">
        <f t="shared" si="30"/>
        <v>3.302172076043168E-2</v>
      </c>
      <c r="AO369" s="289">
        <f t="shared" si="30"/>
        <v>3.2216213090767575E-2</v>
      </c>
      <c r="AP369" s="289">
        <f t="shared" si="30"/>
        <v>2.4540876426270238E-2</v>
      </c>
      <c r="AQ369" s="289">
        <f t="shared" si="30"/>
        <v>2.7616265385758749E-2</v>
      </c>
      <c r="AR369" s="289">
        <f t="shared" si="30"/>
        <v>2.9552255538806312E-2</v>
      </c>
      <c r="AS369" s="289">
        <f t="shared" si="30"/>
        <v>2.8869333559635172E-2</v>
      </c>
      <c r="AT369" s="289">
        <f t="shared" si="30"/>
        <v>2.9596831806394584E-2</v>
      </c>
      <c r="AU369" s="289">
        <f t="shared" si="30"/>
        <v>3.2344144008491484E-2</v>
      </c>
      <c r="AV369" s="289">
        <f t="shared" si="30"/>
        <v>3.8561956020778276E-2</v>
      </c>
      <c r="AW369" s="289">
        <f t="shared" si="30"/>
        <v>4.3597542598330208E-2</v>
      </c>
      <c r="AX369" s="289">
        <f t="shared" si="30"/>
        <v>5.0031862771543471E-2</v>
      </c>
      <c r="AY369" s="289">
        <f t="shared" si="30"/>
        <v>6.7670248161515484E-2</v>
      </c>
      <c r="AZ369" s="289">
        <f t="shared" si="30"/>
        <v>6.9089390247125765E-2</v>
      </c>
      <c r="BA369" s="289">
        <f t="shared" si="30"/>
        <v>7.2089825638329025E-2</v>
      </c>
      <c r="BB369" s="289">
        <f t="shared" si="30"/>
        <v>8.2035133048203646E-2</v>
      </c>
      <c r="BC369" s="289">
        <f t="shared" si="22"/>
        <v>8.2035133048203646E-2</v>
      </c>
    </row>
    <row r="370" spans="2:55">
      <c r="B370" s="72" t="s">
        <v>632</v>
      </c>
      <c r="C370" s="72" t="s">
        <v>633</v>
      </c>
      <c r="D370" s="289">
        <f t="shared" si="20"/>
        <v>0</v>
      </c>
      <c r="E370" s="289">
        <f t="shared" si="30"/>
        <v>0</v>
      </c>
      <c r="F370" s="289">
        <f t="shared" si="30"/>
        <v>0</v>
      </c>
      <c r="G370" s="289">
        <f t="shared" si="30"/>
        <v>0</v>
      </c>
      <c r="H370" s="289">
        <f t="shared" si="30"/>
        <v>0</v>
      </c>
      <c r="I370" s="289">
        <f t="shared" si="30"/>
        <v>0</v>
      </c>
      <c r="J370" s="289">
        <f t="shared" si="30"/>
        <v>0</v>
      </c>
      <c r="K370" s="289">
        <f t="shared" si="30"/>
        <v>0</v>
      </c>
      <c r="L370" s="289">
        <f t="shared" si="30"/>
        <v>0</v>
      </c>
      <c r="M370" s="289">
        <f>M120/M$251</f>
        <v>1.1918164123840624</v>
      </c>
      <c r="N370" s="289">
        <f t="shared" si="30"/>
        <v>1.2230900191957079</v>
      </c>
      <c r="O370" s="289">
        <f t="shared" si="30"/>
        <v>1.2748944214376554</v>
      </c>
      <c r="P370" s="289">
        <f t="shared" si="30"/>
        <v>1.4993411983210563</v>
      </c>
      <c r="Q370" s="289">
        <f t="shared" si="30"/>
        <v>1.5518654927879021</v>
      </c>
      <c r="R370" s="289">
        <f t="shared" si="30"/>
        <v>1.4352248039185214</v>
      </c>
      <c r="S370" s="289">
        <f t="shared" si="30"/>
        <v>1.5888585030026248</v>
      </c>
      <c r="T370" s="289">
        <f t="shared" si="30"/>
        <v>1.6285081500449636</v>
      </c>
      <c r="U370" s="289">
        <f t="shared" si="30"/>
        <v>1.5860273346648712</v>
      </c>
      <c r="V370" s="289">
        <f t="shared" si="30"/>
        <v>1.4534205222599779</v>
      </c>
      <c r="W370" s="289">
        <f t="shared" si="30"/>
        <v>1.2206624296985049</v>
      </c>
      <c r="X370" s="289">
        <f t="shared" si="30"/>
        <v>1.0806118272148144</v>
      </c>
      <c r="Y370" s="289">
        <f t="shared" si="30"/>
        <v>1.1004087214882132</v>
      </c>
      <c r="Z370" s="289">
        <f t="shared" si="30"/>
        <v>1.1547610210020454</v>
      </c>
      <c r="AA370" s="289">
        <f t="shared" si="30"/>
        <v>1.1587672351683762</v>
      </c>
      <c r="AB370" s="289">
        <f t="shared" si="30"/>
        <v>1.1114862647514936</v>
      </c>
      <c r="AC370" s="289">
        <f t="shared" si="30"/>
        <v>1.2944558687293495</v>
      </c>
      <c r="AD370" s="289">
        <f t="shared" si="30"/>
        <v>1.3085925644050489</v>
      </c>
      <c r="AE370" s="289">
        <f t="shared" si="30"/>
        <v>1.1606101731207681</v>
      </c>
      <c r="AF370" s="289">
        <f t="shared" si="30"/>
        <v>1.1417029630416315</v>
      </c>
      <c r="AG370" s="289">
        <f t="shared" si="30"/>
        <v>1.2202763170205755</v>
      </c>
      <c r="AH370" s="289">
        <f t="shared" si="30"/>
        <v>1.2293571473113583</v>
      </c>
      <c r="AI370" s="289">
        <f t="shared" si="30"/>
        <v>1.3504267177599378</v>
      </c>
      <c r="AJ370" s="289">
        <f t="shared" si="30"/>
        <v>1.4552124621777434</v>
      </c>
      <c r="AK370" s="289">
        <f t="shared" si="30"/>
        <v>1.4390702178083477</v>
      </c>
      <c r="AL370" s="289">
        <f t="shared" si="30"/>
        <v>1.5487471492452642</v>
      </c>
      <c r="AM370" s="289">
        <f t="shared" si="30"/>
        <v>1.4189474613354269</v>
      </c>
      <c r="AN370" s="289">
        <f t="shared" si="30"/>
        <v>1.1209227739074048</v>
      </c>
      <c r="AO370" s="289">
        <f t="shared" si="30"/>
        <v>1.0620859226180275</v>
      </c>
      <c r="AP370" s="289">
        <f t="shared" si="30"/>
        <v>1.0129327673061703</v>
      </c>
      <c r="AQ370" s="289">
        <f t="shared" si="30"/>
        <v>0.91571804402777757</v>
      </c>
      <c r="AR370" s="289">
        <f t="shared" si="30"/>
        <v>0.91963054977800152</v>
      </c>
      <c r="AS370" s="289">
        <f t="shared" si="30"/>
        <v>0.90105165950823796</v>
      </c>
      <c r="AT370" s="289">
        <f t="shared" si="30"/>
        <v>0.94268354452182601</v>
      </c>
      <c r="AU370" s="289">
        <f t="shared" si="30"/>
        <v>0.90039299811115647</v>
      </c>
      <c r="AV370" s="289">
        <f t="shared" si="30"/>
        <v>0.87988998252781581</v>
      </c>
      <c r="AW370" s="289">
        <f t="shared" si="30"/>
        <v>0.87047347922176344</v>
      </c>
      <c r="AX370" s="289">
        <f t="shared" si="30"/>
        <v>0.87206509196430004</v>
      </c>
      <c r="AY370" s="289">
        <f t="shared" si="30"/>
        <v>1.0228339461421523</v>
      </c>
      <c r="AZ370" s="289">
        <f t="shared" si="30"/>
        <v>1.1399318017054691</v>
      </c>
      <c r="BA370" s="289">
        <f t="shared" si="30"/>
        <v>1.1077836844079318</v>
      </c>
      <c r="BB370" s="289">
        <f t="shared" si="30"/>
        <v>1.1286261772227417</v>
      </c>
      <c r="BC370" s="289">
        <f t="shared" si="22"/>
        <v>1.1286261772227417</v>
      </c>
    </row>
    <row r="371" spans="2:55">
      <c r="B371" s="72" t="s">
        <v>634</v>
      </c>
      <c r="C371" s="72" t="s">
        <v>635</v>
      </c>
      <c r="D371" s="289">
        <f t="shared" si="20"/>
        <v>0.12885634088015821</v>
      </c>
      <c r="E371" s="289">
        <f t="shared" si="30"/>
        <v>0.1272170495646005</v>
      </c>
      <c r="F371" s="289">
        <f t="shared" si="30"/>
        <v>0.1307678745154276</v>
      </c>
      <c r="G371" s="289">
        <f t="shared" si="30"/>
        <v>0.13155841259793849</v>
      </c>
      <c r="H371" s="289">
        <f t="shared" si="30"/>
        <v>0.14212758202454551</v>
      </c>
      <c r="I371" s="289">
        <f t="shared" si="30"/>
        <v>0.13589429642934467</v>
      </c>
      <c r="J371" s="289">
        <f t="shared" si="30"/>
        <v>0.1059543651314908</v>
      </c>
      <c r="K371" s="289">
        <f t="shared" si="30"/>
        <v>0.10577862166830998</v>
      </c>
      <c r="L371" s="289">
        <f t="shared" si="30"/>
        <v>0.11377304845845289</v>
      </c>
      <c r="M371" s="289">
        <f t="shared" si="30"/>
        <v>0.11381415575036384</v>
      </c>
      <c r="N371" s="289">
        <f t="shared" si="30"/>
        <v>0.1074169849675855</v>
      </c>
      <c r="O371" s="289">
        <f t="shared" si="30"/>
        <v>7.9680916655495135E-2</v>
      </c>
      <c r="P371" s="289">
        <f t="shared" si="30"/>
        <v>8.0222677711011034E-2</v>
      </c>
      <c r="Q371" s="289">
        <f t="shared" si="30"/>
        <v>8.4927120770679002E-2</v>
      </c>
      <c r="R371" s="289">
        <f t="shared" si="30"/>
        <v>6.7349838129366582E-2</v>
      </c>
      <c r="S371" s="289">
        <f t="shared" si="30"/>
        <v>6.7626363938113845E-2</v>
      </c>
      <c r="T371" s="289">
        <f t="shared" si="30"/>
        <v>6.7888773274081646E-2</v>
      </c>
      <c r="U371" s="289">
        <f t="shared" si="30"/>
        <v>6.0513215347820684E-2</v>
      </c>
      <c r="V371" s="289">
        <f t="shared" si="30"/>
        <v>5.0189469968364694E-2</v>
      </c>
      <c r="W371" s="289">
        <f t="shared" si="30"/>
        <v>4.2291623876458538E-2</v>
      </c>
      <c r="X371" s="289">
        <f t="shared" si="30"/>
        <v>4.1067848903852296E-2</v>
      </c>
      <c r="Y371" s="289">
        <f t="shared" si="30"/>
        <v>3.9823338649116226E-2</v>
      </c>
      <c r="Z371" s="289">
        <f t="shared" si="30"/>
        <v>4.0765915898567574E-2</v>
      </c>
      <c r="AA371" s="289">
        <f t="shared" si="30"/>
        <v>4.5521598831233745E-2</v>
      </c>
      <c r="AB371" s="289">
        <f t="shared" si="30"/>
        <v>4.2623782171502402E-2</v>
      </c>
      <c r="AC371" s="289">
        <f t="shared" si="30"/>
        <v>4.2914348298078213E-2</v>
      </c>
      <c r="AD371" s="289">
        <f t="shared" si="30"/>
        <v>3.0169958495089619E-2</v>
      </c>
      <c r="AE371" s="289">
        <f t="shared" si="30"/>
        <v>2.4813248064565127E-2</v>
      </c>
      <c r="AF371" s="289">
        <f t="shared" si="30"/>
        <v>2.4233814868792707E-2</v>
      </c>
      <c r="AG371" s="289">
        <f t="shared" si="30"/>
        <v>2.2506889780131205E-2</v>
      </c>
      <c r="AH371" s="289">
        <f t="shared" si="30"/>
        <v>2.3601835432399482E-2</v>
      </c>
      <c r="AI371" s="289">
        <f t="shared" si="30"/>
        <v>2.1614444193429519E-2</v>
      </c>
      <c r="AJ371" s="289">
        <f t="shared" si="30"/>
        <v>2.1803391383785935E-2</v>
      </c>
      <c r="AK371" s="289">
        <f t="shared" si="30"/>
        <v>1.7949706891818899E-2</v>
      </c>
      <c r="AL371" s="289">
        <f t="shared" si="30"/>
        <v>1.9069987331278543E-2</v>
      </c>
      <c r="AM371" s="289">
        <f t="shared" si="30"/>
        <v>1.8972402291190772E-2</v>
      </c>
      <c r="AN371" s="289">
        <f t="shared" si="30"/>
        <v>1.6452083094744229E-2</v>
      </c>
      <c r="AO371" s="289">
        <f t="shared" si="30"/>
        <v>1.6373849360695362E-2</v>
      </c>
      <c r="AP371" s="289">
        <f t="shared" si="30"/>
        <v>1.6093024759754229E-2</v>
      </c>
      <c r="AQ371" s="289">
        <f t="shared" si="30"/>
        <v>1.0375716510453967E-2</v>
      </c>
      <c r="AR371" s="289">
        <f t="shared" si="30"/>
        <v>1.0900199728712655E-2</v>
      </c>
      <c r="AS371" s="289">
        <f t="shared" si="30"/>
        <v>1.1355234626713659E-2</v>
      </c>
      <c r="AT371" s="289">
        <f t="shared" si="30"/>
        <v>1.1887287649342434E-2</v>
      </c>
      <c r="AU371" s="289">
        <f t="shared" si="30"/>
        <v>1.1459922675041825E-2</v>
      </c>
      <c r="AV371" s="289">
        <f t="shared" si="30"/>
        <v>1.3009238437899015E-2</v>
      </c>
      <c r="AW371" s="289">
        <f t="shared" si="30"/>
        <v>2.2741603578870544E-2</v>
      </c>
      <c r="AX371" s="289">
        <f t="shared" si="30"/>
        <v>2.3527814810013498E-2</v>
      </c>
      <c r="AY371" s="289">
        <f t="shared" si="30"/>
        <v>2.8420745367492686E-2</v>
      </c>
      <c r="AZ371" s="289">
        <f t="shared" si="30"/>
        <v>3.0862656313369975E-2</v>
      </c>
      <c r="BA371" s="289">
        <f t="shared" si="30"/>
        <v>3.6382464367886037E-2</v>
      </c>
      <c r="BB371" s="289">
        <f t="shared" si="30"/>
        <v>4.0220163625569301E-2</v>
      </c>
      <c r="BC371" s="289">
        <f t="shared" si="22"/>
        <v>4.0220163625569301E-2</v>
      </c>
    </row>
    <row r="372" spans="2:55">
      <c r="B372" s="72" t="s">
        <v>636</v>
      </c>
      <c r="C372" s="72" t="s">
        <v>637</v>
      </c>
      <c r="D372" s="289">
        <f t="shared" si="20"/>
        <v>0.41120064484483049</v>
      </c>
      <c r="E372" s="289">
        <f t="shared" si="30"/>
        <v>0.41661767106173125</v>
      </c>
      <c r="F372" s="289">
        <f t="shared" si="30"/>
        <v>0.44054630172885711</v>
      </c>
      <c r="G372" s="289">
        <f t="shared" si="30"/>
        <v>0.45388826090104262</v>
      </c>
      <c r="H372" s="289">
        <f t="shared" si="30"/>
        <v>0.48025052421961201</v>
      </c>
      <c r="I372" s="289">
        <f t="shared" si="30"/>
        <v>0.50093817797013973</v>
      </c>
      <c r="J372" s="289">
        <f t="shared" si="30"/>
        <v>0.51991829506223453</v>
      </c>
      <c r="K372" s="289">
        <f t="shared" si="30"/>
        <v>0.59816709450665562</v>
      </c>
      <c r="L372" s="289">
        <f t="shared" si="30"/>
        <v>0.63188634101177532</v>
      </c>
      <c r="M372" s="289">
        <f t="shared" si="30"/>
        <v>0.63559887534066151</v>
      </c>
      <c r="N372" s="289">
        <f t="shared" si="30"/>
        <v>0.62384444656484916</v>
      </c>
      <c r="O372" s="289">
        <f t="shared" si="30"/>
        <v>0.62637411989665792</v>
      </c>
      <c r="P372" s="289">
        <f t="shared" si="30"/>
        <v>0.73268947600948775</v>
      </c>
      <c r="Q372" s="289">
        <f t="shared" si="30"/>
        <v>0.76708483569203811</v>
      </c>
      <c r="R372" s="289">
        <f t="shared" si="30"/>
        <v>0.71506953531262496</v>
      </c>
      <c r="S372" s="289">
        <f t="shared" si="30"/>
        <v>0.80006689340174164</v>
      </c>
      <c r="T372" s="289">
        <f t="shared" si="30"/>
        <v>0.81172590029878477</v>
      </c>
      <c r="U372" s="289">
        <f t="shared" si="30"/>
        <v>0.77377292688856503</v>
      </c>
      <c r="V372" s="289">
        <f t="shared" si="30"/>
        <v>0.724392203813921</v>
      </c>
      <c r="W372" s="289">
        <f t="shared" si="30"/>
        <v>0.5840172799162463</v>
      </c>
      <c r="X372" s="289">
        <f t="shared" si="30"/>
        <v>0.56116471191670503</v>
      </c>
      <c r="Y372" s="289">
        <f t="shared" si="30"/>
        <v>0.61023105304467584</v>
      </c>
      <c r="Z372" s="289">
        <f t="shared" si="30"/>
        <v>0.5790554448149795</v>
      </c>
      <c r="AA372" s="289">
        <f t="shared" si="30"/>
        <v>0.59494003887208791</v>
      </c>
      <c r="AB372" s="289">
        <f t="shared" si="30"/>
        <v>0.55910753168625149</v>
      </c>
      <c r="AC372" s="289">
        <f t="shared" si="30"/>
        <v>0.53596247545745113</v>
      </c>
      <c r="AD372" s="289">
        <f t="shared" si="30"/>
        <v>0.50757868368941728</v>
      </c>
      <c r="AE372" s="289">
        <f t="shared" si="30"/>
        <v>0.48459506198611962</v>
      </c>
      <c r="AF372" s="289">
        <f t="shared" si="30"/>
        <v>0.49692639762551205</v>
      </c>
      <c r="AG372" s="289">
        <f t="shared" si="30"/>
        <v>0.51959044093420059</v>
      </c>
      <c r="AH372" s="289">
        <f t="shared" si="30"/>
        <v>0.53166850643324193</v>
      </c>
      <c r="AI372" s="289">
        <f t="shared" si="30"/>
        <v>0.56367131539478776</v>
      </c>
      <c r="AJ372" s="289">
        <f t="shared" si="30"/>
        <v>0.58325350571259549</v>
      </c>
      <c r="AK372" s="289">
        <f t="shared" si="30"/>
        <v>0.57484839417673195</v>
      </c>
      <c r="AL372" s="289">
        <f t="shared" si="30"/>
        <v>0.61541050246527096</v>
      </c>
      <c r="AM372" s="289">
        <f t="shared" si="30"/>
        <v>0.61474202603300843</v>
      </c>
      <c r="AN372" s="289">
        <f t="shared" si="30"/>
        <v>0.53261787958922324</v>
      </c>
      <c r="AO372" s="289">
        <f t="shared" si="30"/>
        <v>0.49948472442030484</v>
      </c>
      <c r="AP372" s="289">
        <f t="shared" si="30"/>
        <v>0.4775993150908987</v>
      </c>
      <c r="AQ372" s="289">
        <f t="shared" si="30"/>
        <v>0.45480119654381163</v>
      </c>
      <c r="AR372" s="289">
        <f t="shared" si="30"/>
        <v>0.47743455661612266</v>
      </c>
      <c r="AS372" s="289">
        <f t="shared" si="30"/>
        <v>0.49236443950759823</v>
      </c>
      <c r="AT372" s="289">
        <f t="shared" si="30"/>
        <v>0.56156544220357274</v>
      </c>
      <c r="AU372" s="289">
        <f t="shared" si="30"/>
        <v>0.56157772910106818</v>
      </c>
      <c r="AV372" s="289">
        <f t="shared" si="30"/>
        <v>0.56715191626102623</v>
      </c>
      <c r="AW372" s="289">
        <f t="shared" si="30"/>
        <v>0.57990918110120349</v>
      </c>
      <c r="AX372" s="289">
        <f t="shared" si="30"/>
        <v>0.58899593587809718</v>
      </c>
      <c r="AY372" s="289">
        <f t="shared" si="30"/>
        <v>0.70454267014945171</v>
      </c>
      <c r="AZ372" s="289">
        <f t="shared" si="30"/>
        <v>0.80528971920712344</v>
      </c>
      <c r="BA372" s="289">
        <f t="shared" si="30"/>
        <v>0.71249460186206293</v>
      </c>
      <c r="BB372" s="289">
        <f t="shared" si="30"/>
        <v>0.65631870709992335</v>
      </c>
      <c r="BC372" s="289">
        <f t="shared" si="22"/>
        <v>0.65631870709992335</v>
      </c>
    </row>
    <row r="373" spans="2:55">
      <c r="B373" s="72" t="s">
        <v>638</v>
      </c>
      <c r="C373" s="72" t="s">
        <v>639</v>
      </c>
      <c r="D373" s="289">
        <f t="shared" si="20"/>
        <v>0</v>
      </c>
      <c r="E373" s="289">
        <f t="shared" si="30"/>
        <v>0</v>
      </c>
      <c r="F373" s="289">
        <f t="shared" si="30"/>
        <v>0</v>
      </c>
      <c r="G373" s="289">
        <f t="shared" si="30"/>
        <v>0</v>
      </c>
      <c r="H373" s="289">
        <f t="shared" si="30"/>
        <v>0</v>
      </c>
      <c r="I373" s="289">
        <f t="shared" si="30"/>
        <v>0</v>
      </c>
      <c r="J373" s="289">
        <f t="shared" si="30"/>
        <v>0</v>
      </c>
      <c r="K373" s="289">
        <f t="shared" si="30"/>
        <v>0</v>
      </c>
      <c r="L373" s="289">
        <f t="shared" si="30"/>
        <v>0</v>
      </c>
      <c r="M373" s="289">
        <f t="shared" si="30"/>
        <v>0.66828528523061048</v>
      </c>
      <c r="N373" s="289">
        <f t="shared" si="30"/>
        <v>0.7429851371719407</v>
      </c>
      <c r="O373" s="289">
        <f t="shared" si="30"/>
        <v>0.75958812052984104</v>
      </c>
      <c r="P373" s="289">
        <f t="shared" si="30"/>
        <v>0.87811241402550022</v>
      </c>
      <c r="Q373" s="289">
        <f t="shared" si="30"/>
        <v>0.9761933056905252</v>
      </c>
      <c r="R373" s="289">
        <f t="shared" si="30"/>
        <v>1.0126020245496665</v>
      </c>
      <c r="S373" s="289">
        <f t="shared" si="30"/>
        <v>1.1988638066015163</v>
      </c>
      <c r="T373" s="289">
        <f t="shared" si="30"/>
        <v>1.2515619776909488</v>
      </c>
      <c r="U373" s="289">
        <f t="shared" si="30"/>
        <v>1.2506377475740897</v>
      </c>
      <c r="V373" s="289">
        <f t="shared" si="30"/>
        <v>1.1290960446996279</v>
      </c>
      <c r="W373" s="289">
        <f t="shared" si="30"/>
        <v>0.9854647783950411</v>
      </c>
      <c r="X373" s="289">
        <f t="shared" si="30"/>
        <v>0.93455068247836692</v>
      </c>
      <c r="Y373" s="289">
        <f t="shared" si="30"/>
        <v>0.89623905354274869</v>
      </c>
      <c r="Z373" s="289">
        <f t="shared" si="30"/>
        <v>0.9663285963167404</v>
      </c>
      <c r="AA373" s="289">
        <f t="shared" si="30"/>
        <v>0.92556406189907914</v>
      </c>
      <c r="AB373" s="289">
        <f t="shared" si="30"/>
        <v>0.94530921174432625</v>
      </c>
      <c r="AC373" s="289">
        <f t="shared" si="30"/>
        <v>1.1199834790742087</v>
      </c>
      <c r="AD373" s="289">
        <f t="shared" si="30"/>
        <v>1.1801013689461652</v>
      </c>
      <c r="AE373" s="289">
        <f t="shared" si="30"/>
        <v>1.0967756681052343</v>
      </c>
      <c r="AF373" s="289">
        <f t="shared" si="30"/>
        <v>1.1166594486604591</v>
      </c>
      <c r="AG373" s="289">
        <f t="shared" si="30"/>
        <v>1.0361415382431201</v>
      </c>
      <c r="AH373" s="289">
        <f t="shared" si="30"/>
        <v>0.99612662312236566</v>
      </c>
      <c r="AI373" s="289">
        <f t="shared" si="30"/>
        <v>0.98989246442745349</v>
      </c>
      <c r="AJ373" s="289">
        <f t="shared" si="30"/>
        <v>0.98819934847002711</v>
      </c>
      <c r="AK373" s="289">
        <f t="shared" si="30"/>
        <v>0.98885373740568738</v>
      </c>
      <c r="AL373" s="289">
        <f t="shared" si="30"/>
        <v>1.0863455007441465</v>
      </c>
      <c r="AM373" s="289">
        <f t="shared" si="30"/>
        <v>1.0217605964495668</v>
      </c>
      <c r="AN373" s="289">
        <f t="shared" si="30"/>
        <v>0.81610595425211241</v>
      </c>
      <c r="AO373" s="289">
        <f t="shared" si="30"/>
        <v>0.81999823264110627</v>
      </c>
      <c r="AP373" s="289">
        <f t="shared" si="30"/>
        <v>0.78712741290098187</v>
      </c>
      <c r="AQ373" s="289">
        <f t="shared" si="30"/>
        <v>0.75841234555701709</v>
      </c>
      <c r="AR373" s="289">
        <f t="shared" si="30"/>
        <v>0.776097381120192</v>
      </c>
      <c r="AS373" s="289">
        <f t="shared" si="30"/>
        <v>0.76500584010774864</v>
      </c>
      <c r="AT373" s="289">
        <f t="shared" si="30"/>
        <v>0.80663455853083665</v>
      </c>
      <c r="AU373" s="289">
        <f t="shared" si="30"/>
        <v>0.78767738946156618</v>
      </c>
      <c r="AV373" s="289">
        <f t="shared" si="30"/>
        <v>0.78441915017912445</v>
      </c>
      <c r="AW373" s="289">
        <f t="shared" si="30"/>
        <v>0.75641028564335266</v>
      </c>
      <c r="AX373" s="289">
        <f t="shared" si="30"/>
        <v>0.80976800913865432</v>
      </c>
      <c r="AY373" s="289">
        <f t="shared" si="30"/>
        <v>0.7157660335553313</v>
      </c>
      <c r="AZ373" s="289">
        <f t="shared" si="30"/>
        <v>0.63705272219201803</v>
      </c>
      <c r="BA373" s="289">
        <f t="shared" si="30"/>
        <v>0</v>
      </c>
      <c r="BB373" s="289">
        <f t="shared" si="30"/>
        <v>0</v>
      </c>
      <c r="BC373" s="289">
        <f t="shared" si="22"/>
        <v>0</v>
      </c>
    </row>
    <row r="374" spans="2:55">
      <c r="B374" s="72" t="s">
        <v>640</v>
      </c>
      <c r="C374" s="72" t="s">
        <v>641</v>
      </c>
      <c r="D374" s="289">
        <f t="shared" si="20"/>
        <v>0</v>
      </c>
      <c r="E374" s="289">
        <f t="shared" si="30"/>
        <v>0</v>
      </c>
      <c r="F374" s="289">
        <f t="shared" si="30"/>
        <v>0</v>
      </c>
      <c r="G374" s="289">
        <f t="shared" si="30"/>
        <v>0</v>
      </c>
      <c r="H374" s="289">
        <f t="shared" si="30"/>
        <v>0</v>
      </c>
      <c r="I374" s="289">
        <f t="shared" si="30"/>
        <v>0</v>
      </c>
      <c r="J374" s="289">
        <f t="shared" si="30"/>
        <v>0</v>
      </c>
      <c r="K374" s="289">
        <f t="shared" si="30"/>
        <v>0</v>
      </c>
      <c r="L374" s="289">
        <f t="shared" si="30"/>
        <v>0</v>
      </c>
      <c r="M374" s="289">
        <f t="shared" si="30"/>
        <v>0</v>
      </c>
      <c r="N374" s="289">
        <f t="shared" si="30"/>
        <v>0</v>
      </c>
      <c r="O374" s="289">
        <f t="shared" si="30"/>
        <v>0</v>
      </c>
      <c r="P374" s="289">
        <f t="shared" si="30"/>
        <v>0</v>
      </c>
      <c r="Q374" s="289">
        <f t="shared" si="30"/>
        <v>0</v>
      </c>
      <c r="R374" s="289">
        <f t="shared" si="30"/>
        <v>0</v>
      </c>
      <c r="S374" s="289">
        <f t="shared" si="30"/>
        <v>0</v>
      </c>
      <c r="T374" s="289">
        <f t="shared" si="30"/>
        <v>0.12957897008204344</v>
      </c>
      <c r="U374" s="289">
        <f t="shared" si="30"/>
        <v>0.13116915886206915</v>
      </c>
      <c r="V374" s="289">
        <f t="shared" si="30"/>
        <v>0.11780328502121062</v>
      </c>
      <c r="W374" s="289">
        <f t="shared" si="30"/>
        <v>9.7700384403602153E-2</v>
      </c>
      <c r="X374" s="289">
        <f t="shared" si="30"/>
        <v>0.10621914820708979</v>
      </c>
      <c r="Y374" s="289">
        <f t="shared" si="30"/>
        <v>0.11743266561009297</v>
      </c>
      <c r="Z374" s="289">
        <f t="shared" si="30"/>
        <v>0.1276653683537235</v>
      </c>
      <c r="AA374" s="289">
        <f t="shared" si="30"/>
        <v>0.14392132650863848</v>
      </c>
      <c r="AB374" s="289">
        <f t="shared" si="30"/>
        <v>0.15644299988917501</v>
      </c>
      <c r="AC374" s="289">
        <f t="shared" si="30"/>
        <v>0.143008933025389</v>
      </c>
      <c r="AD374" s="289">
        <f t="shared" si="30"/>
        <v>0.13655509351984241</v>
      </c>
      <c r="AE374" s="289">
        <f t="shared" si="30"/>
        <v>0.12597213592239623</v>
      </c>
      <c r="AF374" s="289">
        <f t="shared" si="30"/>
        <v>0.1462055401959787</v>
      </c>
      <c r="AG374" s="289">
        <f t="shared" si="30"/>
        <v>0.12992264284033678</v>
      </c>
      <c r="AH374" s="289">
        <f t="shared" si="30"/>
        <v>0.13633612694428945</v>
      </c>
      <c r="AI374" s="289">
        <f t="shared" si="30"/>
        <v>0.13626986789535908</v>
      </c>
      <c r="AJ374" s="289">
        <f t="shared" si="30"/>
        <v>0.14990950564109215</v>
      </c>
      <c r="AK374" s="289">
        <f t="shared" si="30"/>
        <v>0.14381436213449247</v>
      </c>
      <c r="AL374" s="289">
        <f t="shared" si="30"/>
        <v>0.13831215711968908</v>
      </c>
      <c r="AM374" s="289">
        <f t="shared" si="30"/>
        <v>0.13954981764392499</v>
      </c>
      <c r="AN374" s="289">
        <f t="shared" ref="E374:BB379" si="31">AN124/AN$251</f>
        <v>0.12864818377799656</v>
      </c>
      <c r="AO374" s="289">
        <f t="shared" si="31"/>
        <v>0.13470630800760983</v>
      </c>
      <c r="AP374" s="289">
        <f t="shared" si="31"/>
        <v>0.14616760557566871</v>
      </c>
      <c r="AQ374" s="289">
        <f t="shared" si="31"/>
        <v>0.20569069232153425</v>
      </c>
      <c r="AR374" s="289">
        <f t="shared" si="31"/>
        <v>0.20710604470444854</v>
      </c>
      <c r="AS374" s="289">
        <f t="shared" si="31"/>
        <v>0.19778092346472767</v>
      </c>
      <c r="AT374" s="289">
        <f t="shared" si="31"/>
        <v>0.18731127694639596</v>
      </c>
      <c r="AU374" s="289">
        <f t="shared" si="31"/>
        <v>0.1595952154241598</v>
      </c>
      <c r="AV374" s="289">
        <f t="shared" si="31"/>
        <v>0.17884670917803733</v>
      </c>
      <c r="AW374" s="289">
        <f t="shared" si="31"/>
        <v>0.16896579134958062</v>
      </c>
      <c r="AX374" s="289">
        <f t="shared" si="31"/>
        <v>0.15949344575132435</v>
      </c>
      <c r="AY374" s="289">
        <f t="shared" si="31"/>
        <v>0.18598445778422426</v>
      </c>
      <c r="AZ374" s="289">
        <f t="shared" si="31"/>
        <v>0.21085717479538177</v>
      </c>
      <c r="BA374" s="289">
        <f t="shared" si="31"/>
        <v>0.20684894550234117</v>
      </c>
      <c r="BB374" s="289">
        <f t="shared" si="31"/>
        <v>0.19929314970274148</v>
      </c>
      <c r="BC374" s="289">
        <f t="shared" si="22"/>
        <v>0.19929314970274148</v>
      </c>
    </row>
    <row r="375" spans="2:55">
      <c r="B375" s="72" t="s">
        <v>642</v>
      </c>
      <c r="C375" s="72" t="s">
        <v>643</v>
      </c>
      <c r="D375" s="289">
        <f t="shared" si="20"/>
        <v>0</v>
      </c>
      <c r="E375" s="289">
        <f t="shared" si="31"/>
        <v>0</v>
      </c>
      <c r="F375" s="289">
        <f t="shared" si="31"/>
        <v>0</v>
      </c>
      <c r="G375" s="289">
        <f t="shared" si="31"/>
        <v>0</v>
      </c>
      <c r="H375" s="289">
        <f t="shared" si="31"/>
        <v>0</v>
      </c>
      <c r="I375" s="289">
        <f t="shared" si="31"/>
        <v>0</v>
      </c>
      <c r="J375" s="289">
        <f t="shared" si="31"/>
        <v>0</v>
      </c>
      <c r="K375" s="289">
        <f t="shared" si="31"/>
        <v>0</v>
      </c>
      <c r="L375" s="289">
        <f t="shared" si="31"/>
        <v>0</v>
      </c>
      <c r="M375" s="289">
        <f t="shared" si="31"/>
        <v>0</v>
      </c>
      <c r="N375" s="289">
        <f t="shared" si="31"/>
        <v>0</v>
      </c>
      <c r="O375" s="289">
        <f t="shared" si="31"/>
        <v>0</v>
      </c>
      <c r="P375" s="289">
        <f t="shared" si="31"/>
        <v>0</v>
      </c>
      <c r="Q375" s="289">
        <f t="shared" si="31"/>
        <v>0</v>
      </c>
      <c r="R375" s="289">
        <f t="shared" si="31"/>
        <v>0</v>
      </c>
      <c r="S375" s="289">
        <f t="shared" si="31"/>
        <v>0</v>
      </c>
      <c r="T375" s="289">
        <f t="shared" si="31"/>
        <v>0</v>
      </c>
      <c r="U375" s="289">
        <f t="shared" si="31"/>
        <v>0</v>
      </c>
      <c r="V375" s="289">
        <f t="shared" si="31"/>
        <v>0</v>
      </c>
      <c r="W375" s="289">
        <f t="shared" si="31"/>
        <v>0</v>
      </c>
      <c r="X375" s="289">
        <f t="shared" si="31"/>
        <v>0</v>
      </c>
      <c r="Y375" s="289">
        <f t="shared" si="31"/>
        <v>0</v>
      </c>
      <c r="Z375" s="289">
        <f t="shared" si="31"/>
        <v>0</v>
      </c>
      <c r="AA375" s="289">
        <f t="shared" si="31"/>
        <v>0</v>
      </c>
      <c r="AB375" s="289">
        <f t="shared" si="31"/>
        <v>0</v>
      </c>
      <c r="AC375" s="289">
        <f t="shared" si="31"/>
        <v>0</v>
      </c>
      <c r="AD375" s="289">
        <f t="shared" si="31"/>
        <v>0</v>
      </c>
      <c r="AE375" s="289">
        <f t="shared" si="31"/>
        <v>0</v>
      </c>
      <c r="AF375" s="289">
        <f t="shared" si="31"/>
        <v>0</v>
      </c>
      <c r="AG375" s="289">
        <f t="shared" si="31"/>
        <v>0</v>
      </c>
      <c r="AH375" s="289">
        <f t="shared" si="31"/>
        <v>0</v>
      </c>
      <c r="AI375" s="289">
        <f t="shared" si="31"/>
        <v>0</v>
      </c>
      <c r="AJ375" s="289">
        <f t="shared" si="31"/>
        <v>0</v>
      </c>
      <c r="AK375" s="289">
        <f t="shared" si="31"/>
        <v>0</v>
      </c>
      <c r="AL375" s="289">
        <f t="shared" si="31"/>
        <v>0</v>
      </c>
      <c r="AM375" s="289">
        <f t="shared" si="31"/>
        <v>0</v>
      </c>
      <c r="AN375" s="289">
        <f t="shared" si="31"/>
        <v>0</v>
      </c>
      <c r="AO375" s="289">
        <f t="shared" si="31"/>
        <v>0</v>
      </c>
      <c r="AP375" s="289">
        <f t="shared" si="31"/>
        <v>0</v>
      </c>
      <c r="AQ375" s="289">
        <f t="shared" si="31"/>
        <v>0</v>
      </c>
      <c r="AR375" s="289">
        <f t="shared" si="31"/>
        <v>0</v>
      </c>
      <c r="AS375" s="289">
        <f t="shared" si="31"/>
        <v>0</v>
      </c>
      <c r="AT375" s="289">
        <f t="shared" si="31"/>
        <v>0</v>
      </c>
      <c r="AU375" s="289">
        <f t="shared" si="31"/>
        <v>0</v>
      </c>
      <c r="AV375" s="289">
        <f t="shared" si="31"/>
        <v>0</v>
      </c>
      <c r="AW375" s="289">
        <f t="shared" si="31"/>
        <v>0</v>
      </c>
      <c r="AX375" s="289">
        <f t="shared" si="31"/>
        <v>0</v>
      </c>
      <c r="AY375" s="289">
        <f t="shared" si="31"/>
        <v>0</v>
      </c>
      <c r="AZ375" s="289">
        <f t="shared" si="31"/>
        <v>0</v>
      </c>
      <c r="BA375" s="289">
        <f t="shared" si="31"/>
        <v>0</v>
      </c>
      <c r="BB375" s="289">
        <f t="shared" si="31"/>
        <v>0</v>
      </c>
      <c r="BC375" s="289">
        <f t="shared" si="22"/>
        <v>0</v>
      </c>
    </row>
    <row r="376" spans="2:55">
      <c r="B376" s="72" t="s">
        <v>644</v>
      </c>
      <c r="C376" s="72" t="s">
        <v>645</v>
      </c>
      <c r="D376" s="289">
        <f t="shared" si="20"/>
        <v>0.17344940694010133</v>
      </c>
      <c r="E376" s="289">
        <f t="shared" si="31"/>
        <v>0.17204991633991626</v>
      </c>
      <c r="F376" s="289">
        <f t="shared" si="31"/>
        <v>0.17572842705481156</v>
      </c>
      <c r="G376" s="289">
        <f t="shared" si="31"/>
        <v>0.16203251590230994</v>
      </c>
      <c r="H376" s="289">
        <f t="shared" si="31"/>
        <v>0.15102058773308302</v>
      </c>
      <c r="I376" s="289">
        <f t="shared" si="31"/>
        <v>0.14504452406379689</v>
      </c>
      <c r="J376" s="289">
        <f t="shared" si="31"/>
        <v>0.14291885910842314</v>
      </c>
      <c r="K376" s="289">
        <f t="shared" si="31"/>
        <v>0.16451705577422238</v>
      </c>
      <c r="L376" s="289">
        <f t="shared" si="31"/>
        <v>0.15917627294196937</v>
      </c>
      <c r="M376" s="289">
        <f t="shared" si="31"/>
        <v>0.15589232346266135</v>
      </c>
      <c r="N376" s="289">
        <f t="shared" si="31"/>
        <v>0.14038944372417292</v>
      </c>
      <c r="O376" s="289">
        <f t="shared" si="31"/>
        <v>0.12631200031765077</v>
      </c>
      <c r="P376" s="289">
        <f t="shared" si="31"/>
        <v>0.13345561562446384</v>
      </c>
      <c r="Q376" s="289">
        <f t="shared" si="31"/>
        <v>0.14813479583290076</v>
      </c>
      <c r="R376" s="289">
        <f t="shared" si="31"/>
        <v>0.1392138948359764</v>
      </c>
      <c r="S376" s="289">
        <f t="shared" si="31"/>
        <v>0.16914714786075019</v>
      </c>
      <c r="T376" s="289">
        <f t="shared" si="31"/>
        <v>0.18342724350204107</v>
      </c>
      <c r="U376" s="289">
        <f t="shared" si="31"/>
        <v>0.15651736039174058</v>
      </c>
      <c r="V376" s="289">
        <f t="shared" si="31"/>
        <v>0.13381831703122712</v>
      </c>
      <c r="W376" s="289">
        <f t="shared" si="31"/>
        <v>0.11635619259437692</v>
      </c>
      <c r="X376" s="289">
        <f t="shared" si="31"/>
        <v>0.13054543314066835</v>
      </c>
      <c r="Y376" s="289">
        <f t="shared" si="31"/>
        <v>0.13524102396475399</v>
      </c>
      <c r="Z376" s="289">
        <f t="shared" si="31"/>
        <v>0.14445589339675519</v>
      </c>
      <c r="AA376" s="289">
        <f t="shared" si="31"/>
        <v>0.15677912949328918</v>
      </c>
      <c r="AB376" s="289">
        <f t="shared" si="31"/>
        <v>0.14886161572183795</v>
      </c>
      <c r="AC376" s="289">
        <f t="shared" si="31"/>
        <v>8.8244703671789354E-2</v>
      </c>
      <c r="AD376" s="289">
        <f t="shared" si="31"/>
        <v>6.8932123388253594E-2</v>
      </c>
      <c r="AE376" s="289">
        <f t="shared" si="31"/>
        <v>6.1521649135419056E-2</v>
      </c>
      <c r="AF376" s="289">
        <f t="shared" si="31"/>
        <v>6.4047492789307423E-2</v>
      </c>
      <c r="AG376" s="289">
        <f t="shared" si="31"/>
        <v>4.8470856506574247E-2</v>
      </c>
      <c r="AH376" s="289">
        <f t="shared" si="31"/>
        <v>5.6025673598284038E-2</v>
      </c>
      <c r="AI376" s="289">
        <f t="shared" si="31"/>
        <v>5.8925202975967317E-2</v>
      </c>
      <c r="AJ376" s="289">
        <f t="shared" si="31"/>
        <v>7.0119817687157956E-2</v>
      </c>
      <c r="AK376" s="289">
        <f t="shared" si="31"/>
        <v>7.2368896726009213E-2</v>
      </c>
      <c r="AL376" s="289">
        <f t="shared" si="31"/>
        <v>7.3376172538543519E-2</v>
      </c>
      <c r="AM376" s="289">
        <f t="shared" si="31"/>
        <v>7.3461147777714633E-2</v>
      </c>
      <c r="AN376" s="289">
        <f t="shared" si="31"/>
        <v>7.234297161216556E-2</v>
      </c>
      <c r="AO376" s="289">
        <f t="shared" si="31"/>
        <v>7.2355079842216896E-2</v>
      </c>
      <c r="AP376" s="289">
        <f t="shared" si="31"/>
        <v>6.5134528610695269E-2</v>
      </c>
      <c r="AQ376" s="289">
        <f t="shared" si="31"/>
        <v>6.850953063122503E-2</v>
      </c>
      <c r="AR376" s="289">
        <f t="shared" si="31"/>
        <v>6.5410020809081565E-2</v>
      </c>
      <c r="AS376" s="289">
        <f t="shared" si="31"/>
        <v>6.521768107460324E-2</v>
      </c>
      <c r="AT376" s="289">
        <f t="shared" si="31"/>
        <v>5.8151199897536955E-2</v>
      </c>
      <c r="AU376" s="289">
        <f t="shared" si="31"/>
        <v>5.2648427171890673E-2</v>
      </c>
      <c r="AV376" s="289">
        <f t="shared" si="31"/>
        <v>5.6129031725320869E-2</v>
      </c>
      <c r="AW376" s="289">
        <f t="shared" si="31"/>
        <v>5.7292230971119781E-2</v>
      </c>
      <c r="AX376" s="289">
        <f t="shared" si="31"/>
        <v>5.5117289492762012E-2</v>
      </c>
      <c r="AY376" s="289">
        <f t="shared" si="31"/>
        <v>6.6252220915708829E-2</v>
      </c>
      <c r="AZ376" s="289">
        <f t="shared" si="31"/>
        <v>7.6102907954896187E-2</v>
      </c>
      <c r="BA376" s="289">
        <f t="shared" si="31"/>
        <v>7.9244168582604038E-2</v>
      </c>
      <c r="BB376" s="289">
        <f t="shared" si="31"/>
        <v>8.1409073133449111E-2</v>
      </c>
      <c r="BC376" s="289">
        <f t="shared" si="22"/>
        <v>8.1409073133449111E-2</v>
      </c>
    </row>
    <row r="377" spans="2:55">
      <c r="B377" s="72" t="s">
        <v>646</v>
      </c>
      <c r="C377" s="72" t="s">
        <v>647</v>
      </c>
      <c r="D377" s="289">
        <f t="shared" si="20"/>
        <v>0</v>
      </c>
      <c r="E377" s="289">
        <f t="shared" si="31"/>
        <v>0</v>
      </c>
      <c r="F377" s="289">
        <f t="shared" si="31"/>
        <v>0</v>
      </c>
      <c r="G377" s="289">
        <f t="shared" si="31"/>
        <v>0</v>
      </c>
      <c r="H377" s="289">
        <f t="shared" si="31"/>
        <v>0</v>
      </c>
      <c r="I377" s="289">
        <f t="shared" si="31"/>
        <v>0</v>
      </c>
      <c r="J377" s="289">
        <f t="shared" si="31"/>
        <v>0</v>
      </c>
      <c r="K377" s="289">
        <f t="shared" si="31"/>
        <v>0</v>
      </c>
      <c r="L377" s="289">
        <f t="shared" si="31"/>
        <v>0</v>
      </c>
      <c r="M377" s="289">
        <f t="shared" si="31"/>
        <v>0</v>
      </c>
      <c r="N377" s="289">
        <f t="shared" si="31"/>
        <v>0</v>
      </c>
      <c r="O377" s="289">
        <f t="shared" si="31"/>
        <v>0</v>
      </c>
      <c r="P377" s="289">
        <f t="shared" si="31"/>
        <v>0</v>
      </c>
      <c r="Q377" s="289">
        <f t="shared" si="31"/>
        <v>0</v>
      </c>
      <c r="R377" s="289">
        <f t="shared" si="31"/>
        <v>0</v>
      </c>
      <c r="S377" s="289">
        <f t="shared" si="31"/>
        <v>0</v>
      </c>
      <c r="T377" s="289">
        <f t="shared" si="31"/>
        <v>0</v>
      </c>
      <c r="U377" s="289">
        <f t="shared" si="31"/>
        <v>0</v>
      </c>
      <c r="V377" s="289">
        <f t="shared" si="31"/>
        <v>0</v>
      </c>
      <c r="W377" s="289">
        <f t="shared" si="31"/>
        <v>0</v>
      </c>
      <c r="X377" s="289">
        <f t="shared" si="31"/>
        <v>0</v>
      </c>
      <c r="Y377" s="289">
        <f t="shared" si="31"/>
        <v>0</v>
      </c>
      <c r="Z377" s="289">
        <f t="shared" si="31"/>
        <v>0</v>
      </c>
      <c r="AA377" s="289">
        <f t="shared" si="31"/>
        <v>0</v>
      </c>
      <c r="AB377" s="289">
        <f t="shared" si="31"/>
        <v>0</v>
      </c>
      <c r="AC377" s="289">
        <f t="shared" si="31"/>
        <v>3.7861435693724507E-2</v>
      </c>
      <c r="AD377" s="289">
        <f t="shared" si="31"/>
        <v>3.2017195992039373E-2</v>
      </c>
      <c r="AE377" s="289">
        <f t="shared" si="31"/>
        <v>3.0003383369230384E-2</v>
      </c>
      <c r="AF377" s="289">
        <f t="shared" si="31"/>
        <v>2.9332872972992804E-2</v>
      </c>
      <c r="AG377" s="289">
        <f t="shared" si="31"/>
        <v>2.6176683781392832E-2</v>
      </c>
      <c r="AH377" s="289">
        <f t="shared" si="31"/>
        <v>2.6952380075252674E-2</v>
      </c>
      <c r="AI377" s="289">
        <f t="shared" si="31"/>
        <v>2.6789944436509491E-2</v>
      </c>
      <c r="AJ377" s="289">
        <f t="shared" si="31"/>
        <v>2.8073739942159111E-2</v>
      </c>
      <c r="AK377" s="289">
        <f t="shared" si="31"/>
        <v>2.5462096739950729E-2</v>
      </c>
      <c r="AL377" s="289">
        <f t="shared" si="31"/>
        <v>2.44815040164361E-2</v>
      </c>
      <c r="AM377" s="289">
        <f t="shared" si="31"/>
        <v>2.3641134499716842E-2</v>
      </c>
      <c r="AN377" s="289">
        <f t="shared" si="31"/>
        <v>2.0206167114057039E-2</v>
      </c>
      <c r="AO377" s="289">
        <f t="shared" si="31"/>
        <v>1.7695658161535458E-2</v>
      </c>
      <c r="AP377" s="289">
        <f t="shared" si="31"/>
        <v>1.6420002035561911E-2</v>
      </c>
      <c r="AQ377" s="289">
        <f t="shared" si="31"/>
        <v>1.4325502651063485E-2</v>
      </c>
      <c r="AR377" s="289">
        <f t="shared" si="31"/>
        <v>1.3465522099722979E-2</v>
      </c>
      <c r="AS377" s="289">
        <f t="shared" si="31"/>
        <v>1.2697139087381489E-2</v>
      </c>
      <c r="AT377" s="289">
        <f t="shared" si="31"/>
        <v>1.2652123799507104E-2</v>
      </c>
      <c r="AU377" s="289">
        <f t="shared" si="31"/>
        <v>1.1239749039756761E-2</v>
      </c>
      <c r="AV377" s="289">
        <f t="shared" si="31"/>
        <v>8.5213010171479656E-3</v>
      </c>
      <c r="AW377" s="289">
        <f t="shared" si="31"/>
        <v>7.5740155613962246E-3</v>
      </c>
      <c r="AX377" s="289">
        <f t="shared" si="31"/>
        <v>9.6926221602816557E-3</v>
      </c>
      <c r="AY377" s="289">
        <f t="shared" si="31"/>
        <v>9.1606330278290148E-3</v>
      </c>
      <c r="AZ377" s="289">
        <f t="shared" si="31"/>
        <v>1.2075785337932344E-2</v>
      </c>
      <c r="BA377" s="289">
        <f t="shared" si="31"/>
        <v>1.3086633987913172E-2</v>
      </c>
      <c r="BB377" s="289">
        <f t="shared" si="31"/>
        <v>1.2754214113126865E-2</v>
      </c>
      <c r="BC377" s="289">
        <f t="shared" si="22"/>
        <v>1.2754214113126865E-2</v>
      </c>
    </row>
    <row r="378" spans="2:55">
      <c r="B378" s="72" t="s">
        <v>648</v>
      </c>
      <c r="C378" s="72" t="s">
        <v>649</v>
      </c>
      <c r="D378" s="289">
        <f t="shared" si="20"/>
        <v>0</v>
      </c>
      <c r="E378" s="289">
        <f t="shared" si="31"/>
        <v>0</v>
      </c>
      <c r="F378" s="289">
        <f t="shared" si="31"/>
        <v>0</v>
      </c>
      <c r="G378" s="289">
        <f t="shared" si="31"/>
        <v>0</v>
      </c>
      <c r="H378" s="289">
        <f t="shared" si="31"/>
        <v>0</v>
      </c>
      <c r="I378" s="289">
        <f t="shared" si="31"/>
        <v>0</v>
      </c>
      <c r="J378" s="289">
        <f t="shared" si="31"/>
        <v>0</v>
      </c>
      <c r="K378" s="289">
        <f t="shared" si="31"/>
        <v>0</v>
      </c>
      <c r="L378" s="289">
        <f t="shared" si="31"/>
        <v>0</v>
      </c>
      <c r="M378" s="289">
        <f t="shared" si="31"/>
        <v>5.8246910624543631E-2</v>
      </c>
      <c r="N378" s="289">
        <f t="shared" si="31"/>
        <v>5.0659551332269168E-2</v>
      </c>
      <c r="O378" s="289">
        <f t="shared" si="31"/>
        <v>4.8221823857253099E-2</v>
      </c>
      <c r="P378" s="289">
        <f t="shared" si="31"/>
        <v>4.2362116436049542E-2</v>
      </c>
      <c r="Q378" s="289">
        <f t="shared" si="31"/>
        <v>4.1946509970067769E-2</v>
      </c>
      <c r="R378" s="289">
        <f t="shared" si="31"/>
        <v>3.7340626398338357E-2</v>
      </c>
      <c r="S378" s="289">
        <f t="shared" si="31"/>
        <v>3.856146234922414E-2</v>
      </c>
      <c r="T378" s="289">
        <f t="shared" si="31"/>
        <v>3.3547790998915548E-2</v>
      </c>
      <c r="U378" s="289">
        <f t="shared" si="31"/>
        <v>2.7157708449108146E-2</v>
      </c>
      <c r="V378" s="289">
        <f t="shared" si="31"/>
        <v>1.9502299407412545E-2</v>
      </c>
      <c r="W378" s="289">
        <f t="shared" si="31"/>
        <v>1.3777581526704365E-2</v>
      </c>
      <c r="X378" s="289">
        <f t="shared" si="31"/>
        <v>1.976834109301507E-2</v>
      </c>
      <c r="Y378" s="289">
        <f t="shared" si="31"/>
        <v>2.1716221925750592E-2</v>
      </c>
      <c r="Z378" s="289">
        <f t="shared" si="31"/>
        <v>2.2229849930256586E-2</v>
      </c>
      <c r="AA378" s="289">
        <f t="shared" si="31"/>
        <v>1.9661139689494466E-2</v>
      </c>
      <c r="AB378" s="289">
        <f t="shared" si="31"/>
        <v>1.9007087615094648E-2</v>
      </c>
      <c r="AC378" s="289">
        <f t="shared" si="31"/>
        <v>1.3775064134370862E-2</v>
      </c>
      <c r="AD378" s="289">
        <f t="shared" si="31"/>
        <v>1.4717813030171601E-2</v>
      </c>
      <c r="AE378" s="289">
        <f t="shared" si="31"/>
        <v>1.1260967780103836E-2</v>
      </c>
      <c r="AF378" s="289">
        <f t="shared" si="31"/>
        <v>1.4205046847324841E-2</v>
      </c>
      <c r="AG378" s="289">
        <f t="shared" si="31"/>
        <v>1.3566262768385105E-2</v>
      </c>
      <c r="AH378" s="289">
        <f t="shared" si="31"/>
        <v>1.3481183473691507E-2</v>
      </c>
      <c r="AI378" s="289">
        <f t="shared" si="31"/>
        <v>1.1272794068316645E-2</v>
      </c>
      <c r="AJ378" s="289">
        <f t="shared" si="31"/>
        <v>1.2894412385090624E-2</v>
      </c>
      <c r="AK378" s="289">
        <f t="shared" si="31"/>
        <v>1.1655004445980957E-2</v>
      </c>
      <c r="AL378" s="289">
        <f t="shared" si="31"/>
        <v>1.1315009864855218E-2</v>
      </c>
      <c r="AM378" s="289">
        <f t="shared" si="31"/>
        <v>1.1235956938822704E-2</v>
      </c>
      <c r="AN378" s="289">
        <f t="shared" si="31"/>
        <v>9.7788547253576021E-3</v>
      </c>
      <c r="AO378" s="289">
        <f t="shared" si="31"/>
        <v>6.9200474314381356E-3</v>
      </c>
      <c r="AP378" s="289">
        <f t="shared" si="31"/>
        <v>7.1976231528240696E-3</v>
      </c>
      <c r="AQ378" s="289">
        <f t="shared" si="31"/>
        <v>6.9305360764463902E-3</v>
      </c>
      <c r="AR378" s="289">
        <f t="shared" si="31"/>
        <v>6.3357632109973605E-3</v>
      </c>
      <c r="AS378" s="289">
        <f t="shared" si="31"/>
        <v>5.8487336081833987E-3</v>
      </c>
      <c r="AT378" s="289">
        <f t="shared" si="31"/>
        <v>1.160215725636474E-2</v>
      </c>
      <c r="AU378" s="289">
        <f t="shared" si="31"/>
        <v>1.0622755787794921E-2</v>
      </c>
      <c r="AV378" s="289">
        <f t="shared" si="31"/>
        <v>1.0987075902226784E-2</v>
      </c>
      <c r="AW378" s="289">
        <f t="shared" si="31"/>
        <v>1.0240904347554695E-2</v>
      </c>
      <c r="AX378" s="289">
        <f t="shared" si="31"/>
        <v>1.0468154052386344E-2</v>
      </c>
      <c r="AY378" s="289">
        <f t="shared" si="31"/>
        <v>1.3501066681343222E-2</v>
      </c>
      <c r="AZ378" s="289">
        <f t="shared" si="31"/>
        <v>1.5918330707265414E-2</v>
      </c>
      <c r="BA378" s="289">
        <f t="shared" si="31"/>
        <v>1.520662640723535E-2</v>
      </c>
      <c r="BB378" s="289">
        <f t="shared" si="31"/>
        <v>1.6117715877455606E-2</v>
      </c>
      <c r="BC378" s="289">
        <f t="shared" si="22"/>
        <v>1.6117715877455606E-2</v>
      </c>
    </row>
    <row r="379" spans="2:55">
      <c r="B379" s="72" t="s">
        <v>650</v>
      </c>
      <c r="C379" s="72" t="s">
        <v>651</v>
      </c>
      <c r="D379" s="289">
        <f t="shared" si="20"/>
        <v>0.22218400439951641</v>
      </c>
      <c r="E379" s="289">
        <f t="shared" si="31"/>
        <v>0.21772177776905524</v>
      </c>
      <c r="F379" s="289">
        <f t="shared" si="31"/>
        <v>0.18168243531438377</v>
      </c>
      <c r="G379" s="289">
        <f t="shared" si="31"/>
        <v>0.18057811126476286</v>
      </c>
      <c r="H379" s="289">
        <f t="shared" si="31"/>
        <v>0.17987883890197737</v>
      </c>
      <c r="I379" s="289">
        <f t="shared" si="31"/>
        <v>0.17740005077206378</v>
      </c>
      <c r="J379" s="289">
        <f t="shared" si="31"/>
        <v>0.18295567110872624</v>
      </c>
      <c r="K379" s="289">
        <f t="shared" si="31"/>
        <v>0.17482978680654285</v>
      </c>
      <c r="L379" s="289">
        <f t="shared" si="31"/>
        <v>0.17318963213327729</v>
      </c>
      <c r="M379" s="289">
        <f t="shared" si="31"/>
        <v>0.16573074600732862</v>
      </c>
      <c r="N379" s="289">
        <f t="shared" si="31"/>
        <v>0.15302246042584375</v>
      </c>
      <c r="O379" s="289">
        <f t="shared" si="31"/>
        <v>0.13410846770262586</v>
      </c>
      <c r="P379" s="289">
        <f t="shared" si="31"/>
        <v>0.12738934481097472</v>
      </c>
      <c r="Q379" s="289">
        <f t="shared" si="31"/>
        <v>0.16588997995296284</v>
      </c>
      <c r="R379" s="289">
        <f t="shared" si="31"/>
        <v>0.15714239458460391</v>
      </c>
      <c r="S379" s="289">
        <f t="shared" si="31"/>
        <v>0.14891429559113947</v>
      </c>
      <c r="T379" s="289">
        <f t="shared" si="31"/>
        <v>0.12923573241248423</v>
      </c>
      <c r="U379" s="289">
        <f t="shared" si="31"/>
        <v>0.11389123847310317</v>
      </c>
      <c r="V379" s="289">
        <f t="shared" si="31"/>
        <v>9.115317551940684E-2</v>
      </c>
      <c r="W379" s="289">
        <f t="shared" si="31"/>
        <v>8.0688464152712233E-2</v>
      </c>
      <c r="X379" s="289">
        <f t="shared" si="31"/>
        <v>8.0436257540557485E-2</v>
      </c>
      <c r="Y379" s="289">
        <f t="shared" si="31"/>
        <v>7.1658730258871164E-2</v>
      </c>
      <c r="Z379" s="289">
        <f t="shared" si="31"/>
        <v>7.7334652177601895E-2</v>
      </c>
      <c r="AA379" s="289">
        <f t="shared" si="31"/>
        <v>7.4183203776730378E-2</v>
      </c>
      <c r="AB379" s="289">
        <f t="shared" si="31"/>
        <v>7.3489286548671429E-2</v>
      </c>
      <c r="AC379" s="289">
        <f t="shared" si="31"/>
        <v>6.7307359101416345E-2</v>
      </c>
      <c r="AD379" s="289">
        <f t="shared" si="31"/>
        <v>3.8927125490965851E-2</v>
      </c>
      <c r="AE379" s="289">
        <f t="shared" si="31"/>
        <v>3.7768496832102087E-2</v>
      </c>
      <c r="AF379" s="289">
        <f t="shared" si="31"/>
        <v>3.4639267057642663E-2</v>
      </c>
      <c r="AG379" s="289">
        <f t="shared" si="31"/>
        <v>3.092900968999903E-2</v>
      </c>
      <c r="AH379" s="289">
        <f t="shared" si="31"/>
        <v>2.5313184491279839E-2</v>
      </c>
      <c r="AI379" s="289">
        <f t="shared" si="31"/>
        <v>2.6842508769147941E-2</v>
      </c>
      <c r="AJ379" s="289">
        <f t="shared" si="31"/>
        <v>3.5893100245473028E-2</v>
      </c>
      <c r="AK379" s="289">
        <f t="shared" si="31"/>
        <v>4.0616802814009811E-2</v>
      </c>
      <c r="AL379" s="289">
        <f t="shared" si="31"/>
        <v>4.2815743646387884E-2</v>
      </c>
      <c r="AM379" s="289">
        <f t="shared" si="31"/>
        <v>4.6152726590157594E-2</v>
      </c>
      <c r="AN379" s="289">
        <f t="shared" si="31"/>
        <v>4.3759175483077353E-2</v>
      </c>
      <c r="AO379" s="289">
        <f t="shared" si="31"/>
        <v>3.9298570581765155E-2</v>
      </c>
      <c r="AP379" s="289">
        <f t="shared" si="31"/>
        <v>3.7063967393684324E-2</v>
      </c>
      <c r="AQ379" s="289">
        <f t="shared" si="31"/>
        <v>3.8795709114033544E-2</v>
      </c>
      <c r="AR379" s="289">
        <f t="shared" si="31"/>
        <v>3.8125575100454771E-2</v>
      </c>
      <c r="AS379" s="289">
        <f t="shared" ref="E379:BB384" si="32">AS129/AS$251</f>
        <v>3.6260723332503804E-2</v>
      </c>
      <c r="AT379" s="289">
        <f t="shared" si="32"/>
        <v>3.2143161770858526E-2</v>
      </c>
      <c r="AU379" s="289">
        <f t="shared" si="32"/>
        <v>2.8796928254465906E-2</v>
      </c>
      <c r="AV379" s="289">
        <f t="shared" si="32"/>
        <v>2.8996444640834326E-2</v>
      </c>
      <c r="AW379" s="289">
        <f t="shared" si="32"/>
        <v>4.8145146638899898E-2</v>
      </c>
      <c r="AX379" s="289">
        <f t="shared" si="32"/>
        <v>5.0080381589860029E-2</v>
      </c>
      <c r="AY379" s="289">
        <f t="shared" si="32"/>
        <v>5.9287821883782565E-2</v>
      </c>
      <c r="AZ379" s="289">
        <f t="shared" si="32"/>
        <v>7.6134998943726787E-2</v>
      </c>
      <c r="BA379" s="289">
        <f t="shared" si="32"/>
        <v>8.2591692586146112E-2</v>
      </c>
      <c r="BB379" s="289">
        <f t="shared" si="32"/>
        <v>8.730352182312244E-2</v>
      </c>
      <c r="BC379" s="289">
        <f t="shared" si="22"/>
        <v>8.730352182312244E-2</v>
      </c>
    </row>
    <row r="380" spans="2:55">
      <c r="B380" s="72" t="s">
        <v>652</v>
      </c>
      <c r="C380" s="72" t="s">
        <v>653</v>
      </c>
      <c r="D380" s="289">
        <f t="shared" si="20"/>
        <v>0</v>
      </c>
      <c r="E380" s="289">
        <f t="shared" si="32"/>
        <v>0</v>
      </c>
      <c r="F380" s="289">
        <f t="shared" si="32"/>
        <v>0</v>
      </c>
      <c r="G380" s="289">
        <f t="shared" si="32"/>
        <v>0</v>
      </c>
      <c r="H380" s="289">
        <f t="shared" si="32"/>
        <v>0</v>
      </c>
      <c r="I380" s="289">
        <f t="shared" si="32"/>
        <v>0</v>
      </c>
      <c r="J380" s="289">
        <f t="shared" si="32"/>
        <v>0</v>
      </c>
      <c r="K380" s="289">
        <f t="shared" si="32"/>
        <v>0</v>
      </c>
      <c r="L380" s="289">
        <f t="shared" si="32"/>
        <v>0</v>
      </c>
      <c r="M380" s="289">
        <f t="shared" si="32"/>
        <v>0</v>
      </c>
      <c r="N380" s="289">
        <f t="shared" si="32"/>
        <v>0</v>
      </c>
      <c r="O380" s="289">
        <f t="shared" si="32"/>
        <v>0</v>
      </c>
      <c r="P380" s="289">
        <f t="shared" si="32"/>
        <v>0</v>
      </c>
      <c r="Q380" s="289">
        <f t="shared" si="32"/>
        <v>0</v>
      </c>
      <c r="R380" s="289">
        <f t="shared" si="32"/>
        <v>0</v>
      </c>
      <c r="S380" s="289">
        <f t="shared" si="32"/>
        <v>0</v>
      </c>
      <c r="T380" s="289">
        <f t="shared" si="32"/>
        <v>0</v>
      </c>
      <c r="U380" s="289">
        <f t="shared" si="32"/>
        <v>0</v>
      </c>
      <c r="V380" s="289">
        <f t="shared" si="32"/>
        <v>0</v>
      </c>
      <c r="W380" s="289">
        <f t="shared" si="32"/>
        <v>0</v>
      </c>
      <c r="X380" s="289">
        <f t="shared" si="32"/>
        <v>0</v>
      </c>
      <c r="Y380" s="289">
        <f t="shared" si="32"/>
        <v>0</v>
      </c>
      <c r="Z380" s="289">
        <f t="shared" si="32"/>
        <v>0</v>
      </c>
      <c r="AA380" s="289">
        <f t="shared" si="32"/>
        <v>0</v>
      </c>
      <c r="AB380" s="289">
        <f t="shared" si="32"/>
        <v>0</v>
      </c>
      <c r="AC380" s="289">
        <f t="shared" si="32"/>
        <v>0</v>
      </c>
      <c r="AD380" s="289">
        <f t="shared" si="32"/>
        <v>0</v>
      </c>
      <c r="AE380" s="289">
        <f t="shared" si="32"/>
        <v>0</v>
      </c>
      <c r="AF380" s="289">
        <f t="shared" si="32"/>
        <v>0</v>
      </c>
      <c r="AG380" s="289">
        <f t="shared" si="32"/>
        <v>0</v>
      </c>
      <c r="AH380" s="289">
        <f t="shared" si="32"/>
        <v>2.5994288611876176E-2</v>
      </c>
      <c r="AI380" s="289">
        <f t="shared" si="32"/>
        <v>1.5002032980559091E-2</v>
      </c>
      <c r="AJ380" s="289">
        <f t="shared" si="32"/>
        <v>1.4031783809221298E-2</v>
      </c>
      <c r="AK380" s="289">
        <f t="shared" si="32"/>
        <v>1.5008589461325323E-2</v>
      </c>
      <c r="AL380" s="289">
        <f t="shared" si="32"/>
        <v>1.7156934747957129E-2</v>
      </c>
      <c r="AM380" s="289">
        <f t="shared" si="32"/>
        <v>1.7641855350792577E-2</v>
      </c>
      <c r="AN380" s="289">
        <f t="shared" si="32"/>
        <v>1.6882782397901325E-2</v>
      </c>
      <c r="AO380" s="289">
        <f t="shared" si="32"/>
        <v>1.8019728209471762E-2</v>
      </c>
      <c r="AP380" s="289">
        <f t="shared" si="32"/>
        <v>1.8781751164844009E-2</v>
      </c>
      <c r="AQ380" s="289">
        <f t="shared" si="32"/>
        <v>1.6915772671918235E-2</v>
      </c>
      <c r="AR380" s="289">
        <f t="shared" si="32"/>
        <v>1.6065163801584861E-2</v>
      </c>
      <c r="AS380" s="289">
        <f t="shared" si="32"/>
        <v>1.3326296331301784E-2</v>
      </c>
      <c r="AT380" s="289">
        <f t="shared" si="32"/>
        <v>9.9972522154530303E-3</v>
      </c>
      <c r="AU380" s="289">
        <f t="shared" si="32"/>
        <v>1.0827945873370538E-2</v>
      </c>
      <c r="AV380" s="289">
        <f t="shared" si="32"/>
        <v>1.1658473191227219E-2</v>
      </c>
      <c r="AW380" s="289">
        <f t="shared" si="32"/>
        <v>1.2716775065305322E-2</v>
      </c>
      <c r="AX380" s="289">
        <f t="shared" si="32"/>
        <v>1.3413733604493324E-2</v>
      </c>
      <c r="AY380" s="289">
        <f t="shared" si="32"/>
        <v>1.5253109982564846E-2</v>
      </c>
      <c r="AZ380" s="289">
        <f t="shared" si="32"/>
        <v>1.8565142555433737E-2</v>
      </c>
      <c r="BA380" s="289">
        <f t="shared" si="32"/>
        <v>1.8311618754208159E-2</v>
      </c>
      <c r="BB380" s="289">
        <f t="shared" si="32"/>
        <v>1.8587651915802732E-2</v>
      </c>
      <c r="BC380" s="289">
        <f t="shared" si="22"/>
        <v>1.8587651915802732E-2</v>
      </c>
    </row>
    <row r="381" spans="2:55">
      <c r="B381" s="72" t="s">
        <v>654</v>
      </c>
      <c r="C381" s="72" t="s">
        <v>338</v>
      </c>
      <c r="D381" s="289">
        <f t="shared" si="20"/>
        <v>0.11868982487967009</v>
      </c>
      <c r="E381" s="289">
        <f t="shared" si="32"/>
        <v>0.11992351891906007</v>
      </c>
      <c r="F381" s="289">
        <f t="shared" si="32"/>
        <v>0.11665195600173998</v>
      </c>
      <c r="G381" s="289">
        <f t="shared" si="32"/>
        <v>0.11592262291771091</v>
      </c>
      <c r="H381" s="289">
        <f t="shared" si="32"/>
        <v>0.11696505018456603</v>
      </c>
      <c r="I381" s="289">
        <f t="shared" si="32"/>
        <v>0.11610604256302284</v>
      </c>
      <c r="J381" s="289">
        <f t="shared" si="32"/>
        <v>0.11902168197784689</v>
      </c>
      <c r="K381" s="289">
        <f t="shared" si="32"/>
        <v>0.13379447447470727</v>
      </c>
      <c r="L381" s="289">
        <f t="shared" si="32"/>
        <v>0.12559492087545945</v>
      </c>
      <c r="M381" s="289">
        <f t="shared" si="32"/>
        <v>0.11996245943821417</v>
      </c>
      <c r="N381" s="289">
        <f t="shared" si="32"/>
        <v>0.10474852015035244</v>
      </c>
      <c r="O381" s="289">
        <f t="shared" si="32"/>
        <v>9.7713774123915187E-2</v>
      </c>
      <c r="P381" s="289">
        <f t="shared" si="32"/>
        <v>9.5803070110822314E-2</v>
      </c>
      <c r="Q381" s="289">
        <f t="shared" si="32"/>
        <v>9.7703963976004005E-2</v>
      </c>
      <c r="R381" s="289">
        <f t="shared" si="32"/>
        <v>8.6154053495835603E-2</v>
      </c>
      <c r="S381" s="289">
        <f t="shared" si="32"/>
        <v>0.10426802656329229</v>
      </c>
      <c r="T381" s="289">
        <f t="shared" si="32"/>
        <v>0.11078748217939673</v>
      </c>
      <c r="U381" s="289">
        <f t="shared" si="32"/>
        <v>9.7902410425689909E-2</v>
      </c>
      <c r="V381" s="289">
        <f t="shared" si="32"/>
        <v>8.526125085417921E-2</v>
      </c>
      <c r="W381" s="289">
        <f t="shared" si="32"/>
        <v>7.350605513602923E-2</v>
      </c>
      <c r="X381" s="289">
        <f t="shared" si="32"/>
        <v>8.2416246220834724E-2</v>
      </c>
      <c r="Y381" s="289">
        <f t="shared" si="32"/>
        <v>8.6308119641931219E-2</v>
      </c>
      <c r="Z381" s="289">
        <f t="shared" si="32"/>
        <v>9.3568800945958416E-2</v>
      </c>
      <c r="AA381" s="289">
        <f t="shared" si="32"/>
        <v>0.1040712139942231</v>
      </c>
      <c r="AB381" s="289">
        <f t="shared" si="32"/>
        <v>0.1049037590412723</v>
      </c>
      <c r="AC381" s="289">
        <f t="shared" si="32"/>
        <v>8.691153812607548E-2</v>
      </c>
      <c r="AD381" s="289">
        <f t="shared" si="32"/>
        <v>7.506871927808588E-2</v>
      </c>
      <c r="AE381" s="289">
        <f t="shared" si="32"/>
        <v>5.7502145542044844E-2</v>
      </c>
      <c r="AF381" s="289">
        <f t="shared" si="32"/>
        <v>4.9790796201272372E-2</v>
      </c>
      <c r="AG381" s="289">
        <f t="shared" si="32"/>
        <v>3.5255296561516034E-2</v>
      </c>
      <c r="AH381" s="289">
        <f t="shared" si="32"/>
        <v>3.3199043936277498E-2</v>
      </c>
      <c r="AI381" s="289">
        <f t="shared" si="32"/>
        <v>3.4914678889547683E-2</v>
      </c>
      <c r="AJ381" s="289">
        <f t="shared" si="32"/>
        <v>3.8622843102807031E-2</v>
      </c>
      <c r="AK381" s="289">
        <f t="shared" si="32"/>
        <v>3.4420242800470846E-2</v>
      </c>
      <c r="AL381" s="289">
        <f t="shared" si="32"/>
        <v>3.5174971983834166E-2</v>
      </c>
      <c r="AM381" s="289">
        <f t="shared" si="32"/>
        <v>3.371645041865981E-2</v>
      </c>
      <c r="AN381" s="289">
        <f t="shared" si="32"/>
        <v>3.4062355530769757E-2</v>
      </c>
      <c r="AO381" s="289">
        <f t="shared" si="32"/>
        <v>3.4902334658176284E-2</v>
      </c>
      <c r="AP381" s="289">
        <f t="shared" si="32"/>
        <v>3.44257291028046E-2</v>
      </c>
      <c r="AQ381" s="289">
        <f t="shared" si="32"/>
        <v>4.5603291671818334E-2</v>
      </c>
      <c r="AR381" s="289">
        <f t="shared" si="32"/>
        <v>4.7997662880855517E-2</v>
      </c>
      <c r="AS381" s="289">
        <f t="shared" si="32"/>
        <v>4.4468917915788289E-2</v>
      </c>
      <c r="AT381" s="289">
        <f t="shared" si="32"/>
        <v>3.9989921664925168E-2</v>
      </c>
      <c r="AU381" s="289">
        <f t="shared" si="32"/>
        <v>3.5851557399711839E-2</v>
      </c>
      <c r="AV381" s="289">
        <f t="shared" si="32"/>
        <v>3.7043036326504797E-2</v>
      </c>
      <c r="AW381" s="289">
        <f t="shared" si="32"/>
        <v>3.8288760954486536E-2</v>
      </c>
      <c r="AX381" s="289">
        <f t="shared" si="32"/>
        <v>3.7132399050713756E-2</v>
      </c>
      <c r="AY381" s="289">
        <f t="shared" si="32"/>
        <v>4.3911210664120605E-2</v>
      </c>
      <c r="AZ381" s="289">
        <f t="shared" si="32"/>
        <v>5.3657410464082934E-2</v>
      </c>
      <c r="BA381" s="289">
        <f t="shared" si="32"/>
        <v>5.5680423007616428E-2</v>
      </c>
      <c r="BB381" s="289">
        <f t="shared" si="32"/>
        <v>5.7564547387276607E-2</v>
      </c>
      <c r="BC381" s="289">
        <f t="shared" si="22"/>
        <v>5.7564547387276607E-2</v>
      </c>
    </row>
    <row r="382" spans="2:55">
      <c r="B382" s="72" t="s">
        <v>655</v>
      </c>
      <c r="C382" s="72" t="s">
        <v>337</v>
      </c>
      <c r="D382" s="289">
        <f t="shared" si="20"/>
        <v>0.33264212667698317</v>
      </c>
      <c r="E382" s="289">
        <f t="shared" si="32"/>
        <v>0.34476877771535142</v>
      </c>
      <c r="F382" s="289">
        <f t="shared" si="32"/>
        <v>0.36251504448293992</v>
      </c>
      <c r="G382" s="289">
        <f t="shared" si="32"/>
        <v>0.37531182243375744</v>
      </c>
      <c r="H382" s="289">
        <f t="shared" si="32"/>
        <v>0.36565210485314503</v>
      </c>
      <c r="I382" s="289">
        <f t="shared" si="32"/>
        <v>0.35002902273931008</v>
      </c>
      <c r="J382" s="289">
        <f t="shared" si="32"/>
        <v>0.3573973979136244</v>
      </c>
      <c r="K382" s="289">
        <f t="shared" si="32"/>
        <v>0.37676015723338313</v>
      </c>
      <c r="L382" s="289">
        <f t="shared" si="32"/>
        <v>0.40619217349413062</v>
      </c>
      <c r="M382" s="289">
        <f t="shared" si="32"/>
        <v>0.42820883611648813</v>
      </c>
      <c r="N382" s="289">
        <f t="shared" si="32"/>
        <v>0.43809683139265088</v>
      </c>
      <c r="O382" s="289">
        <f t="shared" si="32"/>
        <v>0.47882004926370048</v>
      </c>
      <c r="P382" s="289">
        <f t="shared" si="32"/>
        <v>0.58121077325240977</v>
      </c>
      <c r="Q382" s="289">
        <f t="shared" si="32"/>
        <v>0.61601892737535013</v>
      </c>
      <c r="R382" s="289">
        <f t="shared" si="32"/>
        <v>0.53558944923846596</v>
      </c>
      <c r="S382" s="289">
        <f t="shared" si="32"/>
        <v>0.70526765727178564</v>
      </c>
      <c r="T382" s="289">
        <f t="shared" si="32"/>
        <v>0.75116552386491919</v>
      </c>
      <c r="U382" s="289">
        <f t="shared" si="32"/>
        <v>0.67824210211919012</v>
      </c>
      <c r="V382" s="289">
        <f t="shared" si="32"/>
        <v>0.60835949766375585</v>
      </c>
      <c r="W382" s="289">
        <f t="shared" si="32"/>
        <v>0.59237529026038083</v>
      </c>
      <c r="X382" s="289">
        <f t="shared" si="32"/>
        <v>0.65532865322132627</v>
      </c>
      <c r="Y382" s="289">
        <f t="shared" si="32"/>
        <v>0.70355540815804729</v>
      </c>
      <c r="Z382" s="289">
        <f t="shared" si="32"/>
        <v>0.67685466649419279</v>
      </c>
      <c r="AA382" s="289">
        <f t="shared" si="32"/>
        <v>0.79821420582795788</v>
      </c>
      <c r="AB382" s="289">
        <f t="shared" si="32"/>
        <v>0.79696242035582954</v>
      </c>
      <c r="AC382" s="289">
        <f t="shared" si="32"/>
        <v>0.73878675393545845</v>
      </c>
      <c r="AD382" s="289">
        <f t="shared" si="32"/>
        <v>0.73420948220681181</v>
      </c>
      <c r="AE382" s="289">
        <f t="shared" si="32"/>
        <v>0.70963204086844001</v>
      </c>
      <c r="AF382" s="289">
        <f t="shared" si="32"/>
        <v>0.80345561270794974</v>
      </c>
      <c r="AG382" s="289">
        <f t="shared" si="32"/>
        <v>0.76242635081254162</v>
      </c>
      <c r="AH382" s="289">
        <f t="shared" si="32"/>
        <v>0.84115142126737186</v>
      </c>
      <c r="AI382" s="289">
        <f t="shared" si="32"/>
        <v>0.94810040398814377</v>
      </c>
      <c r="AJ382" s="289">
        <f t="shared" si="32"/>
        <v>1.1998814161876072</v>
      </c>
      <c r="AK382" s="289">
        <f t="shared" si="32"/>
        <v>1.2277442272024739</v>
      </c>
      <c r="AL382" s="289">
        <f t="shared" si="32"/>
        <v>1.1781867624641493</v>
      </c>
      <c r="AM382" s="289">
        <f t="shared" si="32"/>
        <v>1.183720719940035</v>
      </c>
      <c r="AN382" s="289">
        <f t="shared" si="32"/>
        <v>1.1649771312107611</v>
      </c>
      <c r="AO382" s="289">
        <f t="shared" si="32"/>
        <v>1.0325288789903742</v>
      </c>
      <c r="AP382" s="289">
        <f t="shared" si="32"/>
        <v>0.97917811466656801</v>
      </c>
      <c r="AQ382" s="289">
        <f t="shared" si="32"/>
        <v>1.027897718471074</v>
      </c>
      <c r="AR382" s="289">
        <f t="shared" si="32"/>
        <v>1.0158581141174174</v>
      </c>
      <c r="AS382" s="289">
        <f t="shared" si="32"/>
        <v>0.91365394499772001</v>
      </c>
      <c r="AT382" s="289">
        <f t="shared" si="32"/>
        <v>0.76965392919520137</v>
      </c>
      <c r="AU382" s="289">
        <f t="shared" si="32"/>
        <v>0.67932966427220909</v>
      </c>
      <c r="AV382" s="289">
        <f t="shared" si="32"/>
        <v>0.69907287947349406</v>
      </c>
      <c r="AW382" s="289">
        <f t="shared" si="32"/>
        <v>0.69722195639545759</v>
      </c>
      <c r="AX382" s="289">
        <f t="shared" si="32"/>
        <v>0.65943123949237947</v>
      </c>
      <c r="AY382" s="289">
        <f t="shared" si="32"/>
        <v>0.728345102529668</v>
      </c>
      <c r="AZ382" s="289">
        <f t="shared" si="32"/>
        <v>0.86500982436119978</v>
      </c>
      <c r="BA382" s="289">
        <f t="shared" si="32"/>
        <v>0.89294104418359643</v>
      </c>
      <c r="BB382" s="289">
        <f t="shared" si="32"/>
        <v>0.90055773531224359</v>
      </c>
      <c r="BC382" s="289">
        <f t="shared" si="22"/>
        <v>0.90055773531224359</v>
      </c>
    </row>
    <row r="383" spans="2:55">
      <c r="B383" s="72" t="s">
        <v>656</v>
      </c>
      <c r="C383" s="72" t="s">
        <v>657</v>
      </c>
      <c r="D383" s="289">
        <f t="shared" si="20"/>
        <v>0</v>
      </c>
      <c r="E383" s="289">
        <f t="shared" si="32"/>
        <v>0</v>
      </c>
      <c r="F383" s="289">
        <f t="shared" si="32"/>
        <v>0</v>
      </c>
      <c r="G383" s="289">
        <f t="shared" si="32"/>
        <v>0</v>
      </c>
      <c r="H383" s="289">
        <f t="shared" si="32"/>
        <v>0</v>
      </c>
      <c r="I383" s="289">
        <f t="shared" si="32"/>
        <v>0</v>
      </c>
      <c r="J383" s="289">
        <f t="shared" si="32"/>
        <v>0</v>
      </c>
      <c r="K383" s="289">
        <f t="shared" si="32"/>
        <v>0.240869389263975</v>
      </c>
      <c r="L383" s="289">
        <f t="shared" si="32"/>
        <v>0.24871904490914812</v>
      </c>
      <c r="M383" s="289">
        <f t="shared" si="32"/>
        <v>0.2391334204263903</v>
      </c>
      <c r="N383" s="289">
        <f t="shared" si="32"/>
        <v>0.23036663385339101</v>
      </c>
      <c r="O383" s="289">
        <f t="shared" si="32"/>
        <v>0.23526416877587739</v>
      </c>
      <c r="P383" s="289">
        <f t="shared" si="32"/>
        <v>0.2578349646489671</v>
      </c>
      <c r="Q383" s="289">
        <f t="shared" si="32"/>
        <v>0.26061860370788126</v>
      </c>
      <c r="R383" s="289">
        <f t="shared" si="32"/>
        <v>0.24703925366736054</v>
      </c>
      <c r="S383" s="289">
        <f t="shared" si="32"/>
        <v>0.29628161606769454</v>
      </c>
      <c r="T383" s="289">
        <f t="shared" si="32"/>
        <v>0.29156394713117384</v>
      </c>
      <c r="U383" s="289">
        <f t="shared" si="32"/>
        <v>0.26811045419714619</v>
      </c>
      <c r="V383" s="289">
        <f t="shared" si="32"/>
        <v>0.23801477222052872</v>
      </c>
      <c r="W383" s="289">
        <f t="shared" si="32"/>
        <v>0.2150265927573814</v>
      </c>
      <c r="X383" s="289">
        <f t="shared" si="32"/>
        <v>0.23207791818553722</v>
      </c>
      <c r="Y383" s="289">
        <f t="shared" si="32"/>
        <v>0.24799021709161198</v>
      </c>
      <c r="Z383" s="289">
        <f t="shared" si="32"/>
        <v>0.23772558880891223</v>
      </c>
      <c r="AA383" s="289">
        <f t="shared" si="32"/>
        <v>0.24546001175386598</v>
      </c>
      <c r="AB383" s="289">
        <f t="shared" si="32"/>
        <v>0.23589945205627194</v>
      </c>
      <c r="AC383" s="289">
        <f t="shared" si="32"/>
        <v>0.22205195074374251</v>
      </c>
      <c r="AD383" s="289">
        <f t="shared" si="32"/>
        <v>0.19947313805330749</v>
      </c>
      <c r="AE383" s="289">
        <f t="shared" si="32"/>
        <v>0.1803374813393756</v>
      </c>
      <c r="AF383" s="289">
        <f t="shared" si="32"/>
        <v>0.18480962531840101</v>
      </c>
      <c r="AG383" s="289">
        <f t="shared" si="32"/>
        <v>0.18015060639690858</v>
      </c>
      <c r="AH383" s="289">
        <f t="shared" si="32"/>
        <v>0.17882047928491879</v>
      </c>
      <c r="AI383" s="289">
        <f t="shared" si="32"/>
        <v>0.19332697022208481</v>
      </c>
      <c r="AJ383" s="289">
        <f t="shared" si="32"/>
        <v>0.22366643583701187</v>
      </c>
      <c r="AK383" s="289">
        <f t="shared" si="32"/>
        <v>0.22346100759244514</v>
      </c>
      <c r="AL383" s="289">
        <f t="shared" si="32"/>
        <v>0.22117345566643698</v>
      </c>
      <c r="AM383" s="289">
        <f t="shared" si="32"/>
        <v>0.2124574381301875</v>
      </c>
      <c r="AN383" s="289">
        <f t="shared" si="32"/>
        <v>0.19275441707786811</v>
      </c>
      <c r="AO383" s="289">
        <f t="shared" si="32"/>
        <v>0.1868569659088164</v>
      </c>
      <c r="AP383" s="289">
        <f t="shared" si="32"/>
        <v>0.18394137520232356</v>
      </c>
      <c r="AQ383" s="289">
        <f t="shared" si="32"/>
        <v>0.18129103613762726</v>
      </c>
      <c r="AR383" s="289">
        <f t="shared" si="32"/>
        <v>0.20836491075670746</v>
      </c>
      <c r="AS383" s="289">
        <f t="shared" si="32"/>
        <v>0.24207507157046201</v>
      </c>
      <c r="AT383" s="289">
        <f t="shared" si="32"/>
        <v>0.26472567844127171</v>
      </c>
      <c r="AU383" s="289">
        <f t="shared" si="32"/>
        <v>0.27481896876567735</v>
      </c>
      <c r="AV383" s="289">
        <f t="shared" si="32"/>
        <v>0.2868966474493172</v>
      </c>
      <c r="AW383" s="289">
        <f t="shared" si="32"/>
        <v>0.27602035961407084</v>
      </c>
      <c r="AX383" s="289">
        <f t="shared" si="32"/>
        <v>0.29213541303596202</v>
      </c>
      <c r="AY383" s="289">
        <f t="shared" si="32"/>
        <v>0.35610216898310221</v>
      </c>
      <c r="AZ383" s="289">
        <f t="shared" si="32"/>
        <v>0.35760240786178066</v>
      </c>
      <c r="BA383" s="289">
        <f t="shared" si="32"/>
        <v>0.35478624060197334</v>
      </c>
      <c r="BB383" s="289">
        <f t="shared" si="32"/>
        <v>0.35973913127517132</v>
      </c>
      <c r="BC383" s="289">
        <f t="shared" si="22"/>
        <v>0.35973913127517132</v>
      </c>
    </row>
    <row r="384" spans="2:55">
      <c r="B384" s="72" t="s">
        <v>658</v>
      </c>
      <c r="C384" s="72" t="s">
        <v>659</v>
      </c>
      <c r="D384" s="289">
        <f t="shared" si="20"/>
        <v>0.97630445446207714</v>
      </c>
      <c r="E384" s="289">
        <f t="shared" si="32"/>
        <v>1.032094100630413</v>
      </c>
      <c r="F384" s="289">
        <f t="shared" si="32"/>
        <v>1.1501249566135929</v>
      </c>
      <c r="G384" s="289">
        <f t="shared" si="32"/>
        <v>1.3287386795354661</v>
      </c>
      <c r="H384" s="289">
        <f t="shared" si="32"/>
        <v>1.4714141026887164</v>
      </c>
      <c r="I384" s="289">
        <f t="shared" si="32"/>
        <v>1.640971887332705</v>
      </c>
      <c r="J384" s="289">
        <f t="shared" si="32"/>
        <v>1.5445774449315886</v>
      </c>
      <c r="K384" s="289">
        <f t="shared" si="32"/>
        <v>1.2415611047915778</v>
      </c>
      <c r="L384" s="289">
        <f t="shared" si="32"/>
        <v>1.0033701358552853</v>
      </c>
      <c r="M384" s="289">
        <f t="shared" si="32"/>
        <v>1.1321231068072073</v>
      </c>
      <c r="N384" s="289">
        <f t="shared" si="32"/>
        <v>1.2685641323676438</v>
      </c>
      <c r="O384" s="289">
        <f t="shared" si="32"/>
        <v>1.3677011396359455</v>
      </c>
      <c r="P384" s="289">
        <f t="shared" si="32"/>
        <v>1.6445463986331168</v>
      </c>
      <c r="Q384" s="289">
        <f t="shared" si="32"/>
        <v>1.9725315110301658</v>
      </c>
      <c r="R384" s="289">
        <f t="shared" si="32"/>
        <v>1.5121711402475186</v>
      </c>
      <c r="S384" s="289">
        <f t="shared" si="32"/>
        <v>1.8487649801002024</v>
      </c>
      <c r="T384" s="289">
        <f t="shared" si="32"/>
        <v>2.1486841802012702</v>
      </c>
      <c r="U384" s="289">
        <f t="shared" si="32"/>
        <v>1.9134632694565905</v>
      </c>
      <c r="V384" s="289">
        <f t="shared" si="32"/>
        <v>1.657994596771688</v>
      </c>
      <c r="W384" s="289">
        <f t="shared" si="32"/>
        <v>1.5174347320095773</v>
      </c>
      <c r="X384" s="289">
        <f t="shared" si="32"/>
        <v>1.6311793357870723</v>
      </c>
      <c r="Y384" s="289">
        <f t="shared" si="32"/>
        <v>1.5494596438089943</v>
      </c>
      <c r="Z384" s="289">
        <f t="shared" si="32"/>
        <v>1.3910196407615545</v>
      </c>
      <c r="AA384" s="289">
        <f t="shared" si="32"/>
        <v>1.514901507795845</v>
      </c>
      <c r="AB384" s="289">
        <f t="shared" si="32"/>
        <v>1.4833500318184467</v>
      </c>
      <c r="AC384" s="289">
        <f t="shared" si="32"/>
        <v>1.6060472195442628</v>
      </c>
      <c r="AD384" s="289">
        <f t="shared" si="32"/>
        <v>1.7935870218353964</v>
      </c>
      <c r="AE384" s="289">
        <f t="shared" si="32"/>
        <v>1.6112397096251811</v>
      </c>
      <c r="AF384" s="289">
        <f t="shared" si="32"/>
        <v>1.4678707192047511</v>
      </c>
      <c r="AG384" s="289">
        <f t="shared" si="32"/>
        <v>1.4139143791805455</v>
      </c>
      <c r="AH384" s="289">
        <f t="shared" si="32"/>
        <v>1.4361552037595271</v>
      </c>
      <c r="AI384" s="289">
        <f t="shared" si="32"/>
        <v>1.4093765091414081</v>
      </c>
      <c r="AJ384" s="289">
        <f t="shared" si="32"/>
        <v>1.3666636103234207</v>
      </c>
      <c r="AK384" s="289">
        <f t="shared" si="32"/>
        <v>1.2910463883242302</v>
      </c>
      <c r="AL384" s="289">
        <f t="shared" si="32"/>
        <v>1.3156499513989717</v>
      </c>
      <c r="AM384" s="289">
        <f t="shared" si="32"/>
        <v>1.3002422753567549</v>
      </c>
      <c r="AN384" s="289">
        <f t="shared" si="32"/>
        <v>1.1670299960850288</v>
      </c>
      <c r="AO384" s="289">
        <f t="shared" si="32"/>
        <v>1.2104626597620298</v>
      </c>
      <c r="AP384" s="289">
        <f t="shared" si="32"/>
        <v>1.2299745027430093</v>
      </c>
      <c r="AQ384" s="289">
        <f t="shared" si="32"/>
        <v>1.2343025246216155</v>
      </c>
      <c r="AR384" s="289">
        <f t="shared" si="32"/>
        <v>1.1194500280585049</v>
      </c>
      <c r="AS384" s="289">
        <f t="shared" si="32"/>
        <v>1.1475032995130101</v>
      </c>
      <c r="AT384" s="289">
        <f t="shared" si="32"/>
        <v>1.2162499939985312</v>
      </c>
      <c r="AU384" s="289">
        <f t="shared" si="32"/>
        <v>1.2364067981876017</v>
      </c>
      <c r="AV384" s="289">
        <f t="shared" si="32"/>
        <v>1.4397432060476487</v>
      </c>
      <c r="AW384" s="289">
        <f t="shared" si="32"/>
        <v>1.3540675141540621</v>
      </c>
      <c r="AX384" s="289">
        <f t="shared" ref="E384:BB389" si="33">AX134/AX$251</f>
        <v>1.4151945022224928</v>
      </c>
      <c r="AY384" s="289">
        <f t="shared" si="33"/>
        <v>1.2290309293669561</v>
      </c>
      <c r="AZ384" s="289">
        <f t="shared" si="33"/>
        <v>1.0764348419559995</v>
      </c>
      <c r="BA384" s="289">
        <f t="shared" si="33"/>
        <v>1.0900826752769179</v>
      </c>
      <c r="BB384" s="289">
        <f t="shared" si="33"/>
        <v>1.1263045224969437</v>
      </c>
      <c r="BC384" s="289">
        <f t="shared" si="22"/>
        <v>1.1263045224969437</v>
      </c>
    </row>
    <row r="385" spans="2:55">
      <c r="B385" s="72" t="s">
        <v>660</v>
      </c>
      <c r="C385" s="72" t="s">
        <v>332</v>
      </c>
      <c r="D385" s="289">
        <f t="shared" si="20"/>
        <v>4.0914731088556283E-2</v>
      </c>
      <c r="E385" s="289">
        <f t="shared" si="33"/>
        <v>3.8588621734277601E-2</v>
      </c>
      <c r="F385" s="289">
        <f t="shared" si="33"/>
        <v>4.1263937913939341E-2</v>
      </c>
      <c r="G385" s="289">
        <f t="shared" si="33"/>
        <v>4.3410979810851735E-2</v>
      </c>
      <c r="H385" s="289">
        <f t="shared" si="33"/>
        <v>6.5953741541234179E-2</v>
      </c>
      <c r="I385" s="289">
        <f t="shared" si="33"/>
        <v>4.6962969234938597E-2</v>
      </c>
      <c r="J385" s="289">
        <f t="shared" si="33"/>
        <v>4.8648457255721353E-2</v>
      </c>
      <c r="K385" s="289">
        <f t="shared" si="33"/>
        <v>5.3777807684311688E-2</v>
      </c>
      <c r="L385" s="289">
        <f t="shared" si="33"/>
        <v>5.4036559770705581E-2</v>
      </c>
      <c r="M385" s="289">
        <f t="shared" si="33"/>
        <v>5.0759359150458587E-2</v>
      </c>
      <c r="N385" s="289">
        <f t="shared" si="33"/>
        <v>4.7684170761690542E-2</v>
      </c>
      <c r="O385" s="289">
        <f t="shared" si="33"/>
        <v>4.3675768507854776E-2</v>
      </c>
      <c r="P385" s="289">
        <f t="shared" si="33"/>
        <v>4.5415758002934424E-2</v>
      </c>
      <c r="Q385" s="289">
        <f t="shared" si="33"/>
        <v>4.7606051416920384E-2</v>
      </c>
      <c r="R385" s="289">
        <f t="shared" si="33"/>
        <v>3.8176192044236855E-2</v>
      </c>
      <c r="S385" s="289">
        <f t="shared" si="33"/>
        <v>4.042641373848125E-2</v>
      </c>
      <c r="T385" s="289">
        <f t="shared" si="33"/>
        <v>4.1398279566708669E-2</v>
      </c>
      <c r="U385" s="289">
        <f t="shared" si="33"/>
        <v>3.606428137530801E-2</v>
      </c>
      <c r="V385" s="289">
        <f t="shared" si="33"/>
        <v>3.0228409736658531E-2</v>
      </c>
      <c r="W385" s="289">
        <f t="shared" si="33"/>
        <v>2.8143695251452539E-2</v>
      </c>
      <c r="X385" s="289">
        <f t="shared" si="33"/>
        <v>3.0056177586353983E-2</v>
      </c>
      <c r="Y385" s="289">
        <f t="shared" si="33"/>
        <v>3.1952493679152968E-2</v>
      </c>
      <c r="Z385" s="289">
        <f t="shared" si="33"/>
        <v>3.5820031153120095E-2</v>
      </c>
      <c r="AA385" s="289">
        <f t="shared" si="33"/>
        <v>3.6181144283101922E-2</v>
      </c>
      <c r="AB385" s="289">
        <f t="shared" si="33"/>
        <v>3.6734346926001686E-2</v>
      </c>
      <c r="AC385" s="289">
        <f t="shared" si="33"/>
        <v>3.1387665290977557E-2</v>
      </c>
      <c r="AD385" s="289">
        <f t="shared" si="33"/>
        <v>2.808181370025041E-2</v>
      </c>
      <c r="AE385" s="289">
        <f t="shared" si="33"/>
        <v>2.4096064168567775E-2</v>
      </c>
      <c r="AF385" s="289">
        <f t="shared" si="33"/>
        <v>2.3379472681828453E-2</v>
      </c>
      <c r="AG385" s="289">
        <f t="shared" si="33"/>
        <v>2.1132526769151637E-2</v>
      </c>
      <c r="AH385" s="289">
        <f t="shared" si="33"/>
        <v>1.6759562219833119E-2</v>
      </c>
      <c r="AI385" s="289">
        <f t="shared" si="33"/>
        <v>1.6995541352677248E-2</v>
      </c>
      <c r="AJ385" s="289">
        <f t="shared" si="33"/>
        <v>1.8012098762902596E-2</v>
      </c>
      <c r="AK385" s="289">
        <f t="shared" si="33"/>
        <v>1.9198893570344041E-2</v>
      </c>
      <c r="AL385" s="289">
        <f t="shared" si="33"/>
        <v>1.9058497770146531E-2</v>
      </c>
      <c r="AM385" s="289">
        <f t="shared" si="33"/>
        <v>1.9406723303094228E-2</v>
      </c>
      <c r="AN385" s="289">
        <f t="shared" si="33"/>
        <v>1.8027684385589143E-2</v>
      </c>
      <c r="AO385" s="289">
        <f t="shared" si="33"/>
        <v>1.6841386319690045E-2</v>
      </c>
      <c r="AP385" s="289">
        <f t="shared" si="33"/>
        <v>1.7486553277521896E-2</v>
      </c>
      <c r="AQ385" s="289">
        <f t="shared" si="33"/>
        <v>1.7975179702395195E-2</v>
      </c>
      <c r="AR385" s="289">
        <f t="shared" si="33"/>
        <v>1.8504187521638179E-2</v>
      </c>
      <c r="AS385" s="289">
        <f t="shared" si="33"/>
        <v>1.7787437199899964E-2</v>
      </c>
      <c r="AT385" s="289">
        <f t="shared" si="33"/>
        <v>1.7925779969747986E-2</v>
      </c>
      <c r="AU385" s="289">
        <f t="shared" si="33"/>
        <v>1.7510668159706141E-2</v>
      </c>
      <c r="AV385" s="289">
        <f t="shared" si="33"/>
        <v>1.9194911902221917E-2</v>
      </c>
      <c r="AW385" s="289">
        <f t="shared" si="33"/>
        <v>2.0263805326243577E-2</v>
      </c>
      <c r="AX385" s="289">
        <f t="shared" si="33"/>
        <v>2.2774245615458127E-2</v>
      </c>
      <c r="AY385" s="289">
        <f t="shared" si="33"/>
        <v>2.3823430086831091E-2</v>
      </c>
      <c r="AZ385" s="289">
        <f t="shared" si="33"/>
        <v>3.1896514722221554E-2</v>
      </c>
      <c r="BA385" s="289">
        <f t="shared" si="33"/>
        <v>3.7935346805184969E-2</v>
      </c>
      <c r="BB385" s="289">
        <f t="shared" si="33"/>
        <v>3.8129396663186821E-2</v>
      </c>
      <c r="BC385" s="289">
        <f t="shared" si="22"/>
        <v>3.8129396663186821E-2</v>
      </c>
    </row>
    <row r="386" spans="2:55">
      <c r="B386" s="72" t="s">
        <v>661</v>
      </c>
      <c r="C386" s="72" t="s">
        <v>662</v>
      </c>
      <c r="D386" s="289">
        <f t="shared" si="20"/>
        <v>0</v>
      </c>
      <c r="E386" s="289">
        <f t="shared" si="33"/>
        <v>0</v>
      </c>
      <c r="F386" s="289">
        <f t="shared" si="33"/>
        <v>0</v>
      </c>
      <c r="G386" s="289">
        <f t="shared" si="33"/>
        <v>0</v>
      </c>
      <c r="H386" s="289">
        <f t="shared" si="33"/>
        <v>0</v>
      </c>
      <c r="I386" s="289">
        <f t="shared" si="33"/>
        <v>0</v>
      </c>
      <c r="J386" s="289">
        <f t="shared" si="33"/>
        <v>2.6963144542954565E-2</v>
      </c>
      <c r="K386" s="289">
        <f t="shared" si="33"/>
        <v>3.5013732042479442E-2</v>
      </c>
      <c r="L386" s="289">
        <f t="shared" si="33"/>
        <v>3.7523760071862658E-2</v>
      </c>
      <c r="M386" s="289">
        <f t="shared" si="33"/>
        <v>3.63905928669329E-2</v>
      </c>
      <c r="N386" s="289">
        <f t="shared" si="33"/>
        <v>3.2120969981496703E-2</v>
      </c>
      <c r="O386" s="289">
        <f t="shared" si="33"/>
        <v>3.2229719422828283E-2</v>
      </c>
      <c r="P386" s="289">
        <f t="shared" si="33"/>
        <v>4.1293243059323297E-2</v>
      </c>
      <c r="Q386" s="289">
        <f t="shared" si="33"/>
        <v>5.9168698992798308E-2</v>
      </c>
      <c r="R386" s="289">
        <f t="shared" si="33"/>
        <v>5.7009522946448635E-2</v>
      </c>
      <c r="S386" s="289">
        <f t="shared" si="33"/>
        <v>7.0841234741151213E-2</v>
      </c>
      <c r="T386" s="289">
        <f t="shared" si="33"/>
        <v>7.5347435407159769E-2</v>
      </c>
      <c r="U386" s="289">
        <f t="shared" si="33"/>
        <v>6.5163440102706582E-2</v>
      </c>
      <c r="V386" s="289">
        <f t="shared" si="33"/>
        <v>4.9787180908095814E-2</v>
      </c>
      <c r="W386" s="289">
        <f t="shared" si="33"/>
        <v>5.3752628174843026E-2</v>
      </c>
      <c r="X386" s="289">
        <f t="shared" si="33"/>
        <v>6.5563017565427775E-2</v>
      </c>
      <c r="Y386" s="289">
        <f t="shared" si="33"/>
        <v>6.8864711678614535E-2</v>
      </c>
      <c r="Z386" s="289">
        <f t="shared" si="33"/>
        <v>6.4045734017344633E-2</v>
      </c>
      <c r="AA386" s="289">
        <f t="shared" si="33"/>
        <v>6.8392086197711283E-2</v>
      </c>
      <c r="AB386" s="289">
        <f t="shared" si="33"/>
        <v>6.3278433526547134E-2</v>
      </c>
      <c r="AC386" s="289">
        <f t="shared" si="33"/>
        <v>4.6393955338262405E-2</v>
      </c>
      <c r="AD386" s="289">
        <f t="shared" si="33"/>
        <v>3.5227131279430994E-2</v>
      </c>
      <c r="AE386" s="289">
        <f t="shared" si="33"/>
        <v>3.3361385755194581E-2</v>
      </c>
      <c r="AF386" s="289">
        <f t="shared" si="33"/>
        <v>3.7185837944486301E-2</v>
      </c>
      <c r="AG386" s="289">
        <f t="shared" si="33"/>
        <v>3.509315630194345E-2</v>
      </c>
      <c r="AH386" s="289">
        <f t="shared" si="33"/>
        <v>3.7186913407546013E-2</v>
      </c>
      <c r="AI386" s="289">
        <f t="shared" si="33"/>
        <v>3.8512834375305623E-2</v>
      </c>
      <c r="AJ386" s="289">
        <f t="shared" si="33"/>
        <v>4.8033140777526122E-2</v>
      </c>
      <c r="AK386" s="289">
        <f t="shared" si="33"/>
        <v>4.9118730050470495E-2</v>
      </c>
      <c r="AL386" s="289">
        <f t="shared" si="33"/>
        <v>5.0827865742135797E-2</v>
      </c>
      <c r="AM386" s="289">
        <f t="shared" si="33"/>
        <v>5.3617758455964872E-2</v>
      </c>
      <c r="AN386" s="289">
        <f t="shared" si="33"/>
        <v>4.4847417487631221E-2</v>
      </c>
      <c r="AO386" s="289">
        <f t="shared" si="33"/>
        <v>1.8372131723548971E-2</v>
      </c>
      <c r="AP386" s="289">
        <f t="shared" si="33"/>
        <v>2.5940827923505529E-2</v>
      </c>
      <c r="AQ386" s="289">
        <f t="shared" si="33"/>
        <v>3.0861317619113243E-2</v>
      </c>
      <c r="AR386" s="289">
        <f t="shared" si="33"/>
        <v>2.9880015659175366E-2</v>
      </c>
      <c r="AS386" s="289">
        <f t="shared" si="33"/>
        <v>3.3089633220240028E-2</v>
      </c>
      <c r="AT386" s="289">
        <f t="shared" si="33"/>
        <v>3.3971058933335692E-2</v>
      </c>
      <c r="AU386" s="289">
        <f t="shared" si="33"/>
        <v>3.116207765578995E-2</v>
      </c>
      <c r="AV386" s="289">
        <f t="shared" si="33"/>
        <v>3.2990604213756859E-2</v>
      </c>
      <c r="AW386" s="289">
        <f t="shared" si="33"/>
        <v>3.917028496698529E-2</v>
      </c>
      <c r="AX386" s="289">
        <f t="shared" si="33"/>
        <v>4.0131508172847469E-2</v>
      </c>
      <c r="AY386" s="289">
        <f t="shared" si="33"/>
        <v>5.0332894180220272E-2</v>
      </c>
      <c r="AZ386" s="289">
        <f t="shared" si="33"/>
        <v>6.4326392567714316E-2</v>
      </c>
      <c r="BA386" s="289">
        <f t="shared" si="33"/>
        <v>8.1412683592217497E-2</v>
      </c>
      <c r="BB386" s="289">
        <f t="shared" si="33"/>
        <v>8.9516971948096394E-2</v>
      </c>
      <c r="BC386" s="289">
        <f t="shared" si="22"/>
        <v>8.9516971948096394E-2</v>
      </c>
    </row>
    <row r="387" spans="2:55">
      <c r="B387" s="72" t="s">
        <v>663</v>
      </c>
      <c r="C387" s="72" t="s">
        <v>664</v>
      </c>
      <c r="D387" s="289">
        <f t="shared" si="20"/>
        <v>0</v>
      </c>
      <c r="E387" s="289">
        <f t="shared" si="33"/>
        <v>0</v>
      </c>
      <c r="F387" s="289">
        <f t="shared" si="33"/>
        <v>0</v>
      </c>
      <c r="G387" s="289">
        <f t="shared" si="33"/>
        <v>0</v>
      </c>
      <c r="H387" s="289">
        <f t="shared" si="33"/>
        <v>0.13266923480148668</v>
      </c>
      <c r="I387" s="289">
        <f t="shared" si="33"/>
        <v>0.1329331837423478</v>
      </c>
      <c r="J387" s="289">
        <f t="shared" si="33"/>
        <v>0.13873698435044027</v>
      </c>
      <c r="K387" s="289">
        <f t="shared" si="33"/>
        <v>0.16393554222175657</v>
      </c>
      <c r="L387" s="289">
        <f t="shared" si="33"/>
        <v>0.16715378862175659</v>
      </c>
      <c r="M387" s="289">
        <f t="shared" si="33"/>
        <v>0.16477046081373634</v>
      </c>
      <c r="N387" s="289">
        <f t="shared" si="33"/>
        <v>0.17768792340339631</v>
      </c>
      <c r="O387" s="289">
        <f t="shared" si="33"/>
        <v>0.18717967798617369</v>
      </c>
      <c r="P387" s="289">
        <f t="shared" si="33"/>
        <v>0.25534799086335019</v>
      </c>
      <c r="Q387" s="289">
        <f t="shared" si="33"/>
        <v>0.39561853672909569</v>
      </c>
      <c r="R387" s="289">
        <f t="shared" si="33"/>
        <v>0.35492818423827183</v>
      </c>
      <c r="S387" s="289">
        <f t="shared" si="33"/>
        <v>0.46598657866463261</v>
      </c>
      <c r="T387" s="289">
        <f t="shared" si="33"/>
        <v>0.4701844383237338</v>
      </c>
      <c r="U387" s="289">
        <f t="shared" si="33"/>
        <v>0.35066896868783659</v>
      </c>
      <c r="V387" s="289">
        <f t="shared" si="33"/>
        <v>0.30808118931500095</v>
      </c>
      <c r="W387" s="289">
        <f t="shared" si="33"/>
        <v>0.24255418329727832</v>
      </c>
      <c r="X387" s="289">
        <f t="shared" si="33"/>
        <v>0.26539963159690327</v>
      </c>
      <c r="Y387" s="289">
        <f t="shared" si="33"/>
        <v>0.33561760544904318</v>
      </c>
      <c r="Z387" s="289">
        <f t="shared" si="33"/>
        <v>0.41292115318107853</v>
      </c>
      <c r="AA387" s="289">
        <f t="shared" si="33"/>
        <v>0.43938624040251806</v>
      </c>
      <c r="AB387" s="289">
        <f t="shared" si="33"/>
        <v>0.44709845319135494</v>
      </c>
      <c r="AC387" s="289">
        <f t="shared" si="33"/>
        <v>0.40929439144323071</v>
      </c>
      <c r="AD387" s="289">
        <f t="shared" si="33"/>
        <v>0.20711260498531128</v>
      </c>
      <c r="AE387" s="289">
        <f t="shared" si="33"/>
        <v>0.15014465930159088</v>
      </c>
      <c r="AF387" s="289">
        <f t="shared" si="33"/>
        <v>0.14168525548823785</v>
      </c>
      <c r="AG387" s="289">
        <f t="shared" si="33"/>
        <v>0.11955808266917244</v>
      </c>
      <c r="AH387" s="289">
        <f t="shared" si="33"/>
        <v>0</v>
      </c>
      <c r="AI387" s="289">
        <f t="shared" si="33"/>
        <v>0</v>
      </c>
      <c r="AJ387" s="289">
        <f t="shared" si="33"/>
        <v>6.1011509143137209E-2</v>
      </c>
      <c r="AK387" s="289">
        <f t="shared" si="33"/>
        <v>6.2278687332130205E-2</v>
      </c>
      <c r="AL387" s="289">
        <f t="shared" si="33"/>
        <v>7.6213149337725217E-2</v>
      </c>
      <c r="AM387" s="289">
        <f t="shared" si="33"/>
        <v>8.6719142026311521E-2</v>
      </c>
      <c r="AN387" s="289">
        <f t="shared" si="33"/>
        <v>7.2446741395412531E-2</v>
      </c>
      <c r="AO387" s="289">
        <f t="shared" si="33"/>
        <v>6.5055515118096804E-2</v>
      </c>
      <c r="AP387" s="289">
        <f t="shared" si="33"/>
        <v>6.3537783243348619E-2</v>
      </c>
      <c r="AQ387" s="289">
        <f t="shared" si="33"/>
        <v>6.1861062944794445E-2</v>
      </c>
      <c r="AR387" s="289">
        <f t="shared" si="33"/>
        <v>7.0090640817875444E-2</v>
      </c>
      <c r="AS387" s="289">
        <f t="shared" si="33"/>
        <v>6.4159849443040373E-2</v>
      </c>
      <c r="AT387" s="289">
        <f t="shared" si="33"/>
        <v>6.386269641767052E-2</v>
      </c>
      <c r="AU387" s="289">
        <f t="shared" si="33"/>
        <v>6.4566187170446085E-2</v>
      </c>
      <c r="AV387" s="289">
        <f t="shared" si="33"/>
        <v>7.2232418831866693E-2</v>
      </c>
      <c r="AW387" s="289">
        <f t="shared" si="33"/>
        <v>7.8005788590309558E-2</v>
      </c>
      <c r="AX387" s="289">
        <f t="shared" si="33"/>
        <v>8.6432149853500617E-2</v>
      </c>
      <c r="AY387" s="289">
        <f t="shared" si="33"/>
        <v>0.10842624737311181</v>
      </c>
      <c r="AZ387" s="289">
        <f t="shared" si="33"/>
        <v>0.1281003259653006</v>
      </c>
      <c r="BA387" s="289">
        <f t="shared" si="33"/>
        <v>0</v>
      </c>
      <c r="BB387" s="289">
        <f t="shared" si="33"/>
        <v>0</v>
      </c>
      <c r="BC387" s="289">
        <f t="shared" si="22"/>
        <v>0</v>
      </c>
    </row>
    <row r="388" spans="2:55">
      <c r="B388" s="72" t="s">
        <v>665</v>
      </c>
      <c r="C388" s="72" t="s">
        <v>666</v>
      </c>
      <c r="D388" s="289">
        <f t="shared" si="20"/>
        <v>0.16656079721220257</v>
      </c>
      <c r="E388" s="289">
        <f t="shared" si="33"/>
        <v>0.16610702893035739</v>
      </c>
      <c r="F388" s="289">
        <f t="shared" si="33"/>
        <v>0.15542634531712388</v>
      </c>
      <c r="G388" s="289">
        <f t="shared" si="33"/>
        <v>0.16446860822867079</v>
      </c>
      <c r="H388" s="289">
        <f t="shared" si="33"/>
        <v>0.16297102897443608</v>
      </c>
      <c r="I388" s="289">
        <f t="shared" si="33"/>
        <v>0.16149908482964043</v>
      </c>
      <c r="J388" s="289">
        <f t="shared" si="33"/>
        <v>0.15255090253267548</v>
      </c>
      <c r="K388" s="289">
        <f t="shared" si="33"/>
        <v>0.17864327518470274</v>
      </c>
      <c r="L388" s="289">
        <f t="shared" si="33"/>
        <v>0.16778109796495533</v>
      </c>
      <c r="M388" s="289">
        <f t="shared" si="33"/>
        <v>0.1598425485710096</v>
      </c>
      <c r="N388" s="289">
        <f t="shared" si="33"/>
        <v>0.15842486296699129</v>
      </c>
      <c r="O388" s="289">
        <f t="shared" si="33"/>
        <v>0.1730844624616896</v>
      </c>
      <c r="P388" s="289">
        <f t="shared" si="33"/>
        <v>0.18010518049876506</v>
      </c>
      <c r="Q388" s="289">
        <f t="shared" si="33"/>
        <v>0.3239004529982808</v>
      </c>
      <c r="R388" s="289">
        <f t="shared" si="33"/>
        <v>0.32481883049329296</v>
      </c>
      <c r="S388" s="289">
        <f t="shared" si="33"/>
        <v>0.39454136880493051</v>
      </c>
      <c r="T388" s="289">
        <f t="shared" si="33"/>
        <v>0.4073521063292399</v>
      </c>
      <c r="U388" s="289">
        <f t="shared" si="33"/>
        <v>0.37001665261148908</v>
      </c>
      <c r="V388" s="289">
        <f t="shared" si="33"/>
        <v>0.39454188950243879</v>
      </c>
      <c r="W388" s="289">
        <f t="shared" si="33"/>
        <v>0.358827925961686</v>
      </c>
      <c r="X388" s="289">
        <f t="shared" si="33"/>
        <v>0.25207336074025044</v>
      </c>
      <c r="Y388" s="289">
        <f t="shared" si="33"/>
        <v>0.29072964447302713</v>
      </c>
      <c r="Z388" s="289">
        <f t="shared" si="33"/>
        <v>0.30458346742163539</v>
      </c>
      <c r="AA388" s="289">
        <f t="shared" si="33"/>
        <v>0.35778076984721441</v>
      </c>
      <c r="AB388" s="289">
        <f t="shared" si="33"/>
        <v>0.34324268831885918</v>
      </c>
      <c r="AC388" s="289">
        <f t="shared" si="33"/>
        <v>0.24592017119531218</v>
      </c>
      <c r="AD388" s="289">
        <f t="shared" si="33"/>
        <v>0.21288207442044826</v>
      </c>
      <c r="AE388" s="289">
        <f t="shared" si="33"/>
        <v>0.16933793043499226</v>
      </c>
      <c r="AF388" s="289">
        <f t="shared" si="33"/>
        <v>0.18207502893155764</v>
      </c>
      <c r="AG388" s="289">
        <f t="shared" si="33"/>
        <v>0</v>
      </c>
      <c r="AH388" s="289">
        <f t="shared" si="33"/>
        <v>0</v>
      </c>
      <c r="AI388" s="289">
        <f t="shared" si="33"/>
        <v>0</v>
      </c>
      <c r="AJ388" s="289">
        <f t="shared" si="33"/>
        <v>0</v>
      </c>
      <c r="AK388" s="289">
        <f t="shared" si="33"/>
        <v>0</v>
      </c>
      <c r="AL388" s="289">
        <f t="shared" si="33"/>
        <v>0</v>
      </c>
      <c r="AM388" s="289">
        <f t="shared" si="33"/>
        <v>0</v>
      </c>
      <c r="AN388" s="289">
        <f t="shared" si="33"/>
        <v>1.9413878584188093E-2</v>
      </c>
      <c r="AO388" s="289">
        <f t="shared" si="33"/>
        <v>1.8298725899132558E-2</v>
      </c>
      <c r="AP388" s="289">
        <f t="shared" si="33"/>
        <v>2.9681407061202748E-2</v>
      </c>
      <c r="AQ388" s="289">
        <f t="shared" si="33"/>
        <v>4.2441450832447103E-2</v>
      </c>
      <c r="AR388" s="289">
        <f t="shared" si="33"/>
        <v>3.0573532219861799E-2</v>
      </c>
      <c r="AS388" s="289">
        <f t="shared" si="33"/>
        <v>2.7471294017028407E-2</v>
      </c>
      <c r="AT388" s="289">
        <f t="shared" si="33"/>
        <v>0</v>
      </c>
      <c r="AU388" s="289">
        <f t="shared" si="33"/>
        <v>2.6084157040354557E-2</v>
      </c>
      <c r="AV388" s="289">
        <f t="shared" si="33"/>
        <v>2.9766273480663404E-2</v>
      </c>
      <c r="AW388" s="289">
        <f t="shared" si="33"/>
        <v>3.9166301886073812E-2</v>
      </c>
      <c r="AX388" s="289">
        <f t="shared" si="33"/>
        <v>4.1992862377024764E-2</v>
      </c>
      <c r="AY388" s="289">
        <f t="shared" si="33"/>
        <v>6.64543637580986E-2</v>
      </c>
      <c r="AZ388" s="289">
        <f t="shared" si="33"/>
        <v>5.847310543052759E-2</v>
      </c>
      <c r="BA388" s="289">
        <f t="shared" si="33"/>
        <v>6.984562294503964E-2</v>
      </c>
      <c r="BB388" s="289">
        <f t="shared" si="33"/>
        <v>8.9671975646615124E-2</v>
      </c>
      <c r="BC388" s="289">
        <f t="shared" si="22"/>
        <v>8.9671975646615124E-2</v>
      </c>
    </row>
    <row r="389" spans="2:55">
      <c r="B389" s="72" t="s">
        <v>667</v>
      </c>
      <c r="C389" s="72" t="s">
        <v>668</v>
      </c>
      <c r="D389" s="289">
        <f t="shared" si="20"/>
        <v>0.50895260011977084</v>
      </c>
      <c r="E389" s="289">
        <f t="shared" si="33"/>
        <v>0.52654545345815085</v>
      </c>
      <c r="F389" s="289">
        <f t="shared" si="33"/>
        <v>0.53505434882691538</v>
      </c>
      <c r="G389" s="289">
        <f t="shared" si="33"/>
        <v>0.55807530642678815</v>
      </c>
      <c r="H389" s="289">
        <f t="shared" si="33"/>
        <v>0.5531057505033512</v>
      </c>
      <c r="I389" s="289">
        <f t="shared" si="33"/>
        <v>0.54832172176144856</v>
      </c>
      <c r="J389" s="289">
        <f t="shared" si="33"/>
        <v>0.5692771598926285</v>
      </c>
      <c r="K389" s="289">
        <f t="shared" si="33"/>
        <v>0.59297853505266007</v>
      </c>
      <c r="L389" s="289">
        <f t="shared" si="33"/>
        <v>0.63539834199471579</v>
      </c>
      <c r="M389" s="289">
        <f t="shared" si="33"/>
        <v>0.64286822470113314</v>
      </c>
      <c r="N389" s="289">
        <f t="shared" si="33"/>
        <v>0.65413248310506589</v>
      </c>
      <c r="O389" s="289">
        <f t="shared" si="33"/>
        <v>0.69750599065538965</v>
      </c>
      <c r="P389" s="289">
        <f t="shared" si="33"/>
        <v>0.72161433963749544</v>
      </c>
      <c r="Q389" s="289">
        <f t="shared" si="33"/>
        <v>0.69398934348542973</v>
      </c>
      <c r="R389" s="289">
        <f t="shared" si="33"/>
        <v>0.68561178567273384</v>
      </c>
      <c r="S389" s="289">
        <f t="shared" si="33"/>
        <v>0.70050399913926298</v>
      </c>
      <c r="T389" s="289">
        <f t="shared" si="33"/>
        <v>0.72781534527621616</v>
      </c>
      <c r="U389" s="289">
        <f t="shared" si="33"/>
        <v>0.73738826639109378</v>
      </c>
      <c r="V389" s="289">
        <f t="shared" si="33"/>
        <v>0.70093167296615111</v>
      </c>
      <c r="W389" s="289">
        <f t="shared" si="33"/>
        <v>0.64206520563171599</v>
      </c>
      <c r="X389" s="289">
        <f t="shared" si="33"/>
        <v>0.63484454002993673</v>
      </c>
      <c r="Y389" s="289">
        <f t="shared" si="33"/>
        <v>0.68513858362984725</v>
      </c>
      <c r="Z389" s="289">
        <f t="shared" si="33"/>
        <v>0.69379708530020845</v>
      </c>
      <c r="AA389" s="289">
        <f t="shared" si="33"/>
        <v>0.70958069446639827</v>
      </c>
      <c r="AB389" s="289">
        <f t="shared" si="33"/>
        <v>0.7099834287319704</v>
      </c>
      <c r="AC389" s="289">
        <f t="shared" si="33"/>
        <v>0.78154920437486297</v>
      </c>
      <c r="AD389" s="289">
        <f t="shared" si="33"/>
        <v>0.75328886464087375</v>
      </c>
      <c r="AE389" s="289">
        <f t="shared" si="33"/>
        <v>0.6949260322796863</v>
      </c>
      <c r="AF389" s="289">
        <f t="shared" si="33"/>
        <v>0.7196453547782371</v>
      </c>
      <c r="AG389" s="289">
        <f t="shared" si="33"/>
        <v>0.76914862412693885</v>
      </c>
      <c r="AH389" s="289">
        <f t="shared" si="33"/>
        <v>0.74286164833949475</v>
      </c>
      <c r="AI389" s="289">
        <f t="shared" si="33"/>
        <v>0.80358377292385808</v>
      </c>
      <c r="AJ389" s="289">
        <f t="shared" si="33"/>
        <v>0.83605219248986362</v>
      </c>
      <c r="AK389" s="289">
        <f t="shared" si="33"/>
        <v>0.84127040474025294</v>
      </c>
      <c r="AL389" s="289">
        <f t="shared" si="33"/>
        <v>0.93139954521391854</v>
      </c>
      <c r="AM389" s="289">
        <f t="shared" si="33"/>
        <v>0.97009333751220705</v>
      </c>
      <c r="AN389" s="289">
        <f t="shared" si="33"/>
        <v>0.94147726451034675</v>
      </c>
      <c r="AO389" s="289">
        <f t="shared" si="33"/>
        <v>0.94950833844948057</v>
      </c>
      <c r="AP389" s="289">
        <f t="shared" si="33"/>
        <v>1.00211885332814</v>
      </c>
      <c r="AQ389" s="289">
        <f t="shared" si="33"/>
        <v>1.0228288526125791</v>
      </c>
      <c r="AR389" s="289">
        <f t="shared" si="33"/>
        <v>1.1007937720225491</v>
      </c>
      <c r="AS389" s="289">
        <f t="shared" si="33"/>
        <v>1.1643734454460506</v>
      </c>
      <c r="AT389" s="289">
        <f t="shared" si="33"/>
        <v>1.2780452158949285</v>
      </c>
      <c r="AU389" s="289">
        <f t="shared" si="33"/>
        <v>1.2516622820697352</v>
      </c>
      <c r="AV389" s="289">
        <f t="shared" si="33"/>
        <v>1.2818569951713448</v>
      </c>
      <c r="AW389" s="289">
        <f t="shared" si="33"/>
        <v>1.2969233220357295</v>
      </c>
      <c r="AX389" s="289">
        <f t="shared" si="33"/>
        <v>1.2878126732036961</v>
      </c>
      <c r="AY389" s="289">
        <f t="shared" si="33"/>
        <v>1.3807172290607408</v>
      </c>
      <c r="AZ389" s="289">
        <f t="shared" si="33"/>
        <v>1.416137586629584</v>
      </c>
      <c r="BA389" s="289">
        <f t="shared" si="33"/>
        <v>1.2652573716479121</v>
      </c>
      <c r="BB389" s="289">
        <f t="shared" si="33"/>
        <v>1.2403976470275044</v>
      </c>
      <c r="BC389" s="289">
        <f t="shared" si="22"/>
        <v>1.2403976470275044</v>
      </c>
    </row>
    <row r="390" spans="2:55">
      <c r="B390" s="72" t="s">
        <v>669</v>
      </c>
      <c r="C390" s="72" t="s">
        <v>670</v>
      </c>
      <c r="D390" s="289">
        <f t="shared" si="20"/>
        <v>0</v>
      </c>
      <c r="E390" s="289">
        <f t="shared" ref="E390:BB395" si="34">E140/E$251</f>
        <v>0</v>
      </c>
      <c r="F390" s="289">
        <f t="shared" si="34"/>
        <v>0</v>
      </c>
      <c r="G390" s="289">
        <f t="shared" si="34"/>
        <v>0</v>
      </c>
      <c r="H390" s="289">
        <f t="shared" si="34"/>
        <v>0</v>
      </c>
      <c r="I390" s="289">
        <f t="shared" si="34"/>
        <v>0</v>
      </c>
      <c r="J390" s="289">
        <f t="shared" si="34"/>
        <v>0</v>
      </c>
      <c r="K390" s="289">
        <f t="shared" si="34"/>
        <v>0</v>
      </c>
      <c r="L390" s="289">
        <f t="shared" si="34"/>
        <v>0</v>
      </c>
      <c r="M390" s="289">
        <f t="shared" si="34"/>
        <v>0</v>
      </c>
      <c r="N390" s="289">
        <f t="shared" si="34"/>
        <v>0</v>
      </c>
      <c r="O390" s="289">
        <f t="shared" si="34"/>
        <v>0</v>
      </c>
      <c r="P390" s="289">
        <f t="shared" si="34"/>
        <v>0</v>
      </c>
      <c r="Q390" s="289">
        <f t="shared" si="34"/>
        <v>0</v>
      </c>
      <c r="R390" s="289">
        <f t="shared" si="34"/>
        <v>0</v>
      </c>
      <c r="S390" s="289">
        <f t="shared" si="34"/>
        <v>0</v>
      </c>
      <c r="T390" s="289">
        <f t="shared" si="34"/>
        <v>0</v>
      </c>
      <c r="U390" s="289">
        <f t="shared" si="34"/>
        <v>0</v>
      </c>
      <c r="V390" s="289">
        <f t="shared" si="34"/>
        <v>0</v>
      </c>
      <c r="W390" s="289">
        <f t="shared" si="34"/>
        <v>0</v>
      </c>
      <c r="X390" s="289">
        <f t="shared" si="34"/>
        <v>0</v>
      </c>
      <c r="Y390" s="289">
        <f t="shared" si="34"/>
        <v>0</v>
      </c>
      <c r="Z390" s="289">
        <f t="shared" si="34"/>
        <v>0</v>
      </c>
      <c r="AA390" s="289">
        <f t="shared" si="34"/>
        <v>0</v>
      </c>
      <c r="AB390" s="289">
        <f t="shared" si="34"/>
        <v>0</v>
      </c>
      <c r="AC390" s="289">
        <f t="shared" si="34"/>
        <v>0</v>
      </c>
      <c r="AD390" s="289">
        <f t="shared" si="34"/>
        <v>0</v>
      </c>
      <c r="AE390" s="289">
        <f t="shared" si="34"/>
        <v>0</v>
      </c>
      <c r="AF390" s="289">
        <f t="shared" si="34"/>
        <v>0</v>
      </c>
      <c r="AG390" s="289">
        <f t="shared" si="34"/>
        <v>0</v>
      </c>
      <c r="AH390" s="289">
        <f t="shared" si="34"/>
        <v>0</v>
      </c>
      <c r="AI390" s="289">
        <f t="shared" si="34"/>
        <v>0</v>
      </c>
      <c r="AJ390" s="289">
        <f t="shared" si="34"/>
        <v>0</v>
      </c>
      <c r="AK390" s="289">
        <f t="shared" si="34"/>
        <v>0</v>
      </c>
      <c r="AL390" s="289">
        <f t="shared" si="34"/>
        <v>0.63540295686960035</v>
      </c>
      <c r="AM390" s="289">
        <f t="shared" si="34"/>
        <v>0.6692942773400975</v>
      </c>
      <c r="AN390" s="289">
        <f t="shared" si="34"/>
        <v>0.6817936941644307</v>
      </c>
      <c r="AO390" s="289">
        <f t="shared" si="34"/>
        <v>0.73876103685619021</v>
      </c>
      <c r="AP390" s="289">
        <f t="shared" si="34"/>
        <v>0.80599848593763468</v>
      </c>
      <c r="AQ390" s="289">
        <f t="shared" si="34"/>
        <v>0.81250604696307693</v>
      </c>
      <c r="AR390" s="289">
        <f t="shared" si="34"/>
        <v>0.83799761026685893</v>
      </c>
      <c r="AS390" s="289">
        <f t="shared" si="34"/>
        <v>0.8983157706207</v>
      </c>
      <c r="AT390" s="289">
        <f t="shared" si="34"/>
        <v>0.92215722952552359</v>
      </c>
      <c r="AU390" s="289">
        <f t="shared" si="34"/>
        <v>0.94651813914237048</v>
      </c>
      <c r="AV390" s="289">
        <f t="shared" si="34"/>
        <v>0.95612851530232434</v>
      </c>
      <c r="AW390" s="289">
        <f t="shared" si="34"/>
        <v>1.0535651511646582</v>
      </c>
      <c r="AX390" s="289">
        <f t="shared" si="34"/>
        <v>1.083332514948284</v>
      </c>
      <c r="AY390" s="289">
        <f t="shared" si="34"/>
        <v>0</v>
      </c>
      <c r="AZ390" s="289">
        <f t="shared" si="34"/>
        <v>0</v>
      </c>
      <c r="BA390" s="289">
        <f t="shared" si="34"/>
        <v>0</v>
      </c>
      <c r="BB390" s="289">
        <f t="shared" si="34"/>
        <v>0</v>
      </c>
      <c r="BC390" s="289">
        <f t="shared" si="22"/>
        <v>0</v>
      </c>
    </row>
    <row r="391" spans="2:55">
      <c r="B391" s="72" t="s">
        <v>671</v>
      </c>
      <c r="C391" s="72" t="s">
        <v>672</v>
      </c>
      <c r="D391" s="289">
        <f t="shared" si="20"/>
        <v>1.0986650912202089</v>
      </c>
      <c r="E391" s="289">
        <f t="shared" si="34"/>
        <v>0.74811335683933433</v>
      </c>
      <c r="F391" s="289">
        <f t="shared" si="34"/>
        <v>0.78973485428298751</v>
      </c>
      <c r="G391" s="289">
        <f t="shared" si="34"/>
        <v>0.79561862296069463</v>
      </c>
      <c r="H391" s="289">
        <f t="shared" si="34"/>
        <v>0.77220654704877956</v>
      </c>
      <c r="I391" s="289">
        <f t="shared" si="34"/>
        <v>0.77253887267417531</v>
      </c>
      <c r="J391" s="289">
        <f t="shared" si="34"/>
        <v>0.70588404531915594</v>
      </c>
      <c r="K391" s="289">
        <f t="shared" si="34"/>
        <v>0.74482184603657464</v>
      </c>
      <c r="L391" s="289">
        <f t="shared" si="34"/>
        <v>0.78124925078640062</v>
      </c>
      <c r="M391" s="289">
        <f t="shared" si="34"/>
        <v>0.80572959101401243</v>
      </c>
      <c r="N391" s="289">
        <f t="shared" si="34"/>
        <v>0.7190037953290439</v>
      </c>
      <c r="O391" s="289">
        <f t="shared" si="34"/>
        <v>0.78798585352645756</v>
      </c>
      <c r="P391" s="289">
        <f t="shared" si="34"/>
        <v>0.86557766724425522</v>
      </c>
      <c r="Q391" s="289">
        <f t="shared" si="34"/>
        <v>1.0583276081919217</v>
      </c>
      <c r="R391" s="289">
        <f t="shared" si="34"/>
        <v>0.84918653311037218</v>
      </c>
      <c r="S391" s="289">
        <f t="shared" si="34"/>
        <v>0.87384979846310418</v>
      </c>
      <c r="T391" s="289">
        <f t="shared" si="34"/>
        <v>0.83517703374427255</v>
      </c>
      <c r="U391" s="289">
        <f t="shared" si="34"/>
        <v>0.63793415343626725</v>
      </c>
      <c r="V391" s="289">
        <f t="shared" si="34"/>
        <v>0.61579288118962072</v>
      </c>
      <c r="W391" s="289">
        <f t="shared" si="34"/>
        <v>0.58366012745182183</v>
      </c>
      <c r="X391" s="289">
        <f t="shared" si="34"/>
        <v>0.64135676170141498</v>
      </c>
      <c r="Y391" s="289">
        <f t="shared" si="34"/>
        <v>0.69921399973665277</v>
      </c>
      <c r="Z391" s="289">
        <f t="shared" si="34"/>
        <v>0.80849405743052705</v>
      </c>
      <c r="AA391" s="289">
        <f t="shared" si="34"/>
        <v>0.80510056304712496</v>
      </c>
      <c r="AB391" s="289">
        <f t="shared" si="34"/>
        <v>0.69413255241063365</v>
      </c>
      <c r="AC391" s="289">
        <f t="shared" si="34"/>
        <v>0.68650935091065013</v>
      </c>
      <c r="AD391" s="289">
        <f t="shared" si="34"/>
        <v>0.65839004199371387</v>
      </c>
      <c r="AE391" s="289">
        <f t="shared" si="34"/>
        <v>0.66090617685839592</v>
      </c>
      <c r="AF391" s="289">
        <f t="shared" si="34"/>
        <v>0.6556058195765706</v>
      </c>
      <c r="AG391" s="289">
        <f t="shared" si="34"/>
        <v>0.63682887838028623</v>
      </c>
      <c r="AH391" s="289">
        <f t="shared" si="34"/>
        <v>0.65025899803107923</v>
      </c>
      <c r="AI391" s="289">
        <f t="shared" si="34"/>
        <v>0.67711496997239784</v>
      </c>
      <c r="AJ391" s="289">
        <f t="shared" si="34"/>
        <v>0.73720670141221833</v>
      </c>
      <c r="AK391" s="289">
        <f t="shared" si="34"/>
        <v>0.75458258202575934</v>
      </c>
      <c r="AL391" s="289">
        <f t="shared" si="34"/>
        <v>0.86794454701531787</v>
      </c>
      <c r="AM391" s="289">
        <f t="shared" si="34"/>
        <v>0.88067976770765599</v>
      </c>
      <c r="AN391" s="289">
        <f t="shared" si="34"/>
        <v>0.79228311882783298</v>
      </c>
      <c r="AO391" s="289">
        <f t="shared" si="34"/>
        <v>0.73580684585285716</v>
      </c>
      <c r="AP391" s="289">
        <f t="shared" si="34"/>
        <v>0.705904917146294</v>
      </c>
      <c r="AQ391" s="289">
        <f t="shared" si="34"/>
        <v>0.79254563180616755</v>
      </c>
      <c r="AR391" s="289">
        <f t="shared" si="34"/>
        <v>0.76875640357452157</v>
      </c>
      <c r="AS391" s="289">
        <f t="shared" si="34"/>
        <v>0.63694147051719308</v>
      </c>
      <c r="AT391" s="289">
        <f t="shared" si="34"/>
        <v>0.56943821784260251</v>
      </c>
      <c r="AU391" s="289">
        <f t="shared" si="34"/>
        <v>0.50657396693053158</v>
      </c>
      <c r="AV391" s="289">
        <f t="shared" si="34"/>
        <v>0.50706274466444912</v>
      </c>
      <c r="AW391" s="289">
        <f t="shared" si="34"/>
        <v>0.50948839336918561</v>
      </c>
      <c r="AX391" s="289">
        <f t="shared" si="34"/>
        <v>0.50235650332849313</v>
      </c>
      <c r="AY391" s="289">
        <f t="shared" si="34"/>
        <v>0.63948203797764913</v>
      </c>
      <c r="AZ391" s="289">
        <f t="shared" si="34"/>
        <v>0.73680214259395083</v>
      </c>
      <c r="BA391" s="289">
        <f t="shared" si="34"/>
        <v>0.78669461500772386</v>
      </c>
      <c r="BB391" s="289">
        <f t="shared" si="34"/>
        <v>0.80131932168455133</v>
      </c>
      <c r="BC391" s="289">
        <f t="shared" si="22"/>
        <v>0.80131932168455133</v>
      </c>
    </row>
    <row r="392" spans="2:55">
      <c r="B392" s="72" t="s">
        <v>673</v>
      </c>
      <c r="C392" s="72" t="s">
        <v>674</v>
      </c>
      <c r="D392" s="289">
        <f t="shared" si="20"/>
        <v>0.61088429092628571</v>
      </c>
      <c r="E392" s="289">
        <f t="shared" si="34"/>
        <v>0.65421940639803144</v>
      </c>
      <c r="F392" s="289">
        <f t="shared" si="34"/>
        <v>0.707025682317727</v>
      </c>
      <c r="G392" s="289">
        <f t="shared" si="34"/>
        <v>0.706918327737872</v>
      </c>
      <c r="H392" s="289">
        <f t="shared" si="34"/>
        <v>0.70474645776353639</v>
      </c>
      <c r="I392" s="289">
        <f t="shared" si="34"/>
        <v>0.71566770649576672</v>
      </c>
      <c r="J392" s="289">
        <f t="shared" si="34"/>
        <v>0.75789285785018612</v>
      </c>
      <c r="K392" s="289">
        <f t="shared" si="34"/>
        <v>0.87109835481116471</v>
      </c>
      <c r="L392" s="289">
        <f t="shared" si="34"/>
        <v>0.89226304226155972</v>
      </c>
      <c r="M392" s="289">
        <f t="shared" si="34"/>
        <v>0.90542337129782091</v>
      </c>
      <c r="N392" s="289">
        <f t="shared" si="34"/>
        <v>0.87955228159349574</v>
      </c>
      <c r="O392" s="289">
        <f t="shared" si="34"/>
        <v>0.8899099606753571</v>
      </c>
      <c r="P392" s="289">
        <f t="shared" si="34"/>
        <v>0.9480886029972333</v>
      </c>
      <c r="Q392" s="289">
        <f t="shared" si="34"/>
        <v>0.99218010455997918</v>
      </c>
      <c r="R392" s="289">
        <f t="shared" si="34"/>
        <v>0.94104713973400456</v>
      </c>
      <c r="S392" s="289">
        <f t="shared" si="34"/>
        <v>0.96159252450843424</v>
      </c>
      <c r="T392" s="289">
        <f t="shared" si="34"/>
        <v>0.97153346047275435</v>
      </c>
      <c r="U392" s="289">
        <f t="shared" si="34"/>
        <v>0.93434801877506701</v>
      </c>
      <c r="V392" s="289">
        <f t="shared" si="34"/>
        <v>0.89667738648607109</v>
      </c>
      <c r="W392" s="289">
        <f t="shared" si="34"/>
        <v>0.84673611808265392</v>
      </c>
      <c r="X392" s="289">
        <f t="shared" si="34"/>
        <v>0.80333801894184209</v>
      </c>
      <c r="Y392" s="289">
        <f t="shared" si="34"/>
        <v>0.83509739651903503</v>
      </c>
      <c r="Z392" s="289">
        <f t="shared" si="34"/>
        <v>0.91290785399153884</v>
      </c>
      <c r="AA392" s="289">
        <f t="shared" si="34"/>
        <v>0.95878710073954965</v>
      </c>
      <c r="AB392" s="289">
        <f t="shared" si="34"/>
        <v>0.93776676625539834</v>
      </c>
      <c r="AC392" s="289">
        <f t="shared" si="34"/>
        <v>1.0832700828594024</v>
      </c>
      <c r="AD392" s="289">
        <f t="shared" si="34"/>
        <v>1.1120412699720907</v>
      </c>
      <c r="AE392" s="289">
        <f t="shared" si="34"/>
        <v>1.0146279938647511</v>
      </c>
      <c r="AF392" s="289">
        <f t="shared" si="34"/>
        <v>1.0485572717429916</v>
      </c>
      <c r="AG392" s="289">
        <f t="shared" si="34"/>
        <v>1.1344256496117275</v>
      </c>
      <c r="AH392" s="289">
        <f t="shared" si="34"/>
        <v>1.1505595883875155</v>
      </c>
      <c r="AI392" s="289">
        <f t="shared" si="34"/>
        <v>1.1811286990780847</v>
      </c>
      <c r="AJ392" s="289">
        <f t="shared" si="34"/>
        <v>1.0621596879574806</v>
      </c>
      <c r="AK392" s="289">
        <f t="shared" si="34"/>
        <v>1.016539204900696</v>
      </c>
      <c r="AL392" s="289">
        <f t="shared" si="34"/>
        <v>0.99830649668121474</v>
      </c>
      <c r="AM392" s="289">
        <f t="shared" si="34"/>
        <v>1.0622480337092526</v>
      </c>
      <c r="AN392" s="289">
        <f t="shared" si="34"/>
        <v>0.89811604062758033</v>
      </c>
      <c r="AO392" s="289">
        <f t="shared" si="34"/>
        <v>0.86090434190282861</v>
      </c>
      <c r="AP392" s="289">
        <f t="shared" si="34"/>
        <v>0.82837535551675778</v>
      </c>
      <c r="AQ392" s="289">
        <f t="shared" si="34"/>
        <v>0.7737480158357275</v>
      </c>
      <c r="AR392" s="289">
        <f t="shared" si="34"/>
        <v>0.79407636119359515</v>
      </c>
      <c r="AS392" s="289">
        <f t="shared" si="34"/>
        <v>0.79398309097005737</v>
      </c>
      <c r="AT392" s="289">
        <f t="shared" si="34"/>
        <v>0.84394274568104855</v>
      </c>
      <c r="AU392" s="289">
        <f t="shared" si="34"/>
        <v>0.81298528991238694</v>
      </c>
      <c r="AV392" s="289">
        <f t="shared" si="34"/>
        <v>0.7995172077686965</v>
      </c>
      <c r="AW392" s="289">
        <f t="shared" si="34"/>
        <v>0.78498574891082462</v>
      </c>
      <c r="AX392" s="289">
        <f t="shared" si="34"/>
        <v>0.77327505652983053</v>
      </c>
      <c r="AY392" s="289">
        <f t="shared" si="34"/>
        <v>0.8937633098626514</v>
      </c>
      <c r="AZ392" s="289">
        <f t="shared" si="34"/>
        <v>0.99269420939700659</v>
      </c>
      <c r="BA392" s="289">
        <f t="shared" si="34"/>
        <v>0.93189079545662024</v>
      </c>
      <c r="BB392" s="289">
        <f t="shared" si="34"/>
        <v>0.92480251251065404</v>
      </c>
      <c r="BC392" s="289">
        <f t="shared" si="22"/>
        <v>0.92480251251065404</v>
      </c>
    </row>
    <row r="393" spans="2:55">
      <c r="B393" s="72" t="s">
        <v>675</v>
      </c>
      <c r="C393" s="72" t="s">
        <v>676</v>
      </c>
      <c r="D393" s="289">
        <f t="shared" si="20"/>
        <v>0.31175221340271408</v>
      </c>
      <c r="E393" s="289">
        <f t="shared" si="34"/>
        <v>0.30611795516032042</v>
      </c>
      <c r="F393" s="289">
        <f t="shared" si="34"/>
        <v>0.30409016626001351</v>
      </c>
      <c r="G393" s="289">
        <f t="shared" si="34"/>
        <v>0.2993063928552343</v>
      </c>
      <c r="H393" s="289">
        <f t="shared" si="34"/>
        <v>0.2984207945618913</v>
      </c>
      <c r="I393" s="289">
        <f t="shared" si="34"/>
        <v>0.31387452796745746</v>
      </c>
      <c r="J393" s="289">
        <f t="shared" si="34"/>
        <v>0.31448967032316899</v>
      </c>
      <c r="K393" s="289">
        <f t="shared" si="34"/>
        <v>0.31338858171779843</v>
      </c>
      <c r="L393" s="289">
        <f t="shared" si="34"/>
        <v>0.31770199195177157</v>
      </c>
      <c r="M393" s="289">
        <f t="shared" si="34"/>
        <v>0.33523591446434697</v>
      </c>
      <c r="N393" s="289">
        <f t="shared" si="34"/>
        <v>0.3216319260778101</v>
      </c>
      <c r="O393" s="289">
        <f t="shared" si="34"/>
        <v>0.33680028363788594</v>
      </c>
      <c r="P393" s="289">
        <f t="shared" si="34"/>
        <v>0.29912047702902844</v>
      </c>
      <c r="Q393" s="289">
        <f t="shared" si="34"/>
        <v>0.34012475290874039</v>
      </c>
      <c r="R393" s="289">
        <f t="shared" si="34"/>
        <v>0.33793372867225363</v>
      </c>
      <c r="S393" s="289">
        <f t="shared" si="34"/>
        <v>0.36019749315456362</v>
      </c>
      <c r="T393" s="289">
        <f t="shared" si="34"/>
        <v>0.3456385208629052</v>
      </c>
      <c r="U393" s="289">
        <f t="shared" si="34"/>
        <v>0.21972662497734691</v>
      </c>
      <c r="V393" s="289">
        <f t="shared" si="34"/>
        <v>0.15344208251725919</v>
      </c>
      <c r="W393" s="289">
        <f t="shared" si="34"/>
        <v>0.1305371117336126</v>
      </c>
      <c r="X393" s="289">
        <f t="shared" si="34"/>
        <v>0.15069375448999728</v>
      </c>
      <c r="Y393" s="289">
        <f t="shared" si="34"/>
        <v>0.17170564812581002</v>
      </c>
      <c r="Z393" s="289">
        <f t="shared" si="34"/>
        <v>0.1953862721369565</v>
      </c>
      <c r="AA393" s="289">
        <f t="shared" si="34"/>
        <v>0.13385579032508227</v>
      </c>
      <c r="AB393" s="289">
        <f t="shared" si="34"/>
        <v>0.11069180109676155</v>
      </c>
      <c r="AC393" s="289">
        <f t="shared" si="34"/>
        <v>0.11717940523678344</v>
      </c>
      <c r="AD393" s="289">
        <f t="shared" si="34"/>
        <v>0.11338311009608101</v>
      </c>
      <c r="AE393" s="289">
        <f t="shared" si="34"/>
        <v>0.10866509176855645</v>
      </c>
      <c r="AF393" s="289">
        <f t="shared" si="34"/>
        <v>0.12318302237345614</v>
      </c>
      <c r="AG393" s="289">
        <f t="shared" si="34"/>
        <v>0.1086308227057457</v>
      </c>
      <c r="AH393" s="289">
        <f t="shared" si="34"/>
        <v>9.2819167089273347E-2</v>
      </c>
      <c r="AI393" s="289">
        <f t="shared" si="34"/>
        <v>7.6954613434358846E-2</v>
      </c>
      <c r="AJ393" s="289">
        <f t="shared" si="34"/>
        <v>0.11788224624412909</v>
      </c>
      <c r="AK393" s="289">
        <f t="shared" si="34"/>
        <v>0.10952237725912484</v>
      </c>
      <c r="AL393" s="289">
        <f t="shared" si="34"/>
        <v>0.11753752069013314</v>
      </c>
      <c r="AM393" s="289">
        <f t="shared" si="34"/>
        <v>0.12403751213061344</v>
      </c>
      <c r="AN393" s="289">
        <f t="shared" si="34"/>
        <v>0.12569750478052447</v>
      </c>
      <c r="AO393" s="289">
        <f t="shared" si="34"/>
        <v>0.13679070004362123</v>
      </c>
      <c r="AP393" s="289">
        <f t="shared" si="34"/>
        <v>0.13386906723823819</v>
      </c>
      <c r="AQ393" s="289">
        <f t="shared" si="34"/>
        <v>0.13884230236678749</v>
      </c>
      <c r="AR393" s="289">
        <f t="shared" si="34"/>
        <v>0.1407331647387865</v>
      </c>
      <c r="AS393" s="289">
        <f t="shared" si="34"/>
        <v>0.1375371938001369</v>
      </c>
      <c r="AT393" s="289">
        <f t="shared" si="34"/>
        <v>0.11528631444220983</v>
      </c>
      <c r="AU393" s="289">
        <f t="shared" si="34"/>
        <v>0.10508947299117917</v>
      </c>
      <c r="AV393" s="289">
        <f t="shared" si="34"/>
        <v>0.1096205911898764</v>
      </c>
      <c r="AW393" s="289">
        <f t="shared" si="34"/>
        <v>0.10971324679377657</v>
      </c>
      <c r="AX393" s="289">
        <f t="shared" si="34"/>
        <v>0.10246256768698835</v>
      </c>
      <c r="AY393" s="289">
        <f t="shared" si="34"/>
        <v>0.11277018656283512</v>
      </c>
      <c r="AZ393" s="289">
        <f t="shared" si="34"/>
        <v>0.12613522957536272</v>
      </c>
      <c r="BA393" s="289">
        <f t="shared" si="34"/>
        <v>0.13692036924842155</v>
      </c>
      <c r="BB393" s="289">
        <f t="shared" si="34"/>
        <v>0.13652032988622501</v>
      </c>
      <c r="BC393" s="289">
        <f t="shared" si="22"/>
        <v>0.13652032988622501</v>
      </c>
    </row>
    <row r="394" spans="2:55">
      <c r="B394" s="72" t="s">
        <v>677</v>
      </c>
      <c r="C394" s="72" t="s">
        <v>678</v>
      </c>
      <c r="D394" s="289">
        <f t="shared" si="20"/>
        <v>0.38799959570371245</v>
      </c>
      <c r="E394" s="289">
        <f t="shared" si="34"/>
        <v>0.41861705730277543</v>
      </c>
      <c r="F394" s="289">
        <f t="shared" si="34"/>
        <v>0.45074745066765676</v>
      </c>
      <c r="G394" s="289">
        <f t="shared" si="34"/>
        <v>0.48320646646086246</v>
      </c>
      <c r="H394" s="289">
        <f t="shared" si="34"/>
        <v>0.49692013214502245</v>
      </c>
      <c r="I394" s="289">
        <f t="shared" si="34"/>
        <v>0.54015540344392821</v>
      </c>
      <c r="J394" s="289">
        <f t="shared" si="34"/>
        <v>0.60728032788151576</v>
      </c>
      <c r="K394" s="289">
        <f t="shared" si="34"/>
        <v>0.76493872012606912</v>
      </c>
      <c r="L394" s="289">
        <f t="shared" si="34"/>
        <v>0.82126634476626015</v>
      </c>
      <c r="M394" s="289">
        <f t="shared" si="34"/>
        <v>0.89369875643300123</v>
      </c>
      <c r="N394" s="289">
        <f t="shared" si="34"/>
        <v>0.88463601064549868</v>
      </c>
      <c r="O394" s="289">
        <f t="shared" si="34"/>
        <v>1.0088790610822593</v>
      </c>
      <c r="P394" s="289">
        <f t="shared" si="34"/>
        <v>1.2069181799389521</v>
      </c>
      <c r="Q394" s="289">
        <f t="shared" si="34"/>
        <v>1.2175336232129861</v>
      </c>
      <c r="R394" s="289">
        <f t="shared" si="34"/>
        <v>1.0895741566869466</v>
      </c>
      <c r="S394" s="289">
        <f t="shared" si="34"/>
        <v>1.2648465529386888</v>
      </c>
      <c r="T394" s="289">
        <f t="shared" si="34"/>
        <v>1.3646660351507853</v>
      </c>
      <c r="U394" s="289">
        <f t="shared" si="34"/>
        <v>1.4994505864301477</v>
      </c>
      <c r="V394" s="289">
        <f t="shared" si="34"/>
        <v>1.1920467496870846</v>
      </c>
      <c r="W394" s="289">
        <f t="shared" si="34"/>
        <v>0.96725173377757967</v>
      </c>
      <c r="X394" s="289">
        <f t="shared" si="34"/>
        <v>1.1170265847878897</v>
      </c>
      <c r="Y394" s="289">
        <f t="shared" si="34"/>
        <v>1.0815078698729914</v>
      </c>
      <c r="Z394" s="289">
        <f t="shared" si="34"/>
        <v>1.2355808385933247</v>
      </c>
      <c r="AA394" s="289">
        <f t="shared" si="34"/>
        <v>1.3868963120588047</v>
      </c>
      <c r="AB394" s="289">
        <f t="shared" si="34"/>
        <v>1.3965838582822949</v>
      </c>
      <c r="AC394" s="289">
        <f t="shared" si="34"/>
        <v>1.6775183424773532</v>
      </c>
      <c r="AD394" s="289">
        <f t="shared" si="34"/>
        <v>1.6504807265159667</v>
      </c>
      <c r="AE394" s="289">
        <f t="shared" si="34"/>
        <v>1.6448857099714949</v>
      </c>
      <c r="AF394" s="289">
        <f t="shared" si="34"/>
        <v>1.6275138212872355</v>
      </c>
      <c r="AG394" s="289">
        <f t="shared" si="34"/>
        <v>1.4204037770788143</v>
      </c>
      <c r="AH394" s="289">
        <f t="shared" si="34"/>
        <v>1.5522649418448822</v>
      </c>
      <c r="AI394" s="289">
        <f t="shared" si="34"/>
        <v>1.6357003253771245</v>
      </c>
      <c r="AJ394" s="289">
        <f t="shared" si="34"/>
        <v>2.0856226541903973</v>
      </c>
      <c r="AK394" s="289">
        <f t="shared" si="34"/>
        <v>2.117746634022843</v>
      </c>
      <c r="AL394" s="289">
        <f t="shared" si="34"/>
        <v>2.1320971319227162</v>
      </c>
      <c r="AM394" s="289">
        <f t="shared" si="34"/>
        <v>1.784855140085893</v>
      </c>
      <c r="AN394" s="289">
        <f t="shared" si="34"/>
        <v>1.4618633103343992</v>
      </c>
      <c r="AO394" s="289">
        <f t="shared" si="34"/>
        <v>1.238895549726053</v>
      </c>
      <c r="AP394" s="289">
        <f t="shared" si="34"/>
        <v>1.3657948397892554</v>
      </c>
      <c r="AQ394" s="289">
        <f t="shared" si="34"/>
        <v>1.4882385392630462</v>
      </c>
      <c r="AR394" s="289">
        <f t="shared" si="34"/>
        <v>1.3172792074851483</v>
      </c>
      <c r="AS394" s="289">
        <f t="shared" si="34"/>
        <v>1.1570033909575459</v>
      </c>
      <c r="AT394" s="289">
        <f t="shared" si="34"/>
        <v>1.0814673047337613</v>
      </c>
      <c r="AU394" s="289">
        <f t="shared" si="34"/>
        <v>0.99308790656977075</v>
      </c>
      <c r="AV394" s="289">
        <f t="shared" si="34"/>
        <v>0.93860881308500888</v>
      </c>
      <c r="AW394" s="289">
        <f t="shared" si="34"/>
        <v>0.84242579819874519</v>
      </c>
      <c r="AX394" s="289">
        <f t="shared" si="34"/>
        <v>0.73590991156055419</v>
      </c>
      <c r="AY394" s="289">
        <f t="shared" si="34"/>
        <v>0.88007016295454132</v>
      </c>
      <c r="AZ394" s="289">
        <f t="shared" si="34"/>
        <v>1.117235543993242</v>
      </c>
      <c r="BA394" s="289">
        <f t="shared" si="34"/>
        <v>1.1877516369506009</v>
      </c>
      <c r="BB394" s="289">
        <f t="shared" si="34"/>
        <v>1.1758320805020166</v>
      </c>
      <c r="BC394" s="289">
        <f t="shared" si="22"/>
        <v>1.1758320805020166</v>
      </c>
    </row>
    <row r="395" spans="2:55">
      <c r="B395" s="72" t="s">
        <v>679</v>
      </c>
      <c r="C395" s="72" t="s">
        <v>680</v>
      </c>
      <c r="D395" s="289">
        <f t="shared" ref="D395:D458" si="35">D145/D$251</f>
        <v>0</v>
      </c>
      <c r="E395" s="289">
        <f t="shared" si="34"/>
        <v>0</v>
      </c>
      <c r="F395" s="289">
        <f t="shared" si="34"/>
        <v>0</v>
      </c>
      <c r="G395" s="289">
        <f t="shared" si="34"/>
        <v>0</v>
      </c>
      <c r="H395" s="289">
        <f t="shared" si="34"/>
        <v>0.28725818913117002</v>
      </c>
      <c r="I395" s="289">
        <f t="shared" si="34"/>
        <v>0.27974741253600743</v>
      </c>
      <c r="J395" s="289">
        <f t="shared" ref="J395:BB396" si="36">J145/J$251</f>
        <v>0.24417104913550125</v>
      </c>
      <c r="K395" s="289">
        <f t="shared" si="36"/>
        <v>0.2177385285960641</v>
      </c>
      <c r="L395" s="289">
        <f t="shared" si="36"/>
        <v>0.23938330925289061</v>
      </c>
      <c r="M395" s="289">
        <f t="shared" si="36"/>
        <v>0.18915705704996716</v>
      </c>
      <c r="N395" s="289">
        <f t="shared" si="36"/>
        <v>0.17060832977535431</v>
      </c>
      <c r="O395" s="289">
        <f t="shared" si="36"/>
        <v>0.16690157017709611</v>
      </c>
      <c r="P395" s="289">
        <f t="shared" si="36"/>
        <v>0.17145263074284828</v>
      </c>
      <c r="Q395" s="289">
        <f t="shared" si="36"/>
        <v>0.1948495708875907</v>
      </c>
      <c r="R395" s="289">
        <f t="shared" si="36"/>
        <v>0.17909470680962514</v>
      </c>
      <c r="S395" s="289">
        <f t="shared" si="36"/>
        <v>0.21747015385798224</v>
      </c>
      <c r="T395" s="289">
        <f t="shared" si="36"/>
        <v>0.23114623641436458</v>
      </c>
      <c r="U395" s="289">
        <f t="shared" si="36"/>
        <v>0.21806623470215913</v>
      </c>
      <c r="V395" s="289">
        <f t="shared" si="36"/>
        <v>0.207150018103885</v>
      </c>
      <c r="W395" s="289">
        <f t="shared" si="36"/>
        <v>0.18876454868935788</v>
      </c>
      <c r="X395" s="289">
        <f t="shared" si="36"/>
        <v>0.21451860612489018</v>
      </c>
      <c r="Y395" s="289">
        <f t="shared" si="36"/>
        <v>0.23457593161033088</v>
      </c>
      <c r="Z395" s="289">
        <f t="shared" si="36"/>
        <v>0.24808953640976938</v>
      </c>
      <c r="AA395" s="289">
        <f t="shared" si="36"/>
        <v>0.25972012723929977</v>
      </c>
      <c r="AB395" s="289">
        <f t="shared" si="36"/>
        <v>0.23583800281803871</v>
      </c>
      <c r="AC395" s="289">
        <f t="shared" si="36"/>
        <v>0.22387383879671763</v>
      </c>
      <c r="AD395" s="289">
        <f t="shared" si="36"/>
        <v>0.18590991092740813</v>
      </c>
      <c r="AE395" s="289">
        <f t="shared" si="36"/>
        <v>0.13725980147056366</v>
      </c>
      <c r="AF395" s="289">
        <f t="shared" si="36"/>
        <v>8.9719850707086934E-2</v>
      </c>
      <c r="AG395" s="289">
        <f t="shared" si="36"/>
        <v>7.1700985175931764E-2</v>
      </c>
      <c r="AH395" s="289">
        <f t="shared" si="36"/>
        <v>6.4334447790004717E-2</v>
      </c>
      <c r="AI395" s="289">
        <f t="shared" si="36"/>
        <v>7.5033562413987287E-2</v>
      </c>
      <c r="AJ395" s="289">
        <f t="shared" si="36"/>
        <v>8.4433493764368012E-2</v>
      </c>
      <c r="AK395" s="289">
        <f t="shared" si="36"/>
        <v>8.3801942822334122E-2</v>
      </c>
      <c r="AL395" s="289">
        <f t="shared" si="36"/>
        <v>8.0410250390250668E-2</v>
      </c>
      <c r="AM395" s="289">
        <f t="shared" si="36"/>
        <v>7.6406055850616966E-2</v>
      </c>
      <c r="AN395" s="289">
        <f t="shared" si="36"/>
        <v>6.9286561794802692E-2</v>
      </c>
      <c r="AO395" s="289">
        <f t="shared" si="36"/>
        <v>6.8868680728743414E-2</v>
      </c>
      <c r="AP395" s="289">
        <f t="shared" si="36"/>
        <v>6.7964114363121012E-2</v>
      </c>
      <c r="AQ395" s="289">
        <f t="shared" si="36"/>
        <v>7.0406940004296134E-2</v>
      </c>
      <c r="AR395" s="289">
        <f t="shared" si="36"/>
        <v>7.3530128116332305E-2</v>
      </c>
      <c r="AS395" s="289">
        <f t="shared" si="36"/>
        <v>7.0466727859113412E-2</v>
      </c>
      <c r="AT395" s="289">
        <f t="shared" si="36"/>
        <v>6.3389698323106883E-2</v>
      </c>
      <c r="AU395" s="289">
        <f t="shared" si="36"/>
        <v>5.8786051620645534E-2</v>
      </c>
      <c r="AV395" s="289">
        <f t="shared" si="36"/>
        <v>6.1022687655054662E-2</v>
      </c>
      <c r="AW395" s="289">
        <f t="shared" si="36"/>
        <v>6.7175560331203463E-2</v>
      </c>
      <c r="AX395" s="289">
        <f t="shared" si="36"/>
        <v>6.522754349160842E-2</v>
      </c>
      <c r="AY395" s="289">
        <f t="shared" si="36"/>
        <v>8.7996209246886337E-2</v>
      </c>
      <c r="AZ395" s="289">
        <f t="shared" si="36"/>
        <v>0.11397979272872823</v>
      </c>
      <c r="BA395" s="289">
        <f t="shared" si="36"/>
        <v>0.12053168911778761</v>
      </c>
      <c r="BB395" s="289">
        <f t="shared" si="36"/>
        <v>0.1195217164407838</v>
      </c>
      <c r="BC395" s="289">
        <f t="shared" si="22"/>
        <v>0.1195217164407838</v>
      </c>
    </row>
    <row r="396" spans="2:55">
      <c r="B396" s="72" t="s">
        <v>681</v>
      </c>
      <c r="C396" s="72" t="s">
        <v>682</v>
      </c>
      <c r="D396" s="289">
        <f t="shared" si="35"/>
        <v>0</v>
      </c>
      <c r="E396" s="289">
        <f t="shared" ref="E396:S396" si="37">E146/E$251</f>
        <v>0</v>
      </c>
      <c r="F396" s="289">
        <f t="shared" si="37"/>
        <v>0</v>
      </c>
      <c r="G396" s="289">
        <f t="shared" si="37"/>
        <v>0</v>
      </c>
      <c r="H396" s="289">
        <f t="shared" si="37"/>
        <v>0</v>
      </c>
      <c r="I396" s="289">
        <f t="shared" si="37"/>
        <v>0</v>
      </c>
      <c r="J396" s="289">
        <f t="shared" si="37"/>
        <v>0</v>
      </c>
      <c r="K396" s="289">
        <f t="shared" si="37"/>
        <v>0</v>
      </c>
      <c r="L396" s="289">
        <f t="shared" si="37"/>
        <v>0</v>
      </c>
      <c r="M396" s="289">
        <f t="shared" si="37"/>
        <v>0</v>
      </c>
      <c r="N396" s="289">
        <f t="shared" si="37"/>
        <v>0</v>
      </c>
      <c r="O396" s="289">
        <f t="shared" si="37"/>
        <v>0</v>
      </c>
      <c r="P396" s="289">
        <f t="shared" si="37"/>
        <v>0</v>
      </c>
      <c r="Q396" s="289">
        <f t="shared" si="37"/>
        <v>0</v>
      </c>
      <c r="R396" s="289">
        <f t="shared" si="37"/>
        <v>0</v>
      </c>
      <c r="S396" s="289">
        <f t="shared" si="37"/>
        <v>0</v>
      </c>
      <c r="T396" s="289">
        <f t="shared" si="36"/>
        <v>0</v>
      </c>
      <c r="U396" s="289">
        <f t="shared" si="36"/>
        <v>0</v>
      </c>
      <c r="V396" s="289">
        <f t="shared" si="36"/>
        <v>0</v>
      </c>
      <c r="W396" s="289">
        <f t="shared" si="36"/>
        <v>0</v>
      </c>
      <c r="X396" s="289">
        <f t="shared" si="36"/>
        <v>0</v>
      </c>
      <c r="Y396" s="289">
        <f t="shared" si="36"/>
        <v>0</v>
      </c>
      <c r="Z396" s="289">
        <f t="shared" si="36"/>
        <v>0</v>
      </c>
      <c r="AA396" s="289">
        <f t="shared" si="36"/>
        <v>0</v>
      </c>
      <c r="AB396" s="289">
        <f t="shared" si="36"/>
        <v>0</v>
      </c>
      <c r="AC396" s="289">
        <f t="shared" si="36"/>
        <v>0</v>
      </c>
      <c r="AD396" s="289">
        <f t="shared" si="36"/>
        <v>0</v>
      </c>
      <c r="AE396" s="289">
        <f t="shared" si="36"/>
        <v>0</v>
      </c>
      <c r="AF396" s="289">
        <f t="shared" si="36"/>
        <v>0</v>
      </c>
      <c r="AG396" s="289">
        <f t="shared" si="36"/>
        <v>9.3141907812524266E-2</v>
      </c>
      <c r="AH396" s="289">
        <f t="shared" si="36"/>
        <v>8.2260479371117579E-2</v>
      </c>
      <c r="AI396" s="289">
        <f t="shared" si="36"/>
        <v>7.9908569429246526E-2</v>
      </c>
      <c r="AJ396" s="289">
        <f t="shared" si="36"/>
        <v>8.4331464823220251E-2</v>
      </c>
      <c r="AK396" s="289">
        <f t="shared" si="36"/>
        <v>7.2036951988575404E-2</v>
      </c>
      <c r="AL396" s="289">
        <f t="shared" si="36"/>
        <v>6.4593537947090648E-2</v>
      </c>
      <c r="AM396" s="289">
        <f t="shared" si="36"/>
        <v>6.4405197677502177E-2</v>
      </c>
      <c r="AN396" s="289">
        <f t="shared" si="36"/>
        <v>6.1619218795670706E-2</v>
      </c>
      <c r="AO396" s="289">
        <f t="shared" si="36"/>
        <v>5.8757747901453362E-2</v>
      </c>
      <c r="AP396" s="289">
        <f t="shared" si="36"/>
        <v>4.4101594573130294E-2</v>
      </c>
      <c r="AQ396" s="289">
        <f t="shared" si="36"/>
        <v>4.9047007488484035E-2</v>
      </c>
      <c r="AR396" s="289">
        <f t="shared" si="36"/>
        <v>6.0030005997278257E-2</v>
      </c>
      <c r="AS396" s="289">
        <f t="shared" si="36"/>
        <v>6.1415448522583634E-2</v>
      </c>
      <c r="AT396" s="289">
        <f t="shared" si="36"/>
        <v>6.6386040821488301E-2</v>
      </c>
      <c r="AU396" s="289">
        <f t="shared" si="36"/>
        <v>7.8328849805485642E-2</v>
      </c>
      <c r="AV396" s="289">
        <f t="shared" si="36"/>
        <v>9.8927710792534651E-2</v>
      </c>
      <c r="AW396" s="289">
        <f t="shared" si="36"/>
        <v>0.13071759778154721</v>
      </c>
      <c r="AX396" s="289">
        <f t="shared" si="36"/>
        <v>0.14615542219080774</v>
      </c>
      <c r="AY396" s="289">
        <f t="shared" si="36"/>
        <v>0.1973161796183657</v>
      </c>
      <c r="AZ396" s="289">
        <f t="shared" si="36"/>
        <v>0.20279285651041931</v>
      </c>
      <c r="BA396" s="289">
        <f t="shared" si="36"/>
        <v>0.25016568258327249</v>
      </c>
      <c r="BB396" s="289">
        <f t="shared" si="36"/>
        <v>0.29091139391726356</v>
      </c>
      <c r="BC396" s="289">
        <f t="shared" ref="BC396:BC459" si="38">BC146/BC$251</f>
        <v>0.29091139391726356</v>
      </c>
    </row>
    <row r="397" spans="2:55">
      <c r="B397" s="72" t="s">
        <v>683</v>
      </c>
      <c r="C397" s="72" t="s">
        <v>684</v>
      </c>
      <c r="D397" s="289">
        <f t="shared" si="35"/>
        <v>6.5289151617233462E-2</v>
      </c>
      <c r="E397" s="289">
        <f t="shared" ref="E397:BB402" si="39">E147/E$251</f>
        <v>6.6464796127352621E-2</v>
      </c>
      <c r="F397" s="289">
        <f t="shared" si="39"/>
        <v>6.5309675119453486E-2</v>
      </c>
      <c r="G397" s="289">
        <f t="shared" si="39"/>
        <v>6.2772947620172867E-2</v>
      </c>
      <c r="H397" s="289">
        <f t="shared" si="39"/>
        <v>5.672365161938793E-2</v>
      </c>
      <c r="I397" s="289">
        <f t="shared" si="39"/>
        <v>6.0499916500683509E-2</v>
      </c>
      <c r="J397" s="289">
        <f t="shared" si="39"/>
        <v>5.9982396318677432E-2</v>
      </c>
      <c r="K397" s="289">
        <f t="shared" si="39"/>
        <v>6.7949867111456966E-2</v>
      </c>
      <c r="L397" s="289">
        <f t="shared" si="39"/>
        <v>6.6029799253307028E-2</v>
      </c>
      <c r="M397" s="289">
        <f t="shared" si="39"/>
        <v>6.3559817546883057E-2</v>
      </c>
      <c r="N397" s="289">
        <f t="shared" si="39"/>
        <v>6.0403088711881395E-2</v>
      </c>
      <c r="O397" s="289">
        <f t="shared" si="39"/>
        <v>6.0304854103948945E-2</v>
      </c>
      <c r="P397" s="289">
        <f t="shared" si="39"/>
        <v>6.1307770612679405E-2</v>
      </c>
      <c r="Q397" s="289">
        <f t="shared" si="39"/>
        <v>6.5055951642775986E-2</v>
      </c>
      <c r="R397" s="289">
        <f t="shared" si="39"/>
        <v>5.7475860839847945E-2</v>
      </c>
      <c r="S397" s="289">
        <f t="shared" si="39"/>
        <v>6.1432914727483239E-2</v>
      </c>
      <c r="T397" s="289">
        <f t="shared" si="39"/>
        <v>6.7763680913638602E-2</v>
      </c>
      <c r="U397" s="289">
        <f t="shared" si="39"/>
        <v>6.0783690087217922E-2</v>
      </c>
      <c r="V397" s="289">
        <f t="shared" si="39"/>
        <v>5.2997344783440675E-2</v>
      </c>
      <c r="W397" s="289">
        <f t="shared" si="39"/>
        <v>4.6411194392475638E-2</v>
      </c>
      <c r="X397" s="289">
        <f t="shared" si="39"/>
        <v>4.4363544354063665E-2</v>
      </c>
      <c r="Y397" s="289">
        <f t="shared" si="39"/>
        <v>4.2017055895142798E-2</v>
      </c>
      <c r="Z397" s="289">
        <f t="shared" si="39"/>
        <v>3.9659468601460364E-2</v>
      </c>
      <c r="AA397" s="289">
        <f t="shared" si="39"/>
        <v>4.2034896753214597E-2</v>
      </c>
      <c r="AB397" s="289">
        <f t="shared" si="39"/>
        <v>3.8019392632713402E-2</v>
      </c>
      <c r="AC397" s="289">
        <f t="shared" si="39"/>
        <v>3.5282086245651975E-2</v>
      </c>
      <c r="AD397" s="289">
        <f t="shared" si="39"/>
        <v>3.0580139581617271E-2</v>
      </c>
      <c r="AE397" s="289">
        <f t="shared" si="39"/>
        <v>2.5525183127888634E-2</v>
      </c>
      <c r="AF397" s="289">
        <f t="shared" si="39"/>
        <v>2.4270893484026956E-2</v>
      </c>
      <c r="AG397" s="289">
        <f t="shared" si="39"/>
        <v>2.0669939030527648E-2</v>
      </c>
      <c r="AH397" s="289">
        <f t="shared" si="39"/>
        <v>1.82895293906149E-2</v>
      </c>
      <c r="AI397" s="289">
        <f t="shared" si="39"/>
        <v>1.7289116646707736E-2</v>
      </c>
      <c r="AJ397" s="289">
        <f t="shared" si="39"/>
        <v>1.309199105513628E-2</v>
      </c>
      <c r="AK397" s="289">
        <f t="shared" si="39"/>
        <v>1.4638206813214006E-2</v>
      </c>
      <c r="AL397" s="289">
        <f t="shared" si="39"/>
        <v>1.653889692350578E-2</v>
      </c>
      <c r="AM397" s="289">
        <f t="shared" si="39"/>
        <v>2.0379714459007596E-2</v>
      </c>
      <c r="AN397" s="289">
        <f t="shared" si="39"/>
        <v>1.9315261550993133E-2</v>
      </c>
      <c r="AO397" s="289">
        <f t="shared" si="39"/>
        <v>1.8987238229622967E-2</v>
      </c>
      <c r="AP397" s="289">
        <f t="shared" si="39"/>
        <v>1.6520643484085492E-2</v>
      </c>
      <c r="AQ397" s="289">
        <f t="shared" si="39"/>
        <v>1.622353457862525E-2</v>
      </c>
      <c r="AR397" s="289">
        <f t="shared" si="39"/>
        <v>1.6300633318058328E-2</v>
      </c>
      <c r="AS397" s="289">
        <f t="shared" si="39"/>
        <v>1.4790143600242688E-2</v>
      </c>
      <c r="AT397" s="289">
        <f t="shared" si="39"/>
        <v>1.4152495208610507E-2</v>
      </c>
      <c r="AU397" s="289">
        <f t="shared" si="39"/>
        <v>1.2639629566692841E-2</v>
      </c>
      <c r="AV397" s="289">
        <f t="shared" si="39"/>
        <v>1.380137427767132E-2</v>
      </c>
      <c r="AW397" s="289">
        <f t="shared" si="39"/>
        <v>1.5213590305730362E-2</v>
      </c>
      <c r="AX397" s="289">
        <f t="shared" si="39"/>
        <v>1.56830365148969E-2</v>
      </c>
      <c r="AY397" s="289">
        <f t="shared" si="39"/>
        <v>1.8361228716073593E-2</v>
      </c>
      <c r="AZ397" s="289">
        <f t="shared" si="39"/>
        <v>2.1933208262913385E-2</v>
      </c>
      <c r="BA397" s="289">
        <f t="shared" si="39"/>
        <v>2.1920977745502342E-2</v>
      </c>
      <c r="BB397" s="289">
        <f t="shared" si="39"/>
        <v>2.0697553325208416E-2</v>
      </c>
      <c r="BC397" s="289">
        <f t="shared" si="38"/>
        <v>2.0697553325208416E-2</v>
      </c>
    </row>
    <row r="398" spans="2:55">
      <c r="B398" s="72" t="s">
        <v>685</v>
      </c>
      <c r="C398" s="72" t="s">
        <v>686</v>
      </c>
      <c r="D398" s="289">
        <f t="shared" si="35"/>
        <v>0</v>
      </c>
      <c r="E398" s="289">
        <f t="shared" si="39"/>
        <v>0</v>
      </c>
      <c r="F398" s="289">
        <f t="shared" si="39"/>
        <v>0</v>
      </c>
      <c r="G398" s="289">
        <f t="shared" si="39"/>
        <v>0</v>
      </c>
      <c r="H398" s="289">
        <f t="shared" si="39"/>
        <v>0</v>
      </c>
      <c r="I398" s="289">
        <f t="shared" si="39"/>
        <v>0</v>
      </c>
      <c r="J398" s="289">
        <f t="shared" si="39"/>
        <v>0</v>
      </c>
      <c r="K398" s="289">
        <f t="shared" si="39"/>
        <v>0</v>
      </c>
      <c r="L398" s="289">
        <f t="shared" si="39"/>
        <v>0</v>
      </c>
      <c r="M398" s="289">
        <f t="shared" si="39"/>
        <v>0.13039283449432346</v>
      </c>
      <c r="N398" s="289">
        <f t="shared" si="39"/>
        <v>0.12160555285879773</v>
      </c>
      <c r="O398" s="289">
        <f t="shared" si="39"/>
        <v>0.1295001759073528</v>
      </c>
      <c r="P398" s="289">
        <f t="shared" si="39"/>
        <v>0.18948710570491745</v>
      </c>
      <c r="Q398" s="289">
        <f t="shared" si="39"/>
        <v>0.46642080577735112</v>
      </c>
      <c r="R398" s="289">
        <f t="shared" si="39"/>
        <v>0.24669241026650476</v>
      </c>
      <c r="S398" s="289">
        <f t="shared" si="39"/>
        <v>0.18889937435305201</v>
      </c>
      <c r="T398" s="289">
        <f t="shared" si="39"/>
        <v>0.15497075443775887</v>
      </c>
      <c r="U398" s="289">
        <f t="shared" si="39"/>
        <v>0.14003914800365189</v>
      </c>
      <c r="V398" s="289">
        <f t="shared" si="39"/>
        <v>9.9680787302364626E-2</v>
      </c>
      <c r="W398" s="289">
        <f t="shared" si="39"/>
        <v>4.9965672172161392E-2</v>
      </c>
      <c r="X398" s="289">
        <f t="shared" si="39"/>
        <v>5.4010419900326297E-2</v>
      </c>
      <c r="Y398" s="289">
        <f t="shared" si="39"/>
        <v>5.6043324038336062E-2</v>
      </c>
      <c r="Z398" s="289">
        <f t="shared" si="39"/>
        <v>5.7317786694336847E-2</v>
      </c>
      <c r="AA398" s="289">
        <f t="shared" si="39"/>
        <v>5.794710510749549E-2</v>
      </c>
      <c r="AB398" s="289">
        <f t="shared" si="39"/>
        <v>3.9904817844686309E-2</v>
      </c>
      <c r="AC398" s="289">
        <f t="shared" si="39"/>
        <v>3.0764063441469414E-2</v>
      </c>
      <c r="AD398" s="289">
        <f t="shared" si="39"/>
        <v>2.856615923626098E-2</v>
      </c>
      <c r="AE398" s="289">
        <f t="shared" si="39"/>
        <v>2.9735106130806026E-2</v>
      </c>
      <c r="AF398" s="289">
        <f t="shared" si="39"/>
        <v>2.7707292875599025E-2</v>
      </c>
      <c r="AG398" s="289">
        <f t="shared" si="39"/>
        <v>2.2359553822929892E-2</v>
      </c>
      <c r="AH398" s="289">
        <f t="shared" si="39"/>
        <v>3.5531366771918822E-2</v>
      </c>
      <c r="AI398" s="289">
        <f t="shared" si="39"/>
        <v>3.5314012143043187E-2</v>
      </c>
      <c r="AJ398" s="289">
        <f t="shared" si="39"/>
        <v>3.8017612435925996E-2</v>
      </c>
      <c r="AK398" s="289">
        <f t="shared" si="39"/>
        <v>4.0246437343331512E-2</v>
      </c>
      <c r="AL398" s="289">
        <f t="shared" si="39"/>
        <v>3.7394521967389717E-2</v>
      </c>
      <c r="AM398" s="289">
        <f t="shared" si="39"/>
        <v>4.1271189672768153E-2</v>
      </c>
      <c r="AN398" s="289">
        <f t="shared" si="39"/>
        <v>3.6979045319769269E-2</v>
      </c>
      <c r="AO398" s="289">
        <f t="shared" si="39"/>
        <v>3.3105235392653143E-2</v>
      </c>
      <c r="AP398" s="289">
        <f t="shared" si="39"/>
        <v>3.3383572141057881E-2</v>
      </c>
      <c r="AQ398" s="289">
        <f t="shared" si="39"/>
        <v>3.2416577730552613E-2</v>
      </c>
      <c r="AR398" s="289">
        <f t="shared" si="39"/>
        <v>3.0032087263927761E-2</v>
      </c>
      <c r="AS398" s="289">
        <f t="shared" si="39"/>
        <v>3.1527187743947957E-2</v>
      </c>
      <c r="AT398" s="289">
        <f t="shared" si="39"/>
        <v>3.3814000076879895E-2</v>
      </c>
      <c r="AU398" s="289">
        <f t="shared" si="39"/>
        <v>3.0871438139685802E-2</v>
      </c>
      <c r="AV398" s="289">
        <f t="shared" si="39"/>
        <v>3.0056239688147975E-2</v>
      </c>
      <c r="AW398" s="289">
        <f t="shared" si="39"/>
        <v>2.7529559960074695E-2</v>
      </c>
      <c r="AX398" s="289">
        <f t="shared" si="39"/>
        <v>2.8151728998333816E-2</v>
      </c>
      <c r="AY398" s="289">
        <f t="shared" si="39"/>
        <v>3.1532285934425565E-2</v>
      </c>
      <c r="AZ398" s="289">
        <f t="shared" si="39"/>
        <v>3.473236109779404E-2</v>
      </c>
      <c r="BA398" s="289">
        <f t="shared" si="39"/>
        <v>3.9238140469933215E-2</v>
      </c>
      <c r="BB398" s="289">
        <f t="shared" si="39"/>
        <v>4.2237313277837467E-2</v>
      </c>
      <c r="BC398" s="289">
        <f t="shared" si="38"/>
        <v>4.2237313277837467E-2</v>
      </c>
    </row>
    <row r="399" spans="2:55">
      <c r="B399" s="72" t="s">
        <v>687</v>
      </c>
      <c r="C399" s="72" t="s">
        <v>688</v>
      </c>
      <c r="D399" s="289">
        <f t="shared" si="35"/>
        <v>0</v>
      </c>
      <c r="E399" s="289">
        <f t="shared" si="39"/>
        <v>0</v>
      </c>
      <c r="F399" s="289">
        <f t="shared" si="39"/>
        <v>0</v>
      </c>
      <c r="G399" s="289">
        <f t="shared" si="39"/>
        <v>0</v>
      </c>
      <c r="H399" s="289">
        <f t="shared" si="39"/>
        <v>0</v>
      </c>
      <c r="I399" s="289">
        <f t="shared" si="39"/>
        <v>0</v>
      </c>
      <c r="J399" s="289">
        <f t="shared" si="39"/>
        <v>0</v>
      </c>
      <c r="K399" s="289">
        <f t="shared" si="39"/>
        <v>0</v>
      </c>
      <c r="L399" s="289">
        <f t="shared" si="39"/>
        <v>0</v>
      </c>
      <c r="M399" s="289">
        <f t="shared" si="39"/>
        <v>0</v>
      </c>
      <c r="N399" s="289">
        <f t="shared" si="39"/>
        <v>0</v>
      </c>
      <c r="O399" s="289">
        <f t="shared" si="39"/>
        <v>0</v>
      </c>
      <c r="P399" s="289">
        <f t="shared" si="39"/>
        <v>0</v>
      </c>
      <c r="Q399" s="289">
        <f t="shared" si="39"/>
        <v>0</v>
      </c>
      <c r="R399" s="289">
        <f t="shared" si="39"/>
        <v>0</v>
      </c>
      <c r="S399" s="289">
        <f t="shared" si="39"/>
        <v>0</v>
      </c>
      <c r="T399" s="289">
        <f t="shared" si="39"/>
        <v>0</v>
      </c>
      <c r="U399" s="289">
        <f t="shared" si="39"/>
        <v>0</v>
      </c>
      <c r="V399" s="289">
        <f t="shared" si="39"/>
        <v>0</v>
      </c>
      <c r="W399" s="289">
        <f t="shared" si="39"/>
        <v>0</v>
      </c>
      <c r="X399" s="289">
        <f t="shared" si="39"/>
        <v>0</v>
      </c>
      <c r="Y399" s="289">
        <f t="shared" si="39"/>
        <v>0</v>
      </c>
      <c r="Z399" s="289">
        <f t="shared" si="39"/>
        <v>0</v>
      </c>
      <c r="AA399" s="289">
        <f t="shared" si="39"/>
        <v>0</v>
      </c>
      <c r="AB399" s="289">
        <f t="shared" si="39"/>
        <v>0</v>
      </c>
      <c r="AC399" s="289">
        <f t="shared" si="39"/>
        <v>0</v>
      </c>
      <c r="AD399" s="289">
        <f t="shared" si="39"/>
        <v>0</v>
      </c>
      <c r="AE399" s="289">
        <f t="shared" si="39"/>
        <v>0</v>
      </c>
      <c r="AF399" s="289">
        <f t="shared" si="39"/>
        <v>0</v>
      </c>
      <c r="AG399" s="289">
        <f t="shared" si="39"/>
        <v>0</v>
      </c>
      <c r="AH399" s="289">
        <f t="shared" si="39"/>
        <v>0</v>
      </c>
      <c r="AI399" s="289">
        <f t="shared" si="39"/>
        <v>0</v>
      </c>
      <c r="AJ399" s="289">
        <f t="shared" si="39"/>
        <v>0</v>
      </c>
      <c r="AK399" s="289">
        <f t="shared" si="39"/>
        <v>0</v>
      </c>
      <c r="AL399" s="289">
        <f t="shared" si="39"/>
        <v>0</v>
      </c>
      <c r="AM399" s="289">
        <f t="shared" si="39"/>
        <v>0</v>
      </c>
      <c r="AN399" s="289">
        <f t="shared" si="39"/>
        <v>0</v>
      </c>
      <c r="AO399" s="289">
        <f t="shared" si="39"/>
        <v>0</v>
      </c>
      <c r="AP399" s="289">
        <f t="shared" si="39"/>
        <v>0</v>
      </c>
      <c r="AQ399" s="289">
        <f t="shared" si="39"/>
        <v>0</v>
      </c>
      <c r="AR399" s="289">
        <f t="shared" si="39"/>
        <v>0</v>
      </c>
      <c r="AS399" s="289">
        <f t="shared" si="39"/>
        <v>0</v>
      </c>
      <c r="AT399" s="289">
        <f t="shared" si="39"/>
        <v>0</v>
      </c>
      <c r="AU399" s="289">
        <f t="shared" si="39"/>
        <v>0</v>
      </c>
      <c r="AV399" s="289">
        <f t="shared" si="39"/>
        <v>0</v>
      </c>
      <c r="AW399" s="289">
        <f t="shared" si="39"/>
        <v>0</v>
      </c>
      <c r="AX399" s="289">
        <f t="shared" si="39"/>
        <v>0</v>
      </c>
      <c r="AY399" s="289">
        <f t="shared" si="39"/>
        <v>0</v>
      </c>
      <c r="AZ399" s="289">
        <f t="shared" si="39"/>
        <v>0</v>
      </c>
      <c r="BA399" s="289">
        <f t="shared" si="39"/>
        <v>0</v>
      </c>
      <c r="BB399" s="289">
        <f t="shared" si="39"/>
        <v>0</v>
      </c>
      <c r="BC399" s="289">
        <f t="shared" si="38"/>
        <v>0</v>
      </c>
    </row>
    <row r="400" spans="2:55">
      <c r="B400" s="72" t="s">
        <v>689</v>
      </c>
      <c r="C400" s="72" t="s">
        <v>690</v>
      </c>
      <c r="D400" s="289">
        <f t="shared" si="35"/>
        <v>6.3077993700792215E-2</v>
      </c>
      <c r="E400" s="289">
        <f t="shared" si="39"/>
        <v>6.8620338617866011E-2</v>
      </c>
      <c r="F400" s="289">
        <f t="shared" si="39"/>
        <v>8.9389274536445407E-2</v>
      </c>
      <c r="G400" s="289">
        <f t="shared" si="39"/>
        <v>6.975601453175112E-2</v>
      </c>
      <c r="H400" s="289">
        <f t="shared" si="39"/>
        <v>5.7143411029486987E-2</v>
      </c>
      <c r="I400" s="289">
        <f t="shared" si="39"/>
        <v>6.6474275446915559E-2</v>
      </c>
      <c r="J400" s="289">
        <f t="shared" si="39"/>
        <v>7.7726878546213199E-2</v>
      </c>
      <c r="K400" s="289">
        <f t="shared" si="39"/>
        <v>0.10271088476485503</v>
      </c>
      <c r="L400" s="289">
        <f t="shared" si="39"/>
        <v>0.11771191772112766</v>
      </c>
      <c r="M400" s="289">
        <f t="shared" si="39"/>
        <v>0.12434921351997728</v>
      </c>
      <c r="N400" s="289">
        <f t="shared" si="39"/>
        <v>0.11966439788337656</v>
      </c>
      <c r="O400" s="289">
        <f t="shared" si="39"/>
        <v>0.11159221442932644</v>
      </c>
      <c r="P400" s="289">
        <f t="shared" si="39"/>
        <v>0.12386437491979632</v>
      </c>
      <c r="Q400" s="289">
        <f t="shared" si="39"/>
        <v>0.15802085213090294</v>
      </c>
      <c r="R400" s="289">
        <f t="shared" si="39"/>
        <v>0.14464662447068069</v>
      </c>
      <c r="S400" s="289">
        <f t="shared" si="39"/>
        <v>0.20401267790527189</v>
      </c>
      <c r="T400" s="289">
        <f t="shared" si="39"/>
        <v>0.228144596331148</v>
      </c>
      <c r="U400" s="289">
        <f t="shared" si="39"/>
        <v>0.23903381732999401</v>
      </c>
      <c r="V400" s="289">
        <f t="shared" si="39"/>
        <v>0.2325529625165515</v>
      </c>
      <c r="W400" s="289">
        <f t="shared" si="39"/>
        <v>0.17399895053973125</v>
      </c>
      <c r="X400" s="289">
        <f t="shared" si="39"/>
        <v>0.20187699006378348</v>
      </c>
      <c r="Y400" s="289">
        <f t="shared" si="39"/>
        <v>0.22230473964854372</v>
      </c>
      <c r="Z400" s="289">
        <f t="shared" si="39"/>
        <v>0.2561571932274691</v>
      </c>
      <c r="AA400" s="289">
        <f t="shared" si="39"/>
        <v>0.29660141643036131</v>
      </c>
      <c r="AB400" s="289">
        <f t="shared" si="39"/>
        <v>0.28840798120636446</v>
      </c>
      <c r="AC400" s="289">
        <f t="shared" si="39"/>
        <v>0.26854973648594332</v>
      </c>
      <c r="AD400" s="289">
        <f t="shared" si="39"/>
        <v>0.27304835395730659</v>
      </c>
      <c r="AE400" s="289">
        <f t="shared" si="39"/>
        <v>0.29868602443711656</v>
      </c>
      <c r="AF400" s="289">
        <f t="shared" si="39"/>
        <v>0.36117340354180483</v>
      </c>
      <c r="AG400" s="289">
        <f t="shared" si="39"/>
        <v>0.34787478291976687</v>
      </c>
      <c r="AH400" s="289">
        <f t="shared" si="39"/>
        <v>0.38738685028933012</v>
      </c>
      <c r="AI400" s="289">
        <f t="shared" si="39"/>
        <v>0.39847495754082396</v>
      </c>
      <c r="AJ400" s="289">
        <f t="shared" si="39"/>
        <v>0.48358178490359266</v>
      </c>
      <c r="AK400" s="289">
        <f t="shared" si="39"/>
        <v>0.51970923959847082</v>
      </c>
      <c r="AL400" s="289">
        <f t="shared" si="39"/>
        <v>0.57500716627141901</v>
      </c>
      <c r="AM400" s="289">
        <f t="shared" si="39"/>
        <v>0.58423361106401317</v>
      </c>
      <c r="AN400" s="289">
        <f t="shared" si="39"/>
        <v>0.47889653509592317</v>
      </c>
      <c r="AO400" s="289">
        <f t="shared" si="39"/>
        <v>0.29856271428768599</v>
      </c>
      <c r="AP400" s="289">
        <f t="shared" si="39"/>
        <v>0.3728527941025418</v>
      </c>
      <c r="AQ400" s="289">
        <f t="shared" si="39"/>
        <v>0.45282305011251733</v>
      </c>
      <c r="AR400" s="289">
        <f t="shared" si="39"/>
        <v>0.42900554614796016</v>
      </c>
      <c r="AS400" s="289">
        <f t="shared" si="39"/>
        <v>0.44796717511030171</v>
      </c>
      <c r="AT400" s="289">
        <f t="shared" si="39"/>
        <v>0.43177975455604783</v>
      </c>
      <c r="AU400" s="289">
        <f t="shared" si="39"/>
        <v>0.40956208910462438</v>
      </c>
      <c r="AV400" s="289">
        <f t="shared" si="39"/>
        <v>0.46039177079659249</v>
      </c>
      <c r="AW400" s="289">
        <f t="shared" si="39"/>
        <v>0.48605871828856928</v>
      </c>
      <c r="AX400" s="289">
        <f t="shared" si="39"/>
        <v>0.46600455493089854</v>
      </c>
      <c r="AY400" s="289">
        <f t="shared" si="39"/>
        <v>0.44100605259049702</v>
      </c>
      <c r="AZ400" s="289">
        <f t="shared" si="39"/>
        <v>0.47998974076392081</v>
      </c>
      <c r="BA400" s="289">
        <f t="shared" si="39"/>
        <v>0.566531628326436</v>
      </c>
      <c r="BB400" s="289">
        <f t="shared" si="39"/>
        <v>0.57440952576626569</v>
      </c>
      <c r="BC400" s="289">
        <f t="shared" si="38"/>
        <v>0.57440952576626569</v>
      </c>
    </row>
    <row r="401" spans="2:55">
      <c r="B401" s="72" t="s">
        <v>691</v>
      </c>
      <c r="C401" s="72" t="s">
        <v>692</v>
      </c>
      <c r="D401" s="289">
        <f t="shared" si="35"/>
        <v>0</v>
      </c>
      <c r="E401" s="289">
        <f t="shared" si="39"/>
        <v>0</v>
      </c>
      <c r="F401" s="289">
        <f t="shared" si="39"/>
        <v>0</v>
      </c>
      <c r="G401" s="289">
        <f t="shared" si="39"/>
        <v>0</v>
      </c>
      <c r="H401" s="289">
        <f t="shared" si="39"/>
        <v>0</v>
      </c>
      <c r="I401" s="289">
        <f t="shared" si="39"/>
        <v>0</v>
      </c>
      <c r="J401" s="289">
        <f t="shared" si="39"/>
        <v>0</v>
      </c>
      <c r="K401" s="289">
        <f t="shared" si="39"/>
        <v>0</v>
      </c>
      <c r="L401" s="289">
        <f t="shared" si="39"/>
        <v>0</v>
      </c>
      <c r="M401" s="289">
        <f t="shared" si="39"/>
        <v>0</v>
      </c>
      <c r="N401" s="289">
        <f t="shared" si="39"/>
        <v>0</v>
      </c>
      <c r="O401" s="289">
        <f t="shared" si="39"/>
        <v>0</v>
      </c>
      <c r="P401" s="289">
        <f t="shared" si="39"/>
        <v>0</v>
      </c>
      <c r="Q401" s="289">
        <f t="shared" si="39"/>
        <v>0</v>
      </c>
      <c r="R401" s="289">
        <f t="shared" si="39"/>
        <v>0</v>
      </c>
      <c r="S401" s="289">
        <f t="shared" si="39"/>
        <v>0</v>
      </c>
      <c r="T401" s="289">
        <f t="shared" si="39"/>
        <v>0</v>
      </c>
      <c r="U401" s="289">
        <f t="shared" si="39"/>
        <v>0</v>
      </c>
      <c r="V401" s="289">
        <f t="shared" si="39"/>
        <v>0</v>
      </c>
      <c r="W401" s="289">
        <f t="shared" si="39"/>
        <v>0</v>
      </c>
      <c r="X401" s="289">
        <f t="shared" si="39"/>
        <v>0</v>
      </c>
      <c r="Y401" s="289">
        <f t="shared" si="39"/>
        <v>0</v>
      </c>
      <c r="Z401" s="289">
        <f t="shared" si="39"/>
        <v>0</v>
      </c>
      <c r="AA401" s="289">
        <f t="shared" si="39"/>
        <v>0</v>
      </c>
      <c r="AB401" s="289">
        <f t="shared" si="39"/>
        <v>0</v>
      </c>
      <c r="AC401" s="289">
        <f t="shared" si="39"/>
        <v>0</v>
      </c>
      <c r="AD401" s="289">
        <f t="shared" si="39"/>
        <v>0</v>
      </c>
      <c r="AE401" s="289">
        <f t="shared" si="39"/>
        <v>0</v>
      </c>
      <c r="AF401" s="289">
        <f t="shared" si="39"/>
        <v>0</v>
      </c>
      <c r="AG401" s="289">
        <f t="shared" si="39"/>
        <v>0</v>
      </c>
      <c r="AH401" s="289">
        <f t="shared" si="39"/>
        <v>0</v>
      </c>
      <c r="AI401" s="289">
        <f t="shared" si="39"/>
        <v>0</v>
      </c>
      <c r="AJ401" s="289">
        <f t="shared" si="39"/>
        <v>0</v>
      </c>
      <c r="AK401" s="289">
        <f t="shared" si="39"/>
        <v>0</v>
      </c>
      <c r="AL401" s="289">
        <f t="shared" si="39"/>
        <v>0</v>
      </c>
      <c r="AM401" s="289">
        <f t="shared" si="39"/>
        <v>0</v>
      </c>
      <c r="AN401" s="289">
        <f t="shared" si="39"/>
        <v>0</v>
      </c>
      <c r="AO401" s="289">
        <f t="shared" si="39"/>
        <v>0</v>
      </c>
      <c r="AP401" s="289">
        <f t="shared" si="39"/>
        <v>0</v>
      </c>
      <c r="AQ401" s="289">
        <f t="shared" si="39"/>
        <v>4.3410454865742812E-2</v>
      </c>
      <c r="AR401" s="289">
        <f t="shared" si="39"/>
        <v>6.0007228152637808E-2</v>
      </c>
      <c r="AS401" s="289">
        <f t="shared" si="39"/>
        <v>5.8803106761150345E-2</v>
      </c>
      <c r="AT401" s="289">
        <f t="shared" si="39"/>
        <v>6.3222273476040008E-2</v>
      </c>
      <c r="AU401" s="289">
        <f t="shared" si="39"/>
        <v>5.8191154724046387E-2</v>
      </c>
      <c r="AV401" s="289">
        <f t="shared" si="39"/>
        <v>5.7562504768246904E-2</v>
      </c>
      <c r="AW401" s="289">
        <f t="shared" si="39"/>
        <v>5.6250262466551952E-2</v>
      </c>
      <c r="AX401" s="289">
        <f t="shared" si="39"/>
        <v>5.8242031521461318E-2</v>
      </c>
      <c r="AY401" s="289">
        <f t="shared" si="39"/>
        <v>7.4827639270748508E-2</v>
      </c>
      <c r="AZ401" s="289">
        <f t="shared" si="39"/>
        <v>8.7557948409804839E-2</v>
      </c>
      <c r="BA401" s="289">
        <f t="shared" si="39"/>
        <v>8.6886218883740096E-2</v>
      </c>
      <c r="BB401" s="289">
        <f t="shared" si="39"/>
        <v>9.2117155225502012E-2</v>
      </c>
      <c r="BC401" s="289">
        <f t="shared" si="38"/>
        <v>9.2117155225502012E-2</v>
      </c>
    </row>
    <row r="402" spans="2:55">
      <c r="B402" s="72" t="s">
        <v>693</v>
      </c>
      <c r="C402" s="72" t="s">
        <v>694</v>
      </c>
      <c r="D402" s="289">
        <f t="shared" si="35"/>
        <v>0</v>
      </c>
      <c r="E402" s="289">
        <f t="shared" si="39"/>
        <v>3.5840540145779451</v>
      </c>
      <c r="F402" s="289">
        <f t="shared" si="39"/>
        <v>3.1122168688425167</v>
      </c>
      <c r="G402" s="289">
        <f t="shared" si="39"/>
        <v>2.7648091457201227</v>
      </c>
      <c r="H402" s="289">
        <f t="shared" si="39"/>
        <v>2.3399931260742752</v>
      </c>
      <c r="I402" s="289">
        <f t="shared" si="39"/>
        <v>2.2778340834870536</v>
      </c>
      <c r="J402" s="289">
        <f t="shared" ref="E402:BB407" si="40">J152/J$251</f>
        <v>2.051351724375357</v>
      </c>
      <c r="K402" s="289">
        <f t="shared" si="40"/>
        <v>2.188182126151097</v>
      </c>
      <c r="L402" s="289">
        <f t="shared" si="40"/>
        <v>1.9559897021722203</v>
      </c>
      <c r="M402" s="289">
        <f t="shared" si="40"/>
        <v>1.7018655524725037</v>
      </c>
      <c r="N402" s="289">
        <f t="shared" si="40"/>
        <v>1.8940229459007567</v>
      </c>
      <c r="O402" s="289">
        <f t="shared" si="40"/>
        <v>1.7679714439872212</v>
      </c>
      <c r="P402" s="289">
        <f t="shared" si="40"/>
        <v>1.7840725135715494</v>
      </c>
      <c r="Q402" s="289">
        <f t="shared" si="40"/>
        <v>3.7291798759608561</v>
      </c>
      <c r="R402" s="289">
        <f t="shared" si="40"/>
        <v>2.7133715445218374</v>
      </c>
      <c r="S402" s="289">
        <f t="shared" si="40"/>
        <v>2.911719980574111</v>
      </c>
      <c r="T402" s="289">
        <f t="shared" si="40"/>
        <v>2.6266166044950077</v>
      </c>
      <c r="U402" s="289">
        <f t="shared" si="40"/>
        <v>2.1560903025441522</v>
      </c>
      <c r="V402" s="289">
        <f t="shared" si="40"/>
        <v>2.5177274802661773</v>
      </c>
      <c r="W402" s="289">
        <f t="shared" si="40"/>
        <v>2.1613457044984741</v>
      </c>
      <c r="X402" s="289">
        <f t="shared" si="40"/>
        <v>1.8958567252942984</v>
      </c>
      <c r="Y402" s="289">
        <f t="shared" si="40"/>
        <v>1.6346860913019847</v>
      </c>
      <c r="Z402" s="289">
        <f t="shared" si="40"/>
        <v>1.5936093775266997</v>
      </c>
      <c r="AA402" s="289">
        <f t="shared" si="40"/>
        <v>1.6807976664478104</v>
      </c>
      <c r="AB402" s="289">
        <f t="shared" si="40"/>
        <v>1.4994857149850309</v>
      </c>
      <c r="AC402" s="289">
        <f t="shared" si="40"/>
        <v>0.96907256379029638</v>
      </c>
      <c r="AD402" s="289">
        <f t="shared" si="40"/>
        <v>0.93619600018867088</v>
      </c>
      <c r="AE402" s="289">
        <f t="shared" si="40"/>
        <v>0.68232609144712253</v>
      </c>
      <c r="AF402" s="289">
        <f t="shared" si="40"/>
        <v>0.77500822196778996</v>
      </c>
      <c r="AG402" s="289">
        <f t="shared" si="40"/>
        <v>0.49904188401964089</v>
      </c>
      <c r="AH402" s="289">
        <f t="shared" si="40"/>
        <v>0.29483220962745299</v>
      </c>
      <c r="AI402" s="289">
        <f t="shared" si="40"/>
        <v>0</v>
      </c>
      <c r="AJ402" s="289">
        <f t="shared" si="40"/>
        <v>0</v>
      </c>
      <c r="AK402" s="289">
        <f t="shared" si="40"/>
        <v>0</v>
      </c>
      <c r="AL402" s="289">
        <f t="shared" si="40"/>
        <v>0.8375256723876171</v>
      </c>
      <c r="AM402" s="289">
        <f t="shared" si="40"/>
        <v>0.92258527930881318</v>
      </c>
      <c r="AN402" s="289">
        <f t="shared" si="40"/>
        <v>0.77061962695732689</v>
      </c>
      <c r="AO402" s="289">
        <f t="shared" si="40"/>
        <v>0.58854822504120263</v>
      </c>
      <c r="AP402" s="289">
        <f t="shared" si="40"/>
        <v>0.63290324827312361</v>
      </c>
      <c r="AQ402" s="289">
        <f t="shared" si="40"/>
        <v>0.77558862466669631</v>
      </c>
      <c r="AR402" s="289">
        <f t="shared" si="40"/>
        <v>0.69906192940491496</v>
      </c>
      <c r="AS402" s="289">
        <f t="shared" si="40"/>
        <v>0.68252764229315166</v>
      </c>
      <c r="AT402" s="289">
        <f t="shared" si="40"/>
        <v>0.72259156583189998</v>
      </c>
      <c r="AU402" s="289">
        <f t="shared" si="40"/>
        <v>0.73983004092774707</v>
      </c>
      <c r="AV402" s="289">
        <f t="shared" si="40"/>
        <v>0.93616092489097724</v>
      </c>
      <c r="AW402" s="289">
        <f t="shared" si="40"/>
        <v>1.0669466944363204</v>
      </c>
      <c r="AX402" s="289">
        <f t="shared" si="40"/>
        <v>1.011584907637207</v>
      </c>
      <c r="AY402" s="289">
        <f t="shared" si="40"/>
        <v>1.3405915007374625</v>
      </c>
      <c r="AZ402" s="289">
        <f t="shared" si="40"/>
        <v>1.1327818828409286</v>
      </c>
      <c r="BA402" s="289">
        <f t="shared" si="40"/>
        <v>1.2532208861132765</v>
      </c>
      <c r="BB402" s="289">
        <f t="shared" si="40"/>
        <v>1.6051889894069682</v>
      </c>
      <c r="BC402" s="289">
        <f t="shared" si="38"/>
        <v>1.6051889894069682</v>
      </c>
    </row>
    <row r="403" spans="2:55">
      <c r="B403" s="72" t="s">
        <v>695</v>
      </c>
      <c r="C403" s="72" t="s">
        <v>696</v>
      </c>
      <c r="D403" s="289">
        <f t="shared" si="35"/>
        <v>0</v>
      </c>
      <c r="E403" s="289">
        <f t="shared" si="40"/>
        <v>0</v>
      </c>
      <c r="F403" s="289">
        <f t="shared" si="40"/>
        <v>0</v>
      </c>
      <c r="G403" s="289">
        <f t="shared" si="40"/>
        <v>0</v>
      </c>
      <c r="H403" s="289">
        <f t="shared" si="40"/>
        <v>0</v>
      </c>
      <c r="I403" s="289">
        <f t="shared" si="40"/>
        <v>0</v>
      </c>
      <c r="J403" s="289">
        <f t="shared" si="40"/>
        <v>0</v>
      </c>
      <c r="K403" s="289">
        <f t="shared" si="40"/>
        <v>0</v>
      </c>
      <c r="L403" s="289">
        <f t="shared" si="40"/>
        <v>0</v>
      </c>
      <c r="M403" s="289">
        <f t="shared" si="40"/>
        <v>0</v>
      </c>
      <c r="N403" s="289">
        <f t="shared" si="40"/>
        <v>0</v>
      </c>
      <c r="O403" s="289">
        <f t="shared" si="40"/>
        <v>0</v>
      </c>
      <c r="P403" s="289">
        <f t="shared" si="40"/>
        <v>0</v>
      </c>
      <c r="Q403" s="289">
        <f t="shared" si="40"/>
        <v>0</v>
      </c>
      <c r="R403" s="289">
        <f t="shared" si="40"/>
        <v>0</v>
      </c>
      <c r="S403" s="289">
        <f t="shared" si="40"/>
        <v>0</v>
      </c>
      <c r="T403" s="289">
        <f t="shared" si="40"/>
        <v>0</v>
      </c>
      <c r="U403" s="289">
        <f t="shared" si="40"/>
        <v>0</v>
      </c>
      <c r="V403" s="289">
        <f t="shared" si="40"/>
        <v>0</v>
      </c>
      <c r="W403" s="289">
        <f t="shared" si="40"/>
        <v>0</v>
      </c>
      <c r="X403" s="289">
        <f t="shared" si="40"/>
        <v>0</v>
      </c>
      <c r="Y403" s="289">
        <f t="shared" si="40"/>
        <v>0</v>
      </c>
      <c r="Z403" s="289">
        <f t="shared" si="40"/>
        <v>0</v>
      </c>
      <c r="AA403" s="289">
        <f t="shared" si="40"/>
        <v>0</v>
      </c>
      <c r="AB403" s="289">
        <f t="shared" si="40"/>
        <v>0</v>
      </c>
      <c r="AC403" s="289">
        <f t="shared" si="40"/>
        <v>0</v>
      </c>
      <c r="AD403" s="289">
        <f t="shared" si="40"/>
        <v>0</v>
      </c>
      <c r="AE403" s="289">
        <f t="shared" si="40"/>
        <v>0</v>
      </c>
      <c r="AF403" s="289">
        <f t="shared" si="40"/>
        <v>0</v>
      </c>
      <c r="AG403" s="289">
        <f t="shared" si="40"/>
        <v>3.442766623054503E-2</v>
      </c>
      <c r="AH403" s="289">
        <f t="shared" si="40"/>
        <v>3.1324835145358505E-2</v>
      </c>
      <c r="AI403" s="289">
        <f t="shared" si="40"/>
        <v>2.7058185699173488E-2</v>
      </c>
      <c r="AJ403" s="289">
        <f t="shared" si="40"/>
        <v>2.6418829520520271E-2</v>
      </c>
      <c r="AK403" s="289">
        <f t="shared" si="40"/>
        <v>2.0313171634199125E-2</v>
      </c>
      <c r="AL403" s="289">
        <f t="shared" si="40"/>
        <v>1.8262665308544437E-2</v>
      </c>
      <c r="AM403" s="289">
        <f t="shared" si="40"/>
        <v>1.8833153217129913E-2</v>
      </c>
      <c r="AN403" s="289">
        <f t="shared" si="40"/>
        <v>1.604578689455527E-2</v>
      </c>
      <c r="AO403" s="289">
        <f t="shared" si="40"/>
        <v>1.3807799188287152E-2</v>
      </c>
      <c r="AP403" s="289">
        <f t="shared" si="40"/>
        <v>1.0070126876074342E-2</v>
      </c>
      <c r="AQ403" s="289">
        <f t="shared" si="40"/>
        <v>1.1159094406654045E-2</v>
      </c>
      <c r="AR403" s="289">
        <f t="shared" si="40"/>
        <v>1.24176429114516E-2</v>
      </c>
      <c r="AS403" s="289">
        <f t="shared" si="40"/>
        <v>1.1917134176627122E-2</v>
      </c>
      <c r="AT403" s="289">
        <f t="shared" si="40"/>
        <v>1.221415310507974E-2</v>
      </c>
      <c r="AU403" s="289">
        <f t="shared" si="40"/>
        <v>1.1806333555392868E-2</v>
      </c>
      <c r="AV403" s="289">
        <f t="shared" si="40"/>
        <v>1.2498965424784078E-2</v>
      </c>
      <c r="AW403" s="289">
        <f t="shared" si="40"/>
        <v>1.3416447743584648E-2</v>
      </c>
      <c r="AX403" s="289">
        <f t="shared" si="40"/>
        <v>1.5578779650880246E-2</v>
      </c>
      <c r="AY403" s="289">
        <f t="shared" si="40"/>
        <v>2.2397790053484083E-2</v>
      </c>
      <c r="AZ403" s="289">
        <f t="shared" si="40"/>
        <v>2.4658553943055033E-2</v>
      </c>
      <c r="BA403" s="289">
        <f t="shared" si="40"/>
        <v>2.4272899606715366E-2</v>
      </c>
      <c r="BB403" s="289">
        <f t="shared" si="40"/>
        <v>2.7530370715103381E-2</v>
      </c>
      <c r="BC403" s="289">
        <f t="shared" si="38"/>
        <v>2.7530370715103381E-2</v>
      </c>
    </row>
    <row r="404" spans="2:55">
      <c r="B404" s="72" t="s">
        <v>697</v>
      </c>
      <c r="C404" s="72" t="s">
        <v>698</v>
      </c>
      <c r="D404" s="289">
        <f t="shared" si="35"/>
        <v>0</v>
      </c>
      <c r="E404" s="289">
        <f t="shared" si="40"/>
        <v>0</v>
      </c>
      <c r="F404" s="289">
        <f t="shared" si="40"/>
        <v>0</v>
      </c>
      <c r="G404" s="289">
        <f t="shared" si="40"/>
        <v>0</v>
      </c>
      <c r="H404" s="289">
        <f t="shared" si="40"/>
        <v>0</v>
      </c>
      <c r="I404" s="289">
        <f t="shared" si="40"/>
        <v>0</v>
      </c>
      <c r="J404" s="289">
        <f t="shared" si="40"/>
        <v>0</v>
      </c>
      <c r="K404" s="289">
        <f t="shared" si="40"/>
        <v>0</v>
      </c>
      <c r="L404" s="289">
        <f t="shared" si="40"/>
        <v>0</v>
      </c>
      <c r="M404" s="289">
        <f t="shared" si="40"/>
        <v>0</v>
      </c>
      <c r="N404" s="289">
        <f t="shared" si="40"/>
        <v>0</v>
      </c>
      <c r="O404" s="289">
        <f t="shared" si="40"/>
        <v>0</v>
      </c>
      <c r="P404" s="289">
        <f t="shared" si="40"/>
        <v>0</v>
      </c>
      <c r="Q404" s="289">
        <f t="shared" si="40"/>
        <v>0</v>
      </c>
      <c r="R404" s="289">
        <f t="shared" si="40"/>
        <v>0</v>
      </c>
      <c r="S404" s="289">
        <f t="shared" si="40"/>
        <v>0</v>
      </c>
      <c r="T404" s="289">
        <f t="shared" si="40"/>
        <v>0</v>
      </c>
      <c r="U404" s="289">
        <f t="shared" si="40"/>
        <v>0</v>
      </c>
      <c r="V404" s="289">
        <f t="shared" si="40"/>
        <v>0</v>
      </c>
      <c r="W404" s="289">
        <f t="shared" si="40"/>
        <v>0</v>
      </c>
      <c r="X404" s="289">
        <f t="shared" si="40"/>
        <v>0</v>
      </c>
      <c r="Y404" s="289">
        <f t="shared" si="40"/>
        <v>0</v>
      </c>
      <c r="Z404" s="289">
        <f t="shared" si="40"/>
        <v>0</v>
      </c>
      <c r="AA404" s="289">
        <f t="shared" si="40"/>
        <v>6.3628076351636836E-2</v>
      </c>
      <c r="AB404" s="289">
        <f t="shared" si="40"/>
        <v>7.9027275476778902E-2</v>
      </c>
      <c r="AC404" s="289">
        <f t="shared" si="40"/>
        <v>4.7100416091314039E-2</v>
      </c>
      <c r="AD404" s="289">
        <f t="shared" si="40"/>
        <v>2.2876966609815474E-2</v>
      </c>
      <c r="AE404" s="289">
        <f t="shared" si="40"/>
        <v>1.0109606755363975E-2</v>
      </c>
      <c r="AF404" s="289">
        <f t="shared" si="40"/>
        <v>1.1635196191209922E-2</v>
      </c>
      <c r="AG404" s="289">
        <f t="shared" si="40"/>
        <v>1.1672458600529406E-2</v>
      </c>
      <c r="AH404" s="289">
        <f t="shared" si="40"/>
        <v>1.2966316191298522E-2</v>
      </c>
      <c r="AI404" s="289">
        <f t="shared" si="40"/>
        <v>1.3413253672263046E-2</v>
      </c>
      <c r="AJ404" s="289">
        <f t="shared" si="40"/>
        <v>1.7140356762503091E-2</v>
      </c>
      <c r="AK404" s="289">
        <f t="shared" si="40"/>
        <v>1.8003365698617952E-2</v>
      </c>
      <c r="AL404" s="289">
        <f t="shared" si="40"/>
        <v>1.8440736849122247E-2</v>
      </c>
      <c r="AM404" s="289">
        <f t="shared" si="40"/>
        <v>1.8208417536667638E-2</v>
      </c>
      <c r="AN404" s="289">
        <f t="shared" si="40"/>
        <v>1.4844504365174016E-2</v>
      </c>
      <c r="AO404" s="289">
        <f t="shared" si="40"/>
        <v>1.0001386151015699E-2</v>
      </c>
      <c r="AP404" s="289">
        <f t="shared" si="40"/>
        <v>1.0871217054406536E-2</v>
      </c>
      <c r="AQ404" s="289">
        <f t="shared" si="40"/>
        <v>1.2993779106100885E-2</v>
      </c>
      <c r="AR404" s="289">
        <f t="shared" si="40"/>
        <v>1.3165472926962513E-2</v>
      </c>
      <c r="AS404" s="289">
        <f t="shared" si="40"/>
        <v>1.1848010149452057E-2</v>
      </c>
      <c r="AT404" s="289">
        <f t="shared" si="40"/>
        <v>1.1635198719332333E-2</v>
      </c>
      <c r="AU404" s="289">
        <f t="shared" si="40"/>
        <v>1.137946327814421E-2</v>
      </c>
      <c r="AV404" s="289">
        <f t="shared" si="40"/>
        <v>1.2472510307801018E-2</v>
      </c>
      <c r="AW404" s="289">
        <f t="shared" si="40"/>
        <v>1.4601683333929484E-2</v>
      </c>
      <c r="AX404" s="289">
        <f t="shared" si="40"/>
        <v>1.536720060281814E-2</v>
      </c>
      <c r="AY404" s="289">
        <f t="shared" si="40"/>
        <v>2.0951871940653056E-2</v>
      </c>
      <c r="AZ404" s="289">
        <f t="shared" si="40"/>
        <v>2.7010359803471839E-2</v>
      </c>
      <c r="BA404" s="289">
        <f t="shared" si="40"/>
        <v>3.1943116037469278E-2</v>
      </c>
      <c r="BB404" s="289">
        <f t="shared" si="40"/>
        <v>3.3802446739552058E-2</v>
      </c>
      <c r="BC404" s="289">
        <f t="shared" si="38"/>
        <v>3.3802446739552058E-2</v>
      </c>
    </row>
    <row r="405" spans="2:55">
      <c r="B405" s="72" t="s">
        <v>699</v>
      </c>
      <c r="C405" s="72" t="s">
        <v>700</v>
      </c>
      <c r="D405" s="289">
        <f t="shared" si="35"/>
        <v>0</v>
      </c>
      <c r="E405" s="289">
        <f t="shared" si="40"/>
        <v>0</v>
      </c>
      <c r="F405" s="289">
        <f t="shared" si="40"/>
        <v>0</v>
      </c>
      <c r="G405" s="289">
        <f t="shared" si="40"/>
        <v>0</v>
      </c>
      <c r="H405" s="289">
        <f t="shared" si="40"/>
        <v>0</v>
      </c>
      <c r="I405" s="289">
        <f t="shared" si="40"/>
        <v>0</v>
      </c>
      <c r="J405" s="289">
        <f t="shared" si="40"/>
        <v>0</v>
      </c>
      <c r="K405" s="289">
        <f t="shared" si="40"/>
        <v>0</v>
      </c>
      <c r="L405" s="289">
        <f t="shared" si="40"/>
        <v>0</v>
      </c>
      <c r="M405" s="289">
        <f t="shared" si="40"/>
        <v>0</v>
      </c>
      <c r="N405" s="289">
        <f t="shared" si="40"/>
        <v>0</v>
      </c>
      <c r="O405" s="289">
        <f t="shared" si="40"/>
        <v>0</v>
      </c>
      <c r="P405" s="289">
        <f t="shared" si="40"/>
        <v>0</v>
      </c>
      <c r="Q405" s="289">
        <f t="shared" si="40"/>
        <v>0</v>
      </c>
      <c r="R405" s="289">
        <f t="shared" si="40"/>
        <v>0</v>
      </c>
      <c r="S405" s="289">
        <f t="shared" si="40"/>
        <v>0</v>
      </c>
      <c r="T405" s="289">
        <f t="shared" si="40"/>
        <v>0</v>
      </c>
      <c r="U405" s="289">
        <f t="shared" si="40"/>
        <v>0</v>
      </c>
      <c r="V405" s="289">
        <f t="shared" si="40"/>
        <v>0</v>
      </c>
      <c r="W405" s="289">
        <f t="shared" si="40"/>
        <v>0</v>
      </c>
      <c r="X405" s="289">
        <f t="shared" si="40"/>
        <v>0</v>
      </c>
      <c r="Y405" s="289">
        <f t="shared" si="40"/>
        <v>0</v>
      </c>
      <c r="Z405" s="289">
        <f t="shared" si="40"/>
        <v>0</v>
      </c>
      <c r="AA405" s="289">
        <f t="shared" si="40"/>
        <v>0</v>
      </c>
      <c r="AB405" s="289">
        <f t="shared" si="40"/>
        <v>0</v>
      </c>
      <c r="AC405" s="289">
        <f t="shared" si="40"/>
        <v>0</v>
      </c>
      <c r="AD405" s="289">
        <f t="shared" si="40"/>
        <v>0.17644786561146233</v>
      </c>
      <c r="AE405" s="289">
        <f t="shared" si="40"/>
        <v>0.17208798950126772</v>
      </c>
      <c r="AF405" s="289">
        <f t="shared" si="40"/>
        <v>0.19150708898209295</v>
      </c>
      <c r="AG405" s="289">
        <f t="shared" si="40"/>
        <v>0.15809390528949577</v>
      </c>
      <c r="AH405" s="289">
        <f t="shared" si="40"/>
        <v>0.1386358620942518</v>
      </c>
      <c r="AI405" s="289">
        <f t="shared" si="40"/>
        <v>9.7804054726194314E-2</v>
      </c>
      <c r="AJ405" s="289">
        <f t="shared" si="40"/>
        <v>0.10254577804843404</v>
      </c>
      <c r="AK405" s="289">
        <f t="shared" si="40"/>
        <v>0.10953957842687023</v>
      </c>
      <c r="AL405" s="289">
        <f t="shared" si="40"/>
        <v>0.10564108119959514</v>
      </c>
      <c r="AM405" s="289">
        <f t="shared" si="40"/>
        <v>0.10841298786143838</v>
      </c>
      <c r="AN405" s="289">
        <f t="shared" si="40"/>
        <v>0.10746109816467951</v>
      </c>
      <c r="AO405" s="289">
        <f t="shared" si="40"/>
        <v>0.10984224717211373</v>
      </c>
      <c r="AP405" s="289">
        <f t="shared" si="40"/>
        <v>0.11898338722545601</v>
      </c>
      <c r="AQ405" s="289">
        <f t="shared" si="40"/>
        <v>0.1317338002793991</v>
      </c>
      <c r="AR405" s="289">
        <f t="shared" si="40"/>
        <v>0.1421279245661923</v>
      </c>
      <c r="AS405" s="289">
        <f t="shared" si="40"/>
        <v>0.14753577194678452</v>
      </c>
      <c r="AT405" s="289">
        <f t="shared" si="40"/>
        <v>0.15442081711430258</v>
      </c>
      <c r="AU405" s="289">
        <f t="shared" si="40"/>
        <v>0.16215028540695514</v>
      </c>
      <c r="AV405" s="289">
        <f t="shared" si="40"/>
        <v>0.18291907250509815</v>
      </c>
      <c r="AW405" s="289">
        <f t="shared" si="40"/>
        <v>0.21523866195633529</v>
      </c>
      <c r="AX405" s="289">
        <f t="shared" si="40"/>
        <v>0.27278394628398001</v>
      </c>
      <c r="AY405" s="289">
        <f t="shared" si="40"/>
        <v>0.34435639451049566</v>
      </c>
      <c r="AZ405" s="289">
        <f t="shared" si="40"/>
        <v>0.32480261180020048</v>
      </c>
      <c r="BA405" s="289">
        <f t="shared" si="40"/>
        <v>0.29576768043498153</v>
      </c>
      <c r="BB405" s="289">
        <f t="shared" si="40"/>
        <v>0.32599522108315404</v>
      </c>
      <c r="BC405" s="289">
        <f t="shared" si="38"/>
        <v>0.32599522108315404</v>
      </c>
    </row>
    <row r="406" spans="2:55">
      <c r="B406" s="72" t="s">
        <v>701</v>
      </c>
      <c r="C406" s="72" t="s">
        <v>702</v>
      </c>
      <c r="D406" s="289">
        <f t="shared" si="35"/>
        <v>0</v>
      </c>
      <c r="E406" s="289">
        <f t="shared" si="40"/>
        <v>0</v>
      </c>
      <c r="F406" s="289">
        <f t="shared" si="40"/>
        <v>0</v>
      </c>
      <c r="G406" s="289">
        <f t="shared" si="40"/>
        <v>0</v>
      </c>
      <c r="H406" s="289">
        <f t="shared" si="40"/>
        <v>0</v>
      </c>
      <c r="I406" s="289">
        <f t="shared" si="40"/>
        <v>0</v>
      </c>
      <c r="J406" s="289">
        <f t="shared" si="40"/>
        <v>0</v>
      </c>
      <c r="K406" s="289">
        <f t="shared" si="40"/>
        <v>0</v>
      </c>
      <c r="L406" s="289">
        <f t="shared" si="40"/>
        <v>0</v>
      </c>
      <c r="M406" s="289">
        <f t="shared" si="40"/>
        <v>0</v>
      </c>
      <c r="N406" s="289">
        <f t="shared" si="40"/>
        <v>0</v>
      </c>
      <c r="O406" s="289">
        <f t="shared" si="40"/>
        <v>0</v>
      </c>
      <c r="P406" s="289">
        <f t="shared" si="40"/>
        <v>0</v>
      </c>
      <c r="Q406" s="289">
        <f t="shared" si="40"/>
        <v>0</v>
      </c>
      <c r="R406" s="289">
        <f t="shared" si="40"/>
        <v>0</v>
      </c>
      <c r="S406" s="289">
        <f t="shared" si="40"/>
        <v>0</v>
      </c>
      <c r="T406" s="289">
        <f t="shared" si="40"/>
        <v>0</v>
      </c>
      <c r="U406" s="289">
        <f t="shared" si="40"/>
        <v>0</v>
      </c>
      <c r="V406" s="289">
        <f t="shared" si="40"/>
        <v>0</v>
      </c>
      <c r="W406" s="289">
        <f t="shared" si="40"/>
        <v>0</v>
      </c>
      <c r="X406" s="289">
        <f t="shared" si="40"/>
        <v>0</v>
      </c>
      <c r="Y406" s="289">
        <f t="shared" si="40"/>
        <v>0</v>
      </c>
      <c r="Z406" s="289">
        <f t="shared" si="40"/>
        <v>0</v>
      </c>
      <c r="AA406" s="289">
        <f t="shared" si="40"/>
        <v>0</v>
      </c>
      <c r="AB406" s="289">
        <f t="shared" si="40"/>
        <v>0</v>
      </c>
      <c r="AC406" s="289">
        <f t="shared" si="40"/>
        <v>0</v>
      </c>
      <c r="AD406" s="289">
        <f t="shared" si="40"/>
        <v>0</v>
      </c>
      <c r="AE406" s="289">
        <f t="shared" si="40"/>
        <v>7.6824320527790702E-2</v>
      </c>
      <c r="AF406" s="289">
        <f t="shared" si="40"/>
        <v>6.2183419271068067E-2</v>
      </c>
      <c r="AG406" s="289">
        <f t="shared" si="40"/>
        <v>5.4429429840891733E-2</v>
      </c>
      <c r="AH406" s="289">
        <f t="shared" si="40"/>
        <v>8.0007109456251183E-2</v>
      </c>
      <c r="AI406" s="289">
        <f t="shared" si="40"/>
        <v>9.3426783537798874E-2</v>
      </c>
      <c r="AJ406" s="289">
        <f t="shared" si="40"/>
        <v>0.13640972612439231</v>
      </c>
      <c r="AK406" s="289">
        <f t="shared" si="40"/>
        <v>0.1556454168866829</v>
      </c>
      <c r="AL406" s="289">
        <f t="shared" si="40"/>
        <v>0.16967832250550685</v>
      </c>
      <c r="AM406" s="289">
        <f t="shared" si="40"/>
        <v>0.18449845183019772</v>
      </c>
      <c r="AN406" s="289">
        <f t="shared" si="40"/>
        <v>0.18664939825577925</v>
      </c>
      <c r="AO406" s="289">
        <f t="shared" si="40"/>
        <v>0.1893436974718424</v>
      </c>
      <c r="AP406" s="289">
        <f t="shared" si="40"/>
        <v>0.18391955360692902</v>
      </c>
      <c r="AQ406" s="289">
        <f t="shared" si="40"/>
        <v>0.18406376433162921</v>
      </c>
      <c r="AR406" s="289">
        <f t="shared" si="40"/>
        <v>0.18686820772816387</v>
      </c>
      <c r="AS406" s="289">
        <f t="shared" si="40"/>
        <v>0.1833840000017071</v>
      </c>
      <c r="AT406" s="289">
        <f t="shared" si="40"/>
        <v>0.16380830914949529</v>
      </c>
      <c r="AU406" s="289">
        <f t="shared" si="40"/>
        <v>0.14851914219784826</v>
      </c>
      <c r="AV406" s="289">
        <f t="shared" si="40"/>
        <v>0.14150730070550627</v>
      </c>
      <c r="AW406" s="289">
        <f t="shared" si="40"/>
        <v>0.13527828895944119</v>
      </c>
      <c r="AX406" s="289">
        <f t="shared" si="40"/>
        <v>0.13079690975237454</v>
      </c>
      <c r="AY406" s="289">
        <f t="shared" si="40"/>
        <v>0.16730485968388301</v>
      </c>
      <c r="AZ406" s="289">
        <f t="shared" si="40"/>
        <v>0.23367662665841546</v>
      </c>
      <c r="BA406" s="289">
        <f t="shared" si="40"/>
        <v>0.24220638446310941</v>
      </c>
      <c r="BB406" s="289">
        <f t="shared" si="40"/>
        <v>0.24112450465960736</v>
      </c>
      <c r="BC406" s="289">
        <f t="shared" si="38"/>
        <v>0.24112450465960736</v>
      </c>
    </row>
    <row r="407" spans="2:55">
      <c r="B407" s="72" t="s">
        <v>703</v>
      </c>
      <c r="C407" s="72" t="s">
        <v>704</v>
      </c>
      <c r="D407" s="289">
        <f t="shared" si="35"/>
        <v>2.8376698619437587E-2</v>
      </c>
      <c r="E407" s="289">
        <f t="shared" si="40"/>
        <v>3.1361779311257998E-2</v>
      </c>
      <c r="F407" s="289">
        <f t="shared" si="40"/>
        <v>3.2881267305069128E-2</v>
      </c>
      <c r="G407" s="289">
        <f t="shared" si="40"/>
        <v>3.2807456551755272E-2</v>
      </c>
      <c r="H407" s="289">
        <f t="shared" si="40"/>
        <v>3.1768846303000697E-2</v>
      </c>
      <c r="I407" s="289">
        <f t="shared" si="40"/>
        <v>3.0397584955459654E-2</v>
      </c>
      <c r="J407" s="289">
        <f t="shared" si="40"/>
        <v>3.0153845151509651E-2</v>
      </c>
      <c r="K407" s="289">
        <f t="shared" si="40"/>
        <v>3.2689965229738251E-2</v>
      </c>
      <c r="L407" s="289">
        <f t="shared" si="40"/>
        <v>3.208421137110426E-2</v>
      </c>
      <c r="M407" s="289">
        <f t="shared" si="40"/>
        <v>2.9691654730232289E-2</v>
      </c>
      <c r="N407" s="289">
        <f t="shared" si="40"/>
        <v>2.872989775830443E-2</v>
      </c>
      <c r="O407" s="289">
        <f t="shared" ref="E407:BB412" si="41">O157/O$251</f>
        <v>2.5990581515310369E-2</v>
      </c>
      <c r="P407" s="289">
        <f t="shared" si="41"/>
        <v>3.3856336887071577E-2</v>
      </c>
      <c r="Q407" s="289">
        <f t="shared" si="41"/>
        <v>3.8218410560738381E-2</v>
      </c>
      <c r="R407" s="289">
        <f t="shared" si="41"/>
        <v>3.0913222644739224E-2</v>
      </c>
      <c r="S407" s="289">
        <f t="shared" si="41"/>
        <v>3.0988765083562204E-2</v>
      </c>
      <c r="T407" s="289">
        <f t="shared" si="41"/>
        <v>3.4997170440997122E-2</v>
      </c>
      <c r="U407" s="289">
        <f t="shared" si="41"/>
        <v>3.7087770414378954E-2</v>
      </c>
      <c r="V407" s="289">
        <f t="shared" si="41"/>
        <v>3.0286829928255522E-2</v>
      </c>
      <c r="W407" s="289">
        <f t="shared" si="41"/>
        <v>3.4226044243386246E-2</v>
      </c>
      <c r="X407" s="289">
        <f t="shared" si="41"/>
        <v>3.5279002227693437E-2</v>
      </c>
      <c r="Y407" s="289">
        <f t="shared" si="41"/>
        <v>3.3362780001959136E-2</v>
      </c>
      <c r="Z407" s="289">
        <f t="shared" si="41"/>
        <v>3.5670375453993021E-2</v>
      </c>
      <c r="AA407" s="289">
        <f t="shared" si="41"/>
        <v>3.2339577998410182E-2</v>
      </c>
      <c r="AB407" s="289">
        <f t="shared" si="41"/>
        <v>2.3745881379053667E-2</v>
      </c>
      <c r="AC407" s="289">
        <f t="shared" si="41"/>
        <v>2.1136707289710441E-2</v>
      </c>
      <c r="AD407" s="289">
        <f t="shared" si="41"/>
        <v>1.9050746681130125E-2</v>
      </c>
      <c r="AE407" s="289">
        <f t="shared" si="41"/>
        <v>1.793265940896157E-2</v>
      </c>
      <c r="AF407" s="289">
        <f t="shared" si="41"/>
        <v>1.8514636794311062E-2</v>
      </c>
      <c r="AG407" s="289">
        <f t="shared" si="41"/>
        <v>1.8651986422554043E-2</v>
      </c>
      <c r="AH407" s="289">
        <f t="shared" si="41"/>
        <v>1.9517877913657816E-2</v>
      </c>
      <c r="AI407" s="289">
        <f t="shared" si="41"/>
        <v>2.1980270363676162E-2</v>
      </c>
      <c r="AJ407" s="289">
        <f t="shared" si="41"/>
        <v>2.4005531223287049E-2</v>
      </c>
      <c r="AK407" s="289">
        <f t="shared" si="41"/>
        <v>2.2864370432268771E-2</v>
      </c>
      <c r="AL407" s="289">
        <f t="shared" si="41"/>
        <v>2.2751794773727282E-2</v>
      </c>
      <c r="AM407" s="289">
        <f t="shared" si="41"/>
        <v>2.0757294943039489E-2</v>
      </c>
      <c r="AN407" s="289">
        <f t="shared" si="41"/>
        <v>1.9143104020210917E-2</v>
      </c>
      <c r="AO407" s="289">
        <f t="shared" si="41"/>
        <v>1.6838833694704236E-2</v>
      </c>
      <c r="AP407" s="289">
        <f t="shared" si="41"/>
        <v>1.5799910682642384E-2</v>
      </c>
      <c r="AQ407" s="289">
        <f t="shared" si="41"/>
        <v>1.515609705222091E-2</v>
      </c>
      <c r="AR407" s="289">
        <f t="shared" si="41"/>
        <v>1.3896695901717892E-2</v>
      </c>
      <c r="AS407" s="289">
        <f t="shared" si="41"/>
        <v>1.1766904499324174E-2</v>
      </c>
      <c r="AT407" s="289">
        <f t="shared" si="41"/>
        <v>1.4984705146219527E-2</v>
      </c>
      <c r="AU407" s="289">
        <f t="shared" si="41"/>
        <v>1.6430735835030911E-2</v>
      </c>
      <c r="AV407" s="289">
        <f t="shared" si="41"/>
        <v>1.7376642561227139E-2</v>
      </c>
      <c r="AW407" s="289">
        <f t="shared" si="41"/>
        <v>1.692534820463602E-2</v>
      </c>
      <c r="AX407" s="289">
        <f t="shared" si="41"/>
        <v>1.6371242378545144E-2</v>
      </c>
      <c r="AY407" s="289">
        <f t="shared" si="41"/>
        <v>1.7714623822064027E-2</v>
      </c>
      <c r="AZ407" s="289">
        <f t="shared" si="41"/>
        <v>2.2537329340268458E-2</v>
      </c>
      <c r="BA407" s="289">
        <f t="shared" si="41"/>
        <v>2.7683673805386482E-2</v>
      </c>
      <c r="BB407" s="289">
        <f t="shared" si="41"/>
        <v>2.8328814393126886E-2</v>
      </c>
      <c r="BC407" s="289">
        <f t="shared" si="38"/>
        <v>2.8328814393126886E-2</v>
      </c>
    </row>
    <row r="408" spans="2:55">
      <c r="B408" s="72" t="s">
        <v>705</v>
      </c>
      <c r="C408" s="72" t="s">
        <v>706</v>
      </c>
      <c r="D408" s="289">
        <f t="shared" si="35"/>
        <v>0.11080631457469271</v>
      </c>
      <c r="E408" s="289">
        <f t="shared" si="41"/>
        <v>0.10827147810943316</v>
      </c>
      <c r="F408" s="289">
        <f t="shared" si="41"/>
        <v>0.10478864567352901</v>
      </c>
      <c r="G408" s="289">
        <f t="shared" si="41"/>
        <v>0.10291756590530293</v>
      </c>
      <c r="H408" s="289">
        <f t="shared" si="41"/>
        <v>9.8181070437232093E-2</v>
      </c>
      <c r="I408" s="289">
        <f t="shared" si="41"/>
        <v>9.6377458103077768E-2</v>
      </c>
      <c r="J408" s="289">
        <f t="shared" si="41"/>
        <v>9.7092751055922938E-2</v>
      </c>
      <c r="K408" s="289">
        <f t="shared" si="41"/>
        <v>0.10701448329827783</v>
      </c>
      <c r="L408" s="289">
        <f t="shared" si="41"/>
        <v>0.10780142462976529</v>
      </c>
      <c r="M408" s="289">
        <f t="shared" si="41"/>
        <v>0.10010170132167601</v>
      </c>
      <c r="N408" s="289">
        <f t="shared" si="41"/>
        <v>9.1382685999680094E-2</v>
      </c>
      <c r="O408" s="289">
        <f t="shared" si="41"/>
        <v>8.3652238173272664E-2</v>
      </c>
      <c r="P408" s="289">
        <f t="shared" si="41"/>
        <v>7.5908478611059635E-2</v>
      </c>
      <c r="Q408" s="289">
        <f t="shared" si="41"/>
        <v>8.5987308761112102E-2</v>
      </c>
      <c r="R408" s="289">
        <f t="shared" si="41"/>
        <v>8.2842689950326162E-2</v>
      </c>
      <c r="S408" s="289">
        <f t="shared" si="41"/>
        <v>8.6522495229279128E-2</v>
      </c>
      <c r="T408" s="289">
        <f t="shared" si="41"/>
        <v>8.3957227869455656E-2</v>
      </c>
      <c r="U408" s="289">
        <f t="shared" si="41"/>
        <v>6.8600800077262658E-2</v>
      </c>
      <c r="V408" s="289">
        <f t="shared" si="41"/>
        <v>5.8191699905842824E-2</v>
      </c>
      <c r="W408" s="289">
        <f t="shared" si="41"/>
        <v>4.619933338195735E-2</v>
      </c>
      <c r="X408" s="289">
        <f t="shared" si="41"/>
        <v>4.6553389268666805E-2</v>
      </c>
      <c r="Y408" s="289">
        <f t="shared" si="41"/>
        <v>4.8116247496577988E-2</v>
      </c>
      <c r="Z408" s="289">
        <f t="shared" si="41"/>
        <v>4.6840177845806151E-2</v>
      </c>
      <c r="AA408" s="289">
        <f t="shared" si="41"/>
        <v>5.0054322401651426E-2</v>
      </c>
      <c r="AB408" s="289">
        <f t="shared" si="41"/>
        <v>4.688753375310644E-2</v>
      </c>
      <c r="AC408" s="289">
        <f t="shared" si="41"/>
        <v>3.7618109109189876E-2</v>
      </c>
      <c r="AD408" s="289">
        <f t="shared" si="41"/>
        <v>3.5647528629701254E-2</v>
      </c>
      <c r="AE408" s="289">
        <f t="shared" si="41"/>
        <v>3.1713231559423363E-2</v>
      </c>
      <c r="AF408" s="289">
        <f t="shared" si="41"/>
        <v>2.4184600166233878E-2</v>
      </c>
      <c r="AG408" s="289">
        <f t="shared" si="41"/>
        <v>1.021704434871761E-2</v>
      </c>
      <c r="AH408" s="289">
        <f t="shared" si="41"/>
        <v>9.0500634826541689E-3</v>
      </c>
      <c r="AI408" s="289">
        <f t="shared" si="41"/>
        <v>5.7383910566199386E-3</v>
      </c>
      <c r="AJ408" s="289">
        <f t="shared" si="41"/>
        <v>4.6471373391529739E-3</v>
      </c>
      <c r="AK408" s="289">
        <f t="shared" si="41"/>
        <v>3.5358471668200703E-3</v>
      </c>
      <c r="AL408" s="289">
        <f t="shared" si="41"/>
        <v>3.2268834656814936E-3</v>
      </c>
      <c r="AM408" s="289">
        <f t="shared" si="41"/>
        <v>3.4498016819009525E-3</v>
      </c>
      <c r="AN408" s="289">
        <f t="shared" si="41"/>
        <v>5.3433814084414962E-3</v>
      </c>
      <c r="AO408" s="289">
        <f t="shared" si="41"/>
        <v>5.6620635204440405E-3</v>
      </c>
      <c r="AP408" s="289">
        <f t="shared" si="41"/>
        <v>6.3596663278339309E-3</v>
      </c>
      <c r="AQ408" s="289">
        <f t="shared" si="41"/>
        <v>7.4154469512298597E-3</v>
      </c>
      <c r="AR408" s="289">
        <f t="shared" si="41"/>
        <v>7.0546583302522579E-3</v>
      </c>
      <c r="AS408" s="289">
        <f t="shared" si="41"/>
        <v>6.6266805873647404E-3</v>
      </c>
      <c r="AT408" s="289">
        <f t="shared" si="41"/>
        <v>4.322349682727644E-3</v>
      </c>
      <c r="AU408" s="289">
        <f t="shared" si="41"/>
        <v>4.1149781353688065E-3</v>
      </c>
      <c r="AV408" s="289">
        <f t="shared" si="41"/>
        <v>4.4674001436558683E-3</v>
      </c>
      <c r="AW408" s="289">
        <f t="shared" si="41"/>
        <v>4.5026747222412563E-3</v>
      </c>
      <c r="AX408" s="289">
        <f t="shared" si="41"/>
        <v>4.5872302298589724E-3</v>
      </c>
      <c r="AY408" s="289">
        <f t="shared" si="41"/>
        <v>5.3892612116211687E-3</v>
      </c>
      <c r="AZ408" s="289">
        <f t="shared" si="41"/>
        <v>8.5232852141419579E-3</v>
      </c>
      <c r="BA408" s="289">
        <f t="shared" si="41"/>
        <v>8.9267879642467556E-3</v>
      </c>
      <c r="BB408" s="289">
        <f t="shared" si="41"/>
        <v>9.5888321101129589E-3</v>
      </c>
      <c r="BC408" s="289">
        <f t="shared" si="38"/>
        <v>9.5888321101129589E-3</v>
      </c>
    </row>
    <row r="409" spans="2:55">
      <c r="B409" s="72" t="s">
        <v>707</v>
      </c>
      <c r="C409" s="72" t="s">
        <v>708</v>
      </c>
      <c r="D409" s="289">
        <f t="shared" si="35"/>
        <v>0</v>
      </c>
      <c r="E409" s="289">
        <f t="shared" si="41"/>
        <v>0</v>
      </c>
      <c r="F409" s="289">
        <f t="shared" si="41"/>
        <v>0</v>
      </c>
      <c r="G409" s="289">
        <f t="shared" si="41"/>
        <v>0</v>
      </c>
      <c r="H409" s="289">
        <f t="shared" si="41"/>
        <v>0</v>
      </c>
      <c r="I409" s="289">
        <f t="shared" si="41"/>
        <v>0</v>
      </c>
      <c r="J409" s="289">
        <f t="shared" si="41"/>
        <v>0</v>
      </c>
      <c r="K409" s="289">
        <f t="shared" si="41"/>
        <v>0</v>
      </c>
      <c r="L409" s="289">
        <f t="shared" si="41"/>
        <v>0</v>
      </c>
      <c r="M409" s="289">
        <f t="shared" si="41"/>
        <v>0</v>
      </c>
      <c r="N409" s="289">
        <f t="shared" si="41"/>
        <v>0</v>
      </c>
      <c r="O409" s="289">
        <f t="shared" si="41"/>
        <v>0</v>
      </c>
      <c r="P409" s="289">
        <f t="shared" si="41"/>
        <v>0</v>
      </c>
      <c r="Q409" s="289">
        <f t="shared" si="41"/>
        <v>0</v>
      </c>
      <c r="R409" s="289">
        <f t="shared" si="41"/>
        <v>0</v>
      </c>
      <c r="S409" s="289">
        <f t="shared" si="41"/>
        <v>0</v>
      </c>
      <c r="T409" s="289">
        <f t="shared" si="41"/>
        <v>0</v>
      </c>
      <c r="U409" s="289">
        <f t="shared" si="41"/>
        <v>0</v>
      </c>
      <c r="V409" s="289">
        <f t="shared" si="41"/>
        <v>0</v>
      </c>
      <c r="W409" s="289">
        <f t="shared" si="41"/>
        <v>0</v>
      </c>
      <c r="X409" s="289">
        <f t="shared" si="41"/>
        <v>0</v>
      </c>
      <c r="Y409" s="289">
        <f t="shared" si="41"/>
        <v>0</v>
      </c>
      <c r="Z409" s="289">
        <f t="shared" si="41"/>
        <v>0</v>
      </c>
      <c r="AA409" s="289">
        <f t="shared" si="41"/>
        <v>0</v>
      </c>
      <c r="AB409" s="289">
        <f t="shared" si="41"/>
        <v>0</v>
      </c>
      <c r="AC409" s="289">
        <f t="shared" si="41"/>
        <v>0</v>
      </c>
      <c r="AD409" s="289">
        <f t="shared" si="41"/>
        <v>0</v>
      </c>
      <c r="AE409" s="289">
        <f t="shared" si="41"/>
        <v>0</v>
      </c>
      <c r="AF409" s="289">
        <f t="shared" si="41"/>
        <v>0</v>
      </c>
      <c r="AG409" s="289">
        <f t="shared" si="41"/>
        <v>0.37702134848084501</v>
      </c>
      <c r="AH409" s="289">
        <f t="shared" si="41"/>
        <v>0.39349936709106231</v>
      </c>
      <c r="AI409" s="289">
        <f t="shared" si="41"/>
        <v>0.39628805529580829</v>
      </c>
      <c r="AJ409" s="289">
        <f t="shared" si="41"/>
        <v>0.3922365972859489</v>
      </c>
      <c r="AK409" s="289">
        <f t="shared" si="41"/>
        <v>0.33304047642204609</v>
      </c>
      <c r="AL409" s="289">
        <f t="shared" si="41"/>
        <v>0.26820246981783608</v>
      </c>
      <c r="AM409" s="289">
        <f t="shared" si="41"/>
        <v>0.27350802429832688</v>
      </c>
      <c r="AN409" s="289">
        <f t="shared" si="41"/>
        <v>0.26431920693557842</v>
      </c>
      <c r="AO409" s="289">
        <f t="shared" si="41"/>
        <v>0.2162647364883529</v>
      </c>
      <c r="AP409" s="289">
        <f t="shared" si="41"/>
        <v>0.23170028536298048</v>
      </c>
      <c r="AQ409" s="289">
        <f t="shared" si="41"/>
        <v>0.25859256367713551</v>
      </c>
      <c r="AR409" s="289">
        <f t="shared" si="41"/>
        <v>0.21463821861285115</v>
      </c>
      <c r="AS409" s="289">
        <f t="shared" si="41"/>
        <v>0.13525044812538486</v>
      </c>
      <c r="AT409" s="289">
        <f t="shared" si="41"/>
        <v>0.13939526842811606</v>
      </c>
      <c r="AU409" s="289">
        <f t="shared" si="41"/>
        <v>0.16094384859921179</v>
      </c>
      <c r="AV409" s="289">
        <f t="shared" si="41"/>
        <v>0.20004516927758925</v>
      </c>
      <c r="AW409" s="289">
        <f t="shared" si="41"/>
        <v>0.23674819920063425</v>
      </c>
      <c r="AX409" s="289">
        <f t="shared" si="41"/>
        <v>0.25731374532047635</v>
      </c>
      <c r="AY409" s="289">
        <f t="shared" si="41"/>
        <v>0.35113022487037537</v>
      </c>
      <c r="AZ409" s="289">
        <f t="shared" si="41"/>
        <v>0.28183213671317636</v>
      </c>
      <c r="BA409" s="289">
        <f t="shared" si="41"/>
        <v>0</v>
      </c>
      <c r="BB409" s="289">
        <f t="shared" si="41"/>
        <v>0</v>
      </c>
      <c r="BC409" s="289">
        <f t="shared" si="38"/>
        <v>0</v>
      </c>
    </row>
    <row r="410" spans="2:55">
      <c r="B410" s="72" t="s">
        <v>709</v>
      </c>
      <c r="C410" s="72" t="s">
        <v>710</v>
      </c>
      <c r="D410" s="289">
        <f t="shared" si="35"/>
        <v>0</v>
      </c>
      <c r="E410" s="289">
        <f t="shared" si="41"/>
        <v>0</v>
      </c>
      <c r="F410" s="289">
        <f t="shared" si="41"/>
        <v>0</v>
      </c>
      <c r="G410" s="289">
        <f t="shared" si="41"/>
        <v>0</v>
      </c>
      <c r="H410" s="289">
        <f t="shared" si="41"/>
        <v>0</v>
      </c>
      <c r="I410" s="289">
        <f t="shared" si="41"/>
        <v>0</v>
      </c>
      <c r="J410" s="289">
        <f t="shared" si="41"/>
        <v>0</v>
      </c>
      <c r="K410" s="289">
        <f t="shared" si="41"/>
        <v>0</v>
      </c>
      <c r="L410" s="289">
        <f t="shared" si="41"/>
        <v>0</v>
      </c>
      <c r="M410" s="289">
        <f t="shared" si="41"/>
        <v>1.8816162735995636</v>
      </c>
      <c r="N410" s="289">
        <f t="shared" si="41"/>
        <v>1.9051415852510261</v>
      </c>
      <c r="O410" s="289">
        <f t="shared" si="41"/>
        <v>1.9464011627281834</v>
      </c>
      <c r="P410" s="289">
        <f t="shared" si="41"/>
        <v>2.2577015615580547</v>
      </c>
      <c r="Q410" s="289">
        <f t="shared" si="41"/>
        <v>2.4066043895525246</v>
      </c>
      <c r="R410" s="289">
        <f t="shared" si="41"/>
        <v>2.5161196962084516</v>
      </c>
      <c r="S410" s="289">
        <f t="shared" si="41"/>
        <v>2.8493769869743275</v>
      </c>
      <c r="T410" s="289">
        <f t="shared" si="41"/>
        <v>2.7642976334799672</v>
      </c>
      <c r="U410" s="289">
        <f t="shared" si="41"/>
        <v>3.0904798997407688</v>
      </c>
      <c r="V410" s="289">
        <f t="shared" si="41"/>
        <v>2.6985107835854039</v>
      </c>
      <c r="W410" s="289">
        <f t="shared" si="41"/>
        <v>2.203817854076469</v>
      </c>
      <c r="X410" s="289">
        <f t="shared" si="41"/>
        <v>2.186088800984912</v>
      </c>
      <c r="Y410" s="289">
        <f t="shared" si="41"/>
        <v>2.3041701222745936</v>
      </c>
      <c r="Z410" s="289">
        <f t="shared" si="41"/>
        <v>2.4032703136625035</v>
      </c>
      <c r="AA410" s="289">
        <f t="shared" si="41"/>
        <v>2.4148499281283038</v>
      </c>
      <c r="AB410" s="289">
        <f t="shared" si="41"/>
        <v>2.3744975490870721</v>
      </c>
      <c r="AC410" s="289">
        <f t="shared" si="41"/>
        <v>2.8149256310992592</v>
      </c>
      <c r="AD410" s="289">
        <f t="shared" si="41"/>
        <v>3.0621820634217261</v>
      </c>
      <c r="AE410" s="289">
        <f t="shared" si="41"/>
        <v>2.7512684431512802</v>
      </c>
      <c r="AF410" s="289">
        <f t="shared" si="41"/>
        <v>2.5997709128723763</v>
      </c>
      <c r="AG410" s="289">
        <f t="shared" si="41"/>
        <v>2.7726221881052115</v>
      </c>
      <c r="AH410" s="289">
        <f t="shared" si="41"/>
        <v>2.7483820541375175</v>
      </c>
      <c r="AI410" s="289">
        <f t="shared" si="41"/>
        <v>2.8908060765785302</v>
      </c>
      <c r="AJ410" s="289">
        <f t="shared" si="41"/>
        <v>3.2642005779970034</v>
      </c>
      <c r="AK410" s="289">
        <f t="shared" si="41"/>
        <v>3.4793352822733929</v>
      </c>
      <c r="AL410" s="289">
        <f t="shared" si="41"/>
        <v>3.9355081011857203</v>
      </c>
      <c r="AM410" s="289">
        <f t="shared" si="41"/>
        <v>3.8122702032955598</v>
      </c>
      <c r="AN410" s="289">
        <f t="shared" si="41"/>
        <v>3.0896183107586896</v>
      </c>
      <c r="AO410" s="289">
        <f t="shared" si="41"/>
        <v>3.0914390930267142</v>
      </c>
      <c r="AP410" s="289">
        <f t="shared" si="41"/>
        <v>3.2018529744289936</v>
      </c>
      <c r="AQ410" s="289">
        <f t="shared" si="41"/>
        <v>3.0172946480815708</v>
      </c>
      <c r="AR410" s="289">
        <f t="shared" si="41"/>
        <v>3.018404286250409</v>
      </c>
      <c r="AS410" s="289">
        <f t="shared" si="41"/>
        <v>2.9616846743531031</v>
      </c>
      <c r="AT410" s="289">
        <f t="shared" si="41"/>
        <v>2.8986565592359717</v>
      </c>
      <c r="AU410" s="289">
        <f t="shared" si="41"/>
        <v>2.7393305150837901</v>
      </c>
      <c r="AV410" s="289">
        <f t="shared" si="41"/>
        <v>2.7658963576041495</v>
      </c>
      <c r="AW410" s="289">
        <f t="shared" si="41"/>
        <v>2.8156768857944985</v>
      </c>
      <c r="AX410" s="289">
        <f t="shared" si="41"/>
        <v>2.8168164274790777</v>
      </c>
      <c r="AY410" s="289">
        <f t="shared" si="41"/>
        <v>3.2163351958631003</v>
      </c>
      <c r="AZ410" s="289">
        <f t="shared" si="41"/>
        <v>3.8185616018600892</v>
      </c>
      <c r="BA410" s="289">
        <f t="shared" si="41"/>
        <v>0</v>
      </c>
      <c r="BB410" s="289">
        <f t="shared" si="41"/>
        <v>0</v>
      </c>
      <c r="BC410" s="289">
        <f t="shared" si="38"/>
        <v>0</v>
      </c>
    </row>
    <row r="411" spans="2:55">
      <c r="B411" s="72" t="s">
        <v>711</v>
      </c>
      <c r="C411" s="72" t="s">
        <v>712</v>
      </c>
      <c r="D411" s="289">
        <f t="shared" si="35"/>
        <v>0</v>
      </c>
      <c r="E411" s="289">
        <f t="shared" si="41"/>
        <v>0</v>
      </c>
      <c r="F411" s="289">
        <f t="shared" si="41"/>
        <v>0</v>
      </c>
      <c r="G411" s="289">
        <f t="shared" si="41"/>
        <v>0</v>
      </c>
      <c r="H411" s="289">
        <f t="shared" si="41"/>
        <v>0</v>
      </c>
      <c r="I411" s="289">
        <f t="shared" si="41"/>
        <v>0</v>
      </c>
      <c r="J411" s="289">
        <f t="shared" si="41"/>
        <v>0</v>
      </c>
      <c r="K411" s="289">
        <f t="shared" si="41"/>
        <v>0</v>
      </c>
      <c r="L411" s="289">
        <f t="shared" si="41"/>
        <v>0</v>
      </c>
      <c r="M411" s="289">
        <f t="shared" si="41"/>
        <v>0</v>
      </c>
      <c r="N411" s="289">
        <f t="shared" si="41"/>
        <v>0</v>
      </c>
      <c r="O411" s="289">
        <f t="shared" si="41"/>
        <v>0</v>
      </c>
      <c r="P411" s="289">
        <f t="shared" si="41"/>
        <v>0</v>
      </c>
      <c r="Q411" s="289">
        <f t="shared" si="41"/>
        <v>0</v>
      </c>
      <c r="R411" s="289">
        <f t="shared" si="41"/>
        <v>0</v>
      </c>
      <c r="S411" s="289">
        <f t="shared" si="41"/>
        <v>0</v>
      </c>
      <c r="T411" s="289">
        <f t="shared" si="41"/>
        <v>0</v>
      </c>
      <c r="U411" s="289">
        <f t="shared" si="41"/>
        <v>0</v>
      </c>
      <c r="V411" s="289">
        <f t="shared" si="41"/>
        <v>0</v>
      </c>
      <c r="W411" s="289">
        <f t="shared" si="41"/>
        <v>0</v>
      </c>
      <c r="X411" s="289">
        <f t="shared" si="41"/>
        <v>0</v>
      </c>
      <c r="Y411" s="289">
        <f t="shared" si="41"/>
        <v>0</v>
      </c>
      <c r="Z411" s="289">
        <f t="shared" si="41"/>
        <v>0</v>
      </c>
      <c r="AA411" s="289">
        <f t="shared" si="41"/>
        <v>0</v>
      </c>
      <c r="AB411" s="289">
        <f t="shared" si="41"/>
        <v>0</v>
      </c>
      <c r="AC411" s="289">
        <f t="shared" si="41"/>
        <v>0</v>
      </c>
      <c r="AD411" s="289">
        <f t="shared" si="41"/>
        <v>0</v>
      </c>
      <c r="AE411" s="289">
        <f t="shared" si="41"/>
        <v>0</v>
      </c>
      <c r="AF411" s="289">
        <f t="shared" si="41"/>
        <v>0</v>
      </c>
      <c r="AG411" s="289">
        <f t="shared" si="41"/>
        <v>0.1606377623971619</v>
      </c>
      <c r="AH411" s="289">
        <f t="shared" si="41"/>
        <v>0.1510438937251663</v>
      </c>
      <c r="AI411" s="289">
        <f t="shared" si="41"/>
        <v>0.1220469113989842</v>
      </c>
      <c r="AJ411" s="289">
        <f t="shared" si="41"/>
        <v>0.11860976786910359</v>
      </c>
      <c r="AK411" s="289">
        <f t="shared" si="41"/>
        <v>0.10381442651855648</v>
      </c>
      <c r="AL411" s="289">
        <f t="shared" si="41"/>
        <v>0.10921683754315813</v>
      </c>
      <c r="AM411" s="289">
        <f t="shared" si="41"/>
        <v>0.11159252349655767</v>
      </c>
      <c r="AN411" s="289">
        <f t="shared" si="41"/>
        <v>0.12076421364755319</v>
      </c>
      <c r="AO411" s="289">
        <f t="shared" si="41"/>
        <v>0.12685098872118072</v>
      </c>
      <c r="AP411" s="289">
        <f t="shared" si="41"/>
        <v>0.12148649979955291</v>
      </c>
      <c r="AQ411" s="289">
        <f t="shared" si="41"/>
        <v>0.13039340073849356</v>
      </c>
      <c r="AR411" s="289">
        <f t="shared" si="41"/>
        <v>0.14062985285849475</v>
      </c>
      <c r="AS411" s="289">
        <f t="shared" si="41"/>
        <v>0.15123636791699668</v>
      </c>
      <c r="AT411" s="289">
        <f t="shared" si="41"/>
        <v>0.17292924734577381</v>
      </c>
      <c r="AU411" s="289">
        <f t="shared" si="41"/>
        <v>0.17888181858555877</v>
      </c>
      <c r="AV411" s="289">
        <f t="shared" si="41"/>
        <v>0.19946629105117908</v>
      </c>
      <c r="AW411" s="289">
        <f t="shared" si="41"/>
        <v>0.21899164465730664</v>
      </c>
      <c r="AX411" s="289">
        <f t="shared" si="41"/>
        <v>0.25003625550562841</v>
      </c>
      <c r="AY411" s="289">
        <f t="shared" si="41"/>
        <v>0.32612512418700285</v>
      </c>
      <c r="AZ411" s="289">
        <f t="shared" si="41"/>
        <v>0.3122895110485483</v>
      </c>
      <c r="BA411" s="289">
        <f t="shared" si="41"/>
        <v>0.30466815182460932</v>
      </c>
      <c r="BB411" s="289">
        <f t="shared" si="41"/>
        <v>0.34169339348284822</v>
      </c>
      <c r="BC411" s="289">
        <f t="shared" si="38"/>
        <v>0.34169339348284822</v>
      </c>
    </row>
    <row r="412" spans="2:55">
      <c r="B412" s="72" t="s">
        <v>713</v>
      </c>
      <c r="C412" s="72" t="s">
        <v>714</v>
      </c>
      <c r="D412" s="289">
        <f t="shared" si="35"/>
        <v>1.5299813854762594</v>
      </c>
      <c r="E412" s="289">
        <f t="shared" si="41"/>
        <v>1.5272993337745633</v>
      </c>
      <c r="F412" s="289">
        <f t="shared" si="41"/>
        <v>1.5327240780125282</v>
      </c>
      <c r="G412" s="289">
        <f t="shared" si="41"/>
        <v>1.5934041583964524</v>
      </c>
      <c r="H412" s="289">
        <f t="shared" si="41"/>
        <v>1.5019776636877098</v>
      </c>
      <c r="I412" s="289">
        <f t="shared" si="41"/>
        <v>1.4800939109955153</v>
      </c>
      <c r="J412" s="289">
        <f t="shared" si="41"/>
        <v>1.4378439400343441</v>
      </c>
      <c r="K412" s="289">
        <f t="shared" si="41"/>
        <v>1.6744302664837776</v>
      </c>
      <c r="L412" s="289">
        <f t="shared" si="41"/>
        <v>1.8003326526447563</v>
      </c>
      <c r="M412" s="289">
        <f t="shared" si="41"/>
        <v>1.9005555396593821</v>
      </c>
      <c r="N412" s="289">
        <f t="shared" si="41"/>
        <v>1.7410211888294316</v>
      </c>
      <c r="O412" s="289">
        <f t="shared" si="41"/>
        <v>1.8808679789394671</v>
      </c>
      <c r="P412" s="289">
        <f t="shared" si="41"/>
        <v>2.2666061874569721</v>
      </c>
      <c r="Q412" s="289">
        <f t="shared" si="41"/>
        <v>2.5279825702986383</v>
      </c>
      <c r="R412" s="289">
        <f t="shared" si="41"/>
        <v>2.0514797754186569</v>
      </c>
      <c r="S412" s="289">
        <f t="shared" si="41"/>
        <v>2.3283348935905228</v>
      </c>
      <c r="T412" s="289">
        <f t="shared" ref="E412:BB417" si="42">T162/T$251</f>
        <v>2.2770864103231356</v>
      </c>
      <c r="U412" s="289">
        <f t="shared" si="42"/>
        <v>2.2335383297323292</v>
      </c>
      <c r="V412" s="289">
        <f t="shared" si="42"/>
        <v>2.0068002513579319</v>
      </c>
      <c r="W412" s="289">
        <f t="shared" si="42"/>
        <v>1.703074450412464</v>
      </c>
      <c r="X412" s="289">
        <f t="shared" si="42"/>
        <v>1.5004566385101363</v>
      </c>
      <c r="Y412" s="289">
        <f t="shared" si="42"/>
        <v>1.4317594453205431</v>
      </c>
      <c r="Z412" s="289">
        <f t="shared" si="42"/>
        <v>1.483983624195764</v>
      </c>
      <c r="AA412" s="289">
        <f t="shared" si="42"/>
        <v>1.5457667132827109</v>
      </c>
      <c r="AB412" s="289">
        <f t="shared" si="42"/>
        <v>1.5072638397591547</v>
      </c>
      <c r="AC412" s="289">
        <f t="shared" si="42"/>
        <v>1.7879306047916885</v>
      </c>
      <c r="AD412" s="289">
        <f t="shared" si="42"/>
        <v>1.8040828771083239</v>
      </c>
      <c r="AE412" s="289">
        <f t="shared" si="42"/>
        <v>1.6722570702051811</v>
      </c>
      <c r="AF412" s="289">
        <f t="shared" si="42"/>
        <v>1.7525634905814826</v>
      </c>
      <c r="AG412" s="289">
        <f t="shared" si="42"/>
        <v>1.8757166384394619</v>
      </c>
      <c r="AH412" s="289">
        <f t="shared" si="42"/>
        <v>1.9274567588051463</v>
      </c>
      <c r="AI412" s="289">
        <f t="shared" si="42"/>
        <v>2.0690320589036526</v>
      </c>
      <c r="AJ412" s="289">
        <f t="shared" si="42"/>
        <v>2.3368361662665667</v>
      </c>
      <c r="AK412" s="289">
        <f t="shared" si="42"/>
        <v>2.3763455345334736</v>
      </c>
      <c r="AL412" s="289">
        <f t="shared" si="42"/>
        <v>2.536757781046155</v>
      </c>
      <c r="AM412" s="289">
        <f t="shared" si="42"/>
        <v>2.3695777119511345</v>
      </c>
      <c r="AN412" s="289">
        <f t="shared" si="42"/>
        <v>1.8815141021487871</v>
      </c>
      <c r="AO412" s="289">
        <f t="shared" si="42"/>
        <v>1.8229065194132492</v>
      </c>
      <c r="AP412" s="289">
        <f t="shared" si="42"/>
        <v>1.920527650969752</v>
      </c>
      <c r="AQ412" s="289">
        <f t="shared" si="42"/>
        <v>1.853857540029014</v>
      </c>
      <c r="AR412" s="289">
        <f t="shared" si="42"/>
        <v>1.8417929557064792</v>
      </c>
      <c r="AS412" s="289">
        <f t="shared" si="42"/>
        <v>1.8736482182874037</v>
      </c>
      <c r="AT412" s="289">
        <f t="shared" si="42"/>
        <v>2.0714542662311777</v>
      </c>
      <c r="AU412" s="289">
        <f t="shared" si="42"/>
        <v>2.0272084796887109</v>
      </c>
      <c r="AV412" s="289">
        <f t="shared" si="42"/>
        <v>2.1228200962206727</v>
      </c>
      <c r="AW412" s="289">
        <f t="shared" si="42"/>
        <v>2.223650941587938</v>
      </c>
      <c r="AX412" s="289">
        <f t="shared" si="42"/>
        <v>2.3077695680626999</v>
      </c>
      <c r="AY412" s="289">
        <f t="shared" si="42"/>
        <v>2.5964486603403865</v>
      </c>
      <c r="AZ412" s="289">
        <f t="shared" si="42"/>
        <v>2.8456720103386366</v>
      </c>
      <c r="BA412" s="289">
        <f t="shared" si="42"/>
        <v>2.8567448133286533</v>
      </c>
      <c r="BB412" s="289">
        <f t="shared" si="42"/>
        <v>2.9332198750291343</v>
      </c>
      <c r="BC412" s="289">
        <f t="shared" si="38"/>
        <v>2.9332198750291343</v>
      </c>
    </row>
    <row r="413" spans="2:55">
      <c r="B413" s="72" t="s">
        <v>715</v>
      </c>
      <c r="C413" s="72" t="s">
        <v>716</v>
      </c>
      <c r="D413" s="289">
        <f t="shared" si="35"/>
        <v>0</v>
      </c>
      <c r="E413" s="289">
        <f t="shared" si="42"/>
        <v>0</v>
      </c>
      <c r="F413" s="289">
        <f t="shared" si="42"/>
        <v>0</v>
      </c>
      <c r="G413" s="289">
        <f t="shared" si="42"/>
        <v>0</v>
      </c>
      <c r="H413" s="289">
        <f t="shared" si="42"/>
        <v>0</v>
      </c>
      <c r="I413" s="289">
        <f t="shared" si="42"/>
        <v>0</v>
      </c>
      <c r="J413" s="289">
        <f t="shared" si="42"/>
        <v>0</v>
      </c>
      <c r="K413" s="289">
        <f t="shared" si="42"/>
        <v>0</v>
      </c>
      <c r="L413" s="289">
        <f t="shared" si="42"/>
        <v>0</v>
      </c>
      <c r="M413" s="289">
        <f t="shared" si="42"/>
        <v>0</v>
      </c>
      <c r="N413" s="289">
        <f t="shared" si="42"/>
        <v>0</v>
      </c>
      <c r="O413" s="289">
        <f t="shared" si="42"/>
        <v>0</v>
      </c>
      <c r="P413" s="289">
        <f t="shared" si="42"/>
        <v>0</v>
      </c>
      <c r="Q413" s="289">
        <f t="shared" si="42"/>
        <v>0</v>
      </c>
      <c r="R413" s="289">
        <f t="shared" si="42"/>
        <v>0</v>
      </c>
      <c r="S413" s="289">
        <f t="shared" si="42"/>
        <v>0</v>
      </c>
      <c r="T413" s="289">
        <f t="shared" si="42"/>
        <v>0</v>
      </c>
      <c r="U413" s="289">
        <f t="shared" si="42"/>
        <v>0</v>
      </c>
      <c r="V413" s="289">
        <f t="shared" si="42"/>
        <v>0</v>
      </c>
      <c r="W413" s="289">
        <f t="shared" si="42"/>
        <v>0</v>
      </c>
      <c r="X413" s="289">
        <f t="shared" si="42"/>
        <v>0</v>
      </c>
      <c r="Y413" s="289">
        <f t="shared" si="42"/>
        <v>0.44913639476897799</v>
      </c>
      <c r="Z413" s="289">
        <f t="shared" si="42"/>
        <v>0.45267591313098121</v>
      </c>
      <c r="AA413" s="289">
        <f t="shared" si="42"/>
        <v>0.53607180112175756</v>
      </c>
      <c r="AB413" s="289">
        <f t="shared" si="42"/>
        <v>0.50253097579252315</v>
      </c>
      <c r="AC413" s="289">
        <f t="shared" si="42"/>
        <v>0.44220350823866411</v>
      </c>
      <c r="AD413" s="289">
        <f t="shared" si="42"/>
        <v>0.44902683213140587</v>
      </c>
      <c r="AE413" s="289">
        <f t="shared" si="42"/>
        <v>0.41555274815642523</v>
      </c>
      <c r="AF413" s="289">
        <f t="shared" si="42"/>
        <v>0.47246266705179085</v>
      </c>
      <c r="AG413" s="289">
        <f t="shared" si="42"/>
        <v>0.46997580663950883</v>
      </c>
      <c r="AH413" s="289">
        <f t="shared" si="42"/>
        <v>0.51002380017752436</v>
      </c>
      <c r="AI413" s="289">
        <f t="shared" si="42"/>
        <v>0.6393931935334034</v>
      </c>
      <c r="AJ413" s="289">
        <f t="shared" si="42"/>
        <v>0.80644931757121441</v>
      </c>
      <c r="AK413" s="289">
        <f t="shared" si="42"/>
        <v>0.8170040188347194</v>
      </c>
      <c r="AL413" s="289">
        <f t="shared" si="42"/>
        <v>0.82564488318688489</v>
      </c>
      <c r="AM413" s="289">
        <f t="shared" si="42"/>
        <v>0.78099386355769607</v>
      </c>
      <c r="AN413" s="289">
        <f t="shared" si="42"/>
        <v>0.69215723747039259</v>
      </c>
      <c r="AO413" s="289">
        <f t="shared" si="42"/>
        <v>0.59290616918703898</v>
      </c>
      <c r="AP413" s="289">
        <f t="shared" si="42"/>
        <v>0.54420905237102457</v>
      </c>
      <c r="AQ413" s="289">
        <f t="shared" si="42"/>
        <v>0.56385557891750737</v>
      </c>
      <c r="AR413" s="289">
        <f t="shared" si="42"/>
        <v>0.59574961762375067</v>
      </c>
      <c r="AS413" s="289">
        <f t="shared" si="42"/>
        <v>0.5775346411912371</v>
      </c>
      <c r="AT413" s="289">
        <f t="shared" si="42"/>
        <v>0.55376035559619052</v>
      </c>
      <c r="AU413" s="289">
        <f t="shared" si="42"/>
        <v>0.59463796385856038</v>
      </c>
      <c r="AV413" s="289">
        <f t="shared" si="42"/>
        <v>0.6425062097908788</v>
      </c>
      <c r="AW413" s="289">
        <f t="shared" si="42"/>
        <v>0.72956153605499929</v>
      </c>
      <c r="AX413" s="289">
        <f t="shared" si="42"/>
        <v>0.77089230781733786</v>
      </c>
      <c r="AY413" s="289">
        <f t="shared" si="42"/>
        <v>0.92656550614257283</v>
      </c>
      <c r="AZ413" s="289">
        <f t="shared" si="42"/>
        <v>1.1355646391941971</v>
      </c>
      <c r="BA413" s="289">
        <f t="shared" si="42"/>
        <v>1.4342148090555815</v>
      </c>
      <c r="BB413" s="289">
        <f t="shared" si="42"/>
        <v>1.6791262028280027</v>
      </c>
      <c r="BC413" s="289">
        <f t="shared" si="38"/>
        <v>1.6791262028280027</v>
      </c>
    </row>
    <row r="414" spans="2:55">
      <c r="B414" s="72" t="s">
        <v>717</v>
      </c>
      <c r="C414" s="72" t="s">
        <v>718</v>
      </c>
      <c r="D414" s="289">
        <f t="shared" si="35"/>
        <v>0</v>
      </c>
      <c r="E414" s="289">
        <f t="shared" si="42"/>
        <v>0</v>
      </c>
      <c r="F414" s="289">
        <f t="shared" si="42"/>
        <v>0</v>
      </c>
      <c r="G414" s="289">
        <f t="shared" si="42"/>
        <v>0</v>
      </c>
      <c r="H414" s="289">
        <f t="shared" si="42"/>
        <v>0</v>
      </c>
      <c r="I414" s="289">
        <f t="shared" si="42"/>
        <v>0</v>
      </c>
      <c r="J414" s="289">
        <f t="shared" si="42"/>
        <v>0</v>
      </c>
      <c r="K414" s="289">
        <f t="shared" si="42"/>
        <v>0</v>
      </c>
      <c r="L414" s="289">
        <f t="shared" si="42"/>
        <v>0</v>
      </c>
      <c r="M414" s="289">
        <f t="shared" si="42"/>
        <v>0</v>
      </c>
      <c r="N414" s="289">
        <f t="shared" si="42"/>
        <v>0</v>
      </c>
      <c r="O414" s="289">
        <f t="shared" si="42"/>
        <v>0</v>
      </c>
      <c r="P414" s="289">
        <f t="shared" si="42"/>
        <v>0</v>
      </c>
      <c r="Q414" s="289">
        <f t="shared" si="42"/>
        <v>0</v>
      </c>
      <c r="R414" s="289">
        <f t="shared" si="42"/>
        <v>0</v>
      </c>
      <c r="S414" s="289">
        <f t="shared" si="42"/>
        <v>0</v>
      </c>
      <c r="T414" s="289">
        <f t="shared" si="42"/>
        <v>0</v>
      </c>
      <c r="U414" s="289">
        <f t="shared" si="42"/>
        <v>0</v>
      </c>
      <c r="V414" s="289">
        <f t="shared" si="42"/>
        <v>0</v>
      </c>
      <c r="W414" s="289">
        <f t="shared" si="42"/>
        <v>0</v>
      </c>
      <c r="X414" s="289">
        <f t="shared" si="42"/>
        <v>0</v>
      </c>
      <c r="Y414" s="289">
        <f t="shared" si="42"/>
        <v>0</v>
      </c>
      <c r="Z414" s="289">
        <f t="shared" si="42"/>
        <v>0</v>
      </c>
      <c r="AA414" s="289">
        <f t="shared" si="42"/>
        <v>0</v>
      </c>
      <c r="AB414" s="289">
        <f t="shared" si="42"/>
        <v>0</v>
      </c>
      <c r="AC414" s="289">
        <f t="shared" si="42"/>
        <v>0</v>
      </c>
      <c r="AD414" s="289">
        <f t="shared" si="42"/>
        <v>0</v>
      </c>
      <c r="AE414" s="289">
        <f t="shared" si="42"/>
        <v>0</v>
      </c>
      <c r="AF414" s="289">
        <f t="shared" si="42"/>
        <v>0</v>
      </c>
      <c r="AG414" s="289">
        <f t="shared" si="42"/>
        <v>0.13241229782117986</v>
      </c>
      <c r="AH414" s="289">
        <f t="shared" si="42"/>
        <v>0.13279566251250877</v>
      </c>
      <c r="AI414" s="289">
        <f t="shared" si="42"/>
        <v>6.3166883168287502E-2</v>
      </c>
      <c r="AJ414" s="289">
        <f t="shared" si="42"/>
        <v>7.7162111379790663E-2</v>
      </c>
      <c r="AK414" s="289">
        <f t="shared" si="42"/>
        <v>9.4418897094245335E-2</v>
      </c>
      <c r="AL414" s="289">
        <f t="shared" si="42"/>
        <v>0.11362249396447918</v>
      </c>
      <c r="AM414" s="289">
        <f t="shared" si="42"/>
        <v>0.10688698513955591</v>
      </c>
      <c r="AN414" s="289">
        <f t="shared" si="42"/>
        <v>8.0293935485560311E-2</v>
      </c>
      <c r="AO414" s="289">
        <f t="shared" si="42"/>
        <v>7.1704963285128404E-2</v>
      </c>
      <c r="AP414" s="289">
        <f t="shared" si="42"/>
        <v>7.1631075131404987E-2</v>
      </c>
      <c r="AQ414" s="289">
        <f t="shared" si="42"/>
        <v>7.1248875690989977E-2</v>
      </c>
      <c r="AR414" s="289">
        <f t="shared" si="42"/>
        <v>6.8640438299442941E-2</v>
      </c>
      <c r="AS414" s="289">
        <f t="shared" si="42"/>
        <v>6.9444515215433447E-2</v>
      </c>
      <c r="AT414" s="289">
        <f t="shared" si="42"/>
        <v>7.5289288125238857E-2</v>
      </c>
      <c r="AU414" s="289">
        <f t="shared" si="42"/>
        <v>7.3914965133906413E-2</v>
      </c>
      <c r="AV414" s="289">
        <f t="shared" si="42"/>
        <v>7.7041504296060853E-2</v>
      </c>
      <c r="AW414" s="289">
        <f t="shared" si="42"/>
        <v>7.9323435690776462E-2</v>
      </c>
      <c r="AX414" s="289">
        <f t="shared" si="42"/>
        <v>8.6000873385608592E-2</v>
      </c>
      <c r="AY414" s="289">
        <f t="shared" si="42"/>
        <v>0.11104391536384924</v>
      </c>
      <c r="AZ414" s="289">
        <f t="shared" si="42"/>
        <v>0.12816559752754117</v>
      </c>
      <c r="BA414" s="289">
        <f t="shared" si="42"/>
        <v>0.12231044710139016</v>
      </c>
      <c r="BB414" s="289">
        <f t="shared" si="42"/>
        <v>0.12616633639366623</v>
      </c>
      <c r="BC414" s="289">
        <f t="shared" si="38"/>
        <v>0.12616633639366623</v>
      </c>
    </row>
    <row r="415" spans="2:55">
      <c r="B415" s="72" t="s">
        <v>719</v>
      </c>
      <c r="C415" s="72" t="s">
        <v>720</v>
      </c>
      <c r="D415" s="289">
        <f t="shared" si="35"/>
        <v>9.208783287971721E-2</v>
      </c>
      <c r="E415" s="289">
        <f t="shared" si="42"/>
        <v>9.1214404188637396E-2</v>
      </c>
      <c r="F415" s="289">
        <f t="shared" si="42"/>
        <v>8.6900783889735086E-2</v>
      </c>
      <c r="G415" s="289">
        <f t="shared" si="42"/>
        <v>8.2520040398057937E-2</v>
      </c>
      <c r="H415" s="289">
        <f t="shared" si="42"/>
        <v>7.812642495392158E-2</v>
      </c>
      <c r="I415" s="289">
        <f t="shared" si="42"/>
        <v>7.773370709880334E-2</v>
      </c>
      <c r="J415" s="289">
        <f t="shared" si="42"/>
        <v>7.7984958664397197E-2</v>
      </c>
      <c r="K415" s="289">
        <f t="shared" si="42"/>
        <v>8.7508673841222503E-2</v>
      </c>
      <c r="L415" s="289">
        <f t="shared" si="42"/>
        <v>8.148041144651387E-2</v>
      </c>
      <c r="M415" s="289">
        <f t="shared" si="42"/>
        <v>7.5726878172213977E-2</v>
      </c>
      <c r="N415" s="289">
        <f t="shared" si="42"/>
        <v>7.0615217075741588E-2</v>
      </c>
      <c r="O415" s="289">
        <f t="shared" si="42"/>
        <v>6.7140687735705737E-2</v>
      </c>
      <c r="P415" s="289">
        <f t="shared" si="42"/>
        <v>7.1477227689506179E-2</v>
      </c>
      <c r="Q415" s="289">
        <f t="shared" si="42"/>
        <v>7.4722224148202759E-2</v>
      </c>
      <c r="R415" s="289">
        <f t="shared" si="42"/>
        <v>7.2372679706353527E-2</v>
      </c>
      <c r="S415" s="289">
        <f t="shared" si="42"/>
        <v>6.9992569717979292E-2</v>
      </c>
      <c r="T415" s="289">
        <f t="shared" si="42"/>
        <v>6.5130678528543873E-2</v>
      </c>
      <c r="U415" s="289">
        <f t="shared" si="42"/>
        <v>5.6570692130828513E-2</v>
      </c>
      <c r="V415" s="289">
        <f t="shared" si="42"/>
        <v>5.5006444448898038E-2</v>
      </c>
      <c r="W415" s="289">
        <f t="shared" si="42"/>
        <v>4.8792277405251529E-2</v>
      </c>
      <c r="X415" s="289">
        <f t="shared" si="42"/>
        <v>4.4511101921799842E-2</v>
      </c>
      <c r="Y415" s="289">
        <f t="shared" si="42"/>
        <v>4.4644654621845456E-2</v>
      </c>
      <c r="Z415" s="289">
        <f t="shared" si="42"/>
        <v>4.5726579014568267E-2</v>
      </c>
      <c r="AA415" s="289">
        <f t="shared" si="42"/>
        <v>3.9657137508300896E-2</v>
      </c>
      <c r="AB415" s="289">
        <f t="shared" si="42"/>
        <v>3.5577028865559412E-2</v>
      </c>
      <c r="AC415" s="289">
        <f t="shared" si="42"/>
        <v>3.2200571970324547E-2</v>
      </c>
      <c r="AD415" s="289">
        <f t="shared" si="42"/>
        <v>2.0119242643121753E-2</v>
      </c>
      <c r="AE415" s="289">
        <f t="shared" si="42"/>
        <v>1.5354318251528503E-2</v>
      </c>
      <c r="AF415" s="289">
        <f t="shared" si="42"/>
        <v>1.5146060907745538E-2</v>
      </c>
      <c r="AG415" s="289">
        <f t="shared" si="42"/>
        <v>1.5443849531477727E-2</v>
      </c>
      <c r="AH415" s="289">
        <f t="shared" si="42"/>
        <v>1.2417314082587774E-2</v>
      </c>
      <c r="AI415" s="289">
        <f t="shared" si="42"/>
        <v>1.3320886562406636E-2</v>
      </c>
      <c r="AJ415" s="289">
        <f t="shared" si="42"/>
        <v>1.606585502412847E-2</v>
      </c>
      <c r="AK415" s="289">
        <f t="shared" si="42"/>
        <v>1.2761338584932778E-2</v>
      </c>
      <c r="AL415" s="289">
        <f t="shared" si="42"/>
        <v>1.2067768121710207E-2</v>
      </c>
      <c r="AM415" s="289">
        <f t="shared" si="42"/>
        <v>1.4065261807934099E-2</v>
      </c>
      <c r="AN415" s="289">
        <f t="shared" si="42"/>
        <v>1.0810099985920994E-2</v>
      </c>
      <c r="AO415" s="289">
        <f t="shared" si="42"/>
        <v>1.0364875666930029E-2</v>
      </c>
      <c r="AP415" s="289">
        <f t="shared" si="42"/>
        <v>9.7415240897705709E-3</v>
      </c>
      <c r="AQ415" s="289">
        <f t="shared" si="42"/>
        <v>1.0072089123354312E-2</v>
      </c>
      <c r="AR415" s="289">
        <f t="shared" si="42"/>
        <v>1.1509027126505951E-2</v>
      </c>
      <c r="AS415" s="289">
        <f t="shared" si="42"/>
        <v>9.9687784562095001E-3</v>
      </c>
      <c r="AT415" s="289">
        <f t="shared" si="42"/>
        <v>1.0432812316719376E-2</v>
      </c>
      <c r="AU415" s="289">
        <f t="shared" si="42"/>
        <v>6.8512860859006658E-3</v>
      </c>
      <c r="AV415" s="289">
        <f t="shared" si="42"/>
        <v>7.3896661988654584E-3</v>
      </c>
      <c r="AW415" s="289">
        <f t="shared" si="42"/>
        <v>7.393674381456744E-3</v>
      </c>
      <c r="AX415" s="289">
        <f t="shared" si="42"/>
        <v>8.3502456425304829E-3</v>
      </c>
      <c r="AY415" s="289">
        <f t="shared" si="42"/>
        <v>1.1139840549087895E-2</v>
      </c>
      <c r="AZ415" s="289">
        <f t="shared" si="42"/>
        <v>1.1937895109475913E-2</v>
      </c>
      <c r="BA415" s="289">
        <f t="shared" si="42"/>
        <v>1.1767025976107433E-2</v>
      </c>
      <c r="BB415" s="289">
        <f t="shared" si="42"/>
        <v>1.1911623701990569E-2</v>
      </c>
      <c r="BC415" s="289">
        <f t="shared" si="38"/>
        <v>1.1911623701990569E-2</v>
      </c>
    </row>
    <row r="416" spans="2:55">
      <c r="B416" s="72" t="s">
        <v>721</v>
      </c>
      <c r="C416" s="72" t="s">
        <v>722</v>
      </c>
      <c r="D416" s="289">
        <f t="shared" si="35"/>
        <v>3.3315436305261972E-2</v>
      </c>
      <c r="E416" s="289">
        <f t="shared" si="42"/>
        <v>3.2749959626249034E-2</v>
      </c>
      <c r="F416" s="289">
        <f t="shared" si="42"/>
        <v>3.166188334130602E-2</v>
      </c>
      <c r="G416" s="289">
        <f t="shared" si="42"/>
        <v>2.9038434682362863E-2</v>
      </c>
      <c r="H416" s="289">
        <f t="shared" si="42"/>
        <v>3.1189552438350681E-2</v>
      </c>
      <c r="I416" s="289">
        <f t="shared" si="42"/>
        <v>3.261200690571632E-2</v>
      </c>
      <c r="J416" s="289">
        <f t="shared" si="42"/>
        <v>3.1909809179610941E-2</v>
      </c>
      <c r="K416" s="289">
        <f t="shared" si="42"/>
        <v>3.0151288585331261E-2</v>
      </c>
      <c r="L416" s="289">
        <f t="shared" si="42"/>
        <v>2.9692041975981992E-2</v>
      </c>
      <c r="M416" s="289">
        <f t="shared" si="42"/>
        <v>2.8597313931420055E-2</v>
      </c>
      <c r="N416" s="289">
        <f t="shared" si="42"/>
        <v>3.0993184578758191E-2</v>
      </c>
      <c r="O416" s="289">
        <f t="shared" si="42"/>
        <v>2.9168090405207681E-2</v>
      </c>
      <c r="P416" s="289">
        <f t="shared" si="42"/>
        <v>2.7449576971070734E-2</v>
      </c>
      <c r="Q416" s="289">
        <f t="shared" si="42"/>
        <v>3.0400161544389185E-2</v>
      </c>
      <c r="R416" s="289">
        <f t="shared" si="42"/>
        <v>2.7505126391538081E-2</v>
      </c>
      <c r="S416" s="289">
        <f t="shared" si="42"/>
        <v>3.0263310286943519E-2</v>
      </c>
      <c r="T416" s="289">
        <f t="shared" si="42"/>
        <v>3.114546746139801E-2</v>
      </c>
      <c r="U416" s="289">
        <f t="shared" si="42"/>
        <v>2.7972518256049312E-2</v>
      </c>
      <c r="V416" s="289">
        <f t="shared" si="42"/>
        <v>2.3269464576075146E-2</v>
      </c>
      <c r="W416" s="289">
        <f t="shared" si="42"/>
        <v>2.0611767936877207E-2</v>
      </c>
      <c r="X416" s="289">
        <f t="shared" si="42"/>
        <v>2.112270977433376E-2</v>
      </c>
      <c r="Y416" s="289">
        <f t="shared" si="42"/>
        <v>2.0610940310658302E-2</v>
      </c>
      <c r="Z416" s="289">
        <f t="shared" si="42"/>
        <v>2.1950432533637643E-2</v>
      </c>
      <c r="AA416" s="289">
        <f t="shared" si="42"/>
        <v>2.2292472851821288E-2</v>
      </c>
      <c r="AB416" s="289">
        <f t="shared" si="42"/>
        <v>1.8959730645396244E-2</v>
      </c>
      <c r="AC416" s="289">
        <f t="shared" si="42"/>
        <v>1.5352592005172213E-2</v>
      </c>
      <c r="AD416" s="289">
        <f t="shared" si="42"/>
        <v>1.1801454156800388E-2</v>
      </c>
      <c r="AE416" s="289">
        <f t="shared" si="42"/>
        <v>1.0711426657036513E-2</v>
      </c>
      <c r="AF416" s="289">
        <f t="shared" si="42"/>
        <v>1.1668129062713804E-2</v>
      </c>
      <c r="AG416" s="289">
        <f t="shared" si="42"/>
        <v>1.1335070585018864E-2</v>
      </c>
      <c r="AH416" s="289">
        <f t="shared" si="42"/>
        <v>1.2505102898781201E-2</v>
      </c>
      <c r="AI416" s="289">
        <f t="shared" si="42"/>
        <v>9.8029538952317859E-3</v>
      </c>
      <c r="AJ416" s="289">
        <f t="shared" si="42"/>
        <v>1.2530576552750947E-2</v>
      </c>
      <c r="AK416" s="289">
        <f t="shared" si="42"/>
        <v>6.598261661361844E-3</v>
      </c>
      <c r="AL416" s="289">
        <f t="shared" si="42"/>
        <v>7.0896697712349898E-3</v>
      </c>
      <c r="AM416" s="289">
        <f t="shared" si="42"/>
        <v>1.080331233997911E-2</v>
      </c>
      <c r="AN416" s="289">
        <f t="shared" si="42"/>
        <v>1.1001312569713184E-2</v>
      </c>
      <c r="AO416" s="289">
        <f t="shared" si="42"/>
        <v>6.5993792153225973E-3</v>
      </c>
      <c r="AP416" s="289">
        <f t="shared" si="42"/>
        <v>6.345164535716403E-3</v>
      </c>
      <c r="AQ416" s="289">
        <f t="shared" si="42"/>
        <v>6.1965815014821618E-3</v>
      </c>
      <c r="AR416" s="289">
        <f t="shared" si="42"/>
        <v>5.994487751433018E-3</v>
      </c>
      <c r="AS416" s="289">
        <f t="shared" si="42"/>
        <v>8.3427542251439286E-3</v>
      </c>
      <c r="AT416" s="289">
        <f t="shared" si="42"/>
        <v>6.4084794144853782E-3</v>
      </c>
      <c r="AU416" s="289">
        <f t="shared" si="42"/>
        <v>5.7355884302649962E-3</v>
      </c>
      <c r="AV416" s="289">
        <f t="shared" si="42"/>
        <v>5.6360469264084461E-3</v>
      </c>
      <c r="AW416" s="289">
        <f t="shared" si="42"/>
        <v>5.8349407926876215E-3</v>
      </c>
      <c r="AX416" s="289">
        <f t="shared" si="42"/>
        <v>5.793860767755679E-3</v>
      </c>
      <c r="AY416" s="289">
        <f t="shared" si="42"/>
        <v>7.0775078642501344E-3</v>
      </c>
      <c r="AZ416" s="289">
        <f t="shared" si="42"/>
        <v>9.8588847391839554E-3</v>
      </c>
      <c r="BA416" s="289">
        <f t="shared" si="42"/>
        <v>9.9929040325366474E-3</v>
      </c>
      <c r="BB416" s="289">
        <f t="shared" si="42"/>
        <v>9.3613734340374909E-3</v>
      </c>
      <c r="BC416" s="289">
        <f t="shared" si="38"/>
        <v>9.3613734340374909E-3</v>
      </c>
    </row>
    <row r="417" spans="2:55">
      <c r="B417" s="72" t="s">
        <v>723</v>
      </c>
      <c r="C417" s="72" t="s">
        <v>724</v>
      </c>
      <c r="D417" s="289">
        <f t="shared" si="35"/>
        <v>0.19788933285449578</v>
      </c>
      <c r="E417" s="289">
        <f t="shared" si="42"/>
        <v>0.19294988135158564</v>
      </c>
      <c r="F417" s="289">
        <f t="shared" si="42"/>
        <v>0.18898972736130923</v>
      </c>
      <c r="G417" s="289">
        <f t="shared" si="42"/>
        <v>0.18054729770119998</v>
      </c>
      <c r="H417" s="289">
        <f t="shared" si="42"/>
        <v>0.17997535717639371</v>
      </c>
      <c r="I417" s="289">
        <f t="shared" si="42"/>
        <v>0.17587642949821583</v>
      </c>
      <c r="J417" s="289">
        <f t="shared" si="42"/>
        <v>0.17181497083137254</v>
      </c>
      <c r="K417" s="289">
        <f t="shared" si="42"/>
        <v>0.18636745947979799</v>
      </c>
      <c r="L417" s="289">
        <f t="shared" si="42"/>
        <v>0.18731014729249587</v>
      </c>
      <c r="M417" s="289">
        <f t="shared" si="42"/>
        <v>0.17485425277549219</v>
      </c>
      <c r="N417" s="289">
        <f t="shared" si="42"/>
        <v>0.1598333099421923</v>
      </c>
      <c r="O417" s="289">
        <f t="shared" si="42"/>
        <v>0.16184354533462147</v>
      </c>
      <c r="P417" s="289">
        <f t="shared" si="42"/>
        <v>0.21308731610067605</v>
      </c>
      <c r="Q417" s="289">
        <f t="shared" si="42"/>
        <v>0.23883555239291626</v>
      </c>
      <c r="R417" s="289">
        <f t="shared" si="42"/>
        <v>0.19102910868536788</v>
      </c>
      <c r="S417" s="289">
        <f t="shared" si="42"/>
        <v>0.23083212532104588</v>
      </c>
      <c r="T417" s="289">
        <f t="shared" si="42"/>
        <v>0.23744257049062412</v>
      </c>
      <c r="U417" s="289">
        <f t="shared" si="42"/>
        <v>0.21827473447603943</v>
      </c>
      <c r="V417" s="289">
        <f t="shared" si="42"/>
        <v>0.21298668003927235</v>
      </c>
      <c r="W417" s="289">
        <f t="shared" si="42"/>
        <v>0.18734074912216614</v>
      </c>
      <c r="X417" s="289">
        <f t="shared" si="42"/>
        <v>0.1964306435303057</v>
      </c>
      <c r="Y417" s="289">
        <f t="shared" ref="E417:BB422" si="43">Y167/Y$251</f>
        <v>0.21522832020884708</v>
      </c>
      <c r="Z417" s="289">
        <f t="shared" si="43"/>
        <v>0.24867866471674585</v>
      </c>
      <c r="AA417" s="289">
        <f t="shared" si="43"/>
        <v>0.28986923723294006</v>
      </c>
      <c r="AB417" s="289">
        <f t="shared" si="43"/>
        <v>0.24551523778524476</v>
      </c>
      <c r="AC417" s="289">
        <f t="shared" si="43"/>
        <v>0.17301882944997662</v>
      </c>
      <c r="AD417" s="289">
        <f t="shared" si="43"/>
        <v>0.15623326628890047</v>
      </c>
      <c r="AE417" s="289">
        <f t="shared" si="43"/>
        <v>0.1371597668923106</v>
      </c>
      <c r="AF417" s="289">
        <f t="shared" si="43"/>
        <v>0.14572678716332677</v>
      </c>
      <c r="AG417" s="289">
        <f t="shared" si="43"/>
        <v>0.13669260117248513</v>
      </c>
      <c r="AH417" s="289">
        <f t="shared" si="43"/>
        <v>0.14284295939529706</v>
      </c>
      <c r="AI417" s="289">
        <f t="shared" si="43"/>
        <v>0.16245064728379735</v>
      </c>
      <c r="AJ417" s="289">
        <f t="shared" si="43"/>
        <v>0.19975590251667383</v>
      </c>
      <c r="AK417" s="289">
        <f t="shared" si="43"/>
        <v>0.20111829418128893</v>
      </c>
      <c r="AL417" s="289">
        <f t="shared" si="43"/>
        <v>0.21495994713686176</v>
      </c>
      <c r="AM417" s="289">
        <f t="shared" si="43"/>
        <v>0.22639334207806613</v>
      </c>
      <c r="AN417" s="289">
        <f t="shared" si="43"/>
        <v>0.19602982504322428</v>
      </c>
      <c r="AO417" s="289">
        <f t="shared" si="43"/>
        <v>0.12935355186503791</v>
      </c>
      <c r="AP417" s="289">
        <f t="shared" si="43"/>
        <v>0.1350678568536996</v>
      </c>
      <c r="AQ417" s="289">
        <f t="shared" si="43"/>
        <v>0.15985386317948291</v>
      </c>
      <c r="AR417" s="289">
        <f t="shared" si="43"/>
        <v>0.1558886009997987</v>
      </c>
      <c r="AS417" s="289">
        <f t="shared" si="43"/>
        <v>0.15237157640206786</v>
      </c>
      <c r="AT417" s="289">
        <f t="shared" si="43"/>
        <v>0.14115847834816245</v>
      </c>
      <c r="AU417" s="289">
        <f t="shared" si="43"/>
        <v>0.13284711973299457</v>
      </c>
      <c r="AV417" s="289">
        <f t="shared" si="43"/>
        <v>0.14425677128942729</v>
      </c>
      <c r="AW417" s="289">
        <f t="shared" si="43"/>
        <v>0.15116843716081635</v>
      </c>
      <c r="AX417" s="289">
        <f t="shared" si="43"/>
        <v>0.15443509238548583</v>
      </c>
      <c r="AY417" s="289">
        <f t="shared" si="43"/>
        <v>0.19465941328687003</v>
      </c>
      <c r="AZ417" s="289">
        <f t="shared" si="43"/>
        <v>0.20481432034236915</v>
      </c>
      <c r="BA417" s="289">
        <f t="shared" si="43"/>
        <v>0.23970012169811378</v>
      </c>
      <c r="BB417" s="289">
        <f t="shared" si="43"/>
        <v>0.25557665338601693</v>
      </c>
      <c r="BC417" s="289">
        <f t="shared" si="38"/>
        <v>0.25557665338601693</v>
      </c>
    </row>
    <row r="418" spans="2:55">
      <c r="B418" s="72" t="s">
        <v>725</v>
      </c>
      <c r="C418" s="72" t="s">
        <v>726</v>
      </c>
      <c r="D418" s="289">
        <f t="shared" si="35"/>
        <v>0</v>
      </c>
      <c r="E418" s="289">
        <f t="shared" si="43"/>
        <v>0</v>
      </c>
      <c r="F418" s="289">
        <f t="shared" si="43"/>
        <v>0</v>
      </c>
      <c r="G418" s="289">
        <f t="shared" si="43"/>
        <v>0</v>
      </c>
      <c r="H418" s="289">
        <f t="shared" si="43"/>
        <v>0</v>
      </c>
      <c r="I418" s="289">
        <f t="shared" si="43"/>
        <v>0</v>
      </c>
      <c r="J418" s="289">
        <f t="shared" si="43"/>
        <v>0</v>
      </c>
      <c r="K418" s="289">
        <f t="shared" si="43"/>
        <v>0</v>
      </c>
      <c r="L418" s="289">
        <f t="shared" si="43"/>
        <v>0</v>
      </c>
      <c r="M418" s="289">
        <f t="shared" si="43"/>
        <v>0</v>
      </c>
      <c r="N418" s="289">
        <f t="shared" si="43"/>
        <v>0</v>
      </c>
      <c r="O418" s="289">
        <f t="shared" si="43"/>
        <v>0</v>
      </c>
      <c r="P418" s="289">
        <f t="shared" si="43"/>
        <v>0</v>
      </c>
      <c r="Q418" s="289">
        <f t="shared" si="43"/>
        <v>0</v>
      </c>
      <c r="R418" s="289">
        <f t="shared" si="43"/>
        <v>0</v>
      </c>
      <c r="S418" s="289">
        <f t="shared" si="43"/>
        <v>0</v>
      </c>
      <c r="T418" s="289">
        <f t="shared" si="43"/>
        <v>0</v>
      </c>
      <c r="U418" s="289">
        <f t="shared" si="43"/>
        <v>0</v>
      </c>
      <c r="V418" s="289">
        <f t="shared" si="43"/>
        <v>0</v>
      </c>
      <c r="W418" s="289">
        <f t="shared" si="43"/>
        <v>2.8173665246204387E-2</v>
      </c>
      <c r="X418" s="289">
        <f t="shared" si="43"/>
        <v>3.0248569664944588E-2</v>
      </c>
      <c r="Y418" s="289">
        <f t="shared" si="43"/>
        <v>3.2785092894497776E-2</v>
      </c>
      <c r="Z418" s="289">
        <f t="shared" si="43"/>
        <v>4.0237084613421605E-2</v>
      </c>
      <c r="AA418" s="289">
        <f t="shared" si="43"/>
        <v>7.8114875863409788E-2</v>
      </c>
      <c r="AB418" s="289">
        <f t="shared" si="43"/>
        <v>8.294836505355746E-2</v>
      </c>
      <c r="AC418" s="289">
        <f t="shared" si="43"/>
        <v>7.2954060404592291E-2</v>
      </c>
      <c r="AD418" s="289">
        <f t="shared" si="43"/>
        <v>5.7301342834422786E-2</v>
      </c>
      <c r="AE418" s="289">
        <f t="shared" si="43"/>
        <v>5.4606769213164985E-2</v>
      </c>
      <c r="AF418" s="289">
        <f t="shared" si="43"/>
        <v>5.9078644361950476E-2</v>
      </c>
      <c r="AG418" s="289">
        <f t="shared" si="43"/>
        <v>5.5406986584357006E-2</v>
      </c>
      <c r="AH418" s="289">
        <f t="shared" si="43"/>
        <v>5.8907935625928283E-2</v>
      </c>
      <c r="AI418" s="289">
        <f t="shared" si="43"/>
        <v>6.4824810579651906E-2</v>
      </c>
      <c r="AJ418" s="289">
        <f t="shared" si="43"/>
        <v>7.980726018988149E-2</v>
      </c>
      <c r="AK418" s="289">
        <f t="shared" si="43"/>
        <v>7.9821697814947426E-2</v>
      </c>
      <c r="AL418" s="289">
        <f t="shared" si="43"/>
        <v>8.0437165143456654E-2</v>
      </c>
      <c r="AM418" s="289">
        <f t="shared" si="43"/>
        <v>8.4585474093026414E-2</v>
      </c>
      <c r="AN418" s="289">
        <f t="shared" si="43"/>
        <v>8.3642874928297625E-2</v>
      </c>
      <c r="AO418" s="289">
        <f t="shared" si="43"/>
        <v>8.1887520607996409E-2</v>
      </c>
      <c r="AP418" s="289">
        <f t="shared" si="43"/>
        <v>8.5608763285076786E-2</v>
      </c>
      <c r="AQ418" s="289">
        <f t="shared" si="43"/>
        <v>9.11888098314413E-2</v>
      </c>
      <c r="AR418" s="289">
        <f t="shared" si="43"/>
        <v>0.11630757442405859</v>
      </c>
      <c r="AS418" s="289">
        <f t="shared" si="43"/>
        <v>0.1086885318868758</v>
      </c>
      <c r="AT418" s="289">
        <f t="shared" si="43"/>
        <v>0.10636249328176883</v>
      </c>
      <c r="AU418" s="289">
        <f t="shared" si="43"/>
        <v>0.10073279723235196</v>
      </c>
      <c r="AV418" s="289">
        <f t="shared" si="43"/>
        <v>8.8180867019316808E-2</v>
      </c>
      <c r="AW418" s="289">
        <f t="shared" si="43"/>
        <v>0.1075323689436975</v>
      </c>
      <c r="AX418" s="289">
        <f t="shared" si="43"/>
        <v>0.10964748359706536</v>
      </c>
      <c r="AY418" s="289">
        <f t="shared" si="43"/>
        <v>0.14251364300220831</v>
      </c>
      <c r="AZ418" s="289">
        <f t="shared" si="43"/>
        <v>0.1763216708798481</v>
      </c>
      <c r="BA418" s="289">
        <f t="shared" si="43"/>
        <v>0.18122316653415904</v>
      </c>
      <c r="BB418" s="289">
        <f t="shared" si="43"/>
        <v>0.16407033835685578</v>
      </c>
      <c r="BC418" s="289">
        <f t="shared" si="38"/>
        <v>0.16407033835685578</v>
      </c>
    </row>
    <row r="419" spans="2:55">
      <c r="B419" s="72" t="s">
        <v>727</v>
      </c>
      <c r="C419" s="72" t="s">
        <v>728</v>
      </c>
      <c r="D419" s="289">
        <f t="shared" si="35"/>
        <v>0</v>
      </c>
      <c r="E419" s="289">
        <f t="shared" si="43"/>
        <v>0</v>
      </c>
      <c r="F419" s="289">
        <f t="shared" si="43"/>
        <v>0</v>
      </c>
      <c r="G419" s="289">
        <f t="shared" si="43"/>
        <v>0</v>
      </c>
      <c r="H419" s="289">
        <f t="shared" si="43"/>
        <v>0</v>
      </c>
      <c r="I419" s="289">
        <f t="shared" si="43"/>
        <v>0</v>
      </c>
      <c r="J419" s="289">
        <f t="shared" si="43"/>
        <v>2.3562717552648355E-2</v>
      </c>
      <c r="K419" s="289">
        <f t="shared" si="43"/>
        <v>3.1107305796288027E-2</v>
      </c>
      <c r="L419" s="289">
        <f t="shared" si="43"/>
        <v>2.8202272496028538E-2</v>
      </c>
      <c r="M419" s="289">
        <f t="shared" si="43"/>
        <v>2.6594447716858892E-2</v>
      </c>
      <c r="N419" s="289">
        <f t="shared" si="43"/>
        <v>2.774211468925001E-2</v>
      </c>
      <c r="O419" s="289">
        <f t="shared" si="43"/>
        <v>2.6877499484226384E-2</v>
      </c>
      <c r="P419" s="289">
        <f t="shared" si="43"/>
        <v>2.7189249123810474E-2</v>
      </c>
      <c r="Q419" s="289">
        <f t="shared" si="43"/>
        <v>2.3630416307495874E-2</v>
      </c>
      <c r="R419" s="289">
        <f t="shared" si="43"/>
        <v>2.9913659492539112E-2</v>
      </c>
      <c r="S419" s="289">
        <f t="shared" si="43"/>
        <v>3.4557031191489819E-2</v>
      </c>
      <c r="T419" s="289">
        <f t="shared" si="43"/>
        <v>3.3576925015765507E-2</v>
      </c>
      <c r="U419" s="289">
        <f t="shared" si="43"/>
        <v>3.0302253605863388E-2</v>
      </c>
      <c r="V419" s="289">
        <f t="shared" si="43"/>
        <v>2.9890474996826968E-2</v>
      </c>
      <c r="W419" s="289">
        <f t="shared" si="43"/>
        <v>2.5634464379496642E-2</v>
      </c>
      <c r="X419" s="289">
        <f t="shared" si="43"/>
        <v>2.209356350048531E-2</v>
      </c>
      <c r="Y419" s="289">
        <f t="shared" si="43"/>
        <v>2.0159741281682502E-2</v>
      </c>
      <c r="Z419" s="289">
        <f t="shared" si="43"/>
        <v>2.0303791962500397E-2</v>
      </c>
      <c r="AA419" s="289">
        <f t="shared" si="43"/>
        <v>2.1433069484160412E-2</v>
      </c>
      <c r="AB419" s="289">
        <f t="shared" si="43"/>
        <v>1.9977544201761357E-2</v>
      </c>
      <c r="AC419" s="289">
        <f t="shared" si="43"/>
        <v>2.0490025035078661E-2</v>
      </c>
      <c r="AD419" s="289">
        <f t="shared" si="43"/>
        <v>1.8963844107245408E-2</v>
      </c>
      <c r="AE419" s="289">
        <f t="shared" si="43"/>
        <v>1.5548835195227107E-2</v>
      </c>
      <c r="AF419" s="289">
        <f t="shared" si="43"/>
        <v>1.5663018980433405E-2</v>
      </c>
      <c r="AG419" s="289">
        <f t="shared" si="43"/>
        <v>1.5783148362242153E-2</v>
      </c>
      <c r="AH419" s="289">
        <f t="shared" si="43"/>
        <v>1.487051000981773E-2</v>
      </c>
      <c r="AI419" s="289">
        <f t="shared" si="43"/>
        <v>1.6540579840311872E-2</v>
      </c>
      <c r="AJ419" s="289">
        <f t="shared" si="43"/>
        <v>1.6916916095893363E-2</v>
      </c>
      <c r="AK419" s="289">
        <f t="shared" si="43"/>
        <v>1.005560849825737E-2</v>
      </c>
      <c r="AL419" s="289">
        <f t="shared" si="43"/>
        <v>1.2586403392847221E-2</v>
      </c>
      <c r="AM419" s="289">
        <f t="shared" si="43"/>
        <v>1.2377189025286117E-2</v>
      </c>
      <c r="AN419" s="289">
        <f t="shared" si="43"/>
        <v>1.0173016730556777E-2</v>
      </c>
      <c r="AO419" s="289">
        <f t="shared" si="43"/>
        <v>9.7435300671159363E-3</v>
      </c>
      <c r="AP419" s="289">
        <f t="shared" si="43"/>
        <v>9.144112491703188E-3</v>
      </c>
      <c r="AQ419" s="289">
        <f t="shared" si="43"/>
        <v>8.5589392434190781E-3</v>
      </c>
      <c r="AR419" s="289">
        <f t="shared" si="43"/>
        <v>9.0965855827177412E-3</v>
      </c>
      <c r="AS419" s="289">
        <f t="shared" si="43"/>
        <v>1.0316867095791478E-2</v>
      </c>
      <c r="AT419" s="289">
        <f t="shared" si="43"/>
        <v>1.1311122147330797E-2</v>
      </c>
      <c r="AU419" s="289">
        <f t="shared" si="43"/>
        <v>1.0399814562866124E-2</v>
      </c>
      <c r="AV419" s="289">
        <f t="shared" si="43"/>
        <v>1.0561754216200694E-2</v>
      </c>
      <c r="AW419" s="289">
        <f t="shared" si="43"/>
        <v>1.0660793359061534E-2</v>
      </c>
      <c r="AX419" s="289">
        <f t="shared" si="43"/>
        <v>1.1001283729069875E-2</v>
      </c>
      <c r="AY419" s="289">
        <f t="shared" si="43"/>
        <v>1.4005518123078566E-2</v>
      </c>
      <c r="AZ419" s="289">
        <f t="shared" si="43"/>
        <v>1.7017806536318455E-2</v>
      </c>
      <c r="BA419" s="289">
        <f t="shared" si="43"/>
        <v>1.6908769408572367E-2</v>
      </c>
      <c r="BB419" s="289">
        <f t="shared" si="43"/>
        <v>1.7126070628214949E-2</v>
      </c>
      <c r="BC419" s="289">
        <f t="shared" si="38"/>
        <v>1.7126070628214949E-2</v>
      </c>
    </row>
    <row r="420" spans="2:55">
      <c r="B420" s="72" t="s">
        <v>729</v>
      </c>
      <c r="C420" s="72" t="s">
        <v>730</v>
      </c>
      <c r="D420" s="289">
        <f t="shared" si="35"/>
        <v>0</v>
      </c>
      <c r="E420" s="289">
        <f t="shared" si="43"/>
        <v>0</v>
      </c>
      <c r="F420" s="289">
        <f t="shared" si="43"/>
        <v>0</v>
      </c>
      <c r="G420" s="289">
        <f t="shared" si="43"/>
        <v>0</v>
      </c>
      <c r="H420" s="289">
        <f t="shared" si="43"/>
        <v>0</v>
      </c>
      <c r="I420" s="289">
        <f t="shared" si="43"/>
        <v>0</v>
      </c>
      <c r="J420" s="289">
        <f t="shared" si="43"/>
        <v>0</v>
      </c>
      <c r="K420" s="289">
        <f t="shared" si="43"/>
        <v>0</v>
      </c>
      <c r="L420" s="289">
        <f t="shared" si="43"/>
        <v>0</v>
      </c>
      <c r="M420" s="289">
        <f t="shared" si="43"/>
        <v>0.36951623750105961</v>
      </c>
      <c r="N420" s="289">
        <f t="shared" si="43"/>
        <v>0.3460767273470336</v>
      </c>
      <c r="O420" s="289">
        <f t="shared" si="43"/>
        <v>0.33738841870352348</v>
      </c>
      <c r="P420" s="289">
        <f t="shared" si="43"/>
        <v>0.35110816568536357</v>
      </c>
      <c r="Q420" s="289">
        <f t="shared" si="43"/>
        <v>0.35414379410330521</v>
      </c>
      <c r="R420" s="289">
        <f t="shared" si="43"/>
        <v>0.37101879189280723</v>
      </c>
      <c r="S420" s="289">
        <f t="shared" si="43"/>
        <v>0.42725616619535045</v>
      </c>
      <c r="T420" s="289">
        <f t="shared" si="43"/>
        <v>0.44636516721223418</v>
      </c>
      <c r="U420" s="289">
        <f t="shared" si="43"/>
        <v>0.4422698740194973</v>
      </c>
      <c r="V420" s="289">
        <f t="shared" si="43"/>
        <v>0.42543823405731213</v>
      </c>
      <c r="W420" s="289">
        <f t="shared" si="43"/>
        <v>0.41029589572424396</v>
      </c>
      <c r="X420" s="289">
        <f t="shared" si="43"/>
        <v>0.42640243689889623</v>
      </c>
      <c r="Y420" s="289">
        <f t="shared" si="43"/>
        <v>0.43448054555276694</v>
      </c>
      <c r="Z420" s="289">
        <f t="shared" si="43"/>
        <v>0.4266503661539387</v>
      </c>
      <c r="AA420" s="289">
        <f t="shared" si="43"/>
        <v>0.42851291477478198</v>
      </c>
      <c r="AB420" s="289">
        <f t="shared" si="43"/>
        <v>0.40467407262496141</v>
      </c>
      <c r="AC420" s="289">
        <f t="shared" si="43"/>
        <v>0.41679261393688422</v>
      </c>
      <c r="AD420" s="289">
        <f t="shared" si="43"/>
        <v>0.41220664338954466</v>
      </c>
      <c r="AE420" s="289">
        <f t="shared" si="43"/>
        <v>0.38889904130016684</v>
      </c>
      <c r="AF420" s="289">
        <f t="shared" si="43"/>
        <v>0.40119330304739592</v>
      </c>
      <c r="AG420" s="289">
        <f t="shared" si="43"/>
        <v>0.40663324857213046</v>
      </c>
      <c r="AH420" s="289">
        <f t="shared" si="43"/>
        <v>0.41813360155464385</v>
      </c>
      <c r="AI420" s="289">
        <f t="shared" si="43"/>
        <v>0.4411817347123187</v>
      </c>
      <c r="AJ420" s="289">
        <f t="shared" si="43"/>
        <v>0.43702200166552296</v>
      </c>
      <c r="AK420" s="289">
        <f t="shared" si="43"/>
        <v>0.44463341369742221</v>
      </c>
      <c r="AL420" s="289">
        <f t="shared" si="43"/>
        <v>0.4872448512754573</v>
      </c>
      <c r="AM420" s="289">
        <f t="shared" si="43"/>
        <v>0.46991340449619218</v>
      </c>
      <c r="AN420" s="289">
        <f t="shared" si="43"/>
        <v>0.41275628221518867</v>
      </c>
      <c r="AO420" s="289">
        <f t="shared" si="43"/>
        <v>0.40371767768507938</v>
      </c>
      <c r="AP420" s="289">
        <f t="shared" si="43"/>
        <v>0.4020031188703499</v>
      </c>
      <c r="AQ420" s="289">
        <f t="shared" si="43"/>
        <v>0.41412711971229743</v>
      </c>
      <c r="AR420" s="289">
        <f t="shared" si="43"/>
        <v>0.40133864215561355</v>
      </c>
      <c r="AS420" s="289">
        <f t="shared" si="43"/>
        <v>0.40188767344175974</v>
      </c>
      <c r="AT420" s="289">
        <f t="shared" si="43"/>
        <v>0.41230677706072955</v>
      </c>
      <c r="AU420" s="289">
        <f t="shared" si="43"/>
        <v>0.38327222001321376</v>
      </c>
      <c r="AV420" s="289">
        <f t="shared" si="43"/>
        <v>0.3884920770491872</v>
      </c>
      <c r="AW420" s="289">
        <f t="shared" si="43"/>
        <v>0.38841517766762168</v>
      </c>
      <c r="AX420" s="289">
        <f t="shared" si="43"/>
        <v>0.39647940693358263</v>
      </c>
      <c r="AY420" s="289">
        <f t="shared" si="43"/>
        <v>0.48127218598770782</v>
      </c>
      <c r="AZ420" s="289">
        <f t="shared" si="43"/>
        <v>0.55373581746605327</v>
      </c>
      <c r="BA420" s="289">
        <f t="shared" si="43"/>
        <v>0.54128552172098265</v>
      </c>
      <c r="BB420" s="289">
        <f t="shared" si="43"/>
        <v>0.54328484445006142</v>
      </c>
      <c r="BC420" s="289">
        <f t="shared" si="38"/>
        <v>0.54328484445006142</v>
      </c>
    </row>
    <row r="421" spans="2:55">
      <c r="B421" s="72" t="s">
        <v>731</v>
      </c>
      <c r="C421" s="72" t="s">
        <v>732</v>
      </c>
      <c r="D421" s="289">
        <f t="shared" si="35"/>
        <v>0</v>
      </c>
      <c r="E421" s="289">
        <f t="shared" si="43"/>
        <v>0</v>
      </c>
      <c r="F421" s="289">
        <f t="shared" si="43"/>
        <v>0</v>
      </c>
      <c r="G421" s="289">
        <f t="shared" si="43"/>
        <v>0</v>
      </c>
      <c r="H421" s="289">
        <f t="shared" si="43"/>
        <v>0</v>
      </c>
      <c r="I421" s="289">
        <f t="shared" si="43"/>
        <v>0</v>
      </c>
      <c r="J421" s="289">
        <f t="shared" si="43"/>
        <v>0</v>
      </c>
      <c r="K421" s="289">
        <f t="shared" si="43"/>
        <v>0</v>
      </c>
      <c r="L421" s="289">
        <f t="shared" si="43"/>
        <v>0</v>
      </c>
      <c r="M421" s="289">
        <f t="shared" si="43"/>
        <v>0</v>
      </c>
      <c r="N421" s="289">
        <f t="shared" si="43"/>
        <v>0</v>
      </c>
      <c r="O421" s="289">
        <f t="shared" si="43"/>
        <v>0</v>
      </c>
      <c r="P421" s="289">
        <f t="shared" si="43"/>
        <v>0</v>
      </c>
      <c r="Q421" s="289">
        <f t="shared" si="43"/>
        <v>0</v>
      </c>
      <c r="R421" s="289">
        <f t="shared" si="43"/>
        <v>0</v>
      </c>
      <c r="S421" s="289">
        <f t="shared" si="43"/>
        <v>0</v>
      </c>
      <c r="T421" s="289">
        <f t="shared" si="43"/>
        <v>0</v>
      </c>
      <c r="U421" s="289">
        <f t="shared" si="43"/>
        <v>0</v>
      </c>
      <c r="V421" s="289">
        <f t="shared" si="43"/>
        <v>0</v>
      </c>
      <c r="W421" s="289">
        <f t="shared" si="43"/>
        <v>0</v>
      </c>
      <c r="X421" s="289">
        <f t="shared" si="43"/>
        <v>0.10639231970754555</v>
      </c>
      <c r="Y421" s="289">
        <f t="shared" si="43"/>
        <v>0.12016662641367093</v>
      </c>
      <c r="Z421" s="289">
        <f t="shared" si="43"/>
        <v>0.14475120676439068</v>
      </c>
      <c r="AA421" s="289">
        <f t="shared" si="43"/>
        <v>0.15875302746531078</v>
      </c>
      <c r="AB421" s="289">
        <f t="shared" si="43"/>
        <v>0.139449628652832</v>
      </c>
      <c r="AC421" s="289">
        <f t="shared" si="43"/>
        <v>0.1384064110859638</v>
      </c>
      <c r="AD421" s="289">
        <f t="shared" si="43"/>
        <v>0.12118678091497559</v>
      </c>
      <c r="AE421" s="289">
        <f t="shared" si="43"/>
        <v>0.10732195884819408</v>
      </c>
      <c r="AF421" s="289">
        <f t="shared" si="43"/>
        <v>0.10555805656148171</v>
      </c>
      <c r="AG421" s="289">
        <f t="shared" si="43"/>
        <v>9.3824295247424139E-2</v>
      </c>
      <c r="AH421" s="289">
        <f t="shared" si="43"/>
        <v>9.2582067993027872E-2</v>
      </c>
      <c r="AI421" s="289">
        <f t="shared" si="43"/>
        <v>9.7283351021916736E-2</v>
      </c>
      <c r="AJ421" s="289">
        <f t="shared" si="43"/>
        <v>0.11693354631275832</v>
      </c>
      <c r="AK421" s="289">
        <f t="shared" si="43"/>
        <v>0.11660971930040544</v>
      </c>
      <c r="AL421" s="289">
        <f t="shared" si="43"/>
        <v>0.11818631028681992</v>
      </c>
      <c r="AM421" s="289">
        <f t="shared" si="43"/>
        <v>0.10289082212745472</v>
      </c>
      <c r="AN421" s="289">
        <f t="shared" si="43"/>
        <v>8.763965611810709E-2</v>
      </c>
      <c r="AO421" s="289">
        <f t="shared" si="43"/>
        <v>8.374347962461666E-2</v>
      </c>
      <c r="AP421" s="289">
        <f t="shared" si="43"/>
        <v>8.0909605861220188E-2</v>
      </c>
      <c r="AQ421" s="289">
        <f t="shared" si="43"/>
        <v>8.4903754275979404E-2</v>
      </c>
      <c r="AR421" s="289">
        <f t="shared" si="43"/>
        <v>8.8938140969494858E-2</v>
      </c>
      <c r="AS421" s="289">
        <f t="shared" si="43"/>
        <v>8.8739976854675259E-2</v>
      </c>
      <c r="AT421" s="289">
        <f t="shared" si="43"/>
        <v>7.8339880465560466E-2</v>
      </c>
      <c r="AU421" s="289">
        <f t="shared" si="43"/>
        <v>6.875102378489352E-2</v>
      </c>
      <c r="AV421" s="289">
        <f t="shared" si="43"/>
        <v>6.9342450759834848E-2</v>
      </c>
      <c r="AW421" s="289">
        <f t="shared" si="43"/>
        <v>6.7826489547994959E-2</v>
      </c>
      <c r="AX421" s="289">
        <f t="shared" si="43"/>
        <v>6.1577013831634227E-2</v>
      </c>
      <c r="AY421" s="289">
        <f t="shared" si="43"/>
        <v>6.6867756357032959E-2</v>
      </c>
      <c r="AZ421" s="289">
        <f t="shared" si="43"/>
        <v>8.0337575167340344E-2</v>
      </c>
      <c r="BA421" s="289">
        <f t="shared" si="43"/>
        <v>8.3164381814301816E-2</v>
      </c>
      <c r="BB421" s="289">
        <f t="shared" si="43"/>
        <v>8.1170798682142165E-2</v>
      </c>
      <c r="BC421" s="289">
        <f t="shared" si="38"/>
        <v>8.1170798682142165E-2</v>
      </c>
    </row>
    <row r="422" spans="2:55">
      <c r="B422" s="72" t="s">
        <v>733</v>
      </c>
      <c r="C422" s="72" t="s">
        <v>734</v>
      </c>
      <c r="D422" s="289">
        <f t="shared" si="35"/>
        <v>8.4412350683050683E-2</v>
      </c>
      <c r="E422" s="289">
        <f t="shared" si="43"/>
        <v>8.1249126398278707E-2</v>
      </c>
      <c r="F422" s="289">
        <f t="shared" si="43"/>
        <v>7.6855829955445487E-2</v>
      </c>
      <c r="G422" s="289">
        <f t="shared" si="43"/>
        <v>9.1839336501897462E-2</v>
      </c>
      <c r="H422" s="289">
        <f t="shared" si="43"/>
        <v>9.4879114201545225E-2</v>
      </c>
      <c r="I422" s="289">
        <f t="shared" si="43"/>
        <v>9.0945757688711756E-2</v>
      </c>
      <c r="J422" s="289">
        <f t="shared" si="43"/>
        <v>9.0791004244548515E-2</v>
      </c>
      <c r="K422" s="289">
        <f t="shared" si="43"/>
        <v>0.10377829787790765</v>
      </c>
      <c r="L422" s="289">
        <f t="shared" si="43"/>
        <v>8.9184553580775594E-2</v>
      </c>
      <c r="M422" s="289">
        <f t="shared" si="43"/>
        <v>8.2376399763807603E-2</v>
      </c>
      <c r="N422" s="289">
        <f t="shared" si="43"/>
        <v>7.7041865897709116E-2</v>
      </c>
      <c r="O422" s="289">
        <f t="shared" si="43"/>
        <v>7.6270362765728808E-2</v>
      </c>
      <c r="P422" s="289">
        <f t="shared" si="43"/>
        <v>8.2810326576159984E-2</v>
      </c>
      <c r="Q422" s="289">
        <f t="shared" si="43"/>
        <v>9.2573879338989445E-2</v>
      </c>
      <c r="R422" s="289">
        <f t="shared" si="43"/>
        <v>8.6257188625896639E-2</v>
      </c>
      <c r="S422" s="289">
        <f t="shared" si="43"/>
        <v>9.6043306733626405E-2</v>
      </c>
      <c r="T422" s="289">
        <f t="shared" si="43"/>
        <v>8.5115919665075271E-2</v>
      </c>
      <c r="U422" s="289">
        <f t="shared" si="43"/>
        <v>6.5695192185030712E-2</v>
      </c>
      <c r="V422" s="289">
        <f t="shared" si="43"/>
        <v>5.8150838482179307E-2</v>
      </c>
      <c r="W422" s="289">
        <f t="shared" si="43"/>
        <v>4.8544815323292745E-2</v>
      </c>
      <c r="X422" s="289">
        <f t="shared" si="43"/>
        <v>5.2373797737020417E-2</v>
      </c>
      <c r="Y422" s="289">
        <f t="shared" si="43"/>
        <v>5.3529097760631028E-2</v>
      </c>
      <c r="Z422" s="289">
        <f t="shared" si="43"/>
        <v>5.7666086930576614E-2</v>
      </c>
      <c r="AA422" s="289">
        <f t="shared" si="43"/>
        <v>5.4958770698418202E-2</v>
      </c>
      <c r="AB422" s="289">
        <f t="shared" si="43"/>
        <v>4.7611077714842284E-2</v>
      </c>
      <c r="AC422" s="289">
        <f t="shared" si="43"/>
        <v>4.4437063722277799E-2</v>
      </c>
      <c r="AD422" s="289">
        <f t="shared" ref="E422:BB427" si="44">AD172/AD$251</f>
        <v>4.0019707178939247E-2</v>
      </c>
      <c r="AE422" s="289">
        <f t="shared" si="44"/>
        <v>3.383880740148576E-2</v>
      </c>
      <c r="AF422" s="289">
        <f t="shared" si="44"/>
        <v>3.3551291701732856E-2</v>
      </c>
      <c r="AG422" s="289">
        <f t="shared" si="44"/>
        <v>2.8886663017944486E-2</v>
      </c>
      <c r="AH422" s="289">
        <f t="shared" si="44"/>
        <v>3.8293343765139209E-2</v>
      </c>
      <c r="AI422" s="289">
        <f t="shared" si="44"/>
        <v>3.6645633882702359E-2</v>
      </c>
      <c r="AJ422" s="289">
        <f t="shared" si="44"/>
        <v>3.3934856355883544E-2</v>
      </c>
      <c r="AK422" s="289">
        <f t="shared" si="44"/>
        <v>3.2218534649292724E-2</v>
      </c>
      <c r="AL422" s="289">
        <f t="shared" si="44"/>
        <v>3.096103313323522E-2</v>
      </c>
      <c r="AM422" s="289">
        <f t="shared" si="44"/>
        <v>2.9183725310479917E-2</v>
      </c>
      <c r="AN422" s="289">
        <f t="shared" si="44"/>
        <v>2.4639397276173425E-2</v>
      </c>
      <c r="AO422" s="289">
        <f t="shared" si="44"/>
        <v>2.2046756154073054E-2</v>
      </c>
      <c r="AP422" s="289">
        <f t="shared" si="44"/>
        <v>2.1362990982980324E-2</v>
      </c>
      <c r="AQ422" s="289">
        <f t="shared" si="44"/>
        <v>1.9535445560123578E-2</v>
      </c>
      <c r="AR422" s="289">
        <f t="shared" si="44"/>
        <v>1.9174954632387851E-2</v>
      </c>
      <c r="AS422" s="289">
        <f t="shared" si="44"/>
        <v>1.75187235383749E-2</v>
      </c>
      <c r="AT422" s="289">
        <f t="shared" si="44"/>
        <v>1.7409449221308857E-2</v>
      </c>
      <c r="AU422" s="289">
        <f t="shared" si="44"/>
        <v>1.6854042492419067E-2</v>
      </c>
      <c r="AV422" s="289">
        <f t="shared" si="44"/>
        <v>1.8804528258748607E-2</v>
      </c>
      <c r="AW422" s="289">
        <f t="shared" si="44"/>
        <v>2.3998646907653014E-2</v>
      </c>
      <c r="AX422" s="289">
        <f t="shared" si="44"/>
        <v>2.2552210104168517E-2</v>
      </c>
      <c r="AY422" s="289">
        <f t="shared" si="44"/>
        <v>2.5216558475499418E-2</v>
      </c>
      <c r="AZ422" s="289">
        <f t="shared" si="44"/>
        <v>2.5365524658184785E-2</v>
      </c>
      <c r="BA422" s="289">
        <f t="shared" si="44"/>
        <v>2.8810338821603939E-2</v>
      </c>
      <c r="BB422" s="289">
        <f t="shared" si="44"/>
        <v>2.9479135400202819E-2</v>
      </c>
      <c r="BC422" s="289">
        <f t="shared" si="38"/>
        <v>2.9479135400202819E-2</v>
      </c>
    </row>
    <row r="423" spans="2:55">
      <c r="B423" s="72" t="s">
        <v>735</v>
      </c>
      <c r="C423" s="72" t="s">
        <v>736</v>
      </c>
      <c r="D423" s="289">
        <f t="shared" si="35"/>
        <v>0</v>
      </c>
      <c r="E423" s="289">
        <f t="shared" si="44"/>
        <v>0</v>
      </c>
      <c r="F423" s="289">
        <f t="shared" si="44"/>
        <v>0</v>
      </c>
      <c r="G423" s="289">
        <f t="shared" si="44"/>
        <v>0</v>
      </c>
      <c r="H423" s="289">
        <f t="shared" si="44"/>
        <v>0</v>
      </c>
      <c r="I423" s="289">
        <f t="shared" si="44"/>
        <v>0</v>
      </c>
      <c r="J423" s="289">
        <f t="shared" si="44"/>
        <v>0</v>
      </c>
      <c r="K423" s="289">
        <f t="shared" si="44"/>
        <v>0</v>
      </c>
      <c r="L423" s="289">
        <f t="shared" si="44"/>
        <v>0</v>
      </c>
      <c r="M423" s="289">
        <f t="shared" si="44"/>
        <v>0</v>
      </c>
      <c r="N423" s="289">
        <f t="shared" si="44"/>
        <v>0</v>
      </c>
      <c r="O423" s="289">
        <f t="shared" si="44"/>
        <v>0</v>
      </c>
      <c r="P423" s="289">
        <f t="shared" si="44"/>
        <v>0</v>
      </c>
      <c r="Q423" s="289">
        <f t="shared" si="44"/>
        <v>0</v>
      </c>
      <c r="R423" s="289">
        <f t="shared" si="44"/>
        <v>0</v>
      </c>
      <c r="S423" s="289">
        <f t="shared" si="44"/>
        <v>0.19299588615771235</v>
      </c>
      <c r="T423" s="289">
        <f t="shared" si="44"/>
        <v>0.19662159194654685</v>
      </c>
      <c r="U423" s="289">
        <f t="shared" si="44"/>
        <v>0.18820405199568641</v>
      </c>
      <c r="V423" s="289">
        <f t="shared" si="44"/>
        <v>0.17019195512499891</v>
      </c>
      <c r="W423" s="289">
        <f t="shared" si="44"/>
        <v>0.12226435359981785</v>
      </c>
      <c r="X423" s="289">
        <f t="shared" si="44"/>
        <v>0.12815316764673515</v>
      </c>
      <c r="Y423" s="289">
        <f t="shared" si="44"/>
        <v>0.12537366296225469</v>
      </c>
      <c r="Z423" s="289">
        <f t="shared" si="44"/>
        <v>0.13233833096994629</v>
      </c>
      <c r="AA423" s="289">
        <f t="shared" si="44"/>
        <v>0.13312077636296235</v>
      </c>
      <c r="AB423" s="289">
        <f t="shared" si="44"/>
        <v>0.1295549721503218</v>
      </c>
      <c r="AC423" s="289">
        <f t="shared" si="44"/>
        <v>0.14245734519254594</v>
      </c>
      <c r="AD423" s="289">
        <f t="shared" si="44"/>
        <v>0.1482866362329418</v>
      </c>
      <c r="AE423" s="289">
        <f t="shared" si="44"/>
        <v>0.13774109587367175</v>
      </c>
      <c r="AF423" s="289">
        <f t="shared" si="44"/>
        <v>0.13873183594308366</v>
      </c>
      <c r="AG423" s="289">
        <f t="shared" si="44"/>
        <v>0.14169108092233937</v>
      </c>
      <c r="AH423" s="289">
        <f t="shared" si="44"/>
        <v>0.14517833225989843</v>
      </c>
      <c r="AI423" s="289">
        <f t="shared" si="44"/>
        <v>0.15681074197203371</v>
      </c>
      <c r="AJ423" s="289">
        <f t="shared" si="44"/>
        <v>0.17495019237827597</v>
      </c>
      <c r="AK423" s="289">
        <f t="shared" si="44"/>
        <v>0.17444719829209376</v>
      </c>
      <c r="AL423" s="289">
        <f t="shared" si="44"/>
        <v>0.18048497120365917</v>
      </c>
      <c r="AM423" s="289">
        <f t="shared" si="44"/>
        <v>0.18598686677784454</v>
      </c>
      <c r="AN423" s="289">
        <f t="shared" si="44"/>
        <v>0.15544253595244772</v>
      </c>
      <c r="AO423" s="289">
        <f t="shared" si="44"/>
        <v>0.14375333660389136</v>
      </c>
      <c r="AP423" s="289">
        <f t="shared" si="44"/>
        <v>0.14248577507798738</v>
      </c>
      <c r="AQ423" s="289">
        <f t="shared" si="44"/>
        <v>0.15408644313667794</v>
      </c>
      <c r="AR423" s="289">
        <f t="shared" si="44"/>
        <v>0.15222959695316443</v>
      </c>
      <c r="AS423" s="289">
        <f t="shared" si="44"/>
        <v>0.14591569225817483</v>
      </c>
      <c r="AT423" s="289">
        <f t="shared" si="44"/>
        <v>0.14726215477868199</v>
      </c>
      <c r="AU423" s="289">
        <f t="shared" si="44"/>
        <v>0.14109132144827291</v>
      </c>
      <c r="AV423" s="289">
        <f t="shared" si="44"/>
        <v>0.13258423098820288</v>
      </c>
      <c r="AW423" s="289">
        <f t="shared" si="44"/>
        <v>0.12831876934889519</v>
      </c>
      <c r="AX423" s="289">
        <f t="shared" si="44"/>
        <v>0.13343761119539296</v>
      </c>
      <c r="AY423" s="289">
        <f t="shared" si="44"/>
        <v>0.17614217178770519</v>
      </c>
      <c r="AZ423" s="289">
        <f t="shared" si="44"/>
        <v>0.19611407779218035</v>
      </c>
      <c r="BA423" s="289">
        <f t="shared" si="44"/>
        <v>0.20898896613482759</v>
      </c>
      <c r="BB423" s="289">
        <f t="shared" si="44"/>
        <v>0.22427558526925304</v>
      </c>
      <c r="BC423" s="289">
        <f t="shared" si="38"/>
        <v>0.22427558526925304</v>
      </c>
    </row>
    <row r="424" spans="2:55">
      <c r="B424" s="72" t="s">
        <v>737</v>
      </c>
      <c r="C424" s="72" t="s">
        <v>738</v>
      </c>
      <c r="D424" s="289">
        <f t="shared" si="35"/>
        <v>0.24554520120850246</v>
      </c>
      <c r="E424" s="289">
        <f t="shared" si="44"/>
        <v>0.24546371410027026</v>
      </c>
      <c r="F424" s="289">
        <f t="shared" si="44"/>
        <v>0.2516149124739761</v>
      </c>
      <c r="G424" s="289">
        <f t="shared" si="44"/>
        <v>0.26633029049576312</v>
      </c>
      <c r="H424" s="289">
        <f t="shared" si="44"/>
        <v>0.26267643383967954</v>
      </c>
      <c r="I424" s="289">
        <f t="shared" si="44"/>
        <v>0.26864207633456694</v>
      </c>
      <c r="J424" s="289">
        <f t="shared" si="44"/>
        <v>0.27585755139536983</v>
      </c>
      <c r="K424" s="289">
        <f t="shared" si="44"/>
        <v>0.31636235343844316</v>
      </c>
      <c r="L424" s="289">
        <f t="shared" si="44"/>
        <v>0.3176301800279141</v>
      </c>
      <c r="M424" s="289">
        <f t="shared" si="44"/>
        <v>0.30563702426005862</v>
      </c>
      <c r="N424" s="289">
        <f t="shared" si="44"/>
        <v>0.29043178919512957</v>
      </c>
      <c r="O424" s="289">
        <f t="shared" si="44"/>
        <v>0.28361508506190192</v>
      </c>
      <c r="P424" s="289">
        <f t="shared" si="44"/>
        <v>0.29888893279812001</v>
      </c>
      <c r="Q424" s="289">
        <f t="shared" si="44"/>
        <v>0.34993941339457069</v>
      </c>
      <c r="R424" s="289">
        <f t="shared" si="44"/>
        <v>0.34751251289468765</v>
      </c>
      <c r="S424" s="289">
        <f t="shared" si="44"/>
        <v>0.35549750029042998</v>
      </c>
      <c r="T424" s="289">
        <f t="shared" si="44"/>
        <v>0.28125900253988934</v>
      </c>
      <c r="U424" s="289">
        <f t="shared" si="44"/>
        <v>0.27069112011821772</v>
      </c>
      <c r="V424" s="289">
        <f t="shared" si="44"/>
        <v>0.26673864041516476</v>
      </c>
      <c r="W424" s="289">
        <f t="shared" si="44"/>
        <v>0.29366414801951796</v>
      </c>
      <c r="X424" s="289">
        <f t="shared" si="44"/>
        <v>0.38900210021278109</v>
      </c>
      <c r="Y424" s="289">
        <f t="shared" si="44"/>
        <v>0.27756536519842001</v>
      </c>
      <c r="Z424" s="289">
        <f t="shared" si="44"/>
        <v>0.24593806597746359</v>
      </c>
      <c r="AA424" s="289">
        <f t="shared" si="44"/>
        <v>0.30240617337887898</v>
      </c>
      <c r="AB424" s="289">
        <f t="shared" si="44"/>
        <v>0.29497497029001141</v>
      </c>
      <c r="AC424" s="289">
        <f t="shared" si="44"/>
        <v>0.16544541772297769</v>
      </c>
      <c r="AD424" s="289">
        <f t="shared" si="44"/>
        <v>0.14331005581737469</v>
      </c>
      <c r="AE424" s="289">
        <f t="shared" si="44"/>
        <v>0.15121067908853369</v>
      </c>
      <c r="AF424" s="289">
        <f t="shared" si="44"/>
        <v>0.17913778754518328</v>
      </c>
      <c r="AG424" s="289">
        <f t="shared" si="44"/>
        <v>0.17617491208440642</v>
      </c>
      <c r="AH424" s="289">
        <f t="shared" si="44"/>
        <v>0.19904150624054937</v>
      </c>
      <c r="AI424" s="289">
        <f t="shared" si="44"/>
        <v>0.2191099102342238</v>
      </c>
      <c r="AJ424" s="289">
        <f t="shared" si="44"/>
        <v>0.26619156539866778</v>
      </c>
      <c r="AK424" s="289">
        <f t="shared" si="44"/>
        <v>0.25371095095072232</v>
      </c>
      <c r="AL424" s="289">
        <f t="shared" si="44"/>
        <v>0.1557916611200296</v>
      </c>
      <c r="AM424" s="289">
        <f t="shared" si="44"/>
        <v>0.1691734691456058</v>
      </c>
      <c r="AN424" s="289">
        <f t="shared" si="44"/>
        <v>0.17931009597570591</v>
      </c>
      <c r="AO424" s="289">
        <f t="shared" si="44"/>
        <v>0.17372197395135666</v>
      </c>
      <c r="AP424" s="289">
        <f t="shared" si="44"/>
        <v>0.19061778512602384</v>
      </c>
      <c r="AQ424" s="289">
        <f t="shared" si="44"/>
        <v>0.23212962694481862</v>
      </c>
      <c r="AR424" s="289">
        <f t="shared" si="44"/>
        <v>0.24719009065190253</v>
      </c>
      <c r="AS424" s="289">
        <f t="shared" si="44"/>
        <v>0.23425469707909982</v>
      </c>
      <c r="AT424" s="289">
        <f t="shared" si="44"/>
        <v>0.21635823591326298</v>
      </c>
      <c r="AU424" s="289">
        <f t="shared" si="44"/>
        <v>0.19686172819328915</v>
      </c>
      <c r="AV424" s="289">
        <f t="shared" si="44"/>
        <v>0.20913501489173655</v>
      </c>
      <c r="AW424" s="289">
        <f t="shared" si="44"/>
        <v>0.21814809865415219</v>
      </c>
      <c r="AX424" s="289">
        <f t="shared" si="44"/>
        <v>0.20472007836669437</v>
      </c>
      <c r="AY424" s="289">
        <f t="shared" si="44"/>
        <v>0.22929644479148811</v>
      </c>
      <c r="AZ424" s="289">
        <f t="shared" si="44"/>
        <v>0.22224370479942257</v>
      </c>
      <c r="BA424" s="289">
        <f t="shared" si="44"/>
        <v>0.25175249656370008</v>
      </c>
      <c r="BB424" s="289">
        <f t="shared" si="44"/>
        <v>0.25736480504859299</v>
      </c>
      <c r="BC424" s="289">
        <f t="shared" si="38"/>
        <v>0.25736480504859299</v>
      </c>
    </row>
    <row r="425" spans="2:55">
      <c r="B425" s="72" t="s">
        <v>739</v>
      </c>
      <c r="C425" s="72" t="s">
        <v>740</v>
      </c>
      <c r="D425" s="289">
        <f t="shared" si="35"/>
        <v>0</v>
      </c>
      <c r="E425" s="289">
        <f t="shared" si="44"/>
        <v>0</v>
      </c>
      <c r="F425" s="289">
        <f t="shared" si="44"/>
        <v>0</v>
      </c>
      <c r="G425" s="289">
        <f t="shared" si="44"/>
        <v>0</v>
      </c>
      <c r="H425" s="289">
        <f t="shared" si="44"/>
        <v>0</v>
      </c>
      <c r="I425" s="289">
        <f t="shared" si="44"/>
        <v>0</v>
      </c>
      <c r="J425" s="289">
        <f t="shared" si="44"/>
        <v>0</v>
      </c>
      <c r="K425" s="289">
        <f t="shared" si="44"/>
        <v>0</v>
      </c>
      <c r="L425" s="289">
        <f t="shared" si="44"/>
        <v>0</v>
      </c>
      <c r="M425" s="289">
        <f t="shared" si="44"/>
        <v>0</v>
      </c>
      <c r="N425" s="289">
        <f t="shared" si="44"/>
        <v>0</v>
      </c>
      <c r="O425" s="289">
        <f t="shared" si="44"/>
        <v>0</v>
      </c>
      <c r="P425" s="289">
        <f t="shared" si="44"/>
        <v>0</v>
      </c>
      <c r="Q425" s="289">
        <f t="shared" si="44"/>
        <v>0</v>
      </c>
      <c r="R425" s="289">
        <f t="shared" si="44"/>
        <v>0</v>
      </c>
      <c r="S425" s="289">
        <f t="shared" si="44"/>
        <v>0</v>
      </c>
      <c r="T425" s="289">
        <f t="shared" si="44"/>
        <v>0</v>
      </c>
      <c r="U425" s="289">
        <f t="shared" si="44"/>
        <v>0</v>
      </c>
      <c r="V425" s="289">
        <f t="shared" si="44"/>
        <v>0</v>
      </c>
      <c r="W425" s="289">
        <f t="shared" si="44"/>
        <v>0</v>
      </c>
      <c r="X425" s="289">
        <f t="shared" si="44"/>
        <v>0</v>
      </c>
      <c r="Y425" s="289">
        <f t="shared" si="44"/>
        <v>0</v>
      </c>
      <c r="Z425" s="289">
        <f t="shared" si="44"/>
        <v>0.15970951358151814</v>
      </c>
      <c r="AA425" s="289">
        <f t="shared" si="44"/>
        <v>0</v>
      </c>
      <c r="AB425" s="289">
        <f t="shared" si="44"/>
        <v>0</v>
      </c>
      <c r="AC425" s="289">
        <f t="shared" si="44"/>
        <v>0.12677454273809211</v>
      </c>
      <c r="AD425" s="289">
        <f t="shared" si="44"/>
        <v>0.10509360206911261</v>
      </c>
      <c r="AE425" s="289">
        <f t="shared" si="44"/>
        <v>9.0618754255493011E-2</v>
      </c>
      <c r="AF425" s="289">
        <f t="shared" si="44"/>
        <v>9.5415816887252897E-2</v>
      </c>
      <c r="AG425" s="289">
        <f t="shared" si="44"/>
        <v>8.6402288130616817E-2</v>
      </c>
      <c r="AH425" s="289">
        <f t="shared" si="44"/>
        <v>9.1537374932653001E-2</v>
      </c>
      <c r="AI425" s="289">
        <f t="shared" si="44"/>
        <v>9.2714007995299913E-2</v>
      </c>
      <c r="AJ425" s="289">
        <f t="shared" si="44"/>
        <v>0.11246868104592528</v>
      </c>
      <c r="AK425" s="289">
        <f t="shared" si="44"/>
        <v>0.10440284701374661</v>
      </c>
      <c r="AL425" s="289">
        <f t="shared" si="44"/>
        <v>0.10385316566523678</v>
      </c>
      <c r="AM425" s="289">
        <f t="shared" si="44"/>
        <v>9.6734253529020348E-2</v>
      </c>
      <c r="AN425" s="289">
        <f t="shared" si="44"/>
        <v>8.1701089785039829E-2</v>
      </c>
      <c r="AO425" s="289">
        <f t="shared" si="44"/>
        <v>8.1662516719504558E-2</v>
      </c>
      <c r="AP425" s="289">
        <f t="shared" si="44"/>
        <v>8.0299370299311251E-2</v>
      </c>
      <c r="AQ425" s="289">
        <f t="shared" si="44"/>
        <v>8.6903290835876834E-2</v>
      </c>
      <c r="AR425" s="289">
        <f t="shared" si="44"/>
        <v>9.0086140683801885E-2</v>
      </c>
      <c r="AS425" s="289">
        <f t="shared" si="44"/>
        <v>8.3052271302285E-2</v>
      </c>
      <c r="AT425" s="289">
        <f t="shared" si="44"/>
        <v>7.259750559600632E-2</v>
      </c>
      <c r="AU425" s="289">
        <f t="shared" si="44"/>
        <v>5.9934949645206285E-2</v>
      </c>
      <c r="AV425" s="289">
        <f t="shared" si="44"/>
        <v>5.9897438875652131E-2</v>
      </c>
      <c r="AW425" s="289">
        <f t="shared" si="44"/>
        <v>5.692404806520656E-2</v>
      </c>
      <c r="AX425" s="289">
        <f t="shared" si="44"/>
        <v>5.01688756246624E-2</v>
      </c>
      <c r="AY425" s="289">
        <f t="shared" si="44"/>
        <v>5.4880387203265227E-2</v>
      </c>
      <c r="AZ425" s="289">
        <f t="shared" si="44"/>
        <v>7.0968764315050392E-2</v>
      </c>
      <c r="BA425" s="289">
        <f t="shared" si="44"/>
        <v>7.3041071862811502E-2</v>
      </c>
      <c r="BB425" s="289">
        <f t="shared" si="44"/>
        <v>7.1257933249996019E-2</v>
      </c>
      <c r="BC425" s="289">
        <f t="shared" si="38"/>
        <v>7.1257933249996019E-2</v>
      </c>
    </row>
    <row r="426" spans="2:55">
      <c r="B426" s="72" t="s">
        <v>741</v>
      </c>
      <c r="C426" s="72" t="s">
        <v>742</v>
      </c>
      <c r="D426" s="289">
        <f t="shared" si="35"/>
        <v>0</v>
      </c>
      <c r="E426" s="289">
        <f t="shared" si="44"/>
        <v>0</v>
      </c>
      <c r="F426" s="289">
        <f t="shared" si="44"/>
        <v>0</v>
      </c>
      <c r="G426" s="289">
        <f t="shared" si="44"/>
        <v>0</v>
      </c>
      <c r="H426" s="289">
        <f t="shared" si="44"/>
        <v>0</v>
      </c>
      <c r="I426" s="289">
        <f t="shared" si="44"/>
        <v>0</v>
      </c>
      <c r="J426" s="289">
        <f t="shared" si="44"/>
        <v>0</v>
      </c>
      <c r="K426" s="289">
        <f t="shared" si="44"/>
        <v>0</v>
      </c>
      <c r="L426" s="289">
        <f t="shared" si="44"/>
        <v>0</v>
      </c>
      <c r="M426" s="289">
        <f t="shared" si="44"/>
        <v>0</v>
      </c>
      <c r="N426" s="289">
        <f t="shared" si="44"/>
        <v>0</v>
      </c>
      <c r="O426" s="289">
        <f t="shared" si="44"/>
        <v>0</v>
      </c>
      <c r="P426" s="289">
        <f t="shared" si="44"/>
        <v>0</v>
      </c>
      <c r="Q426" s="289">
        <f t="shared" si="44"/>
        <v>0</v>
      </c>
      <c r="R426" s="289">
        <f t="shared" si="44"/>
        <v>0</v>
      </c>
      <c r="S426" s="289">
        <f t="shared" si="44"/>
        <v>0</v>
      </c>
      <c r="T426" s="289">
        <f t="shared" si="44"/>
        <v>0</v>
      </c>
      <c r="U426" s="289">
        <f t="shared" si="44"/>
        <v>0</v>
      </c>
      <c r="V426" s="289">
        <f t="shared" si="44"/>
        <v>0</v>
      </c>
      <c r="W426" s="289">
        <f t="shared" si="44"/>
        <v>0</v>
      </c>
      <c r="X426" s="289">
        <f t="shared" si="44"/>
        <v>0</v>
      </c>
      <c r="Y426" s="289">
        <f t="shared" si="44"/>
        <v>0</v>
      </c>
      <c r="Z426" s="289">
        <f t="shared" si="44"/>
        <v>0</v>
      </c>
      <c r="AA426" s="289">
        <f t="shared" si="44"/>
        <v>0</v>
      </c>
      <c r="AB426" s="289">
        <f t="shared" si="44"/>
        <v>0</v>
      </c>
      <c r="AC426" s="289">
        <f t="shared" si="44"/>
        <v>0</v>
      </c>
      <c r="AD426" s="289">
        <f t="shared" si="44"/>
        <v>0</v>
      </c>
      <c r="AE426" s="289">
        <f t="shared" si="44"/>
        <v>0</v>
      </c>
      <c r="AF426" s="289">
        <f t="shared" si="44"/>
        <v>0</v>
      </c>
      <c r="AG426" s="289">
        <f t="shared" si="44"/>
        <v>5.4958801972144762E-2</v>
      </c>
      <c r="AH426" s="289">
        <f t="shared" si="44"/>
        <v>4.5414509832252474E-2</v>
      </c>
      <c r="AI426" s="289">
        <f t="shared" si="44"/>
        <v>3.2979221220043674E-2</v>
      </c>
      <c r="AJ426" s="289">
        <f t="shared" si="44"/>
        <v>3.7661344441040266E-2</v>
      </c>
      <c r="AK426" s="289">
        <f t="shared" si="44"/>
        <v>2.5143079070039126E-2</v>
      </c>
      <c r="AL426" s="289">
        <f t="shared" si="44"/>
        <v>2.391686957295789E-2</v>
      </c>
      <c r="AM426" s="289">
        <f t="shared" si="44"/>
        <v>2.2043645075696477E-2</v>
      </c>
      <c r="AN426" s="289">
        <f t="shared" si="44"/>
        <v>2.2480733545614813E-2</v>
      </c>
      <c r="AO426" s="289">
        <f t="shared" si="44"/>
        <v>1.7956419934181213E-2</v>
      </c>
      <c r="AP426" s="289">
        <f t="shared" si="44"/>
        <v>1.2527768311844328E-2</v>
      </c>
      <c r="AQ426" s="289">
        <f t="shared" si="44"/>
        <v>1.4127509293763064E-2</v>
      </c>
      <c r="AR426" s="289">
        <f t="shared" si="44"/>
        <v>1.6416676676971505E-2</v>
      </c>
      <c r="AS426" s="289">
        <f t="shared" si="44"/>
        <v>1.6989986733475505E-2</v>
      </c>
      <c r="AT426" s="289">
        <f t="shared" si="44"/>
        <v>1.7599931324378801E-2</v>
      </c>
      <c r="AU426" s="289">
        <f t="shared" si="44"/>
        <v>1.9646826227264571E-2</v>
      </c>
      <c r="AV426" s="289">
        <f t="shared" si="44"/>
        <v>2.1802890548657503E-2</v>
      </c>
      <c r="AW426" s="289">
        <f t="shared" si="44"/>
        <v>2.3483049607193638E-2</v>
      </c>
      <c r="AX426" s="289">
        <f t="shared" si="44"/>
        <v>2.6566055366433285E-2</v>
      </c>
      <c r="AY426" s="289">
        <f t="shared" si="44"/>
        <v>3.9307019967711194E-2</v>
      </c>
      <c r="AZ426" s="289">
        <f t="shared" si="44"/>
        <v>4.3177787646691827E-2</v>
      </c>
      <c r="BA426" s="289">
        <f t="shared" si="44"/>
        <v>4.5000350324952039E-2</v>
      </c>
      <c r="BB426" s="289">
        <f t="shared" si="44"/>
        <v>5.0384575471932931E-2</v>
      </c>
      <c r="BC426" s="289">
        <f t="shared" si="38"/>
        <v>5.0384575471932931E-2</v>
      </c>
    </row>
    <row r="427" spans="2:55">
      <c r="B427" s="72" t="s">
        <v>743</v>
      </c>
      <c r="C427" s="72" t="s">
        <v>333</v>
      </c>
      <c r="D427" s="289">
        <f t="shared" si="35"/>
        <v>0</v>
      </c>
      <c r="E427" s="289">
        <f t="shared" si="44"/>
        <v>0</v>
      </c>
      <c r="F427" s="289">
        <f t="shared" si="44"/>
        <v>0</v>
      </c>
      <c r="G427" s="289">
        <f t="shared" si="44"/>
        <v>0</v>
      </c>
      <c r="H427" s="289">
        <f t="shared" si="44"/>
        <v>0</v>
      </c>
      <c r="I427" s="289">
        <f t="shared" si="44"/>
        <v>0</v>
      </c>
      <c r="J427" s="289">
        <f t="shared" si="44"/>
        <v>0</v>
      </c>
      <c r="K427" s="289">
        <f t="shared" si="44"/>
        <v>0</v>
      </c>
      <c r="L427" s="289">
        <f t="shared" si="44"/>
        <v>0</v>
      </c>
      <c r="M427" s="289">
        <f t="shared" si="44"/>
        <v>5.5182363942519599</v>
      </c>
      <c r="N427" s="289">
        <f t="shared" si="44"/>
        <v>5.4126622557039203</v>
      </c>
      <c r="O427" s="289">
        <f t="shared" si="44"/>
        <v>5.7311688966185006</v>
      </c>
      <c r="P427" s="289">
        <f t="shared" si="44"/>
        <v>6.5324875809600291</v>
      </c>
      <c r="Q427" s="289">
        <f t="shared" si="44"/>
        <v>6.4401745912922017</v>
      </c>
      <c r="R427" s="289">
        <f t="shared" si="44"/>
        <v>6.7310881926893078</v>
      </c>
      <c r="S427" s="289">
        <f t="shared" si="44"/>
        <v>7.1807742172635587</v>
      </c>
      <c r="T427" s="289">
        <f t="shared" si="44"/>
        <v>6.9732724008207949</v>
      </c>
      <c r="U427" s="289">
        <f t="shared" si="44"/>
        <v>6.7509720595119624</v>
      </c>
      <c r="V427" s="289">
        <f t="shared" si="44"/>
        <v>6.2429736803311604</v>
      </c>
      <c r="W427" s="289">
        <f t="shared" si="44"/>
        <v>5.4917007018291875</v>
      </c>
      <c r="X427" s="289">
        <f t="shared" si="44"/>
        <v>4.9820728758439516</v>
      </c>
      <c r="Y427" s="289">
        <f t="shared" si="44"/>
        <v>4.869302195592895</v>
      </c>
      <c r="Z427" s="289">
        <f t="shared" si="44"/>
        <v>4.8132054226097871</v>
      </c>
      <c r="AA427" s="289">
        <f t="shared" si="44"/>
        <v>4.7625823037762531</v>
      </c>
      <c r="AB427" s="289">
        <f t="shared" si="44"/>
        <v>4.6226047749565842</v>
      </c>
      <c r="AC427" s="289">
        <f t="shared" si="44"/>
        <v>5.1852805195298197</v>
      </c>
      <c r="AD427" s="289">
        <f t="shared" si="44"/>
        <v>5.0512594638031123</v>
      </c>
      <c r="AE427" s="289">
        <f t="shared" si="44"/>
        <v>4.4619864942905609</v>
      </c>
      <c r="AF427" s="289">
        <f t="shared" si="44"/>
        <v>4.3846322851892543</v>
      </c>
      <c r="AG427" s="289">
        <f t="shared" si="44"/>
        <v>4.540558001035377</v>
      </c>
      <c r="AH427" s="289">
        <f t="shared" si="44"/>
        <v>4.3060448390298491</v>
      </c>
      <c r="AI427" s="289">
        <f t="shared" ref="E427:BB432" si="45">AI177/AI$251</f>
        <v>4.5473772917250477</v>
      </c>
      <c r="AJ427" s="289">
        <f t="shared" si="45"/>
        <v>4.7103303136118893</v>
      </c>
      <c r="AK427" s="289">
        <f t="shared" si="45"/>
        <v>4.5563905233870177</v>
      </c>
      <c r="AL427" s="289">
        <f t="shared" si="45"/>
        <v>4.7541885554430365</v>
      </c>
      <c r="AM427" s="289">
        <f t="shared" si="45"/>
        <v>4.4695260426155974</v>
      </c>
      <c r="AN427" s="289">
        <f t="shared" si="45"/>
        <v>3.5634999419700866</v>
      </c>
      <c r="AO427" s="289">
        <f t="shared" si="45"/>
        <v>3.408503247442896</v>
      </c>
      <c r="AP427" s="289">
        <f t="shared" si="45"/>
        <v>3.2550003862603476</v>
      </c>
      <c r="AQ427" s="289">
        <f t="shared" si="45"/>
        <v>3.008364963977638</v>
      </c>
      <c r="AR427" s="289">
        <f t="shared" si="45"/>
        <v>3.0480643565430174</v>
      </c>
      <c r="AS427" s="289">
        <f t="shared" si="45"/>
        <v>3.045774087784173</v>
      </c>
      <c r="AT427" s="289">
        <f t="shared" si="45"/>
        <v>3.2614805495170209</v>
      </c>
      <c r="AU427" s="289">
        <f t="shared" si="45"/>
        <v>3.1748034143343982</v>
      </c>
      <c r="AV427" s="289">
        <f t="shared" si="45"/>
        <v>3.1841838261429682</v>
      </c>
      <c r="AW427" s="289">
        <f t="shared" si="45"/>
        <v>3.266566937392021</v>
      </c>
      <c r="AX427" s="289">
        <f t="shared" si="45"/>
        <v>3.6535448921749105</v>
      </c>
      <c r="AY427" s="289">
        <f t="shared" si="45"/>
        <v>4.3164916660619994</v>
      </c>
      <c r="AZ427" s="289">
        <f t="shared" si="45"/>
        <v>4.8873501334161906</v>
      </c>
      <c r="BA427" s="289">
        <f t="shared" si="45"/>
        <v>0</v>
      </c>
      <c r="BB427" s="289">
        <f t="shared" si="45"/>
        <v>0</v>
      </c>
      <c r="BC427" s="289">
        <f t="shared" si="38"/>
        <v>0</v>
      </c>
    </row>
    <row r="428" spans="2:55">
      <c r="B428" s="72" t="s">
        <v>744</v>
      </c>
      <c r="C428" s="72" t="s">
        <v>745</v>
      </c>
      <c r="D428" s="289">
        <f t="shared" si="35"/>
        <v>0</v>
      </c>
      <c r="E428" s="289">
        <f t="shared" si="45"/>
        <v>0</v>
      </c>
      <c r="F428" s="289">
        <f t="shared" si="45"/>
        <v>0</v>
      </c>
      <c r="G428" s="289">
        <f t="shared" si="45"/>
        <v>0</v>
      </c>
      <c r="H428" s="289">
        <f t="shared" si="45"/>
        <v>0</v>
      </c>
      <c r="I428" s="289">
        <f t="shared" si="45"/>
        <v>0</v>
      </c>
      <c r="J428" s="289">
        <f t="shared" si="45"/>
        <v>0</v>
      </c>
      <c r="K428" s="289">
        <f t="shared" si="45"/>
        <v>0</v>
      </c>
      <c r="L428" s="289">
        <f t="shared" si="45"/>
        <v>0</v>
      </c>
      <c r="M428" s="289">
        <f t="shared" si="45"/>
        <v>0</v>
      </c>
      <c r="N428" s="289">
        <f t="shared" si="45"/>
        <v>0</v>
      </c>
      <c r="O428" s="289">
        <f t="shared" si="45"/>
        <v>0</v>
      </c>
      <c r="P428" s="289">
        <f t="shared" si="45"/>
        <v>0</v>
      </c>
      <c r="Q428" s="289">
        <f t="shared" si="45"/>
        <v>0</v>
      </c>
      <c r="R428" s="289">
        <f t="shared" si="45"/>
        <v>0</v>
      </c>
      <c r="S428" s="289">
        <f t="shared" si="45"/>
        <v>0</v>
      </c>
      <c r="T428" s="289">
        <f t="shared" si="45"/>
        <v>0</v>
      </c>
      <c r="U428" s="289">
        <f t="shared" si="45"/>
        <v>0</v>
      </c>
      <c r="V428" s="289">
        <f t="shared" si="45"/>
        <v>0</v>
      </c>
      <c r="W428" s="289">
        <f t="shared" si="45"/>
        <v>0</v>
      </c>
      <c r="X428" s="289">
        <f t="shared" si="45"/>
        <v>0.14546848555829062</v>
      </c>
      <c r="Y428" s="289">
        <f t="shared" si="45"/>
        <v>0.1643626097580573</v>
      </c>
      <c r="Z428" s="289">
        <f t="shared" si="45"/>
        <v>0.18050519405655899</v>
      </c>
      <c r="AA428" s="289">
        <f t="shared" si="45"/>
        <v>0.14393304789792424</v>
      </c>
      <c r="AB428" s="289">
        <f t="shared" si="45"/>
        <v>0.13827997811138229</v>
      </c>
      <c r="AC428" s="289">
        <f t="shared" si="45"/>
        <v>0.14525796986799552</v>
      </c>
      <c r="AD428" s="289">
        <f t="shared" si="45"/>
        <v>0.12010487813130984</v>
      </c>
      <c r="AE428" s="289">
        <f t="shared" si="45"/>
        <v>0.1022249134651228</v>
      </c>
      <c r="AF428" s="289">
        <f t="shared" si="45"/>
        <v>0.11055163961352485</v>
      </c>
      <c r="AG428" s="289">
        <f t="shared" si="45"/>
        <v>6.6031707566118411E-2</v>
      </c>
      <c r="AH428" s="289">
        <f t="shared" si="45"/>
        <v>5.8114067704167521E-2</v>
      </c>
      <c r="AI428" s="289">
        <f t="shared" si="45"/>
        <v>3.0860063502078705E-2</v>
      </c>
      <c r="AJ428" s="289">
        <f t="shared" si="45"/>
        <v>1.9903508334063656E-2</v>
      </c>
      <c r="AK428" s="289">
        <f t="shared" si="45"/>
        <v>2.2073669659535153E-2</v>
      </c>
      <c r="AL428" s="289">
        <f t="shared" si="45"/>
        <v>3.1573638323707326E-2</v>
      </c>
      <c r="AM428" s="289">
        <f t="shared" si="45"/>
        <v>2.76021181781403E-2</v>
      </c>
      <c r="AN428" s="289">
        <f t="shared" si="45"/>
        <v>2.1460787742489731E-2</v>
      </c>
      <c r="AO428" s="289">
        <f t="shared" si="45"/>
        <v>1.900592034434672E-2</v>
      </c>
      <c r="AP428" s="289">
        <f t="shared" si="45"/>
        <v>1.727364418190986E-2</v>
      </c>
      <c r="AQ428" s="289">
        <f t="shared" si="45"/>
        <v>1.8815571771172768E-2</v>
      </c>
      <c r="AR428" s="289">
        <f t="shared" si="45"/>
        <v>2.097095300136383E-2</v>
      </c>
      <c r="AS428" s="289">
        <f t="shared" si="45"/>
        <v>2.1038300878368235E-2</v>
      </c>
      <c r="AT428" s="289">
        <f t="shared" si="45"/>
        <v>2.0605568458191344E-2</v>
      </c>
      <c r="AU428" s="289">
        <f t="shared" si="45"/>
        <v>2.1589878909520101E-2</v>
      </c>
      <c r="AV428" s="289">
        <f t="shared" si="45"/>
        <v>2.5984942557000883E-2</v>
      </c>
      <c r="AW428" s="289">
        <f t="shared" si="45"/>
        <v>3.2636451338031322E-2</v>
      </c>
      <c r="AX428" s="289">
        <f t="shared" si="45"/>
        <v>3.4828108654664292E-2</v>
      </c>
      <c r="AY428" s="289">
        <f t="shared" si="45"/>
        <v>4.885817968519357E-2</v>
      </c>
      <c r="AZ428" s="289">
        <f t="shared" si="45"/>
        <v>4.7844769212533188E-2</v>
      </c>
      <c r="BA428" s="289">
        <f t="shared" si="45"/>
        <v>6.2052218114877711E-2</v>
      </c>
      <c r="BB428" s="289">
        <f t="shared" si="45"/>
        <v>8.0150538529637119E-2</v>
      </c>
      <c r="BC428" s="289">
        <f t="shared" si="38"/>
        <v>8.0150538529637119E-2</v>
      </c>
    </row>
    <row r="429" spans="2:55">
      <c r="B429" s="72" t="s">
        <v>746</v>
      </c>
      <c r="C429" s="72" t="s">
        <v>747</v>
      </c>
      <c r="D429" s="289">
        <f t="shared" si="35"/>
        <v>0</v>
      </c>
      <c r="E429" s="289">
        <f t="shared" si="45"/>
        <v>0</v>
      </c>
      <c r="F429" s="289">
        <f t="shared" si="45"/>
        <v>0</v>
      </c>
      <c r="G429" s="289">
        <f t="shared" si="45"/>
        <v>0</v>
      </c>
      <c r="H429" s="289">
        <f t="shared" si="45"/>
        <v>0</v>
      </c>
      <c r="I429" s="289">
        <f t="shared" si="45"/>
        <v>0</v>
      </c>
      <c r="J429" s="289">
        <f t="shared" si="45"/>
        <v>0</v>
      </c>
      <c r="K429" s="289">
        <f t="shared" si="45"/>
        <v>0</v>
      </c>
      <c r="L429" s="289">
        <f t="shared" si="45"/>
        <v>0</v>
      </c>
      <c r="M429" s="289">
        <f t="shared" si="45"/>
        <v>0</v>
      </c>
      <c r="N429" s="289">
        <f t="shared" si="45"/>
        <v>0</v>
      </c>
      <c r="O429" s="289">
        <f t="shared" si="45"/>
        <v>0</v>
      </c>
      <c r="P429" s="289">
        <f t="shared" si="45"/>
        <v>0</v>
      </c>
      <c r="Q429" s="289">
        <f t="shared" si="45"/>
        <v>0</v>
      </c>
      <c r="R429" s="289">
        <f t="shared" si="45"/>
        <v>0</v>
      </c>
      <c r="S429" s="289">
        <f t="shared" si="45"/>
        <v>0</v>
      </c>
      <c r="T429" s="289">
        <f t="shared" si="45"/>
        <v>0</v>
      </c>
      <c r="U429" s="289">
        <f t="shared" si="45"/>
        <v>0</v>
      </c>
      <c r="V429" s="289">
        <f t="shared" si="45"/>
        <v>0</v>
      </c>
      <c r="W429" s="289">
        <f t="shared" si="45"/>
        <v>0</v>
      </c>
      <c r="X429" s="289">
        <f t="shared" si="45"/>
        <v>0</v>
      </c>
      <c r="Y429" s="289">
        <f t="shared" si="45"/>
        <v>0</v>
      </c>
      <c r="Z429" s="289">
        <f t="shared" si="45"/>
        <v>0</v>
      </c>
      <c r="AA429" s="289">
        <f t="shared" si="45"/>
        <v>0</v>
      </c>
      <c r="AB429" s="289">
        <f t="shared" si="45"/>
        <v>0</v>
      </c>
      <c r="AC429" s="289">
        <f t="shared" si="45"/>
        <v>0</v>
      </c>
      <c r="AD429" s="289">
        <f t="shared" si="45"/>
        <v>0</v>
      </c>
      <c r="AE429" s="289">
        <f t="shared" si="45"/>
        <v>0</v>
      </c>
      <c r="AF429" s="289">
        <f t="shared" si="45"/>
        <v>0</v>
      </c>
      <c r="AG429" s="289">
        <f t="shared" si="45"/>
        <v>0</v>
      </c>
      <c r="AH429" s="289">
        <f t="shared" si="45"/>
        <v>0</v>
      </c>
      <c r="AI429" s="289">
        <f t="shared" si="45"/>
        <v>0</v>
      </c>
      <c r="AJ429" s="289">
        <f t="shared" si="45"/>
        <v>0</v>
      </c>
      <c r="AK429" s="289">
        <f t="shared" si="45"/>
        <v>0</v>
      </c>
      <c r="AL429" s="289">
        <f t="shared" si="45"/>
        <v>0</v>
      </c>
      <c r="AM429" s="289">
        <f t="shared" si="45"/>
        <v>0</v>
      </c>
      <c r="AN429" s="289">
        <f t="shared" si="45"/>
        <v>0</v>
      </c>
      <c r="AO429" s="289">
        <f t="shared" si="45"/>
        <v>0</v>
      </c>
      <c r="AP429" s="289">
        <f t="shared" si="45"/>
        <v>0</v>
      </c>
      <c r="AQ429" s="289">
        <f t="shared" si="45"/>
        <v>6.2093404039777249E-2</v>
      </c>
      <c r="AR429" s="289">
        <f t="shared" si="45"/>
        <v>7.4093967362643537E-2</v>
      </c>
      <c r="AS429" s="289">
        <f t="shared" si="45"/>
        <v>7.5692063505342105E-2</v>
      </c>
      <c r="AT429" s="289">
        <f t="shared" si="45"/>
        <v>8.7355174176314568E-2</v>
      </c>
      <c r="AU429" s="289">
        <f t="shared" si="45"/>
        <v>9.0123415686183261E-2</v>
      </c>
      <c r="AV429" s="289">
        <f t="shared" si="45"/>
        <v>9.4473313669891409E-2</v>
      </c>
      <c r="AW429" s="289">
        <f t="shared" si="45"/>
        <v>0.10620226642191373</v>
      </c>
      <c r="AX429" s="289">
        <f t="shared" si="45"/>
        <v>0.12610515157878663</v>
      </c>
      <c r="AY429" s="289">
        <f t="shared" si="45"/>
        <v>0.16648895618637613</v>
      </c>
      <c r="AZ429" s="289">
        <f t="shared" si="45"/>
        <v>0.18592835488824661</v>
      </c>
      <c r="BA429" s="289">
        <f t="shared" si="45"/>
        <v>0.17954863966064985</v>
      </c>
      <c r="BB429" s="289">
        <f t="shared" si="45"/>
        <v>0.1821443068634033</v>
      </c>
      <c r="BC429" s="289">
        <f t="shared" si="38"/>
        <v>0.1821443068634033</v>
      </c>
    </row>
    <row r="430" spans="2:55">
      <c r="B430" s="72" t="s">
        <v>748</v>
      </c>
      <c r="C430" s="72" t="s">
        <v>749</v>
      </c>
      <c r="D430" s="289">
        <f t="shared" si="35"/>
        <v>0.11637570280008652</v>
      </c>
      <c r="E430" s="289">
        <f t="shared" si="45"/>
        <v>0.12766828702553218</v>
      </c>
      <c r="F430" s="289">
        <f t="shared" si="45"/>
        <v>0.1318620748797108</v>
      </c>
      <c r="G430" s="289">
        <f t="shared" si="45"/>
        <v>0.12441477066767977</v>
      </c>
      <c r="H430" s="289">
        <f t="shared" si="45"/>
        <v>0.11910233675353657</v>
      </c>
      <c r="I430" s="289">
        <f t="shared" si="45"/>
        <v>0.10667405266458271</v>
      </c>
      <c r="J430" s="289">
        <f t="shared" si="45"/>
        <v>0.10630151191728995</v>
      </c>
      <c r="K430" s="289">
        <f t="shared" si="45"/>
        <v>0.11838320640284285</v>
      </c>
      <c r="L430" s="289">
        <f t="shared" si="45"/>
        <v>0.11992364750376427</v>
      </c>
      <c r="M430" s="289">
        <f t="shared" si="45"/>
        <v>0.11468778844068522</v>
      </c>
      <c r="N430" s="289">
        <f t="shared" si="45"/>
        <v>0.10929693195812556</v>
      </c>
      <c r="O430" s="289">
        <f t="shared" si="45"/>
        <v>0.10848804955406939</v>
      </c>
      <c r="P430" s="289">
        <f t="shared" si="45"/>
        <v>0.11569730876865825</v>
      </c>
      <c r="Q430" s="289">
        <f t="shared" si="45"/>
        <v>0.12867059782458748</v>
      </c>
      <c r="R430" s="289">
        <f t="shared" si="45"/>
        <v>0.1229439776319269</v>
      </c>
      <c r="S430" s="289">
        <f t="shared" si="45"/>
        <v>0.13315467119154009</v>
      </c>
      <c r="T430" s="289">
        <f t="shared" si="45"/>
        <v>0.13255548798430242</v>
      </c>
      <c r="U430" s="289">
        <f t="shared" si="45"/>
        <v>0.12219593971584901</v>
      </c>
      <c r="V430" s="289">
        <f t="shared" si="45"/>
        <v>0.11028418776302447</v>
      </c>
      <c r="W430" s="289">
        <f t="shared" si="45"/>
        <v>9.9193496447736548E-2</v>
      </c>
      <c r="X430" s="289">
        <f t="shared" si="45"/>
        <v>8.2540556259142736E-2</v>
      </c>
      <c r="Y430" s="289">
        <f t="shared" si="45"/>
        <v>8.5050798507400535E-2</v>
      </c>
      <c r="Z430" s="289">
        <f t="shared" si="45"/>
        <v>7.8941701177913243E-2</v>
      </c>
      <c r="AA430" s="289">
        <f t="shared" si="45"/>
        <v>7.4775963515210236E-2</v>
      </c>
      <c r="AB430" s="289">
        <f t="shared" si="45"/>
        <v>6.9748866421113817E-2</v>
      </c>
      <c r="AC430" s="289">
        <f t="shared" si="45"/>
        <v>7.3392207796676684E-2</v>
      </c>
      <c r="AD430" s="289">
        <f t="shared" si="45"/>
        <v>6.460130547524838E-2</v>
      </c>
      <c r="AE430" s="289">
        <f t="shared" si="45"/>
        <v>6.1779045950102376E-2</v>
      </c>
      <c r="AF430" s="289">
        <f t="shared" si="45"/>
        <v>6.1872878189237979E-2</v>
      </c>
      <c r="AG430" s="289">
        <f t="shared" si="45"/>
        <v>5.8388167589562404E-2</v>
      </c>
      <c r="AH430" s="289">
        <f t="shared" si="45"/>
        <v>5.9450220172212687E-2</v>
      </c>
      <c r="AI430" s="289">
        <f t="shared" si="45"/>
        <v>5.7900885965287273E-2</v>
      </c>
      <c r="AJ430" s="289">
        <f t="shared" si="45"/>
        <v>5.9835586324364795E-2</v>
      </c>
      <c r="AK430" s="289">
        <f t="shared" si="45"/>
        <v>6.1848658654502418E-2</v>
      </c>
      <c r="AL430" s="289">
        <f t="shared" si="45"/>
        <v>6.0834932139559775E-2</v>
      </c>
      <c r="AM430" s="289">
        <f t="shared" si="45"/>
        <v>6.3336638033454476E-2</v>
      </c>
      <c r="AN430" s="289">
        <f t="shared" si="45"/>
        <v>5.0897992003528889E-2</v>
      </c>
      <c r="AO430" s="289">
        <f t="shared" si="45"/>
        <v>5.6440935297869262E-2</v>
      </c>
      <c r="AP430" s="289">
        <f t="shared" si="45"/>
        <v>5.3946616758803016E-2</v>
      </c>
      <c r="AQ430" s="289">
        <f t="shared" si="45"/>
        <v>5.0755475590367381E-2</v>
      </c>
      <c r="AR430" s="289">
        <f t="shared" si="45"/>
        <v>5.1548610171699746E-2</v>
      </c>
      <c r="AS430" s="289">
        <f t="shared" si="45"/>
        <v>5.0209987167803928E-2</v>
      </c>
      <c r="AT430" s="289">
        <f t="shared" si="45"/>
        <v>5.302732421760336E-2</v>
      </c>
      <c r="AU430" s="289">
        <f t="shared" si="45"/>
        <v>5.0885496238286969E-2</v>
      </c>
      <c r="AV430" s="289">
        <f t="shared" si="45"/>
        <v>5.0641365401709444E-2</v>
      </c>
      <c r="AW430" s="289">
        <f t="shared" si="45"/>
        <v>5.2029504181171478E-2</v>
      </c>
      <c r="AX430" s="289">
        <f t="shared" si="45"/>
        <v>5.1560138585389464E-2</v>
      </c>
      <c r="AY430" s="289">
        <f t="shared" si="45"/>
        <v>6.4742825577275509E-2</v>
      </c>
      <c r="AZ430" s="289">
        <f t="shared" si="45"/>
        <v>8.0037249618062439E-2</v>
      </c>
      <c r="BA430" s="289">
        <f t="shared" si="45"/>
        <v>7.7104186419534246E-2</v>
      </c>
      <c r="BB430" s="289">
        <f t="shared" si="45"/>
        <v>7.8218526235070834E-2</v>
      </c>
      <c r="BC430" s="289">
        <f t="shared" si="38"/>
        <v>7.8218526235070834E-2</v>
      </c>
    </row>
    <row r="431" spans="2:55">
      <c r="B431" s="72" t="s">
        <v>750</v>
      </c>
      <c r="C431" s="72" t="s">
        <v>751</v>
      </c>
      <c r="D431" s="289">
        <f t="shared" si="35"/>
        <v>0</v>
      </c>
      <c r="E431" s="289">
        <f t="shared" si="45"/>
        <v>0</v>
      </c>
      <c r="F431" s="289">
        <f t="shared" si="45"/>
        <v>0</v>
      </c>
      <c r="G431" s="289">
        <f t="shared" si="45"/>
        <v>0</v>
      </c>
      <c r="H431" s="289">
        <f t="shared" si="45"/>
        <v>0</v>
      </c>
      <c r="I431" s="289">
        <f t="shared" si="45"/>
        <v>0</v>
      </c>
      <c r="J431" s="289">
        <f t="shared" si="45"/>
        <v>0</v>
      </c>
      <c r="K431" s="289">
        <f t="shared" si="45"/>
        <v>0</v>
      </c>
      <c r="L431" s="289">
        <f t="shared" si="45"/>
        <v>0</v>
      </c>
      <c r="M431" s="289">
        <f t="shared" si="45"/>
        <v>0</v>
      </c>
      <c r="N431" s="289">
        <f t="shared" si="45"/>
        <v>0</v>
      </c>
      <c r="O431" s="289">
        <f t="shared" si="45"/>
        <v>0</v>
      </c>
      <c r="P431" s="289">
        <f t="shared" si="45"/>
        <v>0</v>
      </c>
      <c r="Q431" s="289">
        <f t="shared" si="45"/>
        <v>0</v>
      </c>
      <c r="R431" s="289">
        <f t="shared" si="45"/>
        <v>0</v>
      </c>
      <c r="S431" s="289">
        <f t="shared" si="45"/>
        <v>0</v>
      </c>
      <c r="T431" s="289">
        <f t="shared" si="45"/>
        <v>0</v>
      </c>
      <c r="U431" s="289">
        <f t="shared" si="45"/>
        <v>0</v>
      </c>
      <c r="V431" s="289">
        <f t="shared" si="45"/>
        <v>0</v>
      </c>
      <c r="W431" s="289">
        <f t="shared" si="45"/>
        <v>3.0171225354118123E-2</v>
      </c>
      <c r="X431" s="289">
        <f t="shared" si="45"/>
        <v>3.1052125294861812E-2</v>
      </c>
      <c r="Y431" s="289">
        <f t="shared" si="45"/>
        <v>3.2569627300931103E-2</v>
      </c>
      <c r="Z431" s="289">
        <f t="shared" si="45"/>
        <v>3.0145250193343583E-2</v>
      </c>
      <c r="AA431" s="289">
        <f t="shared" si="45"/>
        <v>3.2853891390162537E-2</v>
      </c>
      <c r="AB431" s="289">
        <f t="shared" si="45"/>
        <v>4.0722365880905852E-2</v>
      </c>
      <c r="AC431" s="289">
        <f t="shared" si="45"/>
        <v>3.892714571829093E-2</v>
      </c>
      <c r="AD431" s="289">
        <f t="shared" si="45"/>
        <v>1.4280148437817426E-2</v>
      </c>
      <c r="AE431" s="289">
        <f t="shared" si="45"/>
        <v>1.0498957387154241E-2</v>
      </c>
      <c r="AF431" s="289">
        <f t="shared" si="45"/>
        <v>1.1488009367526751E-2</v>
      </c>
      <c r="AG431" s="289">
        <f t="shared" si="45"/>
        <v>1.0279934531259877E-2</v>
      </c>
      <c r="AH431" s="289">
        <f t="shared" si="45"/>
        <v>1.0571578767814884E-2</v>
      </c>
      <c r="AI431" s="289">
        <f t="shared" si="45"/>
        <v>7.2524952637604461E-3</v>
      </c>
      <c r="AJ431" s="289">
        <f t="shared" si="45"/>
        <v>8.0303788426832768E-3</v>
      </c>
      <c r="AK431" s="289">
        <f t="shared" si="45"/>
        <v>7.6577471888044481E-3</v>
      </c>
      <c r="AL431" s="289">
        <f t="shared" si="45"/>
        <v>7.0704246293715588E-3</v>
      </c>
      <c r="AM431" s="289">
        <f t="shared" si="45"/>
        <v>9.2371326648673299E-3</v>
      </c>
      <c r="AN431" s="289">
        <f t="shared" si="45"/>
        <v>9.4842218809342866E-3</v>
      </c>
      <c r="AO431" s="289">
        <f t="shared" si="45"/>
        <v>9.8084011295249338E-3</v>
      </c>
      <c r="AP431" s="289">
        <f t="shared" si="45"/>
        <v>9.7868685092873681E-3</v>
      </c>
      <c r="AQ431" s="289">
        <f t="shared" si="45"/>
        <v>9.3161012832314177E-3</v>
      </c>
      <c r="AR431" s="289">
        <f t="shared" si="45"/>
        <v>8.7781417526841127E-3</v>
      </c>
      <c r="AS431" s="289">
        <f t="shared" si="45"/>
        <v>8.1053082941366112E-3</v>
      </c>
      <c r="AT431" s="289">
        <f t="shared" si="45"/>
        <v>7.5951025915843746E-3</v>
      </c>
      <c r="AU431" s="289">
        <f t="shared" si="45"/>
        <v>7.6695131544359729E-3</v>
      </c>
      <c r="AV431" s="289">
        <f t="shared" si="45"/>
        <v>8.3084579727066218E-3</v>
      </c>
      <c r="AW431" s="289">
        <f t="shared" si="45"/>
        <v>8.2333309528400157E-3</v>
      </c>
      <c r="AX431" s="289">
        <f t="shared" si="45"/>
        <v>7.9463867782347732E-3</v>
      </c>
      <c r="AY431" s="289">
        <f t="shared" si="45"/>
        <v>1.0264973308029439E-2</v>
      </c>
      <c r="AZ431" s="289">
        <f t="shared" si="45"/>
        <v>1.1978522386411363E-2</v>
      </c>
      <c r="BA431" s="289">
        <f t="shared" si="45"/>
        <v>1.0859387155361187E-2</v>
      </c>
      <c r="BB431" s="289">
        <f t="shared" si="45"/>
        <v>1.3699468198358919E-2</v>
      </c>
      <c r="BC431" s="289">
        <f t="shared" si="38"/>
        <v>1.3699468198358919E-2</v>
      </c>
    </row>
    <row r="432" spans="2:55">
      <c r="B432" s="72" t="s">
        <v>752</v>
      </c>
      <c r="C432" s="72" t="s">
        <v>753</v>
      </c>
      <c r="D432" s="289">
        <f t="shared" si="35"/>
        <v>0</v>
      </c>
      <c r="E432" s="289">
        <f t="shared" si="45"/>
        <v>0</v>
      </c>
      <c r="F432" s="289">
        <f t="shared" si="45"/>
        <v>0</v>
      </c>
      <c r="G432" s="289">
        <f t="shared" si="45"/>
        <v>0</v>
      </c>
      <c r="H432" s="289">
        <f t="shared" si="45"/>
        <v>0</v>
      </c>
      <c r="I432" s="289">
        <f t="shared" si="45"/>
        <v>0</v>
      </c>
      <c r="J432" s="289">
        <f t="shared" si="45"/>
        <v>0</v>
      </c>
      <c r="K432" s="289">
        <f t="shared" si="45"/>
        <v>0</v>
      </c>
      <c r="L432" s="289">
        <f t="shared" si="45"/>
        <v>0</v>
      </c>
      <c r="M432" s="289">
        <f t="shared" si="45"/>
        <v>0</v>
      </c>
      <c r="N432" s="289">
        <f t="shared" si="45"/>
        <v>0</v>
      </c>
      <c r="O432" s="289">
        <f t="shared" si="45"/>
        <v>0</v>
      </c>
      <c r="P432" s="289">
        <f t="shared" si="45"/>
        <v>0</v>
      </c>
      <c r="Q432" s="289">
        <f t="shared" si="45"/>
        <v>0</v>
      </c>
      <c r="R432" s="289">
        <f t="shared" si="45"/>
        <v>0</v>
      </c>
      <c r="S432" s="289">
        <f t="shared" si="45"/>
        <v>0</v>
      </c>
      <c r="T432" s="289">
        <f t="shared" si="45"/>
        <v>0</v>
      </c>
      <c r="U432" s="289">
        <f t="shared" si="45"/>
        <v>0</v>
      </c>
      <c r="V432" s="289">
        <f t="shared" si="45"/>
        <v>0</v>
      </c>
      <c r="W432" s="289">
        <f t="shared" si="45"/>
        <v>0</v>
      </c>
      <c r="X432" s="289">
        <f t="shared" si="45"/>
        <v>0</v>
      </c>
      <c r="Y432" s="289">
        <f t="shared" si="45"/>
        <v>0</v>
      </c>
      <c r="Z432" s="289">
        <f t="shared" si="45"/>
        <v>0</v>
      </c>
      <c r="AA432" s="289">
        <f t="shared" si="45"/>
        <v>0</v>
      </c>
      <c r="AB432" s="289">
        <f t="shared" si="45"/>
        <v>0</v>
      </c>
      <c r="AC432" s="289">
        <f t="shared" si="45"/>
        <v>0</v>
      </c>
      <c r="AD432" s="289">
        <f t="shared" si="45"/>
        <v>0</v>
      </c>
      <c r="AE432" s="289">
        <f t="shared" si="45"/>
        <v>0</v>
      </c>
      <c r="AF432" s="289">
        <f t="shared" si="45"/>
        <v>0</v>
      </c>
      <c r="AG432" s="289">
        <f t="shared" si="45"/>
        <v>0</v>
      </c>
      <c r="AH432" s="289">
        <f t="shared" si="45"/>
        <v>0</v>
      </c>
      <c r="AI432" s="289">
        <f t="shared" si="45"/>
        <v>0</v>
      </c>
      <c r="AJ432" s="289">
        <f t="shared" si="45"/>
        <v>0</v>
      </c>
      <c r="AK432" s="289">
        <f t="shared" si="45"/>
        <v>0</v>
      </c>
      <c r="AL432" s="289">
        <f t="shared" si="45"/>
        <v>0</v>
      </c>
      <c r="AM432" s="289">
        <f t="shared" si="45"/>
        <v>0</v>
      </c>
      <c r="AN432" s="289">
        <f t="shared" ref="E432:BB437" si="46">AN182/AN$251</f>
        <v>0</v>
      </c>
      <c r="AO432" s="289">
        <f t="shared" si="46"/>
        <v>0</v>
      </c>
      <c r="AP432" s="289">
        <f t="shared" si="46"/>
        <v>0</v>
      </c>
      <c r="AQ432" s="289">
        <f t="shared" si="46"/>
        <v>0</v>
      </c>
      <c r="AR432" s="289">
        <f t="shared" si="46"/>
        <v>0</v>
      </c>
      <c r="AS432" s="289">
        <f t="shared" si="46"/>
        <v>0</v>
      </c>
      <c r="AT432" s="289">
        <f t="shared" si="46"/>
        <v>0</v>
      </c>
      <c r="AU432" s="289">
        <f t="shared" si="46"/>
        <v>0</v>
      </c>
      <c r="AV432" s="289">
        <f t="shared" si="46"/>
        <v>0</v>
      </c>
      <c r="AW432" s="289">
        <f t="shared" si="46"/>
        <v>0</v>
      </c>
      <c r="AX432" s="289">
        <f t="shared" si="46"/>
        <v>0</v>
      </c>
      <c r="AY432" s="289">
        <f t="shared" si="46"/>
        <v>0</v>
      </c>
      <c r="AZ432" s="289">
        <f t="shared" si="46"/>
        <v>0</v>
      </c>
      <c r="BA432" s="289">
        <f t="shared" si="46"/>
        <v>0</v>
      </c>
      <c r="BB432" s="289">
        <f t="shared" si="46"/>
        <v>0</v>
      </c>
      <c r="BC432" s="289">
        <f t="shared" si="38"/>
        <v>0</v>
      </c>
    </row>
    <row r="433" spans="2:55">
      <c r="B433" s="72" t="s">
        <v>754</v>
      </c>
      <c r="C433" s="72" t="s">
        <v>755</v>
      </c>
      <c r="D433" s="289">
        <f t="shared" si="35"/>
        <v>0</v>
      </c>
      <c r="E433" s="289">
        <f t="shared" si="46"/>
        <v>0</v>
      </c>
      <c r="F433" s="289">
        <f t="shared" si="46"/>
        <v>0</v>
      </c>
      <c r="G433" s="289">
        <f t="shared" si="46"/>
        <v>0</v>
      </c>
      <c r="H433" s="289">
        <f t="shared" si="46"/>
        <v>0</v>
      </c>
      <c r="I433" s="289">
        <f t="shared" si="46"/>
        <v>0</v>
      </c>
      <c r="J433" s="289">
        <f t="shared" si="46"/>
        <v>0</v>
      </c>
      <c r="K433" s="289">
        <f t="shared" si="46"/>
        <v>0</v>
      </c>
      <c r="L433" s="289">
        <f t="shared" si="46"/>
        <v>0</v>
      </c>
      <c r="M433" s="289">
        <f t="shared" si="46"/>
        <v>0</v>
      </c>
      <c r="N433" s="289">
        <f t="shared" si="46"/>
        <v>0</v>
      </c>
      <c r="O433" s="289">
        <f t="shared" si="46"/>
        <v>0</v>
      </c>
      <c r="P433" s="289">
        <f t="shared" si="46"/>
        <v>0</v>
      </c>
      <c r="Q433" s="289">
        <f t="shared" si="46"/>
        <v>0</v>
      </c>
      <c r="R433" s="289">
        <f t="shared" si="46"/>
        <v>0</v>
      </c>
      <c r="S433" s="289">
        <f t="shared" si="46"/>
        <v>0</v>
      </c>
      <c r="T433" s="289">
        <f t="shared" si="46"/>
        <v>0</v>
      </c>
      <c r="U433" s="289">
        <f t="shared" si="46"/>
        <v>0</v>
      </c>
      <c r="V433" s="289">
        <f t="shared" si="46"/>
        <v>0</v>
      </c>
      <c r="W433" s="289">
        <f t="shared" si="46"/>
        <v>0.22250583469573643</v>
      </c>
      <c r="X433" s="289">
        <f t="shared" si="46"/>
        <v>0.20623699621289632</v>
      </c>
      <c r="Y433" s="289">
        <f t="shared" si="46"/>
        <v>0.19566017483055856</v>
      </c>
      <c r="Z433" s="289">
        <f t="shared" si="46"/>
        <v>0.21560365248099994</v>
      </c>
      <c r="AA433" s="289">
        <f t="shared" si="46"/>
        <v>0.18782645233053191</v>
      </c>
      <c r="AB433" s="289">
        <f t="shared" si="46"/>
        <v>0.14352066978621927</v>
      </c>
      <c r="AC433" s="289">
        <f t="shared" si="46"/>
        <v>0.12696431448641601</v>
      </c>
      <c r="AD433" s="289">
        <f t="shared" si="46"/>
        <v>0.12573676383494087</v>
      </c>
      <c r="AE433" s="289">
        <f t="shared" si="46"/>
        <v>0.10917303449925131</v>
      </c>
      <c r="AF433" s="289">
        <f t="shared" si="46"/>
        <v>0.10589068694550016</v>
      </c>
      <c r="AG433" s="289">
        <f t="shared" si="46"/>
        <v>9.3918214754928966E-2</v>
      </c>
      <c r="AH433" s="289">
        <f t="shared" si="46"/>
        <v>9.2512762708722399E-2</v>
      </c>
      <c r="AI433" s="289">
        <f t="shared" si="46"/>
        <v>9.8947884026923352E-2</v>
      </c>
      <c r="AJ433" s="289">
        <f t="shared" si="46"/>
        <v>0.10748537879062282</v>
      </c>
      <c r="AK433" s="289">
        <f t="shared" si="46"/>
        <v>0.11062441330773937</v>
      </c>
      <c r="AL433" s="289">
        <f t="shared" si="46"/>
        <v>0.10636630765352187</v>
      </c>
      <c r="AM433" s="289">
        <f t="shared" si="46"/>
        <v>9.7901367634564293E-2</v>
      </c>
      <c r="AN433" s="289">
        <f t="shared" si="46"/>
        <v>8.8451808448108793E-2</v>
      </c>
      <c r="AO433" s="289">
        <f t="shared" si="46"/>
        <v>7.5431115824098824E-2</v>
      </c>
      <c r="AP433" s="289">
        <f t="shared" si="46"/>
        <v>7.1380929315678104E-2</v>
      </c>
      <c r="AQ433" s="289">
        <f t="shared" si="46"/>
        <v>8.2275232194652381E-2</v>
      </c>
      <c r="AR433" s="289">
        <f t="shared" si="46"/>
        <v>7.3750071610978254E-2</v>
      </c>
      <c r="AS433" s="289">
        <f t="shared" si="46"/>
        <v>6.3089545385983617E-2</v>
      </c>
      <c r="AT433" s="289">
        <f t="shared" si="46"/>
        <v>7.8867165327814362E-2</v>
      </c>
      <c r="AU433" s="289">
        <f t="shared" si="46"/>
        <v>8.8100154001891154E-2</v>
      </c>
      <c r="AV433" s="289">
        <f t="shared" si="46"/>
        <v>9.1582624982510616E-2</v>
      </c>
      <c r="AW433" s="289">
        <f t="shared" si="46"/>
        <v>9.3050684581765908E-2</v>
      </c>
      <c r="AX433" s="289">
        <f t="shared" si="46"/>
        <v>8.8035038514345965E-2</v>
      </c>
      <c r="AY433" s="289">
        <f t="shared" si="46"/>
        <v>9.3108085492289938E-2</v>
      </c>
      <c r="AZ433" s="289">
        <f t="shared" si="46"/>
        <v>0.11273968692789797</v>
      </c>
      <c r="BA433" s="289">
        <f t="shared" si="46"/>
        <v>0.13448724199501125</v>
      </c>
      <c r="BB433" s="289">
        <f t="shared" si="46"/>
        <v>0.13558144510265457</v>
      </c>
      <c r="BC433" s="289">
        <f t="shared" si="38"/>
        <v>0.13558144510265457</v>
      </c>
    </row>
    <row r="434" spans="2:55">
      <c r="B434" s="72" t="s">
        <v>756</v>
      </c>
      <c r="C434" s="72" t="s">
        <v>757</v>
      </c>
      <c r="D434" s="289">
        <f t="shared" si="35"/>
        <v>3.6926548727806076E-2</v>
      </c>
      <c r="E434" s="289">
        <f t="shared" si="46"/>
        <v>3.7544396240007667E-2</v>
      </c>
      <c r="F434" s="289">
        <f t="shared" si="46"/>
        <v>3.0310752741073827E-2</v>
      </c>
      <c r="G434" s="289">
        <f t="shared" si="46"/>
        <v>2.7330654949432421E-2</v>
      </c>
      <c r="H434" s="289">
        <f t="shared" si="46"/>
        <v>3.7099565129026651E-2</v>
      </c>
      <c r="I434" s="289">
        <f t="shared" si="46"/>
        <v>4.2341398281365517E-2</v>
      </c>
      <c r="J434" s="289">
        <f t="shared" si="46"/>
        <v>3.7279157512155214E-2</v>
      </c>
      <c r="K434" s="289">
        <f t="shared" si="46"/>
        <v>3.5709942180353282E-2</v>
      </c>
      <c r="L434" s="289">
        <f t="shared" si="46"/>
        <v>3.3292332267098212E-2</v>
      </c>
      <c r="M434" s="289">
        <f t="shared" si="46"/>
        <v>3.2409827939513143E-2</v>
      </c>
      <c r="N434" s="289">
        <f t="shared" si="46"/>
        <v>2.8673014308979672E-2</v>
      </c>
      <c r="O434" s="289">
        <f t="shared" si="46"/>
        <v>2.8392938302835798E-2</v>
      </c>
      <c r="P434" s="289">
        <f t="shared" si="46"/>
        <v>2.3382052670924316E-2</v>
      </c>
      <c r="Q434" s="289">
        <f t="shared" si="46"/>
        <v>2.6512600127891788E-2</v>
      </c>
      <c r="R434" s="289">
        <f t="shared" si="46"/>
        <v>2.8022643981992276E-2</v>
      </c>
      <c r="S434" s="289">
        <f t="shared" si="46"/>
        <v>2.6259643715335793E-2</v>
      </c>
      <c r="T434" s="289">
        <f t="shared" si="46"/>
        <v>2.1602679539054433E-2</v>
      </c>
      <c r="U434" s="289">
        <f t="shared" si="46"/>
        <v>1.9320913521274404E-2</v>
      </c>
      <c r="V434" s="289">
        <f t="shared" si="46"/>
        <v>1.6773477749619174E-2</v>
      </c>
      <c r="W434" s="289">
        <f t="shared" si="46"/>
        <v>1.3440430251546669E-2</v>
      </c>
      <c r="X434" s="289">
        <f t="shared" si="46"/>
        <v>1.615677977760429E-2</v>
      </c>
      <c r="Y434" s="289">
        <f t="shared" si="46"/>
        <v>1.7417906490912974E-2</v>
      </c>
      <c r="Z434" s="289">
        <f t="shared" si="46"/>
        <v>1.8327351070389197E-2</v>
      </c>
      <c r="AA434" s="289">
        <f t="shared" si="46"/>
        <v>2.0065458491693271E-2</v>
      </c>
      <c r="AB434" s="289">
        <f t="shared" si="46"/>
        <v>1.8842629123734973E-2</v>
      </c>
      <c r="AC434" s="289">
        <f t="shared" si="46"/>
        <v>1.6334875321355181E-2</v>
      </c>
      <c r="AD434" s="289">
        <f t="shared" si="46"/>
        <v>1.3503836564929983E-2</v>
      </c>
      <c r="AE434" s="289">
        <f t="shared" si="46"/>
        <v>1.2826545281545688E-2</v>
      </c>
      <c r="AF434" s="289">
        <f t="shared" si="46"/>
        <v>1.2570897150214078E-2</v>
      </c>
      <c r="AG434" s="289">
        <f t="shared" si="46"/>
        <v>1.0748338255639622E-2</v>
      </c>
      <c r="AH434" s="289">
        <f t="shared" si="46"/>
        <v>1.0907125869066194E-2</v>
      </c>
      <c r="AI434" s="289">
        <f t="shared" si="46"/>
        <v>8.9500616111604526E-3</v>
      </c>
      <c r="AJ434" s="289">
        <f t="shared" si="46"/>
        <v>1.0479800729595031E-2</v>
      </c>
      <c r="AK434" s="289">
        <f t="shared" si="46"/>
        <v>1.0533721993674619E-2</v>
      </c>
      <c r="AL434" s="289">
        <f t="shared" si="46"/>
        <v>1.0218888510765602E-2</v>
      </c>
      <c r="AM434" s="289">
        <f t="shared" si="46"/>
        <v>9.7417252089367114E-3</v>
      </c>
      <c r="AN434" s="289">
        <f t="shared" si="46"/>
        <v>9.2397057816619929E-3</v>
      </c>
      <c r="AO434" s="289">
        <f t="shared" si="46"/>
        <v>8.354410347213348E-3</v>
      </c>
      <c r="AP434" s="289">
        <f t="shared" si="46"/>
        <v>8.2446999951239028E-3</v>
      </c>
      <c r="AQ434" s="289">
        <f t="shared" si="46"/>
        <v>8.9860384444698915E-3</v>
      </c>
      <c r="AR434" s="289">
        <f t="shared" si="46"/>
        <v>9.6822993314398097E-3</v>
      </c>
      <c r="AS434" s="289">
        <f t="shared" si="46"/>
        <v>8.7679611538856693E-3</v>
      </c>
      <c r="AT434" s="289">
        <f t="shared" si="46"/>
        <v>7.772709998424423E-3</v>
      </c>
      <c r="AU434" s="289">
        <f t="shared" si="46"/>
        <v>7.4192300356264208E-3</v>
      </c>
      <c r="AV434" s="289">
        <f t="shared" si="46"/>
        <v>7.8173283176712037E-3</v>
      </c>
      <c r="AW434" s="289">
        <f t="shared" si="46"/>
        <v>8.0537456748310567E-3</v>
      </c>
      <c r="AX434" s="289">
        <f t="shared" si="46"/>
        <v>7.8182551410805826E-3</v>
      </c>
      <c r="AY434" s="289">
        <f t="shared" si="46"/>
        <v>1.0080871469503264E-2</v>
      </c>
      <c r="AZ434" s="289">
        <f t="shared" si="46"/>
        <v>1.2405118206745089E-2</v>
      </c>
      <c r="BA434" s="289">
        <f t="shared" si="46"/>
        <v>1.4742989494462309E-2</v>
      </c>
      <c r="BB434" s="289">
        <f t="shared" si="46"/>
        <v>1.5867743242183961E-2</v>
      </c>
      <c r="BC434" s="289">
        <f t="shared" si="38"/>
        <v>1.5867743242183961E-2</v>
      </c>
    </row>
    <row r="435" spans="2:55">
      <c r="B435" s="72" t="s">
        <v>758</v>
      </c>
      <c r="C435" s="72" t="s">
        <v>759</v>
      </c>
      <c r="D435" s="289">
        <f t="shared" si="35"/>
        <v>0.79818015236728512</v>
      </c>
      <c r="E435" s="289">
        <f t="shared" si="46"/>
        <v>0.81965890863583513</v>
      </c>
      <c r="F435" s="289">
        <f t="shared" si="46"/>
        <v>0.83387201880886141</v>
      </c>
      <c r="G435" s="289">
        <f t="shared" si="46"/>
        <v>0.89160829465355396</v>
      </c>
      <c r="H435" s="289">
        <f t="shared" si="46"/>
        <v>0.92281906911323908</v>
      </c>
      <c r="I435" s="289">
        <f t="shared" si="46"/>
        <v>0.93681126373121293</v>
      </c>
      <c r="J435" s="289">
        <f t="shared" si="46"/>
        <v>0.98405493251851894</v>
      </c>
      <c r="K435" s="289">
        <f t="shared" si="46"/>
        <v>1.152322257309252</v>
      </c>
      <c r="L435" s="289">
        <f t="shared" si="46"/>
        <v>1.2036996843480303</v>
      </c>
      <c r="M435" s="289">
        <f t="shared" si="46"/>
        <v>1.2093651243087056</v>
      </c>
      <c r="N435" s="289">
        <f t="shared" si="46"/>
        <v>1.2391481091751975</v>
      </c>
      <c r="O435" s="289">
        <f t="shared" si="46"/>
        <v>1.3146605120523318</v>
      </c>
      <c r="P435" s="289">
        <f t="shared" si="46"/>
        <v>1.5291655169507596</v>
      </c>
      <c r="Q435" s="289">
        <f t="shared" si="46"/>
        <v>1.6622099783580562</v>
      </c>
      <c r="R435" s="289">
        <f t="shared" si="46"/>
        <v>1.6223125150867626</v>
      </c>
      <c r="S435" s="289">
        <f t="shared" si="46"/>
        <v>1.8273626462244641</v>
      </c>
      <c r="T435" s="289">
        <f t="shared" si="46"/>
        <v>1.8782844167912294</v>
      </c>
      <c r="U435" s="289">
        <f t="shared" si="46"/>
        <v>1.8017790494197905</v>
      </c>
      <c r="V435" s="289">
        <f t="shared" si="46"/>
        <v>1.578376149762742</v>
      </c>
      <c r="W435" s="289">
        <f t="shared" si="46"/>
        <v>1.3276008201265386</v>
      </c>
      <c r="X435" s="289">
        <f t="shared" si="46"/>
        <v>1.1672394178645555</v>
      </c>
      <c r="Y435" s="289">
        <f t="shared" si="46"/>
        <v>1.1764559939858987</v>
      </c>
      <c r="Z435" s="289">
        <f t="shared" si="46"/>
        <v>1.1967870965767236</v>
      </c>
      <c r="AA435" s="289">
        <f t="shared" si="46"/>
        <v>1.1882636978952046</v>
      </c>
      <c r="AB435" s="289">
        <f t="shared" si="46"/>
        <v>1.1199519378794622</v>
      </c>
      <c r="AC435" s="289">
        <f t="shared" si="46"/>
        <v>1.2687055405490284</v>
      </c>
      <c r="AD435" s="289">
        <f t="shared" si="46"/>
        <v>1.255004848359339</v>
      </c>
      <c r="AE435" s="289">
        <f t="shared" si="46"/>
        <v>1.0993804259716782</v>
      </c>
      <c r="AF435" s="289">
        <f t="shared" si="46"/>
        <v>1.0702912381282803</v>
      </c>
      <c r="AG435" s="289">
        <f t="shared" si="46"/>
        <v>1.1150043737704058</v>
      </c>
      <c r="AH435" s="289">
        <f t="shared" si="46"/>
        <v>1.0948595465376603</v>
      </c>
      <c r="AI435" s="289">
        <f t="shared" si="46"/>
        <v>1.167820563446111</v>
      </c>
      <c r="AJ435" s="289">
        <f t="shared" si="46"/>
        <v>1.2600583982792384</v>
      </c>
      <c r="AK435" s="289">
        <f t="shared" si="46"/>
        <v>1.2456084164759307</v>
      </c>
      <c r="AL435" s="289">
        <f t="shared" si="46"/>
        <v>1.3589178790973984</v>
      </c>
      <c r="AM435" s="289">
        <f t="shared" si="46"/>
        <v>1.2836608380333647</v>
      </c>
      <c r="AN435" s="289">
        <f t="shared" si="46"/>
        <v>1.0554646550665279</v>
      </c>
      <c r="AO435" s="289">
        <f t="shared" si="46"/>
        <v>1.0255536066167088</v>
      </c>
      <c r="AP435" s="289">
        <f t="shared" si="46"/>
        <v>1.0154693390156317</v>
      </c>
      <c r="AQ435" s="289">
        <f t="shared" si="46"/>
        <v>0.9649654536338842</v>
      </c>
      <c r="AR435" s="289">
        <f t="shared" si="46"/>
        <v>1.0053332655145111</v>
      </c>
      <c r="AS435" s="289">
        <f t="shared" si="46"/>
        <v>1.0042091691509314</v>
      </c>
      <c r="AT435" s="289">
        <f t="shared" si="46"/>
        <v>1.0649815514353327</v>
      </c>
      <c r="AU435" s="289">
        <f t="shared" si="46"/>
        <v>1.020800792927145</v>
      </c>
      <c r="AV435" s="289">
        <f t="shared" si="46"/>
        <v>1.0262509724773956</v>
      </c>
      <c r="AW435" s="289">
        <f t="shared" si="46"/>
        <v>1.0241587981045943</v>
      </c>
      <c r="AX435" s="289">
        <f t="shared" si="46"/>
        <v>1.0310931953479954</v>
      </c>
      <c r="AY435" s="289">
        <f t="shared" si="46"/>
        <v>1.2272288434714957</v>
      </c>
      <c r="AZ435" s="289">
        <f t="shared" si="46"/>
        <v>1.3634916499369421</v>
      </c>
      <c r="BA435" s="289">
        <f t="shared" si="46"/>
        <v>1.2859358016388009</v>
      </c>
      <c r="BB435" s="289">
        <f t="shared" si="46"/>
        <v>1.2827423168910053</v>
      </c>
      <c r="BC435" s="289">
        <f t="shared" si="38"/>
        <v>1.2827423168910053</v>
      </c>
    </row>
    <row r="436" spans="2:55">
      <c r="B436" s="72" t="s">
        <v>760</v>
      </c>
      <c r="C436" s="72" t="s">
        <v>761</v>
      </c>
      <c r="D436" s="289">
        <f t="shared" si="35"/>
        <v>0</v>
      </c>
      <c r="E436" s="289">
        <f t="shared" si="46"/>
        <v>0</v>
      </c>
      <c r="F436" s="289">
        <f t="shared" si="46"/>
        <v>0</v>
      </c>
      <c r="G436" s="289">
        <f t="shared" si="46"/>
        <v>0</v>
      </c>
      <c r="H436" s="289">
        <f t="shared" si="46"/>
        <v>0.93720429339263622</v>
      </c>
      <c r="I436" s="289">
        <f t="shared" si="46"/>
        <v>0.88825853207336924</v>
      </c>
      <c r="J436" s="289">
        <f t="shared" si="46"/>
        <v>0.91688663169258855</v>
      </c>
      <c r="K436" s="289">
        <f t="shared" si="46"/>
        <v>1.1343222013728129</v>
      </c>
      <c r="L436" s="289">
        <f t="shared" si="46"/>
        <v>1.2467313738312003</v>
      </c>
      <c r="M436" s="289">
        <f t="shared" si="46"/>
        <v>1.4818955464614219</v>
      </c>
      <c r="N436" s="289">
        <f t="shared" si="46"/>
        <v>1.4415529589355274</v>
      </c>
      <c r="O436" s="289">
        <f t="shared" si="46"/>
        <v>1.4682923169916009</v>
      </c>
      <c r="P436" s="289">
        <f t="shared" si="46"/>
        <v>1.3390630345942522</v>
      </c>
      <c r="Q436" s="289">
        <f t="shared" si="46"/>
        <v>1.4052121888817495</v>
      </c>
      <c r="R436" s="289">
        <f t="shared" si="46"/>
        <v>1.4602433657532001</v>
      </c>
      <c r="S436" s="289">
        <f t="shared" si="46"/>
        <v>1.4504142402034794</v>
      </c>
      <c r="T436" s="289">
        <f t="shared" si="46"/>
        <v>1.3252335676222704</v>
      </c>
      <c r="U436" s="289">
        <f t="shared" si="46"/>
        <v>1.0444397345964715</v>
      </c>
      <c r="V436" s="289">
        <f t="shared" si="46"/>
        <v>0.9859245011426756</v>
      </c>
      <c r="W436" s="289">
        <f t="shared" si="46"/>
        <v>0.85929050320656775</v>
      </c>
      <c r="X436" s="289">
        <f t="shared" si="46"/>
        <v>0.73874105479138019</v>
      </c>
      <c r="Y436" s="289">
        <f t="shared" si="46"/>
        <v>0.71807198312244247</v>
      </c>
      <c r="Z436" s="289">
        <f t="shared" si="46"/>
        <v>0.68541220175888795</v>
      </c>
      <c r="AA436" s="289">
        <f t="shared" si="46"/>
        <v>0.67952311705376667</v>
      </c>
      <c r="AB436" s="289">
        <f t="shared" si="46"/>
        <v>0.68053529288167569</v>
      </c>
      <c r="AC436" s="289">
        <f t="shared" si="46"/>
        <v>0.77509250911455263</v>
      </c>
      <c r="AD436" s="289">
        <f t="shared" si="46"/>
        <v>0.76975440619679625</v>
      </c>
      <c r="AE436" s="289">
        <f t="shared" si="46"/>
        <v>0.86804068363129561</v>
      </c>
      <c r="AF436" s="289">
        <f t="shared" si="46"/>
        <v>0.88379011146748421</v>
      </c>
      <c r="AG436" s="289">
        <f t="shared" si="46"/>
        <v>0.85118153930573759</v>
      </c>
      <c r="AH436" s="289">
        <f t="shared" si="46"/>
        <v>0.83833076991754929</v>
      </c>
      <c r="AI436" s="289">
        <f t="shared" si="46"/>
        <v>0.87256505819141494</v>
      </c>
      <c r="AJ436" s="289">
        <f t="shared" si="46"/>
        <v>0.99407568543989389</v>
      </c>
      <c r="AK436" s="289">
        <f t="shared" si="46"/>
        <v>0.88607002396307777</v>
      </c>
      <c r="AL436" s="289">
        <f t="shared" si="46"/>
        <v>0.9426604634671194</v>
      </c>
      <c r="AM436" s="289">
        <f t="shared" si="46"/>
        <v>0.87328475825243357</v>
      </c>
      <c r="AN436" s="289">
        <f t="shared" si="46"/>
        <v>0.69580694795466957</v>
      </c>
      <c r="AO436" s="289">
        <f t="shared" si="46"/>
        <v>0.61645400400866213</v>
      </c>
      <c r="AP436" s="289">
        <f t="shared" si="46"/>
        <v>0.57021269747739489</v>
      </c>
      <c r="AQ436" s="289">
        <f t="shared" si="46"/>
        <v>0.50202686262505036</v>
      </c>
      <c r="AR436" s="289">
        <f t="shared" si="46"/>
        <v>0</v>
      </c>
      <c r="AS436" s="289">
        <f t="shared" si="46"/>
        <v>0</v>
      </c>
      <c r="AT436" s="289">
        <f t="shared" si="46"/>
        <v>0</v>
      </c>
      <c r="AU436" s="289">
        <f t="shared" si="46"/>
        <v>0</v>
      </c>
      <c r="AV436" s="289">
        <f t="shared" si="46"/>
        <v>0</v>
      </c>
      <c r="AW436" s="289">
        <f t="shared" si="46"/>
        <v>0</v>
      </c>
      <c r="AX436" s="289">
        <f t="shared" si="46"/>
        <v>0</v>
      </c>
      <c r="AY436" s="289">
        <f t="shared" si="46"/>
        <v>0</v>
      </c>
      <c r="AZ436" s="289">
        <f t="shared" si="46"/>
        <v>0</v>
      </c>
      <c r="BA436" s="289">
        <f t="shared" si="46"/>
        <v>0</v>
      </c>
      <c r="BB436" s="289">
        <f t="shared" si="46"/>
        <v>0</v>
      </c>
      <c r="BC436" s="289">
        <f t="shared" si="38"/>
        <v>0</v>
      </c>
    </row>
    <row r="437" spans="2:55">
      <c r="B437" s="72" t="s">
        <v>762</v>
      </c>
      <c r="C437" s="72" t="s">
        <v>763</v>
      </c>
      <c r="D437" s="289">
        <f t="shared" si="35"/>
        <v>1.6132324179994495</v>
      </c>
      <c r="E437" s="289">
        <f t="shared" si="46"/>
        <v>1.6176964885882634</v>
      </c>
      <c r="F437" s="289">
        <f t="shared" si="46"/>
        <v>1.6464877783705325</v>
      </c>
      <c r="G437" s="289">
        <f t="shared" si="46"/>
        <v>1.6268919922360143</v>
      </c>
      <c r="H437" s="289">
        <f t="shared" si="46"/>
        <v>1.1622622894413779</v>
      </c>
      <c r="I437" s="289">
        <f t="shared" si="46"/>
        <v>1.1182289355234933</v>
      </c>
      <c r="J437" s="289">
        <f t="shared" si="46"/>
        <v>1.0814238636937008</v>
      </c>
      <c r="K437" s="289">
        <f t="shared" si="46"/>
        <v>0.9940778974229032</v>
      </c>
      <c r="L437" s="289">
        <f t="shared" si="46"/>
        <v>1.022411789503378</v>
      </c>
      <c r="M437" s="289">
        <f t="shared" si="46"/>
        <v>0</v>
      </c>
      <c r="N437" s="289">
        <f t="shared" si="46"/>
        <v>1.088178718149122</v>
      </c>
      <c r="O437" s="289">
        <f t="shared" si="46"/>
        <v>1.1281299171828487</v>
      </c>
      <c r="P437" s="289">
        <f t="shared" si="46"/>
        <v>1.3131686855845066</v>
      </c>
      <c r="Q437" s="289">
        <f t="shared" si="46"/>
        <v>1.2960736334231735</v>
      </c>
      <c r="R437" s="289">
        <f t="shared" si="46"/>
        <v>0.97958609741966862</v>
      </c>
      <c r="S437" s="289">
        <f t="shared" si="46"/>
        <v>1.069015496833148</v>
      </c>
      <c r="T437" s="289">
        <f t="shared" si="46"/>
        <v>1.0691495580688695</v>
      </c>
      <c r="U437" s="289">
        <f t="shared" si="46"/>
        <v>1.0113813071913289</v>
      </c>
      <c r="V437" s="289">
        <f t="shared" si="46"/>
        <v>0.87410892115328997</v>
      </c>
      <c r="W437" s="289">
        <f t="shared" si="46"/>
        <v>0.7634755169795826</v>
      </c>
      <c r="X437" s="289">
        <f t="shared" si="46"/>
        <v>0.83936539843119951</v>
      </c>
      <c r="Y437" s="289">
        <f t="shared" si="46"/>
        <v>0.86081640676067517</v>
      </c>
      <c r="Z437" s="289">
        <f t="shared" si="46"/>
        <v>0.90118012042120799</v>
      </c>
      <c r="AA437" s="289">
        <f t="shared" si="46"/>
        <v>0.84669124673531371</v>
      </c>
      <c r="AB437" s="289">
        <f t="shared" si="46"/>
        <v>0.90763016643699823</v>
      </c>
      <c r="AC437" s="289">
        <f t="shared" si="46"/>
        <v>0.91764843011287678</v>
      </c>
      <c r="AD437" s="289">
        <f t="shared" si="46"/>
        <v>0.97818730308236068</v>
      </c>
      <c r="AE437" s="289">
        <f t="shared" si="46"/>
        <v>0.90073082342306243</v>
      </c>
      <c r="AF437" s="289">
        <f t="shared" si="46"/>
        <v>0.86552201962780084</v>
      </c>
      <c r="AG437" s="289">
        <f t="shared" si="46"/>
        <v>0.75562460248396646</v>
      </c>
      <c r="AH437" s="289">
        <f t="shared" si="46"/>
        <v>0.65076903283611021</v>
      </c>
      <c r="AI437" s="289">
        <f t="shared" si="46"/>
        <v>0.60846432413083062</v>
      </c>
      <c r="AJ437" s="289">
        <f t="shared" si="46"/>
        <v>0.75474130355612734</v>
      </c>
      <c r="AK437" s="289">
        <f t="shared" si="46"/>
        <v>0.81785045772863085</v>
      </c>
      <c r="AL437" s="289">
        <f t="shared" si="46"/>
        <v>0.85714052266116092</v>
      </c>
      <c r="AM437" s="289">
        <f t="shared" si="46"/>
        <v>0.88018127997962625</v>
      </c>
      <c r="AN437" s="289">
        <f t="shared" si="46"/>
        <v>0.73189171606755532</v>
      </c>
      <c r="AO437" s="289">
        <f t="shared" si="46"/>
        <v>0.57886140258867258</v>
      </c>
      <c r="AP437" s="289">
        <f t="shared" si="46"/>
        <v>0.58710608491357741</v>
      </c>
      <c r="AQ437" s="289">
        <f t="shared" si="46"/>
        <v>0.53380105432906644</v>
      </c>
      <c r="AR437" s="289">
        <f t="shared" si="46"/>
        <v>0.54860300611417212</v>
      </c>
      <c r="AS437" s="289">
        <f t="shared" ref="E437:BB442" si="47">AS187/AS$251</f>
        <v>0.61412245946272648</v>
      </c>
      <c r="AT437" s="289">
        <f t="shared" si="47"/>
        <v>0.69136099976444032</v>
      </c>
      <c r="AU437" s="289">
        <f t="shared" si="47"/>
        <v>0.68144159043273866</v>
      </c>
      <c r="AV437" s="289">
        <f t="shared" si="47"/>
        <v>0.71755434587236699</v>
      </c>
      <c r="AW437" s="289">
        <f t="shared" si="47"/>
        <v>0.6465397027696953</v>
      </c>
      <c r="AX437" s="289">
        <f t="shared" si="47"/>
        <v>0.68410574751868258</v>
      </c>
      <c r="AY437" s="289">
        <f t="shared" si="47"/>
        <v>0.70946934213568658</v>
      </c>
      <c r="AZ437" s="289">
        <f t="shared" si="47"/>
        <v>0.76976782123286658</v>
      </c>
      <c r="BA437" s="289">
        <f t="shared" si="47"/>
        <v>0.89383994125218524</v>
      </c>
      <c r="BB437" s="289">
        <f t="shared" si="47"/>
        <v>0.92867180645226266</v>
      </c>
      <c r="BC437" s="289">
        <f t="shared" si="38"/>
        <v>0.92867180645226266</v>
      </c>
    </row>
    <row r="438" spans="2:55">
      <c r="B438" s="72" t="s">
        <v>764</v>
      </c>
      <c r="C438" s="72" t="s">
        <v>765</v>
      </c>
      <c r="D438" s="289">
        <f t="shared" si="35"/>
        <v>9.1909970932806617E-2</v>
      </c>
      <c r="E438" s="289">
        <f t="shared" si="47"/>
        <v>9.4373777998193895E-2</v>
      </c>
      <c r="F438" s="289">
        <f t="shared" si="47"/>
        <v>9.6115789857130388E-2</v>
      </c>
      <c r="G438" s="289">
        <f t="shared" si="47"/>
        <v>0.10030306600901615</v>
      </c>
      <c r="H438" s="289">
        <f t="shared" si="47"/>
        <v>0.14785758172380586</v>
      </c>
      <c r="I438" s="289">
        <f t="shared" si="47"/>
        <v>0.14581647652425439</v>
      </c>
      <c r="J438" s="289">
        <f t="shared" si="47"/>
        <v>0.14830195321166359</v>
      </c>
      <c r="K438" s="289">
        <f t="shared" si="47"/>
        <v>0.16189203966786686</v>
      </c>
      <c r="L438" s="289">
        <f t="shared" si="47"/>
        <v>0.15863717321687631</v>
      </c>
      <c r="M438" s="289">
        <f t="shared" si="47"/>
        <v>0.14480695098409396</v>
      </c>
      <c r="N438" s="289">
        <f t="shared" si="47"/>
        <v>0.13268678633376135</v>
      </c>
      <c r="O438" s="289">
        <f t="shared" si="47"/>
        <v>0.11917347886439364</v>
      </c>
      <c r="P438" s="289">
        <f t="shared" si="47"/>
        <v>0.12765588654365756</v>
      </c>
      <c r="Q438" s="289">
        <f t="shared" si="47"/>
        <v>0.15965262817177409</v>
      </c>
      <c r="R438" s="289">
        <f t="shared" si="47"/>
        <v>0.13461684049833533</v>
      </c>
      <c r="S438" s="289">
        <f t="shared" si="47"/>
        <v>0.15780247536456751</v>
      </c>
      <c r="T438" s="289">
        <f t="shared" si="47"/>
        <v>0.16428509482983802</v>
      </c>
      <c r="U438" s="289">
        <f t="shared" si="47"/>
        <v>0.12020844120052721</v>
      </c>
      <c r="V438" s="289">
        <f t="shared" si="47"/>
        <v>6.6242778940314759E-2</v>
      </c>
      <c r="W438" s="289">
        <f t="shared" si="47"/>
        <v>6.8728636081853478E-2</v>
      </c>
      <c r="X438" s="289">
        <f t="shared" si="47"/>
        <v>8.1181344770203015E-2</v>
      </c>
      <c r="Y438" s="289">
        <f t="shared" si="47"/>
        <v>8.2157337913274536E-2</v>
      </c>
      <c r="Z438" s="289">
        <f t="shared" si="47"/>
        <v>9.4648611601140728E-2</v>
      </c>
      <c r="AA438" s="289">
        <f t="shared" si="47"/>
        <v>0.11106983487322056</v>
      </c>
      <c r="AB438" s="289">
        <f t="shared" si="47"/>
        <v>8.8427855412517103E-2</v>
      </c>
      <c r="AC438" s="289">
        <f t="shared" si="47"/>
        <v>7.5838169985710524E-2</v>
      </c>
      <c r="AD438" s="289">
        <f t="shared" si="47"/>
        <v>8.0840472997013066E-2</v>
      </c>
      <c r="AE438" s="289">
        <f t="shared" si="47"/>
        <v>4.4613081408857704E-2</v>
      </c>
      <c r="AF438" s="289">
        <f t="shared" si="47"/>
        <v>1.6699344558640951E-2</v>
      </c>
      <c r="AG438" s="289">
        <f t="shared" si="47"/>
        <v>1.3849540273264035E-2</v>
      </c>
      <c r="AH438" s="289">
        <f t="shared" si="47"/>
        <v>1.9191550435057443E-2</v>
      </c>
      <c r="AI438" s="289">
        <f t="shared" si="47"/>
        <v>2.1871123153542307E-2</v>
      </c>
      <c r="AJ438" s="289">
        <f t="shared" si="47"/>
        <v>2.3324851229982482E-2</v>
      </c>
      <c r="AK438" s="289">
        <f t="shared" si="47"/>
        <v>4.646939543940265E-2</v>
      </c>
      <c r="AL438" s="289">
        <f t="shared" si="47"/>
        <v>4.47714770822445E-2</v>
      </c>
      <c r="AM438" s="289">
        <f t="shared" si="47"/>
        <v>4.3414957612333591E-2</v>
      </c>
      <c r="AN438" s="289">
        <f t="shared" si="47"/>
        <v>3.8784583249977946E-2</v>
      </c>
      <c r="AO438" s="289">
        <f t="shared" si="47"/>
        <v>3.7753569245205933E-2</v>
      </c>
      <c r="AP438" s="289">
        <f t="shared" si="47"/>
        <v>3.7937928927929368E-2</v>
      </c>
      <c r="AQ438" s="289">
        <f t="shared" si="47"/>
        <v>4.0172513190679653E-2</v>
      </c>
      <c r="AR438" s="289">
        <f t="shared" si="47"/>
        <v>4.1628273484926981E-2</v>
      </c>
      <c r="AS438" s="289">
        <f t="shared" si="47"/>
        <v>3.7073046920286616E-2</v>
      </c>
      <c r="AT438" s="289">
        <f t="shared" si="47"/>
        <v>3.2307040413286893E-2</v>
      </c>
      <c r="AU438" s="289">
        <f t="shared" si="47"/>
        <v>2.9488037779716845E-2</v>
      </c>
      <c r="AV438" s="289">
        <f t="shared" si="47"/>
        <v>3.0575757351826272E-2</v>
      </c>
      <c r="AW438" s="289">
        <f t="shared" si="47"/>
        <v>3.051621238767295E-2</v>
      </c>
      <c r="AX438" s="289">
        <f t="shared" si="47"/>
        <v>2.8889195345270142E-2</v>
      </c>
      <c r="AY438" s="289">
        <f t="shared" si="47"/>
        <v>3.38121843924028E-2</v>
      </c>
      <c r="AZ438" s="289">
        <f t="shared" si="47"/>
        <v>3.9960208104849841E-2</v>
      </c>
      <c r="BA438" s="289">
        <f t="shared" si="47"/>
        <v>4.0154322939544601E-2</v>
      </c>
      <c r="BB438" s="289">
        <f t="shared" si="47"/>
        <v>4.0657846621405612E-2</v>
      </c>
      <c r="BC438" s="289">
        <f t="shared" si="38"/>
        <v>4.0657846621405612E-2</v>
      </c>
    </row>
    <row r="439" spans="2:55">
      <c r="B439" s="72" t="s">
        <v>766</v>
      </c>
      <c r="C439" s="72" t="s">
        <v>767</v>
      </c>
      <c r="D439" s="289">
        <f t="shared" si="35"/>
        <v>0.10001216796695311</v>
      </c>
      <c r="E439" s="289">
        <f t="shared" si="47"/>
        <v>0.10202561852086336</v>
      </c>
      <c r="F439" s="289">
        <f t="shared" si="47"/>
        <v>0.10379477564235749</v>
      </c>
      <c r="G439" s="289">
        <f t="shared" si="47"/>
        <v>9.2226306753357662E-2</v>
      </c>
      <c r="H439" s="289">
        <f t="shared" si="47"/>
        <v>9.5910127938715839E-2</v>
      </c>
      <c r="I439" s="289">
        <f t="shared" si="47"/>
        <v>9.1929230370415782E-2</v>
      </c>
      <c r="J439" s="289">
        <f t="shared" si="47"/>
        <v>8.1988013680562591E-2</v>
      </c>
      <c r="K439" s="289">
        <f t="shared" si="47"/>
        <v>8.231959402045555E-2</v>
      </c>
      <c r="L439" s="289">
        <f t="shared" si="47"/>
        <v>7.2626079652507072E-2</v>
      </c>
      <c r="M439" s="289">
        <f t="shared" si="47"/>
        <v>6.5978709864213017E-2</v>
      </c>
      <c r="N439" s="289">
        <f t="shared" si="47"/>
        <v>6.0566887644349067E-2</v>
      </c>
      <c r="O439" s="289">
        <f t="shared" si="47"/>
        <v>5.5246971856924773E-2</v>
      </c>
      <c r="P439" s="289">
        <f t="shared" si="47"/>
        <v>6.0784894919834069E-2</v>
      </c>
      <c r="Q439" s="289">
        <f t="shared" si="47"/>
        <v>5.9271546528695429E-2</v>
      </c>
      <c r="R439" s="289">
        <f t="shared" si="47"/>
        <v>4.9179069469197173E-2</v>
      </c>
      <c r="S439" s="289">
        <f t="shared" si="47"/>
        <v>5.0427760199961008E-2</v>
      </c>
      <c r="T439" s="289">
        <f t="shared" si="47"/>
        <v>5.256807563806757E-2</v>
      </c>
      <c r="U439" s="289">
        <f t="shared" si="47"/>
        <v>5.5338357656153504E-2</v>
      </c>
      <c r="V439" s="289">
        <f t="shared" si="47"/>
        <v>4.9217587237198199E-2</v>
      </c>
      <c r="W439" s="289">
        <f t="shared" si="47"/>
        <v>4.4401318531164316E-2</v>
      </c>
      <c r="X439" s="289">
        <f t="shared" si="47"/>
        <v>3.9324921639553631E-2</v>
      </c>
      <c r="Y439" s="289">
        <f t="shared" si="47"/>
        <v>3.7277648927157722E-2</v>
      </c>
      <c r="Z439" s="289">
        <f t="shared" si="47"/>
        <v>3.4179968728073086E-2</v>
      </c>
      <c r="AA439" s="289">
        <f t="shared" si="47"/>
        <v>2.8641580196383843E-2</v>
      </c>
      <c r="AB439" s="289">
        <f t="shared" si="47"/>
        <v>2.6020750462968287E-2</v>
      </c>
      <c r="AC439" s="289">
        <f t="shared" si="47"/>
        <v>2.7288031007237062E-2</v>
      </c>
      <c r="AD439" s="289">
        <f t="shared" si="47"/>
        <v>2.5391850805195498E-2</v>
      </c>
      <c r="AE439" s="289">
        <f t="shared" si="47"/>
        <v>2.0788286351277861E-2</v>
      </c>
      <c r="AF439" s="289">
        <f t="shared" si="47"/>
        <v>1.915887543218573E-2</v>
      </c>
      <c r="AG439" s="289">
        <f t="shared" si="47"/>
        <v>1.8007907229034295E-2</v>
      </c>
      <c r="AH439" s="289">
        <f t="shared" si="47"/>
        <v>1.5755187432231203E-2</v>
      </c>
      <c r="AI439" s="289">
        <f t="shared" si="47"/>
        <v>1.4901211501889201E-2</v>
      </c>
      <c r="AJ439" s="289">
        <f t="shared" si="47"/>
        <v>1.1017750826553598E-2</v>
      </c>
      <c r="AK439" s="289">
        <f t="shared" si="47"/>
        <v>9.6137395357101703E-3</v>
      </c>
      <c r="AL439" s="289">
        <f t="shared" si="47"/>
        <v>1.0274468428589782E-2</v>
      </c>
      <c r="AM439" s="289">
        <f t="shared" si="47"/>
        <v>9.9799752100342542E-3</v>
      </c>
      <c r="AN439" s="289">
        <f t="shared" si="47"/>
        <v>7.9983092121234528E-3</v>
      </c>
      <c r="AO439" s="289">
        <f t="shared" si="47"/>
        <v>8.1567802571664728E-3</v>
      </c>
      <c r="AP439" s="289">
        <f t="shared" si="47"/>
        <v>7.4664689576664474E-3</v>
      </c>
      <c r="AQ439" s="289">
        <f t="shared" si="47"/>
        <v>6.5708151885304975E-3</v>
      </c>
      <c r="AR439" s="289">
        <f t="shared" si="47"/>
        <v>6.9264863915202163E-3</v>
      </c>
      <c r="AS439" s="289">
        <f t="shared" si="47"/>
        <v>6.8679284451577012E-3</v>
      </c>
      <c r="AT439" s="289">
        <f t="shared" si="47"/>
        <v>7.2351232797203948E-3</v>
      </c>
      <c r="AU439" s="289">
        <f t="shared" si="47"/>
        <v>6.6307980332620461E-3</v>
      </c>
      <c r="AV439" s="289">
        <f t="shared" si="47"/>
        <v>6.8742403360025784E-3</v>
      </c>
      <c r="AW439" s="289">
        <f t="shared" si="47"/>
        <v>6.6897860721214205E-3</v>
      </c>
      <c r="AX439" s="289">
        <f t="shared" si="47"/>
        <v>6.6405677107455527E-3</v>
      </c>
      <c r="AY439" s="289">
        <f t="shared" si="47"/>
        <v>8.6129151830681549E-3</v>
      </c>
      <c r="AZ439" s="289">
        <f t="shared" si="47"/>
        <v>9.9329209433037437E-3</v>
      </c>
      <c r="BA439" s="289">
        <f t="shared" si="47"/>
        <v>9.6203638405130115E-3</v>
      </c>
      <c r="BB439" s="289">
        <f t="shared" si="47"/>
        <v>9.5917057930947312E-3</v>
      </c>
      <c r="BC439" s="289">
        <f t="shared" si="38"/>
        <v>9.5917057930947312E-3</v>
      </c>
    </row>
    <row r="440" spans="2:55">
      <c r="B440" s="72" t="s">
        <v>768</v>
      </c>
      <c r="C440" s="72" t="s">
        <v>769</v>
      </c>
      <c r="D440" s="289">
        <f t="shared" si="35"/>
        <v>6.5557566107710769E-2</v>
      </c>
      <c r="E440" s="289">
        <f t="shared" si="47"/>
        <v>6.7661522323529996E-2</v>
      </c>
      <c r="F440" s="289">
        <f t="shared" si="47"/>
        <v>6.620284902105221E-2</v>
      </c>
      <c r="G440" s="289">
        <f t="shared" si="47"/>
        <v>6.4115491855248938E-2</v>
      </c>
      <c r="H440" s="289">
        <f t="shared" si="47"/>
        <v>6.1992026991334791E-2</v>
      </c>
      <c r="I440" s="289">
        <f t="shared" si="47"/>
        <v>6.2072173573771594E-2</v>
      </c>
      <c r="J440" s="289">
        <f t="shared" si="47"/>
        <v>4.8038078393290606E-2</v>
      </c>
      <c r="K440" s="289">
        <f t="shared" si="47"/>
        <v>5.009328070377847E-2</v>
      </c>
      <c r="L440" s="289">
        <f t="shared" si="47"/>
        <v>5.8266590549083092E-2</v>
      </c>
      <c r="M440" s="289">
        <f t="shared" si="47"/>
        <v>9.7562176806388082E-2</v>
      </c>
      <c r="N440" s="289">
        <f t="shared" si="47"/>
        <v>6.1884664206803539E-2</v>
      </c>
      <c r="O440" s="289">
        <f t="shared" si="47"/>
        <v>7.0513162695266751E-2</v>
      </c>
      <c r="P440" s="289">
        <f t="shared" si="47"/>
        <v>7.5421446062510888E-2</v>
      </c>
      <c r="Q440" s="289">
        <f t="shared" si="47"/>
        <v>0.11151312878297358</v>
      </c>
      <c r="R440" s="289">
        <f t="shared" si="47"/>
        <v>0.10141514806711813</v>
      </c>
      <c r="S440" s="289">
        <f t="shared" si="47"/>
        <v>0.13397003221182344</v>
      </c>
      <c r="T440" s="289">
        <f t="shared" si="47"/>
        <v>0.11418148317417254</v>
      </c>
      <c r="U440" s="289">
        <f t="shared" si="47"/>
        <v>8.8589406671216078E-2</v>
      </c>
      <c r="V440" s="289">
        <f t="shared" si="47"/>
        <v>8.5693077120352026E-2</v>
      </c>
      <c r="W440" s="289">
        <f t="shared" si="47"/>
        <v>8.831638944799898E-2</v>
      </c>
      <c r="X440" s="289">
        <f t="shared" si="47"/>
        <v>8.4452552421520902E-2</v>
      </c>
      <c r="Y440" s="289">
        <f t="shared" si="47"/>
        <v>7.1686584384607205E-2</v>
      </c>
      <c r="Z440" s="289">
        <f t="shared" si="47"/>
        <v>5.1790564192754358E-2</v>
      </c>
      <c r="AA440" s="289">
        <f t="shared" si="47"/>
        <v>4.3296257041076543E-2</v>
      </c>
      <c r="AB440" s="289">
        <f t="shared" si="47"/>
        <v>4.0315541763166395E-2</v>
      </c>
      <c r="AC440" s="289">
        <f t="shared" si="47"/>
        <v>2.2806219851070685E-2</v>
      </c>
      <c r="AD440" s="289">
        <f t="shared" si="47"/>
        <v>2.1033604696718253E-2</v>
      </c>
      <c r="AE440" s="289">
        <f t="shared" si="47"/>
        <v>1.6479532090665393E-2</v>
      </c>
      <c r="AF440" s="289">
        <f t="shared" si="47"/>
        <v>1.6645356002145333E-2</v>
      </c>
      <c r="AG440" s="289">
        <f t="shared" si="47"/>
        <v>1.650129876043881E-2</v>
      </c>
      <c r="AH440" s="289">
        <f t="shared" si="47"/>
        <v>1.4857144946331859E-2</v>
      </c>
      <c r="AI440" s="289">
        <f t="shared" si="47"/>
        <v>1.6840172588097356E-2</v>
      </c>
      <c r="AJ440" s="289">
        <f t="shared" si="47"/>
        <v>1.1971580257970963E-2</v>
      </c>
      <c r="AK440" s="289">
        <f t="shared" si="47"/>
        <v>1.2015324518785323E-2</v>
      </c>
      <c r="AL440" s="289">
        <f t="shared" si="47"/>
        <v>1.2811048016846889E-2</v>
      </c>
      <c r="AM440" s="289">
        <f t="shared" si="47"/>
        <v>1.4949787591025254E-2</v>
      </c>
      <c r="AN440" s="289">
        <f t="shared" si="47"/>
        <v>1.3397586100012916E-2</v>
      </c>
      <c r="AO440" s="289">
        <f t="shared" si="47"/>
        <v>1.0899540560111977E-2</v>
      </c>
      <c r="AP440" s="289">
        <f t="shared" si="47"/>
        <v>1.1235733871194769E-2</v>
      </c>
      <c r="AQ440" s="289">
        <f t="shared" si="47"/>
        <v>1.4836531816396362E-2</v>
      </c>
      <c r="AR440" s="289">
        <f t="shared" si="47"/>
        <v>1.5253078552608814E-2</v>
      </c>
      <c r="AS440" s="289">
        <f t="shared" si="47"/>
        <v>1.6866039765188676E-2</v>
      </c>
      <c r="AT440" s="289">
        <f t="shared" si="47"/>
        <v>1.6320554267057981E-2</v>
      </c>
      <c r="AU440" s="289">
        <f t="shared" si="47"/>
        <v>1.7550838019859571E-2</v>
      </c>
      <c r="AV440" s="289">
        <f t="shared" si="47"/>
        <v>2.1058600014655881E-2</v>
      </c>
      <c r="AW440" s="289">
        <f t="shared" si="47"/>
        <v>2.5063028087523309E-2</v>
      </c>
      <c r="AX440" s="289">
        <f t="shared" si="47"/>
        <v>2.4370367189697116E-2</v>
      </c>
      <c r="AY440" s="289">
        <f t="shared" si="47"/>
        <v>3.1860330238631204E-2</v>
      </c>
      <c r="AZ440" s="289">
        <f t="shared" si="47"/>
        <v>3.0886623599874853E-2</v>
      </c>
      <c r="BA440" s="289">
        <f t="shared" si="47"/>
        <v>3.9806077754656312E-2</v>
      </c>
      <c r="BB440" s="289">
        <f t="shared" si="47"/>
        <v>3.846774819115964E-2</v>
      </c>
      <c r="BC440" s="289">
        <f t="shared" si="38"/>
        <v>3.846774819115964E-2</v>
      </c>
    </row>
    <row r="441" spans="2:55">
      <c r="B441" s="72" t="s">
        <v>770</v>
      </c>
      <c r="C441" s="72" t="s">
        <v>771</v>
      </c>
      <c r="D441" s="289">
        <f t="shared" si="35"/>
        <v>0</v>
      </c>
      <c r="E441" s="289">
        <f t="shared" si="47"/>
        <v>0</v>
      </c>
      <c r="F441" s="289">
        <f t="shared" si="47"/>
        <v>0</v>
      </c>
      <c r="G441" s="289">
        <f t="shared" si="47"/>
        <v>0</v>
      </c>
      <c r="H441" s="289">
        <f t="shared" si="47"/>
        <v>0</v>
      </c>
      <c r="I441" s="289">
        <f t="shared" si="47"/>
        <v>0</v>
      </c>
      <c r="J441" s="289">
        <f t="shared" si="47"/>
        <v>0</v>
      </c>
      <c r="K441" s="289">
        <f t="shared" si="47"/>
        <v>0</v>
      </c>
      <c r="L441" s="289">
        <f t="shared" si="47"/>
        <v>0</v>
      </c>
      <c r="M441" s="289">
        <f t="shared" si="47"/>
        <v>0</v>
      </c>
      <c r="N441" s="289">
        <f t="shared" si="47"/>
        <v>0</v>
      </c>
      <c r="O441" s="289">
        <f t="shared" si="47"/>
        <v>0</v>
      </c>
      <c r="P441" s="289">
        <f t="shared" si="47"/>
        <v>0</v>
      </c>
      <c r="Q441" s="289">
        <f t="shared" si="47"/>
        <v>0</v>
      </c>
      <c r="R441" s="289">
        <f t="shared" si="47"/>
        <v>0</v>
      </c>
      <c r="S441" s="289">
        <f t="shared" si="47"/>
        <v>0</v>
      </c>
      <c r="T441" s="289">
        <f t="shared" si="47"/>
        <v>0</v>
      </c>
      <c r="U441" s="289">
        <f t="shared" si="47"/>
        <v>0</v>
      </c>
      <c r="V441" s="289">
        <f t="shared" si="47"/>
        <v>0</v>
      </c>
      <c r="W441" s="289">
        <f t="shared" si="47"/>
        <v>0</v>
      </c>
      <c r="X441" s="289">
        <f t="shared" si="47"/>
        <v>0</v>
      </c>
      <c r="Y441" s="289">
        <f t="shared" si="47"/>
        <v>0</v>
      </c>
      <c r="Z441" s="289">
        <f t="shared" si="47"/>
        <v>0</v>
      </c>
      <c r="AA441" s="289">
        <f t="shared" si="47"/>
        <v>0</v>
      </c>
      <c r="AB441" s="289">
        <f t="shared" si="47"/>
        <v>0</v>
      </c>
      <c r="AC441" s="289">
        <f t="shared" si="47"/>
        <v>0</v>
      </c>
      <c r="AD441" s="289">
        <f t="shared" si="47"/>
        <v>0</v>
      </c>
      <c r="AE441" s="289">
        <f t="shared" si="47"/>
        <v>0</v>
      </c>
      <c r="AF441" s="289">
        <f t="shared" si="47"/>
        <v>0</v>
      </c>
      <c r="AG441" s="289">
        <f t="shared" si="47"/>
        <v>0</v>
      </c>
      <c r="AH441" s="289">
        <f t="shared" si="47"/>
        <v>0</v>
      </c>
      <c r="AI441" s="289">
        <f t="shared" si="47"/>
        <v>0</v>
      </c>
      <c r="AJ441" s="289">
        <f t="shared" si="47"/>
        <v>0</v>
      </c>
      <c r="AK441" s="289">
        <f t="shared" si="47"/>
        <v>0</v>
      </c>
      <c r="AL441" s="289">
        <f t="shared" si="47"/>
        <v>0</v>
      </c>
      <c r="AM441" s="289">
        <f t="shared" si="47"/>
        <v>0</v>
      </c>
      <c r="AN441" s="289">
        <f t="shared" si="47"/>
        <v>0</v>
      </c>
      <c r="AO441" s="289">
        <f t="shared" si="47"/>
        <v>0</v>
      </c>
      <c r="AP441" s="289">
        <f t="shared" si="47"/>
        <v>0</v>
      </c>
      <c r="AQ441" s="289">
        <f t="shared" si="47"/>
        <v>0</v>
      </c>
      <c r="AR441" s="289">
        <f t="shared" si="47"/>
        <v>0</v>
      </c>
      <c r="AS441" s="289">
        <f t="shared" si="47"/>
        <v>0</v>
      </c>
      <c r="AT441" s="289">
        <f t="shared" si="47"/>
        <v>0</v>
      </c>
      <c r="AU441" s="289">
        <f t="shared" si="47"/>
        <v>0</v>
      </c>
      <c r="AV441" s="289">
        <f t="shared" si="47"/>
        <v>0</v>
      </c>
      <c r="AW441" s="289">
        <f t="shared" si="47"/>
        <v>0</v>
      </c>
      <c r="AX441" s="289">
        <f t="shared" si="47"/>
        <v>0</v>
      </c>
      <c r="AY441" s="289">
        <f t="shared" si="47"/>
        <v>0</v>
      </c>
      <c r="AZ441" s="289">
        <f t="shared" si="47"/>
        <v>0</v>
      </c>
      <c r="BA441" s="289">
        <f t="shared" si="47"/>
        <v>0</v>
      </c>
      <c r="BB441" s="289">
        <f t="shared" si="47"/>
        <v>0</v>
      </c>
      <c r="BC441" s="289">
        <f t="shared" si="38"/>
        <v>0</v>
      </c>
    </row>
    <row r="442" spans="2:55">
      <c r="B442" s="72" t="s">
        <v>772</v>
      </c>
      <c r="C442" s="72" t="s">
        <v>773</v>
      </c>
      <c r="D442" s="289">
        <f t="shared" si="35"/>
        <v>1.0742009670958308</v>
      </c>
      <c r="E442" s="289">
        <f t="shared" si="47"/>
        <v>1.101473811144666</v>
      </c>
      <c r="F442" s="289">
        <f t="shared" si="47"/>
        <v>1.1148854173566121</v>
      </c>
      <c r="G442" s="289">
        <f t="shared" si="47"/>
        <v>1.120553162062832</v>
      </c>
      <c r="H442" s="289">
        <f t="shared" si="47"/>
        <v>1.1693796413280975</v>
      </c>
      <c r="I442" s="289">
        <f t="shared" si="47"/>
        <v>1.182466817831636</v>
      </c>
      <c r="J442" s="289">
        <f t="shared" si="47"/>
        <v>1.2423450921653225</v>
      </c>
      <c r="K442" s="289">
        <f t="shared" si="47"/>
        <v>1.4037840611816923</v>
      </c>
      <c r="L442" s="289">
        <f t="shared" si="47"/>
        <v>1.4147366716035192</v>
      </c>
      <c r="M442" s="289">
        <f t="shared" si="47"/>
        <v>1.4649776964144661</v>
      </c>
      <c r="N442" s="289">
        <f t="shared" si="47"/>
        <v>1.4685335779774649</v>
      </c>
      <c r="O442" s="289">
        <f t="shared" si="47"/>
        <v>1.5139322225402607</v>
      </c>
      <c r="P442" s="289">
        <f t="shared" si="47"/>
        <v>1.7318070915535644</v>
      </c>
      <c r="Q442" s="289">
        <f t="shared" si="47"/>
        <v>1.917805515022585</v>
      </c>
      <c r="R442" s="289">
        <f t="shared" si="47"/>
        <v>1.9326474119490775</v>
      </c>
      <c r="S442" s="289">
        <f t="shared" si="47"/>
        <v>2.1866063285063433</v>
      </c>
      <c r="T442" s="289">
        <f t="shared" si="47"/>
        <v>2.2249056686062243</v>
      </c>
      <c r="U442" s="289">
        <f t="shared" si="47"/>
        <v>1.9596583875070437</v>
      </c>
      <c r="V442" s="289">
        <f t="shared" si="47"/>
        <v>1.7178574818402463</v>
      </c>
      <c r="W442" s="289">
        <f t="shared" si="47"/>
        <v>1.6205783788876302</v>
      </c>
      <c r="X442" s="289">
        <f t="shared" si="47"/>
        <v>1.6772944102430509</v>
      </c>
      <c r="Y442" s="289">
        <f t="shared" si="47"/>
        <v>1.724116576537857</v>
      </c>
      <c r="Z442" s="289">
        <f t="shared" si="47"/>
        <v>1.7809529946481912</v>
      </c>
      <c r="AA442" s="289">
        <f t="shared" si="47"/>
        <v>1.8974583902609254</v>
      </c>
      <c r="AB442" s="289">
        <f t="shared" si="47"/>
        <v>1.8848463384690031</v>
      </c>
      <c r="AC442" s="289">
        <f t="shared" si="47"/>
        <v>1.8408115824758942</v>
      </c>
      <c r="AD442" s="289">
        <f t="shared" si="47"/>
        <v>1.7903167493223822</v>
      </c>
      <c r="AE442" s="289">
        <f t="shared" si="47"/>
        <v>1.5898157651909963</v>
      </c>
      <c r="AF442" s="289">
        <f t="shared" si="47"/>
        <v>1.583316614864493</v>
      </c>
      <c r="AG442" s="289">
        <f t="shared" si="47"/>
        <v>1.5678607367083213</v>
      </c>
      <c r="AH442" s="289">
        <f t="shared" si="47"/>
        <v>1.5270511709638417</v>
      </c>
      <c r="AI442" s="289">
        <f t="shared" si="47"/>
        <v>1.5786334414436973</v>
      </c>
      <c r="AJ442" s="289">
        <f t="shared" si="47"/>
        <v>1.612229557065094</v>
      </c>
      <c r="AK442" s="289">
        <f t="shared" si="47"/>
        <v>1.5666117919749529</v>
      </c>
      <c r="AL442" s="289">
        <f t="shared" si="47"/>
        <v>1.7129315019826172</v>
      </c>
      <c r="AM442" s="289">
        <f t="shared" si="47"/>
        <v>1.7435028183612464</v>
      </c>
      <c r="AN442" s="289">
        <f t="shared" si="47"/>
        <v>1.5310367998207135</v>
      </c>
      <c r="AO442" s="289">
        <f t="shared" si="47"/>
        <v>1.364461443871434</v>
      </c>
      <c r="AP442" s="289">
        <f t="shared" si="47"/>
        <v>1.3910152623429317</v>
      </c>
      <c r="AQ442" s="289">
        <f t="shared" si="47"/>
        <v>1.495460516569646</v>
      </c>
      <c r="AR442" s="289">
        <f t="shared" si="47"/>
        <v>1.5246656301905492</v>
      </c>
      <c r="AS442" s="289">
        <f t="shared" si="47"/>
        <v>1.5665395796541115</v>
      </c>
      <c r="AT442" s="289">
        <f t="shared" si="47"/>
        <v>1.5813415232676491</v>
      </c>
      <c r="AU442" s="289">
        <f t="shared" si="47"/>
        <v>1.5431920965989412</v>
      </c>
      <c r="AV442" s="289">
        <f t="shared" si="47"/>
        <v>1.72519210830793</v>
      </c>
      <c r="AW442" s="289">
        <f t="shared" si="47"/>
        <v>1.8023230081820452</v>
      </c>
      <c r="AX442" s="289">
        <f t="shared" ref="E442:BB447" si="48">AX192/AX$251</f>
        <v>1.8034924663446799</v>
      </c>
      <c r="AY442" s="289">
        <f t="shared" si="48"/>
        <v>2.2061844907528894</v>
      </c>
      <c r="AZ442" s="289">
        <f t="shared" si="48"/>
        <v>2.1966376266812535</v>
      </c>
      <c r="BA442" s="289">
        <f t="shared" si="48"/>
        <v>2.3566591340275074</v>
      </c>
      <c r="BB442" s="289">
        <f t="shared" si="48"/>
        <v>2.5129696856654644</v>
      </c>
      <c r="BC442" s="289">
        <f t="shared" si="38"/>
        <v>2.5129696856654644</v>
      </c>
    </row>
    <row r="443" spans="2:55">
      <c r="B443" s="72" t="s">
        <v>774</v>
      </c>
      <c r="C443" s="72" t="s">
        <v>775</v>
      </c>
      <c r="D443" s="289">
        <f t="shared" si="35"/>
        <v>5.5061294546858833E-2</v>
      </c>
      <c r="E443" s="289">
        <f t="shared" si="48"/>
        <v>6.3612937821513144E-2</v>
      </c>
      <c r="F443" s="289">
        <f t="shared" si="48"/>
        <v>6.2799645127156134E-2</v>
      </c>
      <c r="G443" s="289">
        <f t="shared" si="48"/>
        <v>5.8231534454060242E-2</v>
      </c>
      <c r="H443" s="289">
        <f t="shared" si="48"/>
        <v>5.4218672064532264E-2</v>
      </c>
      <c r="I443" s="289">
        <f t="shared" si="48"/>
        <v>5.3387607866798921E-2</v>
      </c>
      <c r="J443" s="289">
        <f t="shared" si="48"/>
        <v>7.9502559584830268E-2</v>
      </c>
      <c r="K443" s="289">
        <f t="shared" si="48"/>
        <v>0.14521215223988845</v>
      </c>
      <c r="L443" s="289">
        <f t="shared" si="48"/>
        <v>0.16687317430253176</v>
      </c>
      <c r="M443" s="289">
        <f t="shared" si="48"/>
        <v>0.15624899377547039</v>
      </c>
      <c r="N443" s="289">
        <f t="shared" si="48"/>
        <v>0.15722261935844517</v>
      </c>
      <c r="O443" s="289">
        <f t="shared" si="48"/>
        <v>0.16119701014662238</v>
      </c>
      <c r="P443" s="289">
        <f t="shared" si="48"/>
        <v>0.18099480749719585</v>
      </c>
      <c r="Q443" s="289">
        <f t="shared" si="48"/>
        <v>0.54665948460692293</v>
      </c>
      <c r="R443" s="289">
        <f t="shared" si="48"/>
        <v>0.55509015351064195</v>
      </c>
      <c r="S443" s="289">
        <f t="shared" si="48"/>
        <v>0.66994698521048424</v>
      </c>
      <c r="T443" s="289">
        <f t="shared" si="48"/>
        <v>0.6015570873226721</v>
      </c>
      <c r="U443" s="289">
        <f t="shared" si="48"/>
        <v>0.448867867288052</v>
      </c>
      <c r="V443" s="289">
        <f t="shared" si="48"/>
        <v>0.44518505767188582</v>
      </c>
      <c r="W443" s="289">
        <f t="shared" si="48"/>
        <v>0.52619391896335554</v>
      </c>
      <c r="X443" s="289">
        <f t="shared" si="48"/>
        <v>0.6352723084505858</v>
      </c>
      <c r="Y443" s="289">
        <f t="shared" si="48"/>
        <v>0.65564943309567314</v>
      </c>
      <c r="Z443" s="289">
        <f t="shared" si="48"/>
        <v>0.68786826270643397</v>
      </c>
      <c r="AA443" s="289">
        <f t="shared" si="48"/>
        <v>0.77270028114308287</v>
      </c>
      <c r="AB443" s="289">
        <f t="shared" si="48"/>
        <v>0.79212169166075541</v>
      </c>
      <c r="AC443" s="289">
        <f t="shared" si="48"/>
        <v>0.45330866795103913</v>
      </c>
      <c r="AD443" s="289">
        <f t="shared" si="48"/>
        <v>0.37953877325945723</v>
      </c>
      <c r="AE443" s="289">
        <f t="shared" si="48"/>
        <v>0.32400750434275211</v>
      </c>
      <c r="AF443" s="289">
        <f t="shared" si="48"/>
        <v>0.34641091003879881</v>
      </c>
      <c r="AG443" s="289">
        <f t="shared" si="48"/>
        <v>0.35364714131303082</v>
      </c>
      <c r="AH443" s="289">
        <f t="shared" si="48"/>
        <v>0.3168069127035591</v>
      </c>
      <c r="AI443" s="289">
        <f t="shared" si="48"/>
        <v>0.32330252643063645</v>
      </c>
      <c r="AJ443" s="289">
        <f t="shared" si="48"/>
        <v>0.34777055169798332</v>
      </c>
      <c r="AK443" s="289">
        <f t="shared" si="48"/>
        <v>0.32293990237274783</v>
      </c>
      <c r="AL443" s="289">
        <f t="shared" si="48"/>
        <v>0.31006722381038682</v>
      </c>
      <c r="AM443" s="289">
        <f t="shared" si="48"/>
        <v>0.32260806975320439</v>
      </c>
      <c r="AN443" s="289">
        <f t="shared" si="48"/>
        <v>0.29786038728680253</v>
      </c>
      <c r="AO443" s="289">
        <f t="shared" si="48"/>
        <v>0.24901257169865409</v>
      </c>
      <c r="AP443" s="289">
        <f t="shared" si="48"/>
        <v>0.27134369559468163</v>
      </c>
      <c r="AQ443" s="289">
        <f t="shared" si="48"/>
        <v>0.3501903259529221</v>
      </c>
      <c r="AR443" s="289">
        <f t="shared" si="48"/>
        <v>0.35242158773082</v>
      </c>
      <c r="AS443" s="289">
        <f t="shared" si="48"/>
        <v>0.32249016310790452</v>
      </c>
      <c r="AT443" s="289">
        <f t="shared" si="48"/>
        <v>0.29602262996647422</v>
      </c>
      <c r="AU443" s="289">
        <f t="shared" si="48"/>
        <v>0.28271623261243123</v>
      </c>
      <c r="AV443" s="289">
        <f t="shared" si="48"/>
        <v>0.33368782958570348</v>
      </c>
      <c r="AW443" s="289">
        <f t="shared" si="48"/>
        <v>0.36503331427903218</v>
      </c>
      <c r="AX443" s="289">
        <f t="shared" si="48"/>
        <v>0.35311833146238625</v>
      </c>
      <c r="AY443" s="289">
        <f t="shared" si="48"/>
        <v>0.53233243406004882</v>
      </c>
      <c r="AZ443" s="289">
        <f t="shared" si="48"/>
        <v>0.48908776485434241</v>
      </c>
      <c r="BA443" s="289">
        <f t="shared" si="48"/>
        <v>0.5734452690138514</v>
      </c>
      <c r="BB443" s="289">
        <f t="shared" si="48"/>
        <v>0.64604543426717986</v>
      </c>
      <c r="BC443" s="289">
        <f t="shared" si="38"/>
        <v>0.64604543426717986</v>
      </c>
    </row>
    <row r="444" spans="2:55">
      <c r="B444" s="72" t="s">
        <v>776</v>
      </c>
      <c r="C444" s="72" t="s">
        <v>777</v>
      </c>
      <c r="D444" s="289">
        <f t="shared" si="35"/>
        <v>5.9348744795439931E-2</v>
      </c>
      <c r="E444" s="289">
        <f t="shared" si="48"/>
        <v>5.8022981621844952E-2</v>
      </c>
      <c r="F444" s="289">
        <f t="shared" si="48"/>
        <v>5.7696042360948059E-2</v>
      </c>
      <c r="G444" s="289">
        <f t="shared" si="48"/>
        <v>5.8536744748546643E-2</v>
      </c>
      <c r="H444" s="289">
        <f t="shared" si="48"/>
        <v>6.1148250675621525E-2</v>
      </c>
      <c r="I444" s="289">
        <f t="shared" si="48"/>
        <v>6.1843486684079928E-2</v>
      </c>
      <c r="J444" s="289">
        <f t="shared" si="48"/>
        <v>6.678814569612869E-2</v>
      </c>
      <c r="K444" s="289">
        <f t="shared" si="48"/>
        <v>7.5830702299315433E-2</v>
      </c>
      <c r="L444" s="289">
        <f t="shared" si="48"/>
        <v>7.3502331294433829E-2</v>
      </c>
      <c r="M444" s="289">
        <f t="shared" si="48"/>
        <v>7.5315646236061393E-2</v>
      </c>
      <c r="N444" s="289">
        <f t="shared" si="48"/>
        <v>6.8778178951326208E-2</v>
      </c>
      <c r="O444" s="289">
        <f t="shared" si="48"/>
        <v>5.1296787056206258E-2</v>
      </c>
      <c r="P444" s="289">
        <f t="shared" si="48"/>
        <v>3.008049524988933E-2</v>
      </c>
      <c r="Q444" s="289">
        <f t="shared" si="48"/>
        <v>3.7541234951793463E-2</v>
      </c>
      <c r="R444" s="289">
        <f t="shared" si="48"/>
        <v>3.9379968188010359E-2</v>
      </c>
      <c r="S444" s="289">
        <f t="shared" si="48"/>
        <v>4.6731646312065396E-2</v>
      </c>
      <c r="T444" s="289">
        <f t="shared" si="48"/>
        <v>4.5445146060549044E-2</v>
      </c>
      <c r="U444" s="289">
        <f t="shared" si="48"/>
        <v>4.0903193031017158E-2</v>
      </c>
      <c r="V444" s="289">
        <f t="shared" si="48"/>
        <v>3.3711242681042454E-2</v>
      </c>
      <c r="W444" s="289">
        <f t="shared" si="48"/>
        <v>3.0583969912713838E-2</v>
      </c>
      <c r="X444" s="289">
        <f t="shared" si="48"/>
        <v>3.6907181976842444E-2</v>
      </c>
      <c r="Y444" s="289">
        <f t="shared" si="48"/>
        <v>4.0891448252875891E-2</v>
      </c>
      <c r="Z444" s="289">
        <f t="shared" si="48"/>
        <v>3.8910910752805838E-2</v>
      </c>
      <c r="AA444" s="289">
        <f t="shared" si="48"/>
        <v>4.3394272710895923E-2</v>
      </c>
      <c r="AB444" s="289">
        <f t="shared" si="48"/>
        <v>3.9735990933838734E-2</v>
      </c>
      <c r="AC444" s="289">
        <f t="shared" si="48"/>
        <v>3.211064703653823E-2</v>
      </c>
      <c r="AD444" s="289">
        <f t="shared" si="48"/>
        <v>2.6508878186553831E-2</v>
      </c>
      <c r="AE444" s="289">
        <f t="shared" si="48"/>
        <v>2.4429756046557633E-2</v>
      </c>
      <c r="AF444" s="289">
        <f t="shared" si="48"/>
        <v>2.4561431989783913E-2</v>
      </c>
      <c r="AG444" s="289">
        <f t="shared" si="48"/>
        <v>2.0224940019400468E-2</v>
      </c>
      <c r="AH444" s="289">
        <f t="shared" si="48"/>
        <v>2.1501455102262843E-2</v>
      </c>
      <c r="AI444" s="289">
        <f t="shared" si="48"/>
        <v>2.1736121687843748E-2</v>
      </c>
      <c r="AJ444" s="289">
        <f t="shared" si="48"/>
        <v>2.5022778356771115E-2</v>
      </c>
      <c r="AK444" s="289">
        <f t="shared" si="48"/>
        <v>2.2811364971981087E-2</v>
      </c>
      <c r="AL444" s="289">
        <f t="shared" si="48"/>
        <v>2.3874591020691692E-2</v>
      </c>
      <c r="AM444" s="289">
        <f t="shared" si="48"/>
        <v>2.3100549251276314E-2</v>
      </c>
      <c r="AN444" s="289">
        <f t="shared" si="48"/>
        <v>1.9822583790232769E-2</v>
      </c>
      <c r="AO444" s="289">
        <f t="shared" si="48"/>
        <v>1.8054713605036115E-2</v>
      </c>
      <c r="AP444" s="289">
        <f t="shared" si="48"/>
        <v>1.7396824653147878E-2</v>
      </c>
      <c r="AQ444" s="289">
        <f t="shared" si="48"/>
        <v>2.0421041088211814E-2</v>
      </c>
      <c r="AR444" s="289">
        <f t="shared" si="48"/>
        <v>1.9730876878080061E-2</v>
      </c>
      <c r="AS444" s="289">
        <f t="shared" si="48"/>
        <v>1.7807192767323694E-2</v>
      </c>
      <c r="AT444" s="289">
        <f t="shared" si="48"/>
        <v>1.7448940840163761E-2</v>
      </c>
      <c r="AU444" s="289">
        <f t="shared" si="48"/>
        <v>1.7131053547066014E-2</v>
      </c>
      <c r="AV444" s="289">
        <f t="shared" si="48"/>
        <v>1.8122253422111063E-2</v>
      </c>
      <c r="AW444" s="289">
        <f t="shared" si="48"/>
        <v>1.9500736412577789E-2</v>
      </c>
      <c r="AX444" s="289">
        <f t="shared" si="48"/>
        <v>1.8791816402276579E-2</v>
      </c>
      <c r="AY444" s="289">
        <f t="shared" si="48"/>
        <v>2.2685219148195251E-2</v>
      </c>
      <c r="AZ444" s="289">
        <f t="shared" si="48"/>
        <v>2.6863350521665608E-2</v>
      </c>
      <c r="BA444" s="289">
        <f t="shared" si="48"/>
        <v>2.8039884911870292E-2</v>
      </c>
      <c r="BB444" s="289">
        <f t="shared" si="48"/>
        <v>3.0466705033280968E-2</v>
      </c>
      <c r="BC444" s="289">
        <f t="shared" si="38"/>
        <v>3.0466705033280968E-2</v>
      </c>
    </row>
    <row r="445" spans="2:55">
      <c r="B445" s="72" t="s">
        <v>778</v>
      </c>
      <c r="C445" s="72" t="s">
        <v>779</v>
      </c>
      <c r="D445" s="289">
        <f t="shared" si="35"/>
        <v>0</v>
      </c>
      <c r="E445" s="289">
        <f t="shared" si="48"/>
        <v>0</v>
      </c>
      <c r="F445" s="289">
        <f t="shared" si="48"/>
        <v>0</v>
      </c>
      <c r="G445" s="289">
        <f t="shared" si="48"/>
        <v>0</v>
      </c>
      <c r="H445" s="289">
        <f t="shared" si="48"/>
        <v>0</v>
      </c>
      <c r="I445" s="289">
        <f t="shared" si="48"/>
        <v>0</v>
      </c>
      <c r="J445" s="289">
        <f t="shared" si="48"/>
        <v>0</v>
      </c>
      <c r="K445" s="289">
        <f t="shared" si="48"/>
        <v>0</v>
      </c>
      <c r="L445" s="289">
        <f t="shared" si="48"/>
        <v>0</v>
      </c>
      <c r="M445" s="289">
        <f t="shared" si="48"/>
        <v>0</v>
      </c>
      <c r="N445" s="289">
        <f t="shared" si="48"/>
        <v>0</v>
      </c>
      <c r="O445" s="289">
        <f t="shared" si="48"/>
        <v>0</v>
      </c>
      <c r="P445" s="289">
        <f t="shared" si="48"/>
        <v>0</v>
      </c>
      <c r="Q445" s="289">
        <f t="shared" si="48"/>
        <v>0</v>
      </c>
      <c r="R445" s="289">
        <f t="shared" si="48"/>
        <v>0</v>
      </c>
      <c r="S445" s="289">
        <f t="shared" si="48"/>
        <v>0</v>
      </c>
      <c r="T445" s="289">
        <f t="shared" si="48"/>
        <v>0</v>
      </c>
      <c r="U445" s="289">
        <f t="shared" si="48"/>
        <v>0</v>
      </c>
      <c r="V445" s="289">
        <f t="shared" si="48"/>
        <v>0</v>
      </c>
      <c r="W445" s="289">
        <f t="shared" si="48"/>
        <v>0</v>
      </c>
      <c r="X445" s="289">
        <f t="shared" si="48"/>
        <v>0</v>
      </c>
      <c r="Y445" s="289">
        <f t="shared" si="48"/>
        <v>0</v>
      </c>
      <c r="Z445" s="289">
        <f t="shared" si="48"/>
        <v>0</v>
      </c>
      <c r="AA445" s="289">
        <f t="shared" si="48"/>
        <v>0</v>
      </c>
      <c r="AB445" s="289">
        <f t="shared" si="48"/>
        <v>0</v>
      </c>
      <c r="AC445" s="289">
        <f t="shared" si="48"/>
        <v>0</v>
      </c>
      <c r="AD445" s="289">
        <f t="shared" si="48"/>
        <v>0</v>
      </c>
      <c r="AE445" s="289">
        <f t="shared" si="48"/>
        <v>0</v>
      </c>
      <c r="AF445" s="289">
        <f t="shared" si="48"/>
        <v>0</v>
      </c>
      <c r="AG445" s="289">
        <f t="shared" si="48"/>
        <v>0.28808954950713683</v>
      </c>
      <c r="AH445" s="289">
        <f t="shared" si="48"/>
        <v>0.29478862257503663</v>
      </c>
      <c r="AI445" s="289">
        <f t="shared" si="48"/>
        <v>0.273598440268498</v>
      </c>
      <c r="AJ445" s="289">
        <f t="shared" si="48"/>
        <v>0.27321246098060831</v>
      </c>
      <c r="AK445" s="289">
        <f t="shared" si="48"/>
        <v>0.2712000728695943</v>
      </c>
      <c r="AL445" s="289">
        <f t="shared" si="48"/>
        <v>0.27676332243977492</v>
      </c>
      <c r="AM445" s="289">
        <f t="shared" si="48"/>
        <v>0.29167086119549396</v>
      </c>
      <c r="AN445" s="289">
        <f t="shared" si="48"/>
        <v>0.26629769738571946</v>
      </c>
      <c r="AO445" s="289">
        <f t="shared" si="48"/>
        <v>0.25340529942462786</v>
      </c>
      <c r="AP445" s="289">
        <f t="shared" si="48"/>
        <v>0.23461765144476376</v>
      </c>
      <c r="AQ445" s="289">
        <f t="shared" si="48"/>
        <v>0.24950428936728425</v>
      </c>
      <c r="AR445" s="289">
        <f t="shared" si="48"/>
        <v>0.25868947907507517</v>
      </c>
      <c r="AS445" s="289">
        <f t="shared" si="48"/>
        <v>0.22606424577033279</v>
      </c>
      <c r="AT445" s="289">
        <f t="shared" si="48"/>
        <v>0.19999623457112903</v>
      </c>
      <c r="AU445" s="289">
        <f t="shared" si="48"/>
        <v>0.18379632251845249</v>
      </c>
      <c r="AV445" s="289">
        <f t="shared" si="48"/>
        <v>0.19164316446753468</v>
      </c>
      <c r="AW445" s="289">
        <f t="shared" si="48"/>
        <v>0.19333521793399314</v>
      </c>
      <c r="AX445" s="289">
        <f t="shared" si="48"/>
        <v>0.17019705155297887</v>
      </c>
      <c r="AY445" s="289">
        <f t="shared" si="48"/>
        <v>0.18364430766714793</v>
      </c>
      <c r="AZ445" s="289">
        <f t="shared" si="48"/>
        <v>0.21313608140173565</v>
      </c>
      <c r="BA445" s="289">
        <f t="shared" si="48"/>
        <v>0.21035350316025225</v>
      </c>
      <c r="BB445" s="289">
        <f t="shared" si="48"/>
        <v>0.20572821285299164</v>
      </c>
      <c r="BC445" s="289">
        <f t="shared" si="38"/>
        <v>0.20572821285299164</v>
      </c>
    </row>
    <row r="446" spans="2:55">
      <c r="B446" s="72" t="s">
        <v>780</v>
      </c>
      <c r="C446" s="72" t="s">
        <v>781</v>
      </c>
      <c r="D446" s="289">
        <f t="shared" si="35"/>
        <v>0.27479614570526839</v>
      </c>
      <c r="E446" s="289">
        <f t="shared" si="48"/>
        <v>0.27884091767731289</v>
      </c>
      <c r="F446" s="289">
        <f t="shared" si="48"/>
        <v>0.28529779766593694</v>
      </c>
      <c r="G446" s="289">
        <f t="shared" si="48"/>
        <v>0.27399779971801674</v>
      </c>
      <c r="H446" s="289">
        <f t="shared" si="48"/>
        <v>0.27305486303612142</v>
      </c>
      <c r="I446" s="289">
        <f t="shared" si="48"/>
        <v>0.2728604211497565</v>
      </c>
      <c r="J446" s="289">
        <f t="shared" si="48"/>
        <v>0.28572740118162748</v>
      </c>
      <c r="K446" s="289">
        <f t="shared" si="48"/>
        <v>0.31856475068014112</v>
      </c>
      <c r="L446" s="289">
        <f t="shared" si="48"/>
        <v>0.3169614763172437</v>
      </c>
      <c r="M446" s="289">
        <f t="shared" si="48"/>
        <v>0.30023832106381193</v>
      </c>
      <c r="N446" s="289">
        <f t="shared" si="48"/>
        <v>0.29246862831906639</v>
      </c>
      <c r="O446" s="289">
        <f t="shared" si="48"/>
        <v>0.27310455789255422</v>
      </c>
      <c r="P446" s="289">
        <f t="shared" si="48"/>
        <v>0.2700140761470608</v>
      </c>
      <c r="Q446" s="289">
        <f t="shared" si="48"/>
        <v>0.27841360627397171</v>
      </c>
      <c r="R446" s="289">
        <f t="shared" si="48"/>
        <v>0.25408644375445066</v>
      </c>
      <c r="S446" s="289">
        <f t="shared" si="48"/>
        <v>0.2737013585716539</v>
      </c>
      <c r="T446" s="289">
        <f t="shared" si="48"/>
        <v>0.25047149892400405</v>
      </c>
      <c r="U446" s="289">
        <f t="shared" si="48"/>
        <v>0.22861967432836183</v>
      </c>
      <c r="V446" s="289">
        <f t="shared" si="48"/>
        <v>0.19674736241215662</v>
      </c>
      <c r="W446" s="289">
        <f t="shared" si="48"/>
        <v>0.20274078289749195</v>
      </c>
      <c r="X446" s="289">
        <f t="shared" si="48"/>
        <v>0.23606611815111725</v>
      </c>
      <c r="Y446" s="289">
        <f t="shared" si="48"/>
        <v>0.26745408233636275</v>
      </c>
      <c r="Z446" s="289">
        <f t="shared" si="48"/>
        <v>0.28333580619152449</v>
      </c>
      <c r="AA446" s="289">
        <f t="shared" si="48"/>
        <v>0.30766253975810298</v>
      </c>
      <c r="AB446" s="289">
        <f t="shared" si="48"/>
        <v>0.30188286701439832</v>
      </c>
      <c r="AC446" s="289">
        <f t="shared" si="48"/>
        <v>0.25062926869918173</v>
      </c>
      <c r="AD446" s="289">
        <f t="shared" si="48"/>
        <v>0.20121518263059632</v>
      </c>
      <c r="AE446" s="289">
        <f t="shared" si="48"/>
        <v>0.14058889438271713</v>
      </c>
      <c r="AF446" s="289">
        <f t="shared" si="48"/>
        <v>0.13713780247331062</v>
      </c>
      <c r="AG446" s="289">
        <f t="shared" si="48"/>
        <v>0.12433744391607844</v>
      </c>
      <c r="AH446" s="289">
        <f t="shared" si="48"/>
        <v>0.12884759165114684</v>
      </c>
      <c r="AI446" s="289">
        <f t="shared" si="48"/>
        <v>0.1391444534908047</v>
      </c>
      <c r="AJ446" s="289">
        <f t="shared" si="48"/>
        <v>0.16604493098228085</v>
      </c>
      <c r="AK446" s="289">
        <f t="shared" si="48"/>
        <v>0.16087624241101711</v>
      </c>
      <c r="AL446" s="289">
        <f t="shared" si="48"/>
        <v>0.1480875540655231</v>
      </c>
      <c r="AM446" s="289">
        <f t="shared" si="48"/>
        <v>0.16276379858153159</v>
      </c>
      <c r="AN446" s="289">
        <f t="shared" si="48"/>
        <v>0.15421889225650887</v>
      </c>
      <c r="AO446" s="289">
        <f t="shared" si="48"/>
        <v>0.15382679280358666</v>
      </c>
      <c r="AP446" s="289">
        <f t="shared" si="48"/>
        <v>0.15418179040678928</v>
      </c>
      <c r="AQ446" s="289">
        <f t="shared" si="48"/>
        <v>0.15687804447155515</v>
      </c>
      <c r="AR446" s="289">
        <f t="shared" si="48"/>
        <v>0.15780600174728482</v>
      </c>
      <c r="AS446" s="289">
        <f t="shared" si="48"/>
        <v>0.14811537811153258</v>
      </c>
      <c r="AT446" s="289">
        <f t="shared" si="48"/>
        <v>0.13282436667571751</v>
      </c>
      <c r="AU446" s="289">
        <f t="shared" si="48"/>
        <v>0.12143677961508458</v>
      </c>
      <c r="AV446" s="289">
        <f t="shared" si="48"/>
        <v>0.12527110405084449</v>
      </c>
      <c r="AW446" s="289">
        <f t="shared" si="48"/>
        <v>0.12849420036023695</v>
      </c>
      <c r="AX446" s="289">
        <f t="shared" si="48"/>
        <v>0.127505656242341</v>
      </c>
      <c r="AY446" s="289">
        <f t="shared" si="48"/>
        <v>0.15649570501547272</v>
      </c>
      <c r="AZ446" s="289">
        <f t="shared" si="48"/>
        <v>0.19687213838712961</v>
      </c>
      <c r="BA446" s="289">
        <f t="shared" si="48"/>
        <v>0.21000681116385203</v>
      </c>
      <c r="BB446" s="289">
        <f t="shared" si="48"/>
        <v>0.19207672950444957</v>
      </c>
      <c r="BC446" s="289">
        <f t="shared" si="38"/>
        <v>0.19207672950444957</v>
      </c>
    </row>
    <row r="447" spans="2:55">
      <c r="B447" s="72" t="s">
        <v>782</v>
      </c>
      <c r="C447" s="72" t="s">
        <v>783</v>
      </c>
      <c r="D447" s="289">
        <f t="shared" si="35"/>
        <v>8.4232755942280385E-2</v>
      </c>
      <c r="E447" s="289">
        <f t="shared" si="48"/>
        <v>8.4702296145501288E-2</v>
      </c>
      <c r="F447" s="289">
        <f t="shared" si="48"/>
        <v>8.3483228562448039E-2</v>
      </c>
      <c r="G447" s="289">
        <f t="shared" si="48"/>
        <v>8.3399634378669762E-2</v>
      </c>
      <c r="H447" s="289">
        <f t="shared" si="48"/>
        <v>8.6038272185333706E-2</v>
      </c>
      <c r="I447" s="289">
        <f t="shared" si="48"/>
        <v>9.0343327480699592E-2</v>
      </c>
      <c r="J447" s="289">
        <f t="shared" si="48"/>
        <v>9.6631069700624725E-2</v>
      </c>
      <c r="K447" s="289">
        <f t="shared" si="48"/>
        <v>0.11060819554161973</v>
      </c>
      <c r="L447" s="289">
        <f t="shared" si="48"/>
        <v>0.11437304101782125</v>
      </c>
      <c r="M447" s="289">
        <f t="shared" si="48"/>
        <v>0.11826223422939185</v>
      </c>
      <c r="N447" s="289">
        <f t="shared" si="48"/>
        <v>0.11353267776661395</v>
      </c>
      <c r="O447" s="289">
        <f t="shared" si="48"/>
        <v>0.11527852782010872</v>
      </c>
      <c r="P447" s="289">
        <f t="shared" si="48"/>
        <v>0.15035905992223511</v>
      </c>
      <c r="Q447" s="289">
        <f t="shared" si="48"/>
        <v>0.1528082015089238</v>
      </c>
      <c r="R447" s="289">
        <f t="shared" si="48"/>
        <v>0.11482787596548868</v>
      </c>
      <c r="S447" s="289">
        <f t="shared" si="48"/>
        <v>0.12952681990361839</v>
      </c>
      <c r="T447" s="289">
        <f t="shared" si="48"/>
        <v>0.12110699475230237</v>
      </c>
      <c r="U447" s="289">
        <f t="shared" si="48"/>
        <v>0.11047779111225735</v>
      </c>
      <c r="V447" s="289">
        <f t="shared" si="48"/>
        <v>9.7560664001849651E-2</v>
      </c>
      <c r="W447" s="289">
        <f t="shared" si="48"/>
        <v>8.228475207540778E-2</v>
      </c>
      <c r="X447" s="289">
        <f t="shared" si="48"/>
        <v>8.269829636703678E-2</v>
      </c>
      <c r="Y447" s="289">
        <f t="shared" si="48"/>
        <v>8.000885316481629E-2</v>
      </c>
      <c r="Z447" s="289">
        <f t="shared" si="48"/>
        <v>8.8840391006420466E-2</v>
      </c>
      <c r="AA447" s="289">
        <f t="shared" si="48"/>
        <v>9.1582435311104785E-2</v>
      </c>
      <c r="AB447" s="289">
        <f t="shared" si="48"/>
        <v>8.0262818680883932E-2</v>
      </c>
      <c r="AC447" s="289">
        <f t="shared" si="48"/>
        <v>6.9768436205534093E-2</v>
      </c>
      <c r="AD447" s="289">
        <f t="shared" si="48"/>
        <v>6.5949678513275378E-2</v>
      </c>
      <c r="AE447" s="289">
        <f t="shared" si="48"/>
        <v>6.1748624603751953E-2</v>
      </c>
      <c r="AF447" s="289">
        <f t="shared" si="48"/>
        <v>5.8052650596548086E-2</v>
      </c>
      <c r="AG447" s="289">
        <f t="shared" si="48"/>
        <v>4.378250013232092E-2</v>
      </c>
      <c r="AH447" s="289">
        <f t="shared" si="48"/>
        <v>4.8335874553527308E-2</v>
      </c>
      <c r="AI447" s="289">
        <f t="shared" si="48"/>
        <v>5.2851999706250166E-2</v>
      </c>
      <c r="AJ447" s="289">
        <f t="shared" si="48"/>
        <v>6.5327075852284255E-2</v>
      </c>
      <c r="AK447" s="289">
        <f t="shared" si="48"/>
        <v>6.5330817001783989E-2</v>
      </c>
      <c r="AL447" s="289">
        <f t="shared" si="48"/>
        <v>4.9295599869248467E-2</v>
      </c>
      <c r="AM447" s="289">
        <f t="shared" si="48"/>
        <v>5.0797435498502144E-2</v>
      </c>
      <c r="AN447" s="289">
        <f t="shared" si="48"/>
        <v>4.2335770515175883E-2</v>
      </c>
      <c r="AO447" s="289">
        <f t="shared" si="48"/>
        <v>2.9701714040567446E-2</v>
      </c>
      <c r="AP447" s="289">
        <f t="shared" si="48"/>
        <v>2.589206534210349E-2</v>
      </c>
      <c r="AQ447" s="289">
        <f t="shared" si="48"/>
        <v>2.6126541574060864E-2</v>
      </c>
      <c r="AR447" s="289">
        <f t="shared" si="48"/>
        <v>2.2479163423539748E-2</v>
      </c>
      <c r="AS447" s="289">
        <f t="shared" si="48"/>
        <v>1.9630332534716612E-2</v>
      </c>
      <c r="AT447" s="289">
        <f t="shared" si="48"/>
        <v>1.9562042427958164E-2</v>
      </c>
      <c r="AU447" s="289">
        <f t="shared" si="48"/>
        <v>1.7992194486594743E-2</v>
      </c>
      <c r="AV447" s="289">
        <f t="shared" si="48"/>
        <v>2.1094097552431825E-2</v>
      </c>
      <c r="AW447" s="289">
        <f t="shared" si="48"/>
        <v>2.2146740289574238E-2</v>
      </c>
      <c r="AX447" s="289">
        <f t="shared" si="48"/>
        <v>2.135803487189384E-2</v>
      </c>
      <c r="AY447" s="289">
        <f t="shared" si="48"/>
        <v>2.8347250822189009E-2</v>
      </c>
      <c r="AZ447" s="289">
        <f t="shared" si="48"/>
        <v>3.3417708077131472E-2</v>
      </c>
      <c r="BA447" s="289">
        <f t="shared" si="48"/>
        <v>3.8125556325553277E-2</v>
      </c>
      <c r="BB447" s="289">
        <f t="shared" si="48"/>
        <v>4.7248921234021815E-2</v>
      </c>
      <c r="BC447" s="289">
        <f t="shared" si="38"/>
        <v>4.7248921234021815E-2</v>
      </c>
    </row>
    <row r="448" spans="2:55">
      <c r="B448" s="72" t="s">
        <v>784</v>
      </c>
      <c r="C448" s="72" t="s">
        <v>785</v>
      </c>
      <c r="D448" s="289">
        <f t="shared" si="35"/>
        <v>0</v>
      </c>
      <c r="E448" s="289">
        <f t="shared" ref="E448:BB453" si="49">E198/E$251</f>
        <v>0</v>
      </c>
      <c r="F448" s="289">
        <f t="shared" si="49"/>
        <v>0</v>
      </c>
      <c r="G448" s="289">
        <f t="shared" si="49"/>
        <v>0</v>
      </c>
      <c r="H448" s="289">
        <f t="shared" si="49"/>
        <v>0.11012469061590524</v>
      </c>
      <c r="I448" s="289">
        <f t="shared" si="49"/>
        <v>0.1063579645838654</v>
      </c>
      <c r="J448" s="289">
        <f t="shared" si="49"/>
        <v>0.10603229895136086</v>
      </c>
      <c r="K448" s="289">
        <f t="shared" si="49"/>
        <v>0.11575903516385326</v>
      </c>
      <c r="L448" s="289">
        <f t="shared" si="49"/>
        <v>0.11309029975915987</v>
      </c>
      <c r="M448" s="289">
        <f t="shared" si="49"/>
        <v>0.10683439990426211</v>
      </c>
      <c r="N448" s="289">
        <f t="shared" si="49"/>
        <v>0.10341733889444676</v>
      </c>
      <c r="O448" s="289">
        <f t="shared" si="49"/>
        <v>0.10202801089170362</v>
      </c>
      <c r="P448" s="289">
        <f t="shared" si="49"/>
        <v>0.11449898495462864</v>
      </c>
      <c r="Q448" s="289">
        <f t="shared" si="49"/>
        <v>0.13869051149780909</v>
      </c>
      <c r="R448" s="289">
        <f t="shared" si="49"/>
        <v>0.12827400343073986</v>
      </c>
      <c r="S448" s="289">
        <f t="shared" si="49"/>
        <v>0.14633416306509656</v>
      </c>
      <c r="T448" s="289">
        <f t="shared" si="49"/>
        <v>0.15549628222938422</v>
      </c>
      <c r="U448" s="289">
        <f t="shared" si="49"/>
        <v>0.14627593048587503</v>
      </c>
      <c r="V448" s="289">
        <f t="shared" si="49"/>
        <v>0.14639805344302498</v>
      </c>
      <c r="W448" s="289">
        <f t="shared" si="49"/>
        <v>0.14893666139698905</v>
      </c>
      <c r="X448" s="289">
        <f t="shared" si="49"/>
        <v>0.19234154082396199</v>
      </c>
      <c r="Y448" s="289">
        <f t="shared" si="49"/>
        <v>0.18364421299378819</v>
      </c>
      <c r="Z448" s="289">
        <f t="shared" si="49"/>
        <v>0.1943572313106198</v>
      </c>
      <c r="AA448" s="289">
        <f t="shared" si="49"/>
        <v>0.15721325101916855</v>
      </c>
      <c r="AB448" s="289">
        <f t="shared" si="49"/>
        <v>0.10416681958821716</v>
      </c>
      <c r="AC448" s="289">
        <f t="shared" si="49"/>
        <v>9.2536788255218647E-2</v>
      </c>
      <c r="AD448" s="289">
        <f t="shared" si="49"/>
        <v>7.7325445374029952E-2</v>
      </c>
      <c r="AE448" s="289">
        <f t="shared" si="49"/>
        <v>6.5683167954406055E-2</v>
      </c>
      <c r="AF448" s="289">
        <f t="shared" si="49"/>
        <v>7.0103074142896474E-2</v>
      </c>
      <c r="AG448" s="289">
        <f t="shared" si="49"/>
        <v>7.0134771895744616E-2</v>
      </c>
      <c r="AH448" s="289">
        <f t="shared" si="49"/>
        <v>7.8050342685687363E-2</v>
      </c>
      <c r="AI448" s="289">
        <f t="shared" si="49"/>
        <v>7.6139177592971868E-2</v>
      </c>
      <c r="AJ448" s="289">
        <f t="shared" si="49"/>
        <v>8.8401694638178041E-2</v>
      </c>
      <c r="AK448" s="289">
        <f t="shared" si="49"/>
        <v>8.0823734560518182E-2</v>
      </c>
      <c r="AL448" s="289">
        <f t="shared" si="49"/>
        <v>8.433717061638904E-2</v>
      </c>
      <c r="AM448" s="289">
        <f t="shared" si="49"/>
        <v>8.5027209173258081E-2</v>
      </c>
      <c r="AN448" s="289">
        <f t="shared" si="49"/>
        <v>7.541588419312914E-2</v>
      </c>
      <c r="AO448" s="289">
        <f t="shared" si="49"/>
        <v>6.1798282707957911E-2</v>
      </c>
      <c r="AP448" s="289">
        <f t="shared" si="49"/>
        <v>5.4372508295965134E-2</v>
      </c>
      <c r="AQ448" s="289">
        <f t="shared" si="49"/>
        <v>5.281755711644965E-2</v>
      </c>
      <c r="AR448" s="289">
        <f t="shared" si="49"/>
        <v>4.7584671052635814E-2</v>
      </c>
      <c r="AS448" s="289">
        <f t="shared" si="49"/>
        <v>3.3893066161419613E-2</v>
      </c>
      <c r="AT448" s="289">
        <f t="shared" si="49"/>
        <v>3.1400081905524534E-2</v>
      </c>
      <c r="AU448" s="289">
        <f t="shared" si="49"/>
        <v>3.2725730287502627E-2</v>
      </c>
      <c r="AV448" s="289">
        <f t="shared" si="49"/>
        <v>3.3238664140331643E-2</v>
      </c>
      <c r="AW448" s="289">
        <f t="shared" si="49"/>
        <v>3.8136031856166978E-2</v>
      </c>
      <c r="AX448" s="289">
        <f t="shared" si="49"/>
        <v>4.310865416675097E-2</v>
      </c>
      <c r="AY448" s="289">
        <f t="shared" si="49"/>
        <v>6.2821914678883484E-2</v>
      </c>
      <c r="AZ448" s="289">
        <f t="shared" si="49"/>
        <v>6.3802988306308428E-2</v>
      </c>
      <c r="BA448" s="289">
        <f t="shared" si="49"/>
        <v>7.8341481056690337E-2</v>
      </c>
      <c r="BB448" s="289">
        <f t="shared" si="49"/>
        <v>9.2961350369997045E-2</v>
      </c>
      <c r="BC448" s="289">
        <f t="shared" si="38"/>
        <v>9.2961350369997045E-2</v>
      </c>
    </row>
    <row r="449" spans="2:55">
      <c r="B449" s="72" t="s">
        <v>786</v>
      </c>
      <c r="C449" s="72" t="s">
        <v>339</v>
      </c>
      <c r="D449" s="289">
        <f t="shared" si="35"/>
        <v>0.19021554193742649</v>
      </c>
      <c r="E449" s="289">
        <f t="shared" si="49"/>
        <v>0.2010176527446868</v>
      </c>
      <c r="F449" s="289">
        <f t="shared" si="49"/>
        <v>0.20332469806578091</v>
      </c>
      <c r="G449" s="289">
        <f t="shared" si="49"/>
        <v>0.22009239792499066</v>
      </c>
      <c r="H449" s="289">
        <f t="shared" si="49"/>
        <v>0.23680339617419155</v>
      </c>
      <c r="I449" s="289">
        <f t="shared" si="49"/>
        <v>0.2572703588186237</v>
      </c>
      <c r="J449" s="289">
        <f t="shared" si="49"/>
        <v>0.24562024655439582</v>
      </c>
      <c r="K449" s="289">
        <f t="shared" si="49"/>
        <v>0.23606175424320419</v>
      </c>
      <c r="L449" s="289">
        <f t="shared" si="49"/>
        <v>0.23980907289243564</v>
      </c>
      <c r="M449" s="289">
        <f t="shared" si="49"/>
        <v>0.24471747511828437</v>
      </c>
      <c r="N449" s="289">
        <f t="shared" si="49"/>
        <v>0.23563570636878498</v>
      </c>
      <c r="O449" s="289">
        <f t="shared" si="49"/>
        <v>0.22186914373627509</v>
      </c>
      <c r="P449" s="289">
        <f t="shared" si="49"/>
        <v>0.22923584134885872</v>
      </c>
      <c r="Q449" s="289">
        <f t="shared" si="49"/>
        <v>0.26037892784021882</v>
      </c>
      <c r="R449" s="289">
        <f t="shared" si="49"/>
        <v>0.25775300795579237</v>
      </c>
      <c r="S449" s="289">
        <f t="shared" si="49"/>
        <v>0.24678540123937157</v>
      </c>
      <c r="T449" s="289">
        <f t="shared" si="49"/>
        <v>0.19497032379165707</v>
      </c>
      <c r="U449" s="289">
        <f t="shared" si="49"/>
        <v>0.12803506818892732</v>
      </c>
      <c r="V449" s="289">
        <f t="shared" si="49"/>
        <v>0.12278727652218226</v>
      </c>
      <c r="W449" s="289">
        <f t="shared" si="49"/>
        <v>0.12420274460266992</v>
      </c>
      <c r="X449" s="289">
        <f t="shared" si="49"/>
        <v>0.15411192200954901</v>
      </c>
      <c r="Y449" s="289">
        <f t="shared" si="49"/>
        <v>0.15681733396874337</v>
      </c>
      <c r="Z449" s="289">
        <f t="shared" si="49"/>
        <v>0.12451538068099698</v>
      </c>
      <c r="AA449" s="289">
        <f t="shared" si="49"/>
        <v>0.13414970224895778</v>
      </c>
      <c r="AB449" s="289">
        <f t="shared" si="49"/>
        <v>0.1179136761180916</v>
      </c>
      <c r="AC449" s="289">
        <f t="shared" si="49"/>
        <v>8.9748856407738289E-2</v>
      </c>
      <c r="AD449" s="289">
        <f t="shared" si="49"/>
        <v>9.5245808987071384E-2</v>
      </c>
      <c r="AE449" s="289">
        <f t="shared" si="49"/>
        <v>3.9799137660873306E-2</v>
      </c>
      <c r="AF449" s="289">
        <f t="shared" si="49"/>
        <v>6.4328115735473868E-2</v>
      </c>
      <c r="AG449" s="289">
        <f t="shared" si="49"/>
        <v>6.8552296941769758E-2</v>
      </c>
      <c r="AH449" s="289">
        <f t="shared" si="49"/>
        <v>8.492844410004162E-2</v>
      </c>
      <c r="AI449" s="289">
        <f t="shared" si="49"/>
        <v>8.4383212526878082E-2</v>
      </c>
      <c r="AJ449" s="289">
        <f t="shared" si="49"/>
        <v>8.917883841390209E-2</v>
      </c>
      <c r="AK449" s="289">
        <f t="shared" si="49"/>
        <v>0.10469328786367338</v>
      </c>
      <c r="AL449" s="289">
        <f t="shared" si="49"/>
        <v>0.11294966443435529</v>
      </c>
      <c r="AM449" s="289">
        <f t="shared" si="49"/>
        <v>0.10990511849730546</v>
      </c>
      <c r="AN449" s="289">
        <f t="shared" si="49"/>
        <v>0.10233970362503926</v>
      </c>
      <c r="AO449" s="289">
        <f t="shared" si="49"/>
        <v>9.0531072876192942E-2</v>
      </c>
      <c r="AP449" s="289">
        <f t="shared" si="49"/>
        <v>7.8894092258246715E-2</v>
      </c>
      <c r="AQ449" s="289">
        <f t="shared" si="49"/>
        <v>8.2233539705219641E-2</v>
      </c>
      <c r="AR449" s="289">
        <f t="shared" si="49"/>
        <v>8.2797872590527635E-2</v>
      </c>
      <c r="AS449" s="289">
        <f t="shared" si="49"/>
        <v>7.9118669369347833E-2</v>
      </c>
      <c r="AT449" s="289">
        <f t="shared" si="49"/>
        <v>7.3160327591998003E-2</v>
      </c>
      <c r="AU449" s="289">
        <f t="shared" si="49"/>
        <v>6.9749398220456824E-2</v>
      </c>
      <c r="AV449" s="289">
        <f t="shared" si="49"/>
        <v>7.5562851409447573E-2</v>
      </c>
      <c r="AW449" s="289">
        <f t="shared" si="49"/>
        <v>8.1825401537042E-2</v>
      </c>
      <c r="AX449" s="289">
        <f t="shared" si="49"/>
        <v>8.2389380591913072E-2</v>
      </c>
      <c r="AY449" s="289">
        <f t="shared" si="49"/>
        <v>0.10331993837165755</v>
      </c>
      <c r="AZ449" s="289">
        <f t="shared" si="49"/>
        <v>0.12488612567840837</v>
      </c>
      <c r="BA449" s="289">
        <f t="shared" si="49"/>
        <v>0.14571996354781622</v>
      </c>
      <c r="BB449" s="289">
        <f t="shared" si="49"/>
        <v>0.15415327598010214</v>
      </c>
      <c r="BC449" s="289">
        <f t="shared" si="38"/>
        <v>0.15415327598010214</v>
      </c>
    </row>
    <row r="450" spans="2:55">
      <c r="B450" s="72" t="s">
        <v>787</v>
      </c>
      <c r="C450" s="72" t="s">
        <v>334</v>
      </c>
      <c r="D450" s="289">
        <f t="shared" si="35"/>
        <v>0.18577654218225076</v>
      </c>
      <c r="E450" s="289">
        <f t="shared" si="49"/>
        <v>0.10455709253644303</v>
      </c>
      <c r="F450" s="289">
        <f t="shared" si="49"/>
        <v>0.10655986572315321</v>
      </c>
      <c r="G450" s="289">
        <f t="shared" si="49"/>
        <v>0.10275312418336655</v>
      </c>
      <c r="H450" s="289">
        <f t="shared" si="49"/>
        <v>0.1021065382291791</v>
      </c>
      <c r="I450" s="289">
        <f t="shared" si="49"/>
        <v>0.10305114331277317</v>
      </c>
      <c r="J450" s="289">
        <f t="shared" si="49"/>
        <v>0.10352562217854799</v>
      </c>
      <c r="K450" s="289">
        <f t="shared" si="49"/>
        <v>0.11962745109493338</v>
      </c>
      <c r="L450" s="289">
        <f t="shared" si="49"/>
        <v>0.12011094026851143</v>
      </c>
      <c r="M450" s="289">
        <f t="shared" si="49"/>
        <v>8.4136121673463946E-2</v>
      </c>
      <c r="N450" s="289">
        <f t="shared" si="49"/>
        <v>8.0395813246611839E-2</v>
      </c>
      <c r="O450" s="289">
        <f t="shared" si="49"/>
        <v>7.3837957242096519E-2</v>
      </c>
      <c r="P450" s="289">
        <f t="shared" si="49"/>
        <v>8.0123720638722792E-2</v>
      </c>
      <c r="Q450" s="289">
        <f t="shared" si="49"/>
        <v>9.8595259298329435E-2</v>
      </c>
      <c r="R450" s="289">
        <f t="shared" si="49"/>
        <v>8.6617426048987797E-2</v>
      </c>
      <c r="S450" s="289">
        <f t="shared" si="49"/>
        <v>0.10058381941064747</v>
      </c>
      <c r="T450" s="289">
        <f t="shared" si="49"/>
        <v>9.9470355236370739E-2</v>
      </c>
      <c r="U450" s="289">
        <f t="shared" si="49"/>
        <v>8.8200737480491426E-2</v>
      </c>
      <c r="V450" s="289">
        <f t="shared" si="49"/>
        <v>8.001088549422572E-2</v>
      </c>
      <c r="W450" s="289">
        <f t="shared" si="49"/>
        <v>7.1651049050019774E-2</v>
      </c>
      <c r="X450" s="289">
        <f t="shared" si="49"/>
        <v>8.0559699364701726E-2</v>
      </c>
      <c r="Y450" s="289">
        <f t="shared" si="49"/>
        <v>8.5599241845328647E-2</v>
      </c>
      <c r="Z450" s="289">
        <f t="shared" si="49"/>
        <v>7.852070399160245E-2</v>
      </c>
      <c r="AA450" s="289">
        <f t="shared" si="49"/>
        <v>7.6779221446751394E-2</v>
      </c>
      <c r="AB450" s="289">
        <f t="shared" si="49"/>
        <v>6.9257965550670694E-2</v>
      </c>
      <c r="AC450" s="289">
        <f t="shared" si="49"/>
        <v>5.3439759085819494E-2</v>
      </c>
      <c r="AD450" s="289">
        <f t="shared" si="49"/>
        <v>4.7182683035058397E-2</v>
      </c>
      <c r="AE450" s="289">
        <f t="shared" si="49"/>
        <v>4.3262390954446887E-2</v>
      </c>
      <c r="AF450" s="289">
        <f t="shared" si="49"/>
        <v>4.7046067361079261E-2</v>
      </c>
      <c r="AG450" s="289">
        <f t="shared" si="49"/>
        <v>4.0650323163136631E-2</v>
      </c>
      <c r="AH450" s="289">
        <f t="shared" si="49"/>
        <v>3.9117540982045139E-2</v>
      </c>
      <c r="AI450" s="289">
        <f t="shared" si="49"/>
        <v>4.3211818587832858E-2</v>
      </c>
      <c r="AJ450" s="289">
        <f t="shared" si="49"/>
        <v>4.8335015967180546E-2</v>
      </c>
      <c r="AK450" s="289">
        <f t="shared" si="49"/>
        <v>5.1644090222489475E-2</v>
      </c>
      <c r="AL450" s="289">
        <f t="shared" si="49"/>
        <v>5.3662846645083528E-2</v>
      </c>
      <c r="AM450" s="289">
        <f t="shared" si="49"/>
        <v>5.5787496206070514E-2</v>
      </c>
      <c r="AN450" s="289">
        <f t="shared" si="49"/>
        <v>4.8462955594864167E-2</v>
      </c>
      <c r="AO450" s="289">
        <f t="shared" si="49"/>
        <v>3.9015720359603448E-2</v>
      </c>
      <c r="AP450" s="289">
        <f t="shared" si="49"/>
        <v>4.2801946255852236E-2</v>
      </c>
      <c r="AQ450" s="289">
        <f t="shared" si="49"/>
        <v>4.1826429790372627E-2</v>
      </c>
      <c r="AR450" s="289">
        <f t="shared" si="49"/>
        <v>3.8885615987625514E-2</v>
      </c>
      <c r="AS450" s="289">
        <f t="shared" si="49"/>
        <v>3.7375282168939962E-2</v>
      </c>
      <c r="AT450" s="289">
        <f t="shared" si="49"/>
        <v>3.2729291949170111E-2</v>
      </c>
      <c r="AU450" s="289">
        <f t="shared" si="49"/>
        <v>2.9665318703310021E-2</v>
      </c>
      <c r="AV450" s="289">
        <f t="shared" si="49"/>
        <v>3.1604049372428687E-2</v>
      </c>
      <c r="AW450" s="289">
        <f t="shared" si="49"/>
        <v>3.4654463947093719E-2</v>
      </c>
      <c r="AX450" s="289">
        <f t="shared" si="49"/>
        <v>3.6364518280615099E-2</v>
      </c>
      <c r="AY450" s="289">
        <f t="shared" si="49"/>
        <v>4.4620042793674937E-2</v>
      </c>
      <c r="AZ450" s="289">
        <f t="shared" si="49"/>
        <v>5.1954994647600214E-2</v>
      </c>
      <c r="BA450" s="289">
        <f t="shared" si="49"/>
        <v>5.9028048997204395E-2</v>
      </c>
      <c r="BB450" s="289">
        <f t="shared" si="49"/>
        <v>6.0697014489322208E-2</v>
      </c>
      <c r="BC450" s="289">
        <f t="shared" si="38"/>
        <v>6.0697014489322208E-2</v>
      </c>
    </row>
    <row r="451" spans="2:55">
      <c r="B451" s="72" t="s">
        <v>788</v>
      </c>
      <c r="C451" s="72" t="s">
        <v>789</v>
      </c>
      <c r="D451" s="289">
        <f t="shared" si="35"/>
        <v>0</v>
      </c>
      <c r="E451" s="289">
        <f t="shared" si="49"/>
        <v>0</v>
      </c>
      <c r="F451" s="289">
        <f t="shared" si="49"/>
        <v>0</v>
      </c>
      <c r="G451" s="289">
        <f t="shared" si="49"/>
        <v>0</v>
      </c>
      <c r="H451" s="289">
        <f t="shared" si="49"/>
        <v>0</v>
      </c>
      <c r="I451" s="289">
        <f t="shared" si="49"/>
        <v>0</v>
      </c>
      <c r="J451" s="289">
        <f t="shared" si="49"/>
        <v>0</v>
      </c>
      <c r="K451" s="289">
        <f t="shared" si="49"/>
        <v>0</v>
      </c>
      <c r="L451" s="289">
        <f t="shared" si="49"/>
        <v>0</v>
      </c>
      <c r="M451" s="289">
        <f t="shared" si="49"/>
        <v>0</v>
      </c>
      <c r="N451" s="289">
        <f t="shared" si="49"/>
        <v>0</v>
      </c>
      <c r="O451" s="289">
        <f t="shared" si="49"/>
        <v>0</v>
      </c>
      <c r="P451" s="289">
        <f t="shared" si="49"/>
        <v>0</v>
      </c>
      <c r="Q451" s="289">
        <f t="shared" si="49"/>
        <v>0</v>
      </c>
      <c r="R451" s="289">
        <f t="shared" si="49"/>
        <v>0</v>
      </c>
      <c r="S451" s="289">
        <f t="shared" si="49"/>
        <v>0</v>
      </c>
      <c r="T451" s="289">
        <f t="shared" si="49"/>
        <v>0</v>
      </c>
      <c r="U451" s="289">
        <f t="shared" si="49"/>
        <v>0</v>
      </c>
      <c r="V451" s="289">
        <f t="shared" si="49"/>
        <v>0</v>
      </c>
      <c r="W451" s="289">
        <f t="shared" si="49"/>
        <v>0</v>
      </c>
      <c r="X451" s="289">
        <f t="shared" si="49"/>
        <v>0</v>
      </c>
      <c r="Y451" s="289">
        <f t="shared" si="49"/>
        <v>0</v>
      </c>
      <c r="Z451" s="289">
        <f t="shared" si="49"/>
        <v>0</v>
      </c>
      <c r="AA451" s="289">
        <f t="shared" si="49"/>
        <v>0</v>
      </c>
      <c r="AB451" s="289">
        <f t="shared" si="49"/>
        <v>0.23248127410615871</v>
      </c>
      <c r="AC451" s="289">
        <f t="shared" si="49"/>
        <v>0.19602073238329043</v>
      </c>
      <c r="AD451" s="289">
        <f t="shared" si="49"/>
        <v>0.13749934209231363</v>
      </c>
      <c r="AE451" s="289">
        <f t="shared" si="49"/>
        <v>0.12170113776516429</v>
      </c>
      <c r="AF451" s="289">
        <f t="shared" si="49"/>
        <v>0.14382849057767044</v>
      </c>
      <c r="AG451" s="289">
        <f t="shared" si="49"/>
        <v>9.5758000348866862E-2</v>
      </c>
      <c r="AH451" s="289">
        <f t="shared" si="49"/>
        <v>0.11895393825686711</v>
      </c>
      <c r="AI451" s="289">
        <f t="shared" si="49"/>
        <v>0.12688465396779416</v>
      </c>
      <c r="AJ451" s="289">
        <f t="shared" si="49"/>
        <v>0.14372783558887195</v>
      </c>
      <c r="AK451" s="289">
        <f t="shared" si="49"/>
        <v>0.15345605957642958</v>
      </c>
      <c r="AL451" s="289">
        <f t="shared" si="49"/>
        <v>0.18066305032018548</v>
      </c>
      <c r="AM451" s="289">
        <f t="shared" si="49"/>
        <v>0.19348320884427522</v>
      </c>
      <c r="AN451" s="289">
        <f t="shared" si="49"/>
        <v>0.17332313849937658</v>
      </c>
      <c r="AO451" s="289">
        <f t="shared" si="49"/>
        <v>0.17890785912912274</v>
      </c>
      <c r="AP451" s="289">
        <f t="shared" si="49"/>
        <v>0.16938064458927535</v>
      </c>
      <c r="AQ451" s="289">
        <f t="shared" si="49"/>
        <v>0.17775356836000938</v>
      </c>
      <c r="AR451" s="289">
        <f t="shared" si="49"/>
        <v>0.20045506353597267</v>
      </c>
      <c r="AS451" s="289">
        <f t="shared" si="49"/>
        <v>0.19201496377260724</v>
      </c>
      <c r="AT451" s="289">
        <f t="shared" si="49"/>
        <v>0.18215707219693375</v>
      </c>
      <c r="AU451" s="289">
        <f t="shared" si="49"/>
        <v>0.18040725733272844</v>
      </c>
      <c r="AV451" s="289">
        <f t="shared" si="49"/>
        <v>0.20888496131397422</v>
      </c>
      <c r="AW451" s="289">
        <f t="shared" si="49"/>
        <v>0.22128951799397525</v>
      </c>
      <c r="AX451" s="289">
        <f t="shared" si="49"/>
        <v>0.24082050491859697</v>
      </c>
      <c r="AY451" s="289">
        <f t="shared" si="49"/>
        <v>0.32182299212451709</v>
      </c>
      <c r="AZ451" s="289">
        <f t="shared" si="49"/>
        <v>0.31965572461310787</v>
      </c>
      <c r="BA451" s="289">
        <f t="shared" si="49"/>
        <v>0.33934256949854003</v>
      </c>
      <c r="BB451" s="289">
        <f t="shared" si="49"/>
        <v>0.34486133257370827</v>
      </c>
      <c r="BC451" s="289">
        <f t="shared" si="38"/>
        <v>0.34486133257370827</v>
      </c>
    </row>
    <row r="452" spans="2:55">
      <c r="B452" s="72" t="s">
        <v>790</v>
      </c>
      <c r="C452" s="72" t="s">
        <v>791</v>
      </c>
      <c r="D452" s="289">
        <f t="shared" si="35"/>
        <v>0.26348927135901035</v>
      </c>
      <c r="E452" s="289">
        <f t="shared" si="49"/>
        <v>0.2694496437758323</v>
      </c>
      <c r="F452" s="289">
        <f t="shared" si="49"/>
        <v>0.27157340079827941</v>
      </c>
      <c r="G452" s="289">
        <f t="shared" si="49"/>
        <v>0.27106573816885421</v>
      </c>
      <c r="H452" s="289">
        <f t="shared" si="49"/>
        <v>0.28142808685409026</v>
      </c>
      <c r="I452" s="289">
        <f t="shared" si="49"/>
        <v>0.29342698239764964</v>
      </c>
      <c r="J452" s="289">
        <f t="shared" si="49"/>
        <v>0.31963525880949029</v>
      </c>
      <c r="K452" s="289">
        <f t="shared" si="49"/>
        <v>0.37918451622874988</v>
      </c>
      <c r="L452" s="289">
        <f t="shared" si="49"/>
        <v>0.39154699842822926</v>
      </c>
      <c r="M452" s="289">
        <f t="shared" si="49"/>
        <v>0.41107627650388451</v>
      </c>
      <c r="N452" s="289">
        <f t="shared" si="49"/>
        <v>0.41587153739848493</v>
      </c>
      <c r="O452" s="289">
        <f t="shared" si="49"/>
        <v>0.44429536655113666</v>
      </c>
      <c r="P452" s="289">
        <f t="shared" si="49"/>
        <v>0.52947772299129903</v>
      </c>
      <c r="Q452" s="289">
        <f t="shared" si="49"/>
        <v>0.56129011721189503</v>
      </c>
      <c r="R452" s="289">
        <f t="shared" si="49"/>
        <v>0.49923744878778797</v>
      </c>
      <c r="S452" s="289">
        <f t="shared" si="49"/>
        <v>0.53062883247676285</v>
      </c>
      <c r="T452" s="289">
        <f t="shared" si="49"/>
        <v>0.49001007071909025</v>
      </c>
      <c r="U452" s="289">
        <f t="shared" si="49"/>
        <v>0.41907322325340773</v>
      </c>
      <c r="V452" s="289">
        <f t="shared" si="49"/>
        <v>0.36197910258621074</v>
      </c>
      <c r="W452" s="289">
        <f t="shared" si="49"/>
        <v>0.3453643175805185</v>
      </c>
      <c r="X452" s="289">
        <f t="shared" si="49"/>
        <v>0.3503073502799281</v>
      </c>
      <c r="Y452" s="289">
        <f t="shared" si="49"/>
        <v>0.34856266446117229</v>
      </c>
      <c r="Z452" s="289">
        <f t="shared" si="49"/>
        <v>0.32649747615753461</v>
      </c>
      <c r="AA452" s="289">
        <f t="shared" si="49"/>
        <v>0.32003181515832851</v>
      </c>
      <c r="AB452" s="289">
        <f t="shared" si="49"/>
        <v>0.32511062017615083</v>
      </c>
      <c r="AC452" s="289">
        <f t="shared" si="49"/>
        <v>0.37862584379706221</v>
      </c>
      <c r="AD452" s="289">
        <f t="shared" si="49"/>
        <v>0.38431272743849043</v>
      </c>
      <c r="AE452" s="289">
        <f t="shared" si="49"/>
        <v>0.37112277187103337</v>
      </c>
      <c r="AF452" s="289">
        <f t="shared" si="49"/>
        <v>0.3968597140633745</v>
      </c>
      <c r="AG452" s="289">
        <f t="shared" si="49"/>
        <v>0.43982255332313214</v>
      </c>
      <c r="AH452" s="289">
        <f t="shared" si="49"/>
        <v>0.48038925283865114</v>
      </c>
      <c r="AI452" s="289">
        <f t="shared" si="49"/>
        <v>0.56157221239881694</v>
      </c>
      <c r="AJ452" s="289">
        <f t="shared" si="49"/>
        <v>0.55245377993644007</v>
      </c>
      <c r="AK452" s="289">
        <f t="shared" si="49"/>
        <v>0.53642808792962493</v>
      </c>
      <c r="AL452" s="289">
        <f t="shared" si="49"/>
        <v>0.58260428016715327</v>
      </c>
      <c r="AM452" s="289">
        <f t="shared" si="49"/>
        <v>0.57453269207296354</v>
      </c>
      <c r="AN452" s="289">
        <f t="shared" si="49"/>
        <v>0.48856948356374102</v>
      </c>
      <c r="AO452" s="289">
        <f t="shared" si="49"/>
        <v>0.48524312260068958</v>
      </c>
      <c r="AP452" s="289">
        <f t="shared" si="49"/>
        <v>0.48501696963813479</v>
      </c>
      <c r="AQ452" s="289">
        <f t="shared" si="49"/>
        <v>0.45778094179411338</v>
      </c>
      <c r="AR452" s="289">
        <f t="shared" si="49"/>
        <v>0.47070799473766634</v>
      </c>
      <c r="AS452" s="289">
        <f t="shared" si="49"/>
        <v>0.47259162498098461</v>
      </c>
      <c r="AT452" s="289">
        <f t="shared" si="49"/>
        <v>0.49783749450332909</v>
      </c>
      <c r="AU452" s="289">
        <f t="shared" si="49"/>
        <v>0.48108745976483741</v>
      </c>
      <c r="AV452" s="289">
        <f t="shared" si="49"/>
        <v>0.47704298046652599</v>
      </c>
      <c r="AW452" s="289">
        <f t="shared" si="49"/>
        <v>0.4709618556356337</v>
      </c>
      <c r="AX452" s="289">
        <f t="shared" si="49"/>
        <v>0.4715113177843806</v>
      </c>
      <c r="AY452" s="289">
        <f t="shared" si="49"/>
        <v>0.54966704916909315</v>
      </c>
      <c r="AZ452" s="289">
        <f t="shared" si="49"/>
        <v>0.62312813190681215</v>
      </c>
      <c r="BA452" s="289">
        <f t="shared" si="49"/>
        <v>0.58910029062860558</v>
      </c>
      <c r="BB452" s="289">
        <f t="shared" si="49"/>
        <v>0.571637379288775</v>
      </c>
      <c r="BC452" s="289">
        <f t="shared" si="38"/>
        <v>0.571637379288775</v>
      </c>
    </row>
    <row r="453" spans="2:55">
      <c r="B453" s="72" t="s">
        <v>792</v>
      </c>
      <c r="C453" s="72" t="s">
        <v>793</v>
      </c>
      <c r="D453" s="289">
        <f t="shared" si="35"/>
        <v>0.53507139031980888</v>
      </c>
      <c r="E453" s="289">
        <f t="shared" si="49"/>
        <v>0.56320774803286344</v>
      </c>
      <c r="F453" s="289">
        <f t="shared" si="49"/>
        <v>0.58339072410793269</v>
      </c>
      <c r="G453" s="289">
        <f t="shared" si="49"/>
        <v>0.58193325026193932</v>
      </c>
      <c r="H453" s="289">
        <f t="shared" si="49"/>
        <v>0.60024448617590198</v>
      </c>
      <c r="I453" s="289">
        <f t="shared" si="49"/>
        <v>0.61621141657171208</v>
      </c>
      <c r="J453" s="289">
        <f t="shared" ref="E453:BB458" si="50">J203/J$251</f>
        <v>0.66307326673875711</v>
      </c>
      <c r="K453" s="289">
        <f t="shared" si="50"/>
        <v>0.78975054628716768</v>
      </c>
      <c r="L453" s="289">
        <f t="shared" si="50"/>
        <v>0.81770814201499364</v>
      </c>
      <c r="M453" s="289">
        <f t="shared" si="50"/>
        <v>0.8262004866190068</v>
      </c>
      <c r="N453" s="289">
        <f t="shared" si="50"/>
        <v>0.80941581514146732</v>
      </c>
      <c r="O453" s="289">
        <f t="shared" si="50"/>
        <v>0.77680740761977307</v>
      </c>
      <c r="P453" s="289">
        <f t="shared" si="50"/>
        <v>0.74674590337722468</v>
      </c>
      <c r="Q453" s="289">
        <f t="shared" si="50"/>
        <v>0.74351202413406059</v>
      </c>
      <c r="R453" s="289">
        <f t="shared" si="50"/>
        <v>0.65120744802852648</v>
      </c>
      <c r="S453" s="289">
        <f t="shared" si="50"/>
        <v>0.72913448730406905</v>
      </c>
      <c r="T453" s="289">
        <f t="shared" si="50"/>
        <v>0.70283560041390503</v>
      </c>
      <c r="U453" s="289">
        <f t="shared" si="50"/>
        <v>0.61667554223836485</v>
      </c>
      <c r="V453" s="289">
        <f t="shared" si="50"/>
        <v>0.53580771590062071</v>
      </c>
      <c r="W453" s="289">
        <f t="shared" si="50"/>
        <v>0.46792581688068624</v>
      </c>
      <c r="X453" s="289">
        <f t="shared" si="50"/>
        <v>0.53822705782798874</v>
      </c>
      <c r="Y453" s="289">
        <f t="shared" si="50"/>
        <v>0.58670016138653514</v>
      </c>
      <c r="Z453" s="289">
        <f t="shared" si="50"/>
        <v>0.63118714081595839</v>
      </c>
      <c r="AA453" s="289">
        <f t="shared" si="50"/>
        <v>0.73674186403345643</v>
      </c>
      <c r="AB453" s="289">
        <f t="shared" si="50"/>
        <v>0.7318116731459674</v>
      </c>
      <c r="AC453" s="289">
        <f t="shared" si="50"/>
        <v>0.64026093486229663</v>
      </c>
      <c r="AD453" s="289">
        <f t="shared" si="50"/>
        <v>0.56251292827468491</v>
      </c>
      <c r="AE453" s="289">
        <f t="shared" si="50"/>
        <v>0.50402761915602057</v>
      </c>
      <c r="AF453" s="289">
        <f t="shared" si="50"/>
        <v>0.53550620523523507</v>
      </c>
      <c r="AG453" s="289">
        <f t="shared" si="50"/>
        <v>0.48918113712684602</v>
      </c>
      <c r="AH453" s="289">
        <f t="shared" si="50"/>
        <v>0.49297002805352363</v>
      </c>
      <c r="AI453" s="289">
        <f t="shared" si="50"/>
        <v>0.50944572944973265</v>
      </c>
      <c r="AJ453" s="289">
        <f t="shared" si="50"/>
        <v>0.60079553202872182</v>
      </c>
      <c r="AK453" s="289">
        <f t="shared" si="50"/>
        <v>0.5934186428554038</v>
      </c>
      <c r="AL453" s="289">
        <f t="shared" si="50"/>
        <v>0.58059142232652927</v>
      </c>
      <c r="AM453" s="289">
        <f t="shared" si="50"/>
        <v>0.5806078341659221</v>
      </c>
      <c r="AN453" s="289">
        <f t="shared" si="50"/>
        <v>0.54636783571072745</v>
      </c>
      <c r="AO453" s="289">
        <f t="shared" si="50"/>
        <v>0.57227044320582099</v>
      </c>
      <c r="AP453" s="289">
        <f t="shared" si="50"/>
        <v>0.59398452256505763</v>
      </c>
      <c r="AQ453" s="289">
        <f t="shared" si="50"/>
        <v>0.64619589380515952</v>
      </c>
      <c r="AR453" s="289">
        <f t="shared" si="50"/>
        <v>0.72970459692568423</v>
      </c>
      <c r="AS453" s="289">
        <f t="shared" si="50"/>
        <v>0.69383556677636271</v>
      </c>
      <c r="AT453" s="289">
        <f t="shared" si="50"/>
        <v>0.62777671236026478</v>
      </c>
      <c r="AU453" s="289">
        <f t="shared" si="50"/>
        <v>0.56405757404603962</v>
      </c>
      <c r="AV453" s="289">
        <f t="shared" si="50"/>
        <v>0.56844184306748791</v>
      </c>
      <c r="AW453" s="289">
        <f t="shared" si="50"/>
        <v>0.55932365279886587</v>
      </c>
      <c r="AX453" s="289">
        <f t="shared" si="50"/>
        <v>0.50439901453927538</v>
      </c>
      <c r="AY453" s="289">
        <f t="shared" si="50"/>
        <v>0.57069093115593583</v>
      </c>
      <c r="AZ453" s="289">
        <f t="shared" si="50"/>
        <v>0.72046080384957967</v>
      </c>
      <c r="BA453" s="289">
        <f t="shared" si="50"/>
        <v>0.71333624605813384</v>
      </c>
      <c r="BB453" s="289">
        <f t="shared" si="50"/>
        <v>0</v>
      </c>
      <c r="BC453" s="289">
        <f t="shared" si="38"/>
        <v>0</v>
      </c>
    </row>
    <row r="454" spans="2:55">
      <c r="B454" s="72" t="s">
        <v>794</v>
      </c>
      <c r="C454" s="72" t="s">
        <v>795</v>
      </c>
      <c r="D454" s="289">
        <f t="shared" si="35"/>
        <v>0</v>
      </c>
      <c r="E454" s="289">
        <f t="shared" si="50"/>
        <v>0</v>
      </c>
      <c r="F454" s="289">
        <f t="shared" si="50"/>
        <v>0</v>
      </c>
      <c r="G454" s="289">
        <f t="shared" si="50"/>
        <v>0</v>
      </c>
      <c r="H454" s="289">
        <f t="shared" si="50"/>
        <v>0</v>
      </c>
      <c r="I454" s="289">
        <f t="shared" si="50"/>
        <v>0</v>
      </c>
      <c r="J454" s="289">
        <f t="shared" si="50"/>
        <v>0</v>
      </c>
      <c r="K454" s="289">
        <f t="shared" si="50"/>
        <v>0</v>
      </c>
      <c r="L454" s="289">
        <f t="shared" si="50"/>
        <v>0</v>
      </c>
      <c r="M454" s="289">
        <f t="shared" si="50"/>
        <v>1.2417763293542574</v>
      </c>
      <c r="N454" s="289">
        <f t="shared" si="50"/>
        <v>1.2985905695608848</v>
      </c>
      <c r="O454" s="289">
        <f t="shared" si="50"/>
        <v>1.3653461858520359</v>
      </c>
      <c r="P454" s="289">
        <f t="shared" si="50"/>
        <v>1.7304306265024845</v>
      </c>
      <c r="Q454" s="289">
        <f t="shared" si="50"/>
        <v>4.4866388852799401</v>
      </c>
      <c r="R454" s="289">
        <f t="shared" si="50"/>
        <v>3.6698595979411333</v>
      </c>
      <c r="S454" s="289">
        <f t="shared" si="50"/>
        <v>4.7210689360976437</v>
      </c>
      <c r="T454" s="289">
        <f t="shared" si="50"/>
        <v>4.3861218977049141</v>
      </c>
      <c r="U454" s="289">
        <f t="shared" si="50"/>
        <v>3.6824699713303</v>
      </c>
      <c r="V454" s="289">
        <f t="shared" si="50"/>
        <v>3.689185214762694</v>
      </c>
      <c r="W454" s="289">
        <f t="shared" si="50"/>
        <v>3.6715054556016904</v>
      </c>
      <c r="X454" s="289">
        <f t="shared" si="50"/>
        <v>3.8551565598761171</v>
      </c>
      <c r="Y454" s="289">
        <f t="shared" si="50"/>
        <v>3.1717919466914313</v>
      </c>
      <c r="Z454" s="289">
        <f t="shared" si="50"/>
        <v>2.5522843094890013</v>
      </c>
      <c r="AA454" s="289">
        <f t="shared" si="50"/>
        <v>2.5475699831967504</v>
      </c>
      <c r="AB454" s="289">
        <f t="shared" si="50"/>
        <v>2.0366593465946075</v>
      </c>
      <c r="AC454" s="289">
        <f t="shared" si="50"/>
        <v>1.2706680659917955</v>
      </c>
      <c r="AD454" s="289">
        <f t="shared" si="50"/>
        <v>1.0513056224366892</v>
      </c>
      <c r="AE454" s="289">
        <f t="shared" si="50"/>
        <v>0.91385931659771547</v>
      </c>
      <c r="AF454" s="289">
        <f t="shared" si="50"/>
        <v>0.93681027449090593</v>
      </c>
      <c r="AG454" s="289">
        <f t="shared" si="50"/>
        <v>0.87843488546779602</v>
      </c>
      <c r="AH454" s="289">
        <f t="shared" si="50"/>
        <v>0.77522879747584073</v>
      </c>
      <c r="AI454" s="289">
        <f t="shared" si="50"/>
        <v>0.82602386095048219</v>
      </c>
      <c r="AJ454" s="289">
        <f t="shared" si="50"/>
        <v>0.85675593072391065</v>
      </c>
      <c r="AK454" s="289">
        <f t="shared" si="50"/>
        <v>0.81262378095409638</v>
      </c>
      <c r="AL454" s="289">
        <f t="shared" si="50"/>
        <v>0.81385378640410633</v>
      </c>
      <c r="AM454" s="289">
        <f t="shared" si="50"/>
        <v>0.84323487964087351</v>
      </c>
      <c r="AN454" s="289">
        <f t="shared" si="50"/>
        <v>0.91073163084376718</v>
      </c>
      <c r="AO454" s="289">
        <f t="shared" si="50"/>
        <v>0.74757001687621638</v>
      </c>
      <c r="AP454" s="289">
        <f t="shared" si="50"/>
        <v>0.84866726997313291</v>
      </c>
      <c r="AQ454" s="289">
        <f t="shared" si="50"/>
        <v>1.1993465043802554</v>
      </c>
      <c r="AR454" s="289">
        <f t="shared" si="50"/>
        <v>1.1613396912518814</v>
      </c>
      <c r="AS454" s="289">
        <f t="shared" si="50"/>
        <v>1.1491298640296941</v>
      </c>
      <c r="AT454" s="289">
        <f t="shared" si="50"/>
        <v>1.1559700627657807</v>
      </c>
      <c r="AU454" s="289">
        <f t="shared" si="50"/>
        <v>1.2070272046308264</v>
      </c>
      <c r="AV454" s="289">
        <f t="shared" si="50"/>
        <v>1.3752033110893083</v>
      </c>
      <c r="AW454" s="289">
        <f t="shared" si="50"/>
        <v>1.5275408889789552</v>
      </c>
      <c r="AX454" s="289">
        <f t="shared" si="50"/>
        <v>1.4572799810538779</v>
      </c>
      <c r="AY454" s="289">
        <f t="shared" si="50"/>
        <v>1.909499500695895</v>
      </c>
      <c r="AZ454" s="289">
        <f t="shared" si="50"/>
        <v>1.7286384341582741</v>
      </c>
      <c r="BA454" s="289">
        <f t="shared" si="50"/>
        <v>1.996844398742085</v>
      </c>
      <c r="BB454" s="289">
        <f t="shared" si="50"/>
        <v>2.36949662488166</v>
      </c>
      <c r="BC454" s="289">
        <f t="shared" si="38"/>
        <v>2.36949662488166</v>
      </c>
    </row>
    <row r="455" spans="2:55">
      <c r="B455" s="72" t="s">
        <v>796</v>
      </c>
      <c r="C455" s="72" t="s">
        <v>797</v>
      </c>
      <c r="D455" s="289">
        <f t="shared" si="35"/>
        <v>0</v>
      </c>
      <c r="E455" s="289">
        <f t="shared" si="50"/>
        <v>0</v>
      </c>
      <c r="F455" s="289">
        <f t="shared" si="50"/>
        <v>0</v>
      </c>
      <c r="G455" s="289">
        <f t="shared" si="50"/>
        <v>0</v>
      </c>
      <c r="H455" s="289">
        <f t="shared" si="50"/>
        <v>0</v>
      </c>
      <c r="I455" s="289">
        <f t="shared" si="50"/>
        <v>0</v>
      </c>
      <c r="J455" s="289">
        <f t="shared" si="50"/>
        <v>0</v>
      </c>
      <c r="K455" s="289">
        <f t="shared" si="50"/>
        <v>0</v>
      </c>
      <c r="L455" s="289">
        <f t="shared" si="50"/>
        <v>0</v>
      </c>
      <c r="M455" s="289">
        <f t="shared" si="50"/>
        <v>0</v>
      </c>
      <c r="N455" s="289">
        <f t="shared" si="50"/>
        <v>0</v>
      </c>
      <c r="O455" s="289">
        <f t="shared" si="50"/>
        <v>0</v>
      </c>
      <c r="P455" s="289">
        <f t="shared" si="50"/>
        <v>0</v>
      </c>
      <c r="Q455" s="289">
        <f t="shared" si="50"/>
        <v>0</v>
      </c>
      <c r="R455" s="289">
        <f t="shared" si="50"/>
        <v>0</v>
      </c>
      <c r="S455" s="289">
        <f t="shared" si="50"/>
        <v>0</v>
      </c>
      <c r="T455" s="289">
        <f t="shared" si="50"/>
        <v>0</v>
      </c>
      <c r="U455" s="289">
        <f t="shared" si="50"/>
        <v>0</v>
      </c>
      <c r="V455" s="289">
        <f t="shared" si="50"/>
        <v>0</v>
      </c>
      <c r="W455" s="289">
        <f t="shared" si="50"/>
        <v>0</v>
      </c>
      <c r="X455" s="289">
        <f t="shared" si="50"/>
        <v>0</v>
      </c>
      <c r="Y455" s="289">
        <f t="shared" si="50"/>
        <v>0</v>
      </c>
      <c r="Z455" s="289">
        <f t="shared" si="50"/>
        <v>0</v>
      </c>
      <c r="AA455" s="289">
        <f t="shared" si="50"/>
        <v>0</v>
      </c>
      <c r="AB455" s="289">
        <f t="shared" si="50"/>
        <v>0</v>
      </c>
      <c r="AC455" s="289">
        <f t="shared" si="50"/>
        <v>0</v>
      </c>
      <c r="AD455" s="289">
        <f t="shared" si="50"/>
        <v>0.13449608231427135</v>
      </c>
      <c r="AE455" s="289">
        <f t="shared" si="50"/>
        <v>0.11726216834193108</v>
      </c>
      <c r="AF455" s="289">
        <f t="shared" si="50"/>
        <v>0.11885656742427105</v>
      </c>
      <c r="AG455" s="289">
        <f t="shared" si="50"/>
        <v>9.332450663317525E-2</v>
      </c>
      <c r="AH455" s="289">
        <f t="shared" si="50"/>
        <v>6.8210153092104098E-2</v>
      </c>
      <c r="AI455" s="289">
        <f t="shared" si="50"/>
        <v>5.8053828259475013E-2</v>
      </c>
      <c r="AJ455" s="289">
        <f t="shared" si="50"/>
        <v>6.8129203139345215E-2</v>
      </c>
      <c r="AK455" s="289">
        <f t="shared" si="50"/>
        <v>7.2184415837749927E-2</v>
      </c>
      <c r="AL455" s="289">
        <f t="shared" si="50"/>
        <v>7.8417931743201469E-2</v>
      </c>
      <c r="AM455" s="289">
        <f t="shared" si="50"/>
        <v>7.4506666084643056E-2</v>
      </c>
      <c r="AN455" s="289">
        <f t="shared" si="50"/>
        <v>6.6689144039771969E-2</v>
      </c>
      <c r="AO455" s="289">
        <f t="shared" si="50"/>
        <v>7.4859887432070768E-2</v>
      </c>
      <c r="AP455" s="289">
        <f t="shared" si="50"/>
        <v>6.1808214272966733E-2</v>
      </c>
      <c r="AQ455" s="289">
        <f t="shared" si="50"/>
        <v>6.5886897769621172E-2</v>
      </c>
      <c r="AR455" s="289">
        <f t="shared" si="50"/>
        <v>7.3098758924032947E-2</v>
      </c>
      <c r="AS455" s="289">
        <f t="shared" si="50"/>
        <v>7.7850989552656694E-2</v>
      </c>
      <c r="AT455" s="289">
        <f t="shared" si="50"/>
        <v>8.7855938626501318E-2</v>
      </c>
      <c r="AU455" s="289">
        <f t="shared" si="50"/>
        <v>9.4868138064672702E-2</v>
      </c>
      <c r="AV455" s="289">
        <f t="shared" si="50"/>
        <v>0.11993339454576217</v>
      </c>
      <c r="AW455" s="289">
        <f t="shared" si="50"/>
        <v>0.14033983998586613</v>
      </c>
      <c r="AX455" s="289">
        <f t="shared" si="50"/>
        <v>0.1695755315106533</v>
      </c>
      <c r="AY455" s="289">
        <f t="shared" si="50"/>
        <v>0.21553701178998746</v>
      </c>
      <c r="AZ455" s="289">
        <f t="shared" si="50"/>
        <v>0.21228611703352565</v>
      </c>
      <c r="BA455" s="289">
        <f t="shared" si="50"/>
        <v>0.20794778751604129</v>
      </c>
      <c r="BB455" s="289">
        <f t="shared" si="50"/>
        <v>0.21531315964967754</v>
      </c>
      <c r="BC455" s="289">
        <f t="shared" si="38"/>
        <v>0.21531315964967754</v>
      </c>
    </row>
    <row r="456" spans="2:55">
      <c r="B456" s="72" t="s">
        <v>798</v>
      </c>
      <c r="C456" s="72" t="s">
        <v>799</v>
      </c>
      <c r="D456" s="289">
        <f t="shared" si="35"/>
        <v>0</v>
      </c>
      <c r="E456" s="289">
        <f t="shared" si="50"/>
        <v>0</v>
      </c>
      <c r="F456" s="289">
        <f t="shared" si="50"/>
        <v>0</v>
      </c>
      <c r="G456" s="289">
        <f t="shared" si="50"/>
        <v>0</v>
      </c>
      <c r="H456" s="289">
        <f t="shared" si="50"/>
        <v>0</v>
      </c>
      <c r="I456" s="289">
        <f t="shared" si="50"/>
        <v>0</v>
      </c>
      <c r="J456" s="289">
        <f t="shared" si="50"/>
        <v>0</v>
      </c>
      <c r="K456" s="289">
        <f t="shared" si="50"/>
        <v>0</v>
      </c>
      <c r="L456" s="289">
        <f t="shared" si="50"/>
        <v>0</v>
      </c>
      <c r="M456" s="289">
        <f t="shared" si="50"/>
        <v>0</v>
      </c>
      <c r="N456" s="289">
        <f t="shared" si="50"/>
        <v>0</v>
      </c>
      <c r="O456" s="289">
        <f t="shared" si="50"/>
        <v>0</v>
      </c>
      <c r="P456" s="289">
        <f t="shared" si="50"/>
        <v>0</v>
      </c>
      <c r="Q456" s="289">
        <f t="shared" si="50"/>
        <v>0</v>
      </c>
      <c r="R456" s="289">
        <f t="shared" si="50"/>
        <v>0</v>
      </c>
      <c r="S456" s="289">
        <f t="shared" si="50"/>
        <v>0</v>
      </c>
      <c r="T456" s="289">
        <f t="shared" si="50"/>
        <v>0</v>
      </c>
      <c r="U456" s="289">
        <f t="shared" si="50"/>
        <v>0</v>
      </c>
      <c r="V456" s="289">
        <f t="shared" si="50"/>
        <v>0</v>
      </c>
      <c r="W456" s="289">
        <f t="shared" si="50"/>
        <v>0</v>
      </c>
      <c r="X456" s="289">
        <f t="shared" si="50"/>
        <v>0</v>
      </c>
      <c r="Y456" s="289">
        <f t="shared" si="50"/>
        <v>0</v>
      </c>
      <c r="Z456" s="289">
        <f t="shared" si="50"/>
        <v>0</v>
      </c>
      <c r="AA456" s="289">
        <f t="shared" si="50"/>
        <v>0</v>
      </c>
      <c r="AB456" s="289">
        <f t="shared" si="50"/>
        <v>0</v>
      </c>
      <c r="AC456" s="289">
        <f t="shared" si="50"/>
        <v>0</v>
      </c>
      <c r="AD456" s="289">
        <f t="shared" si="50"/>
        <v>0</v>
      </c>
      <c r="AE456" s="289">
        <f t="shared" si="50"/>
        <v>0</v>
      </c>
      <c r="AF456" s="289">
        <f t="shared" si="50"/>
        <v>0.22771608909050967</v>
      </c>
      <c r="AG456" s="289">
        <f t="shared" si="50"/>
        <v>0.1970362636157956</v>
      </c>
      <c r="AH456" s="289">
        <f t="shared" si="50"/>
        <v>0.18640367980821043</v>
      </c>
      <c r="AI456" s="289">
        <f t="shared" si="50"/>
        <v>0.16323894608015091</v>
      </c>
      <c r="AJ456" s="289">
        <f t="shared" si="50"/>
        <v>0.1723327978225376</v>
      </c>
      <c r="AK456" s="289">
        <f t="shared" si="50"/>
        <v>0.14531862477989033</v>
      </c>
      <c r="AL456" s="289">
        <f t="shared" si="50"/>
        <v>0.13387365498340389</v>
      </c>
      <c r="AM456" s="289">
        <f t="shared" si="50"/>
        <v>0.12646253967144622</v>
      </c>
      <c r="AN456" s="289">
        <f t="shared" si="50"/>
        <v>0.1171760717833133</v>
      </c>
      <c r="AO456" s="289">
        <f t="shared" si="50"/>
        <v>7.379158358279754E-2</v>
      </c>
      <c r="AP456" s="289">
        <f t="shared" si="50"/>
        <v>5.2252655948885507E-2</v>
      </c>
      <c r="AQ456" s="289">
        <f t="shared" si="50"/>
        <v>7.0842392418397709E-2</v>
      </c>
      <c r="AR456" s="289">
        <f t="shared" si="50"/>
        <v>8.4583405575256135E-2</v>
      </c>
      <c r="AS456" s="289">
        <f t="shared" si="50"/>
        <v>8.7978864119570926E-2</v>
      </c>
      <c r="AT456" s="289">
        <f t="shared" si="50"/>
        <v>9.5532957221896739E-2</v>
      </c>
      <c r="AU456" s="289">
        <f t="shared" si="50"/>
        <v>0.11196507098730296</v>
      </c>
      <c r="AV456" s="289">
        <f t="shared" si="50"/>
        <v>0.14000121996991582</v>
      </c>
      <c r="AW456" s="289">
        <f t="shared" si="50"/>
        <v>0.17160859744463935</v>
      </c>
      <c r="AX456" s="289">
        <f t="shared" si="50"/>
        <v>0.19741782496764812</v>
      </c>
      <c r="AY456" s="289">
        <f t="shared" si="50"/>
        <v>0.27117221057413438</v>
      </c>
      <c r="AZ456" s="289">
        <f t="shared" si="50"/>
        <v>0.24385356325880306</v>
      </c>
      <c r="BA456" s="289">
        <f t="shared" si="50"/>
        <v>0.28909322200016568</v>
      </c>
      <c r="BB456" s="289">
        <f t="shared" si="50"/>
        <v>0.33529340331360313</v>
      </c>
      <c r="BC456" s="289">
        <f t="shared" si="38"/>
        <v>0.33529340331360313</v>
      </c>
    </row>
    <row r="457" spans="2:55">
      <c r="B457" s="72" t="s">
        <v>800</v>
      </c>
      <c r="C457" s="72" t="s">
        <v>801</v>
      </c>
      <c r="D457" s="289">
        <f t="shared" si="35"/>
        <v>2.941162446333084E-2</v>
      </c>
      <c r="E457" s="289">
        <f t="shared" si="50"/>
        <v>2.8061279771052283E-2</v>
      </c>
      <c r="F457" s="289">
        <f t="shared" si="50"/>
        <v>2.6501070388497718E-2</v>
      </c>
      <c r="G457" s="289">
        <f t="shared" si="50"/>
        <v>2.4052160329761894E-2</v>
      </c>
      <c r="H457" s="289">
        <f t="shared" si="50"/>
        <v>2.4960159339845876E-2</v>
      </c>
      <c r="I457" s="289">
        <f t="shared" si="50"/>
        <v>1.914468330042951E-2</v>
      </c>
      <c r="J457" s="289">
        <f t="shared" si="50"/>
        <v>2.3049121703319127E-2</v>
      </c>
      <c r="K457" s="289">
        <f t="shared" si="50"/>
        <v>2.5752128697862125E-2</v>
      </c>
      <c r="L457" s="289">
        <f t="shared" si="50"/>
        <v>2.554127586804153E-2</v>
      </c>
      <c r="M457" s="289">
        <f t="shared" si="50"/>
        <v>2.616481889161533E-2</v>
      </c>
      <c r="N457" s="289">
        <f t="shared" si="50"/>
        <v>2.2830993345068343E-2</v>
      </c>
      <c r="O457" s="289">
        <f t="shared" si="50"/>
        <v>2.1364592375839847E-2</v>
      </c>
      <c r="P457" s="289">
        <f t="shared" si="50"/>
        <v>2.1683681708612807E-2</v>
      </c>
      <c r="Q457" s="289">
        <f t="shared" si="50"/>
        <v>2.0640542359912712E-2</v>
      </c>
      <c r="R457" s="289">
        <f t="shared" si="50"/>
        <v>3.0981868377008503E-2</v>
      </c>
      <c r="S457" s="289">
        <f t="shared" si="50"/>
        <v>3.4792166378419115E-2</v>
      </c>
      <c r="T457" s="289">
        <f t="shared" si="50"/>
        <v>3.4878066874088197E-2</v>
      </c>
      <c r="U457" s="289">
        <f t="shared" si="50"/>
        <v>3.2293175298245692E-2</v>
      </c>
      <c r="V457" s="289">
        <f t="shared" si="50"/>
        <v>2.947221455484849E-2</v>
      </c>
      <c r="W457" s="289">
        <f t="shared" si="50"/>
        <v>2.5177550162266228E-2</v>
      </c>
      <c r="X457" s="289">
        <f t="shared" si="50"/>
        <v>2.8804103269771494E-2</v>
      </c>
      <c r="Y457" s="289">
        <f t="shared" si="50"/>
        <v>2.9334349498183462E-2</v>
      </c>
      <c r="Z457" s="289">
        <f t="shared" si="50"/>
        <v>3.1574669889778521E-2</v>
      </c>
      <c r="AA457" s="289">
        <f t="shared" si="50"/>
        <v>3.4833600734895789E-2</v>
      </c>
      <c r="AB457" s="289">
        <f t="shared" si="50"/>
        <v>3.4365273955194266E-2</v>
      </c>
      <c r="AC457" s="289">
        <f t="shared" si="50"/>
        <v>3.0401270357502095E-2</v>
      </c>
      <c r="AD457" s="289">
        <f t="shared" si="50"/>
        <v>2.6218001215143602E-2</v>
      </c>
      <c r="AE457" s="289">
        <f t="shared" si="50"/>
        <v>2.3021778862681908E-2</v>
      </c>
      <c r="AF457" s="289">
        <f t="shared" si="50"/>
        <v>2.2418089320860615E-2</v>
      </c>
      <c r="AG457" s="289">
        <f t="shared" si="50"/>
        <v>2.0279620508018268E-2</v>
      </c>
      <c r="AH457" s="289">
        <f t="shared" si="50"/>
        <v>1.5130912898288345E-2</v>
      </c>
      <c r="AI457" s="289">
        <f t="shared" si="50"/>
        <v>1.658433450406295E-2</v>
      </c>
      <c r="AJ457" s="289">
        <f t="shared" si="50"/>
        <v>1.9381254170709971E-2</v>
      </c>
      <c r="AK457" s="289">
        <f t="shared" si="50"/>
        <v>7.279796245803642E-3</v>
      </c>
      <c r="AL457" s="289">
        <f t="shared" si="50"/>
        <v>1.1643930769210786E-2</v>
      </c>
      <c r="AM457" s="289">
        <f t="shared" si="50"/>
        <v>1.1360000440358302E-2</v>
      </c>
      <c r="AN457" s="289">
        <f t="shared" si="50"/>
        <v>1.2532287859370396E-2</v>
      </c>
      <c r="AO457" s="289">
        <f t="shared" si="50"/>
        <v>1.1461048260831394E-2</v>
      </c>
      <c r="AP457" s="289">
        <f t="shared" si="50"/>
        <v>9.3542849663882828E-3</v>
      </c>
      <c r="AQ457" s="289">
        <f t="shared" si="50"/>
        <v>8.5496449477559799E-3</v>
      </c>
      <c r="AR457" s="289">
        <f t="shared" si="50"/>
        <v>7.9731613936375022E-3</v>
      </c>
      <c r="AS457" s="289">
        <f t="shared" si="50"/>
        <v>7.1448866408055931E-3</v>
      </c>
      <c r="AT457" s="289">
        <f t="shared" si="50"/>
        <v>6.6895725971337075E-3</v>
      </c>
      <c r="AU457" s="289">
        <f t="shared" si="50"/>
        <v>6.3191832190963877E-3</v>
      </c>
      <c r="AV457" s="289">
        <f t="shared" si="50"/>
        <v>7.3586161914121701E-3</v>
      </c>
      <c r="AW457" s="289">
        <f t="shared" si="50"/>
        <v>8.1402780467054268E-3</v>
      </c>
      <c r="AX457" s="289">
        <f t="shared" si="50"/>
        <v>8.3089998988281951E-3</v>
      </c>
      <c r="AY457" s="289">
        <f t="shared" si="50"/>
        <v>1.0915768749396242E-2</v>
      </c>
      <c r="AZ457" s="289">
        <f t="shared" si="50"/>
        <v>1.4418130370759116E-2</v>
      </c>
      <c r="BA457" s="289">
        <f t="shared" si="50"/>
        <v>1.4602126641816012E-2</v>
      </c>
      <c r="BB457" s="289">
        <f t="shared" si="50"/>
        <v>1.4922609308626149E-2</v>
      </c>
      <c r="BC457" s="289">
        <f t="shared" si="38"/>
        <v>1.4922609308626149E-2</v>
      </c>
    </row>
    <row r="458" spans="2:55">
      <c r="B458" s="72" t="s">
        <v>802</v>
      </c>
      <c r="C458" s="72" t="s">
        <v>803</v>
      </c>
      <c r="D458" s="289">
        <f t="shared" si="35"/>
        <v>0</v>
      </c>
      <c r="E458" s="289">
        <f t="shared" si="50"/>
        <v>0</v>
      </c>
      <c r="F458" s="289">
        <f t="shared" si="50"/>
        <v>0</v>
      </c>
      <c r="G458" s="289">
        <f t="shared" si="50"/>
        <v>0</v>
      </c>
      <c r="H458" s="289">
        <f t="shared" si="50"/>
        <v>0</v>
      </c>
      <c r="I458" s="289">
        <f t="shared" si="50"/>
        <v>0</v>
      </c>
      <c r="J458" s="289">
        <f t="shared" si="50"/>
        <v>0</v>
      </c>
      <c r="K458" s="289">
        <f t="shared" si="50"/>
        <v>0</v>
      </c>
      <c r="L458" s="289">
        <f t="shared" si="50"/>
        <v>0</v>
      </c>
      <c r="M458" s="289">
        <f t="shared" si="50"/>
        <v>0</v>
      </c>
      <c r="N458" s="289">
        <f t="shared" si="50"/>
        <v>0</v>
      </c>
      <c r="O458" s="289">
        <f t="shared" ref="E458:BB463" si="51">O208/O$251</f>
        <v>0</v>
      </c>
      <c r="P458" s="289">
        <f t="shared" si="51"/>
        <v>0</v>
      </c>
      <c r="Q458" s="289">
        <f t="shared" si="51"/>
        <v>0</v>
      </c>
      <c r="R458" s="289">
        <f t="shared" si="51"/>
        <v>0</v>
      </c>
      <c r="S458" s="289">
        <f t="shared" si="51"/>
        <v>0</v>
      </c>
      <c r="T458" s="289">
        <f t="shared" si="51"/>
        <v>0</v>
      </c>
      <c r="U458" s="289">
        <f t="shared" si="51"/>
        <v>0</v>
      </c>
      <c r="V458" s="289">
        <f t="shared" si="51"/>
        <v>0</v>
      </c>
      <c r="W458" s="289">
        <f t="shared" si="51"/>
        <v>0</v>
      </c>
      <c r="X458" s="289">
        <f t="shared" si="51"/>
        <v>0</v>
      </c>
      <c r="Y458" s="289">
        <f t="shared" si="51"/>
        <v>7.9500080346047525E-2</v>
      </c>
      <c r="Z458" s="289">
        <f t="shared" si="51"/>
        <v>7.7227579079755179E-2</v>
      </c>
      <c r="AA458" s="289">
        <f t="shared" si="51"/>
        <v>7.9957200320253011E-2</v>
      </c>
      <c r="AB458" s="289">
        <f t="shared" si="51"/>
        <v>6.6101185302600007E-2</v>
      </c>
      <c r="AC458" s="289">
        <f t="shared" si="51"/>
        <v>5.6735801976423986E-2</v>
      </c>
      <c r="AD458" s="289">
        <f t="shared" si="51"/>
        <v>5.0988547181001855E-2</v>
      </c>
      <c r="AE458" s="289">
        <f t="shared" si="51"/>
        <v>4.9797422096224772E-2</v>
      </c>
      <c r="AF458" s="289">
        <f t="shared" si="51"/>
        <v>4.5393425472559645E-2</v>
      </c>
      <c r="AG458" s="289">
        <f t="shared" si="51"/>
        <v>3.9275326272930969E-2</v>
      </c>
      <c r="AH458" s="289">
        <f t="shared" si="51"/>
        <v>3.7453993871458563E-2</v>
      </c>
      <c r="AI458" s="289">
        <f t="shared" si="51"/>
        <v>3.7959061036229737E-2</v>
      </c>
      <c r="AJ458" s="289">
        <f t="shared" si="51"/>
        <v>4.2247599695880954E-2</v>
      </c>
      <c r="AK458" s="289">
        <f t="shared" si="51"/>
        <v>6.4492037526555773E-2</v>
      </c>
      <c r="AL458" s="289">
        <f t="shared" si="51"/>
        <v>5.9706948348941212E-2</v>
      </c>
      <c r="AM458" s="289">
        <f t="shared" si="51"/>
        <v>6.2484476841445619E-2</v>
      </c>
      <c r="AN458" s="289">
        <f t="shared" si="51"/>
        <v>6.3123511868757809E-2</v>
      </c>
      <c r="AO458" s="289">
        <f t="shared" si="51"/>
        <v>5.5353050772347541E-2</v>
      </c>
      <c r="AP458" s="289">
        <f t="shared" si="51"/>
        <v>5.1377694069264512E-2</v>
      </c>
      <c r="AQ458" s="289">
        <f t="shared" si="51"/>
        <v>5.5520624584606736E-2</v>
      </c>
      <c r="AR458" s="289">
        <f t="shared" si="51"/>
        <v>5.5152573719789544E-2</v>
      </c>
      <c r="AS458" s="289">
        <f t="shared" si="51"/>
        <v>5.3267714020058955E-2</v>
      </c>
      <c r="AT458" s="289">
        <f t="shared" si="51"/>
        <v>5.4097472851503375E-2</v>
      </c>
      <c r="AU458" s="289">
        <f t="shared" si="51"/>
        <v>5.6794449165880924E-2</v>
      </c>
      <c r="AV458" s="289">
        <f t="shared" si="51"/>
        <v>5.9994992147002102E-2</v>
      </c>
      <c r="AW458" s="289">
        <f t="shared" si="51"/>
        <v>6.1917028564693992E-2</v>
      </c>
      <c r="AX458" s="289">
        <f t="shared" si="51"/>
        <v>5.8452166876494481E-2</v>
      </c>
      <c r="AY458" s="289">
        <f t="shared" si="51"/>
        <v>7.3838273378217606E-2</v>
      </c>
      <c r="AZ458" s="289">
        <f t="shared" si="51"/>
        <v>8.1871858908967421E-2</v>
      </c>
      <c r="BA458" s="289">
        <f t="shared" si="51"/>
        <v>9.3448368500702261E-2</v>
      </c>
      <c r="BB458" s="289">
        <f t="shared" si="51"/>
        <v>8.9281539932184989E-2</v>
      </c>
      <c r="BC458" s="289">
        <f t="shared" si="38"/>
        <v>8.9281539932184989E-2</v>
      </c>
    </row>
    <row r="459" spans="2:55">
      <c r="B459" s="72" t="s">
        <v>804</v>
      </c>
      <c r="C459" s="72" t="s">
        <v>805</v>
      </c>
      <c r="D459" s="289">
        <f t="shared" ref="D459:D512" si="52">D209/D$251</f>
        <v>0</v>
      </c>
      <c r="E459" s="289">
        <f t="shared" si="51"/>
        <v>0</v>
      </c>
      <c r="F459" s="289">
        <f t="shared" si="51"/>
        <v>0</v>
      </c>
      <c r="G459" s="289">
        <f t="shared" si="51"/>
        <v>0</v>
      </c>
      <c r="H459" s="289">
        <f t="shared" si="51"/>
        <v>0</v>
      </c>
      <c r="I459" s="289">
        <f t="shared" si="51"/>
        <v>0</v>
      </c>
      <c r="J459" s="289">
        <f t="shared" si="51"/>
        <v>0</v>
      </c>
      <c r="K459" s="289">
        <f t="shared" si="51"/>
        <v>0</v>
      </c>
      <c r="L459" s="289">
        <f t="shared" si="51"/>
        <v>0</v>
      </c>
      <c r="M459" s="289">
        <f t="shared" si="51"/>
        <v>0</v>
      </c>
      <c r="N459" s="289">
        <f t="shared" si="51"/>
        <v>0</v>
      </c>
      <c r="O459" s="289">
        <f t="shared" si="51"/>
        <v>0</v>
      </c>
      <c r="P459" s="289">
        <f t="shared" si="51"/>
        <v>0</v>
      </c>
      <c r="Q459" s="289">
        <f t="shared" si="51"/>
        <v>0</v>
      </c>
      <c r="R459" s="289">
        <f t="shared" si="51"/>
        <v>0</v>
      </c>
      <c r="S459" s="289">
        <f t="shared" si="51"/>
        <v>0</v>
      </c>
      <c r="T459" s="289">
        <f t="shared" si="51"/>
        <v>0</v>
      </c>
      <c r="U459" s="289">
        <f t="shared" si="51"/>
        <v>0</v>
      </c>
      <c r="V459" s="289">
        <f t="shared" si="51"/>
        <v>0</v>
      </c>
      <c r="W459" s="289">
        <f t="shared" si="51"/>
        <v>0</v>
      </c>
      <c r="X459" s="289">
        <f t="shared" si="51"/>
        <v>0</v>
      </c>
      <c r="Y459" s="289">
        <f t="shared" si="51"/>
        <v>0</v>
      </c>
      <c r="Z459" s="289">
        <f t="shared" si="51"/>
        <v>0</v>
      </c>
      <c r="AA459" s="289">
        <f t="shared" si="51"/>
        <v>0</v>
      </c>
      <c r="AB459" s="289">
        <f t="shared" si="51"/>
        <v>0</v>
      </c>
      <c r="AC459" s="289">
        <f t="shared" si="51"/>
        <v>0</v>
      </c>
      <c r="AD459" s="289">
        <f t="shared" si="51"/>
        <v>0</v>
      </c>
      <c r="AE459" s="289">
        <f t="shared" si="51"/>
        <v>0</v>
      </c>
      <c r="AF459" s="289">
        <f t="shared" si="51"/>
        <v>0</v>
      </c>
      <c r="AG459" s="289">
        <f t="shared" si="51"/>
        <v>0</v>
      </c>
      <c r="AH459" s="289">
        <f t="shared" si="51"/>
        <v>0</v>
      </c>
      <c r="AI459" s="289">
        <f t="shared" si="51"/>
        <v>0</v>
      </c>
      <c r="AJ459" s="289">
        <f t="shared" si="51"/>
        <v>0</v>
      </c>
      <c r="AK459" s="289">
        <f t="shared" si="51"/>
        <v>0</v>
      </c>
      <c r="AL459" s="289">
        <f t="shared" si="51"/>
        <v>0</v>
      </c>
      <c r="AM459" s="289">
        <f t="shared" si="51"/>
        <v>0</v>
      </c>
      <c r="AN459" s="289">
        <f t="shared" si="51"/>
        <v>0</v>
      </c>
      <c r="AO459" s="289">
        <f t="shared" si="51"/>
        <v>0</v>
      </c>
      <c r="AP459" s="289">
        <f t="shared" si="51"/>
        <v>1.2542688968191429</v>
      </c>
      <c r="AQ459" s="289">
        <f t="shared" si="51"/>
        <v>1.1452934936124894</v>
      </c>
      <c r="AR459" s="289">
        <f t="shared" si="51"/>
        <v>1.1917023514643423</v>
      </c>
      <c r="AS459" s="289">
        <f t="shared" si="51"/>
        <v>1.1537525457420172</v>
      </c>
      <c r="AT459" s="289">
        <f t="shared" si="51"/>
        <v>1.2424538575226904</v>
      </c>
      <c r="AU459" s="289">
        <f t="shared" si="51"/>
        <v>1.2078614579647908</v>
      </c>
      <c r="AV459" s="289">
        <f t="shared" si="51"/>
        <v>1.1907116511208746</v>
      </c>
      <c r="AW459" s="289">
        <f t="shared" si="51"/>
        <v>1.1812937877626621</v>
      </c>
      <c r="AX459" s="289">
        <f t="shared" si="51"/>
        <v>1.174786791422193</v>
      </c>
      <c r="AY459" s="289">
        <f t="shared" si="51"/>
        <v>1.4113490380713769</v>
      </c>
      <c r="AZ459" s="289">
        <f t="shared" si="51"/>
        <v>0</v>
      </c>
      <c r="BA459" s="289">
        <f t="shared" si="51"/>
        <v>0</v>
      </c>
      <c r="BB459" s="289">
        <f t="shared" si="51"/>
        <v>0</v>
      </c>
      <c r="BC459" s="289">
        <f t="shared" si="38"/>
        <v>0</v>
      </c>
    </row>
    <row r="460" spans="2:55">
      <c r="B460" s="72" t="s">
        <v>806</v>
      </c>
      <c r="C460" s="72" t="s">
        <v>807</v>
      </c>
      <c r="D460" s="289">
        <f t="shared" si="52"/>
        <v>0</v>
      </c>
      <c r="E460" s="289">
        <f t="shared" ref="E460:S460" si="53">E210/E$251</f>
        <v>0</v>
      </c>
      <c r="F460" s="289">
        <f t="shared" si="53"/>
        <v>0</v>
      </c>
      <c r="G460" s="289">
        <f t="shared" si="53"/>
        <v>0</v>
      </c>
      <c r="H460" s="289">
        <f t="shared" si="53"/>
        <v>0</v>
      </c>
      <c r="I460" s="289">
        <f t="shared" si="53"/>
        <v>0</v>
      </c>
      <c r="J460" s="289">
        <f t="shared" si="53"/>
        <v>0</v>
      </c>
      <c r="K460" s="289">
        <f t="shared" si="53"/>
        <v>0</v>
      </c>
      <c r="L460" s="289">
        <f t="shared" si="53"/>
        <v>0</v>
      </c>
      <c r="M460" s="289">
        <f t="shared" si="53"/>
        <v>0</v>
      </c>
      <c r="N460" s="289">
        <f t="shared" si="53"/>
        <v>0</v>
      </c>
      <c r="O460" s="289">
        <f t="shared" si="53"/>
        <v>0</v>
      </c>
      <c r="P460" s="289">
        <f t="shared" si="53"/>
        <v>0</v>
      </c>
      <c r="Q460" s="289">
        <f t="shared" si="53"/>
        <v>0</v>
      </c>
      <c r="R460" s="289">
        <f t="shared" si="53"/>
        <v>0</v>
      </c>
      <c r="S460" s="289">
        <f t="shared" si="53"/>
        <v>0</v>
      </c>
      <c r="T460" s="289">
        <f t="shared" si="51"/>
        <v>0</v>
      </c>
      <c r="U460" s="289">
        <f t="shared" si="51"/>
        <v>0</v>
      </c>
      <c r="V460" s="289">
        <f t="shared" si="51"/>
        <v>0</v>
      </c>
      <c r="W460" s="289">
        <f t="shared" si="51"/>
        <v>0</v>
      </c>
      <c r="X460" s="289">
        <f t="shared" si="51"/>
        <v>0</v>
      </c>
      <c r="Y460" s="289">
        <f t="shared" si="51"/>
        <v>0</v>
      </c>
      <c r="Z460" s="289">
        <f t="shared" si="51"/>
        <v>0</v>
      </c>
      <c r="AA460" s="289">
        <f t="shared" si="51"/>
        <v>0</v>
      </c>
      <c r="AB460" s="289">
        <f t="shared" si="51"/>
        <v>0</v>
      </c>
      <c r="AC460" s="289">
        <f t="shared" si="51"/>
        <v>0</v>
      </c>
      <c r="AD460" s="289">
        <f t="shared" si="51"/>
        <v>0</v>
      </c>
      <c r="AE460" s="289">
        <f t="shared" si="51"/>
        <v>0</v>
      </c>
      <c r="AF460" s="289">
        <f t="shared" si="51"/>
        <v>0</v>
      </c>
      <c r="AG460" s="289">
        <f t="shared" si="51"/>
        <v>0</v>
      </c>
      <c r="AH460" s="289">
        <f t="shared" si="51"/>
        <v>0</v>
      </c>
      <c r="AI460" s="289">
        <f t="shared" si="51"/>
        <v>0</v>
      </c>
      <c r="AJ460" s="289">
        <f t="shared" si="51"/>
        <v>0</v>
      </c>
      <c r="AK460" s="289">
        <f t="shared" si="51"/>
        <v>0</v>
      </c>
      <c r="AL460" s="289">
        <f t="shared" si="51"/>
        <v>0</v>
      </c>
      <c r="AM460" s="289">
        <f t="shared" si="51"/>
        <v>0</v>
      </c>
      <c r="AN460" s="289">
        <f t="shared" si="51"/>
        <v>0</v>
      </c>
      <c r="AO460" s="289">
        <f t="shared" si="51"/>
        <v>0</v>
      </c>
      <c r="AP460" s="289">
        <f t="shared" si="51"/>
        <v>0</v>
      </c>
      <c r="AQ460" s="289">
        <f t="shared" si="51"/>
        <v>2.1709930143565124E-2</v>
      </c>
      <c r="AR460" s="289">
        <f t="shared" si="51"/>
        <v>2.1463894050799865E-2</v>
      </c>
      <c r="AS460" s="289">
        <f t="shared" si="51"/>
        <v>2.3052317104915728E-2</v>
      </c>
      <c r="AT460" s="289">
        <f t="shared" si="51"/>
        <v>2.1248419071972339E-2</v>
      </c>
      <c r="AU460" s="289">
        <f t="shared" si="51"/>
        <v>1.9356485178316916E-2</v>
      </c>
      <c r="AV460" s="289">
        <f t="shared" si="51"/>
        <v>1.9560854039063585E-2</v>
      </c>
      <c r="AW460" s="289">
        <f t="shared" si="51"/>
        <v>1.9795677272507826E-2</v>
      </c>
      <c r="AX460" s="289">
        <f t="shared" si="51"/>
        <v>1.9787092257611012E-2</v>
      </c>
      <c r="AY460" s="289">
        <f t="shared" si="51"/>
        <v>2.6600281379498925E-2</v>
      </c>
      <c r="AZ460" s="289">
        <f t="shared" si="51"/>
        <v>3.4217785161373027E-2</v>
      </c>
      <c r="BA460" s="289">
        <f t="shared" si="51"/>
        <v>3.3525118950027286E-2</v>
      </c>
      <c r="BB460" s="289">
        <f t="shared" si="51"/>
        <v>3.7739315802488196E-2</v>
      </c>
      <c r="BC460" s="289">
        <f t="shared" ref="BC460:BC512" si="54">BC210/BC$251</f>
        <v>3.7739315802488196E-2</v>
      </c>
    </row>
    <row r="461" spans="2:55">
      <c r="B461" s="72" t="s">
        <v>808</v>
      </c>
      <c r="C461" s="72" t="s">
        <v>809</v>
      </c>
      <c r="D461" s="289">
        <f t="shared" si="52"/>
        <v>0</v>
      </c>
      <c r="E461" s="289">
        <f t="shared" si="51"/>
        <v>0</v>
      </c>
      <c r="F461" s="289">
        <f t="shared" si="51"/>
        <v>0</v>
      </c>
      <c r="G461" s="289">
        <f t="shared" si="51"/>
        <v>0</v>
      </c>
      <c r="H461" s="289">
        <f t="shared" si="51"/>
        <v>0</v>
      </c>
      <c r="I461" s="289">
        <f t="shared" si="51"/>
        <v>0</v>
      </c>
      <c r="J461" s="289">
        <f t="shared" si="51"/>
        <v>0</v>
      </c>
      <c r="K461" s="289">
        <f t="shared" si="51"/>
        <v>0.41437554698311491</v>
      </c>
      <c r="L461" s="289">
        <f t="shared" si="51"/>
        <v>0.39845800993344777</v>
      </c>
      <c r="M461" s="289">
        <f t="shared" si="51"/>
        <v>0.38750562036984643</v>
      </c>
      <c r="N461" s="289">
        <f t="shared" si="51"/>
        <v>0.44640415159725444</v>
      </c>
      <c r="O461" s="289">
        <f t="shared" si="51"/>
        <v>0.5057340123829227</v>
      </c>
      <c r="P461" s="289">
        <f t="shared" si="51"/>
        <v>0.66947800543417935</v>
      </c>
      <c r="Q461" s="289">
        <f t="shared" si="51"/>
        <v>1.8366764696578053</v>
      </c>
      <c r="R461" s="289">
        <f t="shared" si="51"/>
        <v>1.50658721433119</v>
      </c>
      <c r="S461" s="289">
        <f t="shared" si="51"/>
        <v>2.0367886659133263</v>
      </c>
      <c r="T461" s="289">
        <f t="shared" si="51"/>
        <v>1.9773075026701599</v>
      </c>
      <c r="U461" s="289">
        <f t="shared" si="51"/>
        <v>1.5939518353801014</v>
      </c>
      <c r="V461" s="289">
        <f t="shared" si="51"/>
        <v>1.6137526157969548</v>
      </c>
      <c r="W461" s="289">
        <f t="shared" si="51"/>
        <v>1.7420409825437597</v>
      </c>
      <c r="X461" s="289">
        <f t="shared" si="51"/>
        <v>1.9269721518066336</v>
      </c>
      <c r="Y461" s="289">
        <f t="shared" si="51"/>
        <v>1.5762928288362488</v>
      </c>
      <c r="Z461" s="289">
        <f t="shared" si="51"/>
        <v>1.3169249917583274</v>
      </c>
      <c r="AA461" s="289">
        <f t="shared" si="51"/>
        <v>1.2229175592075308</v>
      </c>
      <c r="AB461" s="289">
        <f t="shared" si="51"/>
        <v>0.95724879097382576</v>
      </c>
      <c r="AC461" s="289">
        <f t="shared" si="51"/>
        <v>0.62335136352548781</v>
      </c>
      <c r="AD461" s="289">
        <f t="shared" si="51"/>
        <v>0.48021845156528015</v>
      </c>
      <c r="AE461" s="289">
        <f t="shared" si="51"/>
        <v>0.39233783407608797</v>
      </c>
      <c r="AF461" s="289">
        <f t="shared" si="51"/>
        <v>0.40589949635306594</v>
      </c>
      <c r="AG461" s="289">
        <f t="shared" si="51"/>
        <v>0.40908428883662407</v>
      </c>
      <c r="AH461" s="289">
        <f t="shared" si="51"/>
        <v>0.42850332375140304</v>
      </c>
      <c r="AI461" s="289">
        <f t="shared" si="51"/>
        <v>0.41822254179300394</v>
      </c>
      <c r="AJ461" s="289">
        <f t="shared" si="51"/>
        <v>0.43974408317555874</v>
      </c>
      <c r="AK461" s="289">
        <f t="shared" si="51"/>
        <v>0.40451043822391203</v>
      </c>
      <c r="AL461" s="289">
        <f t="shared" si="51"/>
        <v>0.38627646594135573</v>
      </c>
      <c r="AM461" s="289">
        <f t="shared" si="51"/>
        <v>0.40048393202559979</v>
      </c>
      <c r="AN461" s="289">
        <f t="shared" si="51"/>
        <v>0.36975998862214876</v>
      </c>
      <c r="AO461" s="289">
        <f t="shared" si="51"/>
        <v>0.30284980523668564</v>
      </c>
      <c r="AP461" s="289">
        <f t="shared" si="51"/>
        <v>0.32081408644711301</v>
      </c>
      <c r="AQ461" s="289">
        <f t="shared" si="51"/>
        <v>0.37516787761119108</v>
      </c>
      <c r="AR461" s="289">
        <f t="shared" si="51"/>
        <v>0.35629411856544863</v>
      </c>
      <c r="AS461" s="289">
        <f t="shared" si="51"/>
        <v>0.32540360006873403</v>
      </c>
      <c r="AT461" s="289">
        <f t="shared" si="51"/>
        <v>0.30839067509292822</v>
      </c>
      <c r="AU461" s="289">
        <f t="shared" si="51"/>
        <v>0.29388280138843836</v>
      </c>
      <c r="AV461" s="289">
        <f t="shared" si="51"/>
        <v>0.34433741623438063</v>
      </c>
      <c r="AW461" s="289">
        <f t="shared" si="51"/>
        <v>0.35524321231812961</v>
      </c>
      <c r="AX461" s="289">
        <f t="shared" si="51"/>
        <v>0.32573319183261934</v>
      </c>
      <c r="AY461" s="289">
        <f t="shared" si="51"/>
        <v>0.42187921324160116</v>
      </c>
      <c r="AZ461" s="289">
        <f t="shared" si="51"/>
        <v>0.39769143258199208</v>
      </c>
      <c r="BA461" s="289">
        <f t="shared" si="51"/>
        <v>0.45298530646806107</v>
      </c>
      <c r="BB461" s="289">
        <f t="shared" si="51"/>
        <v>0.5261556790411871</v>
      </c>
      <c r="BC461" s="289">
        <f t="shared" si="54"/>
        <v>0.5261556790411871</v>
      </c>
    </row>
    <row r="462" spans="2:55">
      <c r="B462" s="72" t="s">
        <v>810</v>
      </c>
      <c r="C462" s="72" t="s">
        <v>811</v>
      </c>
      <c r="D462" s="289">
        <f t="shared" si="52"/>
        <v>0.18394392018880434</v>
      </c>
      <c r="E462" s="289">
        <f t="shared" si="51"/>
        <v>0.17608158826970421</v>
      </c>
      <c r="F462" s="289">
        <f t="shared" si="51"/>
        <v>0.16827281071240574</v>
      </c>
      <c r="G462" s="289">
        <f t="shared" si="51"/>
        <v>0.15957142659130313</v>
      </c>
      <c r="H462" s="289">
        <f t="shared" si="51"/>
        <v>0.14734181120455697</v>
      </c>
      <c r="I462" s="289">
        <f t="shared" si="51"/>
        <v>0.13914259890490618</v>
      </c>
      <c r="J462" s="289">
        <f t="shared" si="51"/>
        <v>0.13061337908314227</v>
      </c>
      <c r="K462" s="289">
        <f t="shared" si="51"/>
        <v>0.14190187994437312</v>
      </c>
      <c r="L462" s="289">
        <f t="shared" si="51"/>
        <v>0.12199251618816602</v>
      </c>
      <c r="M462" s="289">
        <f t="shared" si="51"/>
        <v>0.11159301612183543</v>
      </c>
      <c r="N462" s="289">
        <f t="shared" si="51"/>
        <v>9.9019252174710318E-2</v>
      </c>
      <c r="O462" s="289">
        <f t="shared" si="51"/>
        <v>0.10128518984115442</v>
      </c>
      <c r="P462" s="289">
        <f t="shared" si="51"/>
        <v>0.10013368347773793</v>
      </c>
      <c r="Q462" s="289">
        <f t="shared" si="51"/>
        <v>0.10137318141704374</v>
      </c>
      <c r="R462" s="289">
        <f t="shared" si="51"/>
        <v>0.11110511434908951</v>
      </c>
      <c r="S462" s="289">
        <f t="shared" si="51"/>
        <v>0.11419725800743639</v>
      </c>
      <c r="T462" s="289">
        <f t="shared" si="51"/>
        <v>0.10098748666431025</v>
      </c>
      <c r="U462" s="289">
        <f t="shared" si="51"/>
        <v>8.6898122993631588E-2</v>
      </c>
      <c r="V462" s="289">
        <f t="shared" si="51"/>
        <v>8.137077704848196E-2</v>
      </c>
      <c r="W462" s="289">
        <f t="shared" si="51"/>
        <v>6.724220959873968E-2</v>
      </c>
      <c r="X462" s="289">
        <f t="shared" si="51"/>
        <v>6.2502112873904794E-2</v>
      </c>
      <c r="Y462" s="289">
        <f t="shared" si="51"/>
        <v>6.2417502092378084E-2</v>
      </c>
      <c r="Z462" s="289">
        <f t="shared" si="51"/>
        <v>5.70831557716917E-2</v>
      </c>
      <c r="AA462" s="289">
        <f t="shared" si="51"/>
        <v>5.7478978670713443E-2</v>
      </c>
      <c r="AB462" s="289">
        <f t="shared" si="51"/>
        <v>5.7892844205668599E-2</v>
      </c>
      <c r="AC462" s="289">
        <f t="shared" si="51"/>
        <v>6.4845375135007197E-2</v>
      </c>
      <c r="AD462" s="289">
        <f t="shared" si="51"/>
        <v>6.1777363886002558E-2</v>
      </c>
      <c r="AE462" s="289">
        <f t="shared" si="51"/>
        <v>4.890105173642452E-2</v>
      </c>
      <c r="AF462" s="289">
        <f t="shared" si="51"/>
        <v>4.6432190260869401E-2</v>
      </c>
      <c r="AG462" s="289">
        <f t="shared" si="51"/>
        <v>4.46311084758826E-2</v>
      </c>
      <c r="AH462" s="289">
        <f t="shared" si="51"/>
        <v>4.0944234617984736E-2</v>
      </c>
      <c r="AI462" s="289">
        <f t="shared" si="51"/>
        <v>4.1200862231572821E-2</v>
      </c>
      <c r="AJ462" s="289">
        <f t="shared" si="51"/>
        <v>4.220919195739254E-2</v>
      </c>
      <c r="AK462" s="289">
        <f t="shared" si="51"/>
        <v>2.5977751130913551E-2</v>
      </c>
      <c r="AL462" s="289">
        <f t="shared" si="51"/>
        <v>2.9229296469175763E-2</v>
      </c>
      <c r="AM462" s="289">
        <f t="shared" si="51"/>
        <v>2.8121801852915979E-2</v>
      </c>
      <c r="AN462" s="289">
        <f t="shared" si="51"/>
        <v>2.2600507615626136E-2</v>
      </c>
      <c r="AO462" s="289">
        <f t="shared" si="51"/>
        <v>2.2273241780058066E-2</v>
      </c>
      <c r="AP462" s="289">
        <f t="shared" si="51"/>
        <v>2.1666322590520398E-2</v>
      </c>
      <c r="AQ462" s="289">
        <f t="shared" si="51"/>
        <v>1.9646173592453402E-2</v>
      </c>
      <c r="AR462" s="289">
        <f t="shared" si="51"/>
        <v>2.0124272924985739E-2</v>
      </c>
      <c r="AS462" s="289">
        <f t="shared" si="51"/>
        <v>1.9711542483770193E-2</v>
      </c>
      <c r="AT462" s="289">
        <f t="shared" si="51"/>
        <v>2.1376831917885707E-2</v>
      </c>
      <c r="AU462" s="289">
        <f t="shared" si="51"/>
        <v>2.0680739658984978E-2</v>
      </c>
      <c r="AV462" s="289">
        <f t="shared" si="51"/>
        <v>2.0989092474652537E-2</v>
      </c>
      <c r="AW462" s="289">
        <f t="shared" si="51"/>
        <v>2.0722080870335519E-2</v>
      </c>
      <c r="AX462" s="289">
        <f t="shared" si="51"/>
        <v>2.1292776882559095E-2</v>
      </c>
      <c r="AY462" s="289">
        <f t="shared" si="51"/>
        <v>2.6321180317620728E-2</v>
      </c>
      <c r="AZ462" s="289">
        <f t="shared" si="51"/>
        <v>2.9851571197033563E-2</v>
      </c>
      <c r="BA462" s="289">
        <f t="shared" si="51"/>
        <v>2.8516797396542257E-2</v>
      </c>
      <c r="BB462" s="289">
        <f t="shared" si="51"/>
        <v>2.8673194006447689E-2</v>
      </c>
      <c r="BC462" s="289">
        <f t="shared" si="54"/>
        <v>2.8673194006447689E-2</v>
      </c>
    </row>
    <row r="463" spans="2:55">
      <c r="B463" s="72" t="s">
        <v>812</v>
      </c>
      <c r="C463" s="72" t="s">
        <v>813</v>
      </c>
      <c r="D463" s="289">
        <f t="shared" si="52"/>
        <v>0</v>
      </c>
      <c r="E463" s="289">
        <f t="shared" si="51"/>
        <v>0</v>
      </c>
      <c r="F463" s="289">
        <f t="shared" si="51"/>
        <v>0</v>
      </c>
      <c r="G463" s="289">
        <f t="shared" si="51"/>
        <v>0</v>
      </c>
      <c r="H463" s="289">
        <f t="shared" si="51"/>
        <v>0</v>
      </c>
      <c r="I463" s="289">
        <f t="shared" si="51"/>
        <v>0</v>
      </c>
      <c r="J463" s="289">
        <f t="shared" si="51"/>
        <v>0</v>
      </c>
      <c r="K463" s="289">
        <f t="shared" si="51"/>
        <v>0</v>
      </c>
      <c r="L463" s="289">
        <f t="shared" si="51"/>
        <v>0</v>
      </c>
      <c r="M463" s="289">
        <f t="shared" si="51"/>
        <v>0</v>
      </c>
      <c r="N463" s="289">
        <f t="shared" si="51"/>
        <v>0</v>
      </c>
      <c r="O463" s="289">
        <f t="shared" si="51"/>
        <v>0</v>
      </c>
      <c r="P463" s="289">
        <f t="shared" si="51"/>
        <v>0</v>
      </c>
      <c r="Q463" s="289">
        <f t="shared" si="51"/>
        <v>0</v>
      </c>
      <c r="R463" s="289">
        <f t="shared" si="51"/>
        <v>0</v>
      </c>
      <c r="S463" s="289">
        <f t="shared" si="51"/>
        <v>0</v>
      </c>
      <c r="T463" s="289">
        <f t="shared" si="51"/>
        <v>0</v>
      </c>
      <c r="U463" s="289">
        <f t="shared" si="51"/>
        <v>0</v>
      </c>
      <c r="V463" s="289">
        <f t="shared" si="51"/>
        <v>0</v>
      </c>
      <c r="W463" s="289">
        <f t="shared" si="51"/>
        <v>0</v>
      </c>
      <c r="X463" s="289">
        <f t="shared" si="51"/>
        <v>0</v>
      </c>
      <c r="Y463" s="289">
        <f t="shared" si="51"/>
        <v>0</v>
      </c>
      <c r="Z463" s="289">
        <f t="shared" si="51"/>
        <v>0</v>
      </c>
      <c r="AA463" s="289">
        <f t="shared" si="51"/>
        <v>0</v>
      </c>
      <c r="AB463" s="289">
        <f t="shared" si="51"/>
        <v>0</v>
      </c>
      <c r="AC463" s="289">
        <f t="shared" si="51"/>
        <v>0</v>
      </c>
      <c r="AD463" s="289">
        <f t="shared" si="51"/>
        <v>0</v>
      </c>
      <c r="AE463" s="289">
        <f t="shared" si="51"/>
        <v>0</v>
      </c>
      <c r="AF463" s="289">
        <f t="shared" si="51"/>
        <v>0</v>
      </c>
      <c r="AG463" s="289">
        <f t="shared" si="51"/>
        <v>0</v>
      </c>
      <c r="AH463" s="289">
        <f t="shared" si="51"/>
        <v>0</v>
      </c>
      <c r="AI463" s="289">
        <f t="shared" ref="E463:BB468" si="55">AI213/AI$251</f>
        <v>0</v>
      </c>
      <c r="AJ463" s="289">
        <f t="shared" si="55"/>
        <v>0</v>
      </c>
      <c r="AK463" s="289">
        <f t="shared" si="55"/>
        <v>0</v>
      </c>
      <c r="AL463" s="289">
        <f t="shared" si="55"/>
        <v>0</v>
      </c>
      <c r="AM463" s="289">
        <f t="shared" si="55"/>
        <v>0</v>
      </c>
      <c r="AN463" s="289">
        <f t="shared" si="55"/>
        <v>0.11914170096487668</v>
      </c>
      <c r="AO463" s="289">
        <f t="shared" si="55"/>
        <v>8.5662665365745197E-2</v>
      </c>
      <c r="AP463" s="289">
        <f t="shared" si="55"/>
        <v>9.1255008869274429E-2</v>
      </c>
      <c r="AQ463" s="289">
        <f t="shared" si="55"/>
        <v>3.229657439027387E-2</v>
      </c>
      <c r="AR463" s="289">
        <f t="shared" si="55"/>
        <v>6.1121451951183507E-2</v>
      </c>
      <c r="AS463" s="289">
        <f t="shared" si="55"/>
        <v>7.4588638974828897E-2</v>
      </c>
      <c r="AT463" s="289">
        <f t="shared" si="55"/>
        <v>8.3893539398860226E-2</v>
      </c>
      <c r="AU463" s="289">
        <f t="shared" si="55"/>
        <v>8.635694798250422E-2</v>
      </c>
      <c r="AV463" s="289">
        <f t="shared" si="55"/>
        <v>8.8962015495140614E-2</v>
      </c>
      <c r="AW463" s="289">
        <f t="shared" si="55"/>
        <v>9.7394697523046109E-2</v>
      </c>
      <c r="AX463" s="289">
        <f t="shared" si="55"/>
        <v>0.11389821762186293</v>
      </c>
      <c r="AY463" s="289">
        <f t="shared" si="55"/>
        <v>0.1505983835328922</v>
      </c>
      <c r="AZ463" s="289">
        <f t="shared" si="55"/>
        <v>0.15521807909593413</v>
      </c>
      <c r="BA463" s="289">
        <f t="shared" si="55"/>
        <v>0.14534539120911696</v>
      </c>
      <c r="BB463" s="289">
        <f t="shared" si="55"/>
        <v>0.16164483392443327</v>
      </c>
      <c r="BC463" s="289">
        <f t="shared" si="54"/>
        <v>0.16164483392443327</v>
      </c>
    </row>
    <row r="464" spans="2:55">
      <c r="B464" s="72" t="s">
        <v>814</v>
      </c>
      <c r="C464" s="72" t="s">
        <v>815</v>
      </c>
      <c r="D464" s="289">
        <f t="shared" si="52"/>
        <v>0.18607376087616659</v>
      </c>
      <c r="E464" s="289">
        <f t="shared" si="55"/>
        <v>0.18963665802488452</v>
      </c>
      <c r="F464" s="289">
        <f t="shared" si="55"/>
        <v>0.19351774333612437</v>
      </c>
      <c r="G464" s="289">
        <f t="shared" si="55"/>
        <v>0.19215250716769181</v>
      </c>
      <c r="H464" s="289">
        <f t="shared" si="55"/>
        <v>0.17746799349773917</v>
      </c>
      <c r="I464" s="289">
        <f t="shared" si="55"/>
        <v>0.17230237283604929</v>
      </c>
      <c r="J464" s="289">
        <f t="shared" si="55"/>
        <v>0.16467253230196538</v>
      </c>
      <c r="K464" s="289">
        <f t="shared" si="55"/>
        <v>0.16576330559664626</v>
      </c>
      <c r="L464" s="289">
        <f t="shared" si="55"/>
        <v>0.15458920694199552</v>
      </c>
      <c r="M464" s="289">
        <f t="shared" si="55"/>
        <v>0.15338328656469416</v>
      </c>
      <c r="N464" s="289">
        <f t="shared" si="55"/>
        <v>0.15880483114845767</v>
      </c>
      <c r="O464" s="289">
        <f t="shared" si="55"/>
        <v>0.18899697131954935</v>
      </c>
      <c r="P464" s="289">
        <f t="shared" si="55"/>
        <v>0.19773837160120222</v>
      </c>
      <c r="Q464" s="289">
        <f t="shared" si="55"/>
        <v>0.2098070748920958</v>
      </c>
      <c r="R464" s="289">
        <f t="shared" si="55"/>
        <v>0.19074460807728746</v>
      </c>
      <c r="S464" s="289">
        <f t="shared" si="55"/>
        <v>0.2008895810808676</v>
      </c>
      <c r="T464" s="289">
        <f t="shared" si="55"/>
        <v>0.22881942839905559</v>
      </c>
      <c r="U464" s="289">
        <f t="shared" si="55"/>
        <v>0.23585734772717024</v>
      </c>
      <c r="V464" s="289">
        <f t="shared" si="55"/>
        <v>0.26652620042383368</v>
      </c>
      <c r="W464" s="289">
        <f t="shared" si="55"/>
        <v>0.23778048083955322</v>
      </c>
      <c r="X464" s="289">
        <f t="shared" si="55"/>
        <v>0.25845270394989128</v>
      </c>
      <c r="Y464" s="289">
        <f t="shared" si="55"/>
        <v>0.25765058862811757</v>
      </c>
      <c r="Z464" s="289">
        <f t="shared" si="55"/>
        <v>0.26741980566024121</v>
      </c>
      <c r="AA464" s="289">
        <f t="shared" si="55"/>
        <v>0.29079757405301621</v>
      </c>
      <c r="AB464" s="289">
        <f t="shared" si="55"/>
        <v>0.30521324854209414</v>
      </c>
      <c r="AC464" s="289">
        <f t="shared" si="55"/>
        <v>0.30428512078280412</v>
      </c>
      <c r="AD464" s="289">
        <f t="shared" si="55"/>
        <v>0.29569128175065434</v>
      </c>
      <c r="AE464" s="289">
        <f t="shared" si="55"/>
        <v>0.27573568403786025</v>
      </c>
      <c r="AF464" s="289">
        <f t="shared" si="55"/>
        <v>0.2951578173360877</v>
      </c>
      <c r="AG464" s="289">
        <f t="shared" si="55"/>
        <v>0.29769307480845636</v>
      </c>
      <c r="AH464" s="289">
        <f t="shared" si="55"/>
        <v>0.28826790510318223</v>
      </c>
      <c r="AI464" s="289">
        <f t="shared" si="55"/>
        <v>0.31918350086793951</v>
      </c>
      <c r="AJ464" s="289">
        <f t="shared" si="55"/>
        <v>0.38344285692159275</v>
      </c>
      <c r="AK464" s="289">
        <f t="shared" si="55"/>
        <v>0.3594382810866279</v>
      </c>
      <c r="AL464" s="289">
        <f t="shared" si="55"/>
        <v>0.33840652050973313</v>
      </c>
      <c r="AM464" s="289">
        <f t="shared" si="55"/>
        <v>0.31398550484444487</v>
      </c>
      <c r="AN464" s="289">
        <f t="shared" si="55"/>
        <v>0.31035879020330848</v>
      </c>
      <c r="AO464" s="289">
        <f t="shared" si="55"/>
        <v>0.30868218446260909</v>
      </c>
      <c r="AP464" s="289">
        <f t="shared" si="55"/>
        <v>0.30233857281408966</v>
      </c>
      <c r="AQ464" s="289">
        <f t="shared" si="55"/>
        <v>0.3024570174555698</v>
      </c>
      <c r="AR464" s="289">
        <f t="shared" si="55"/>
        <v>0.30854511431254139</v>
      </c>
      <c r="AS464" s="289">
        <f t="shared" si="55"/>
        <v>0.30868466814969975</v>
      </c>
      <c r="AT464" s="289">
        <f t="shared" si="55"/>
        <v>0.27358547708597614</v>
      </c>
      <c r="AU464" s="289">
        <f t="shared" si="55"/>
        <v>0.23115930723842862</v>
      </c>
      <c r="AV464" s="289">
        <f t="shared" si="55"/>
        <v>0.29014543822383992</v>
      </c>
      <c r="AW464" s="289">
        <f t="shared" si="55"/>
        <v>0.29774314470505586</v>
      </c>
      <c r="AX464" s="289">
        <f t="shared" si="55"/>
        <v>0.25864362275755948</v>
      </c>
      <c r="AY464" s="289">
        <f t="shared" si="55"/>
        <v>0.25648973880180381</v>
      </c>
      <c r="AZ464" s="289">
        <f t="shared" si="55"/>
        <v>0.27277451674075454</v>
      </c>
      <c r="BA464" s="289">
        <f t="shared" si="55"/>
        <v>0.30697826033372178</v>
      </c>
      <c r="BB464" s="289">
        <f t="shared" si="55"/>
        <v>0.29999823339626835</v>
      </c>
      <c r="BC464" s="289">
        <f t="shared" si="54"/>
        <v>0.29999823339626835</v>
      </c>
    </row>
    <row r="465" spans="2:55">
      <c r="B465" s="72" t="s">
        <v>816</v>
      </c>
      <c r="C465" s="72" t="s">
        <v>817</v>
      </c>
      <c r="D465" s="289">
        <f t="shared" si="52"/>
        <v>0.10157241023053028</v>
      </c>
      <c r="E465" s="289">
        <f t="shared" si="55"/>
        <v>0.10027717184316262</v>
      </c>
      <c r="F465" s="289">
        <f t="shared" si="55"/>
        <v>9.535745719714879E-2</v>
      </c>
      <c r="G465" s="289">
        <f t="shared" si="55"/>
        <v>9.2142999354161426E-2</v>
      </c>
      <c r="H465" s="289">
        <f t="shared" si="55"/>
        <v>8.180951563383114E-2</v>
      </c>
      <c r="I465" s="289">
        <f t="shared" si="55"/>
        <v>7.9353163216148076E-2</v>
      </c>
      <c r="J465" s="289">
        <f t="shared" si="55"/>
        <v>7.0138375821486354E-2</v>
      </c>
      <c r="K465" s="289">
        <f t="shared" si="55"/>
        <v>6.9531497057450972E-2</v>
      </c>
      <c r="L465" s="289">
        <f t="shared" si="55"/>
        <v>7.8956242979336205E-2</v>
      </c>
      <c r="M465" s="289">
        <f t="shared" si="55"/>
        <v>7.4721743349416433E-2</v>
      </c>
      <c r="N465" s="289">
        <f t="shared" si="55"/>
        <v>6.2916755192759771E-2</v>
      </c>
      <c r="O465" s="289">
        <f t="shared" si="55"/>
        <v>5.9854791512704474E-2</v>
      </c>
      <c r="P465" s="289">
        <f t="shared" si="55"/>
        <v>6.4489143883995098E-2</v>
      </c>
      <c r="Q465" s="289">
        <f t="shared" si="55"/>
        <v>6.6097338652266302E-2</v>
      </c>
      <c r="R465" s="289">
        <f t="shared" si="55"/>
        <v>5.6778579297412306E-2</v>
      </c>
      <c r="S465" s="289">
        <f t="shared" si="55"/>
        <v>5.0707344650795801E-2</v>
      </c>
      <c r="T465" s="289">
        <f t="shared" si="55"/>
        <v>5.1123539568756399E-2</v>
      </c>
      <c r="U465" s="289">
        <f t="shared" si="55"/>
        <v>5.4853269758531276E-2</v>
      </c>
      <c r="V465" s="289">
        <f t="shared" si="55"/>
        <v>4.7747026882950704E-2</v>
      </c>
      <c r="W465" s="289">
        <f t="shared" si="55"/>
        <v>3.6176485161932191E-2</v>
      </c>
      <c r="X465" s="289">
        <f t="shared" si="55"/>
        <v>3.7740691211001855E-2</v>
      </c>
      <c r="Y465" s="289">
        <f t="shared" si="55"/>
        <v>4.5013541362986458E-2</v>
      </c>
      <c r="Z465" s="289">
        <f t="shared" si="55"/>
        <v>3.5681593580627197E-2</v>
      </c>
      <c r="AA465" s="289">
        <f t="shared" si="55"/>
        <v>4.0491037483526483E-2</v>
      </c>
      <c r="AB465" s="289">
        <f t="shared" si="55"/>
        <v>2.9478014522243582E-2</v>
      </c>
      <c r="AC465" s="289">
        <f t="shared" si="55"/>
        <v>1.3382085652989139E-2</v>
      </c>
      <c r="AD465" s="289">
        <f t="shared" si="55"/>
        <v>1.5176016210950358E-2</v>
      </c>
      <c r="AE465" s="289">
        <f t="shared" si="55"/>
        <v>1.8330069769166395E-2</v>
      </c>
      <c r="AF465" s="289">
        <f t="shared" si="55"/>
        <v>1.5759151010723362E-2</v>
      </c>
      <c r="AG465" s="289">
        <f t="shared" si="55"/>
        <v>9.2246809638191225E-3</v>
      </c>
      <c r="AH465" s="289">
        <f t="shared" si="55"/>
        <v>1.0618023852975887E-2</v>
      </c>
      <c r="AI465" s="289">
        <f t="shared" si="55"/>
        <v>9.0125411056304321E-3</v>
      </c>
      <c r="AJ465" s="289">
        <f t="shared" si="55"/>
        <v>1.1459824283062791E-2</v>
      </c>
      <c r="AK465" s="289">
        <f t="shared" si="55"/>
        <v>1.2708363270876346E-2</v>
      </c>
      <c r="AL465" s="289">
        <f t="shared" si="55"/>
        <v>1.1199865602110089E-2</v>
      </c>
      <c r="AM465" s="289">
        <f t="shared" si="55"/>
        <v>1.1522725841846217E-2</v>
      </c>
      <c r="AN465" s="289">
        <f t="shared" si="55"/>
        <v>9.2603817952724085E-3</v>
      </c>
      <c r="AO465" s="289">
        <f t="shared" si="55"/>
        <v>6.8036682754796475E-3</v>
      </c>
      <c r="AP465" s="289">
        <f t="shared" si="55"/>
        <v>6.4847846228656518E-3</v>
      </c>
      <c r="AQ465" s="289">
        <f t="shared" si="55"/>
        <v>6.1250033850641043E-3</v>
      </c>
      <c r="AR465" s="289">
        <f t="shared" si="55"/>
        <v>7.5371778094332114E-3</v>
      </c>
      <c r="AS465" s="289">
        <f t="shared" si="55"/>
        <v>7.6936877254250892E-3</v>
      </c>
      <c r="AT465" s="289">
        <f t="shared" si="55"/>
        <v>6.7260593277462073E-3</v>
      </c>
      <c r="AU465" s="289">
        <f t="shared" si="55"/>
        <v>6.0314469951911346E-3</v>
      </c>
      <c r="AV465" s="289">
        <f t="shared" si="55"/>
        <v>6.3087449030719408E-3</v>
      </c>
      <c r="AW465" s="289">
        <f t="shared" si="55"/>
        <v>6.5938551035805652E-3</v>
      </c>
      <c r="AX465" s="289">
        <f t="shared" si="55"/>
        <v>6.5549384918817261E-3</v>
      </c>
      <c r="AY465" s="289">
        <f t="shared" si="55"/>
        <v>8.0729464673675502E-3</v>
      </c>
      <c r="AZ465" s="289">
        <f t="shared" si="55"/>
        <v>9.1548689760632407E-3</v>
      </c>
      <c r="BA465" s="289">
        <f t="shared" si="55"/>
        <v>8.9772525481133601E-3</v>
      </c>
      <c r="BB465" s="289">
        <f t="shared" si="55"/>
        <v>9.5798742268811757E-3</v>
      </c>
      <c r="BC465" s="289">
        <f t="shared" si="54"/>
        <v>9.5798742268811757E-3</v>
      </c>
    </row>
    <row r="466" spans="2:55">
      <c r="B466" s="72" t="s">
        <v>396</v>
      </c>
      <c r="C466" s="72" t="s">
        <v>818</v>
      </c>
      <c r="D466" s="289">
        <f t="shared" si="52"/>
        <v>0.30150068252780587</v>
      </c>
      <c r="E466" s="289">
        <f t="shared" si="55"/>
        <v>0.28377586207210326</v>
      </c>
      <c r="F466" s="289">
        <f t="shared" si="55"/>
        <v>0.29648294595644514</v>
      </c>
      <c r="G466" s="289">
        <f t="shared" si="55"/>
        <v>0.26851931956271619</v>
      </c>
      <c r="H466" s="289">
        <f t="shared" si="55"/>
        <v>0.27891670588573286</v>
      </c>
      <c r="I466" s="289">
        <f t="shared" si="55"/>
        <v>0.28916254199297303</v>
      </c>
      <c r="J466" s="289">
        <f t="shared" si="55"/>
        <v>0.30914239313897046</v>
      </c>
      <c r="K466" s="289">
        <f t="shared" si="55"/>
        <v>0.37347893233676965</v>
      </c>
      <c r="L466" s="289">
        <f t="shared" si="55"/>
        <v>0.39956901039909987</v>
      </c>
      <c r="M466" s="289">
        <f t="shared" si="55"/>
        <v>0.41260937049779373</v>
      </c>
      <c r="N466" s="289">
        <f t="shared" si="55"/>
        <v>0.42396041468845008</v>
      </c>
      <c r="O466" s="289">
        <f t="shared" si="55"/>
        <v>0.43703408821250672</v>
      </c>
      <c r="P466" s="289">
        <f t="shared" si="55"/>
        <v>0.51709638936187208</v>
      </c>
      <c r="Q466" s="289">
        <f t="shared" si="55"/>
        <v>0.6652757037296001</v>
      </c>
      <c r="R466" s="289">
        <f t="shared" si="55"/>
        <v>0.59176875120363803</v>
      </c>
      <c r="S466" s="289">
        <f t="shared" si="55"/>
        <v>0.68216430161102792</v>
      </c>
      <c r="T466" s="289">
        <f t="shared" si="55"/>
        <v>0.62260833010240602</v>
      </c>
      <c r="U466" s="289">
        <f t="shared" si="55"/>
        <v>0.55086471079251953</v>
      </c>
      <c r="V466" s="289">
        <f t="shared" si="55"/>
        <v>0.51813502559114799</v>
      </c>
      <c r="W466" s="289">
        <f t="shared" si="55"/>
        <v>0.51059562429645056</v>
      </c>
      <c r="X466" s="289">
        <f t="shared" si="55"/>
        <v>0.61025260470909959</v>
      </c>
      <c r="Y466" s="289">
        <f t="shared" si="55"/>
        <v>0.69405687941878091</v>
      </c>
      <c r="Z466" s="289">
        <f t="shared" si="55"/>
        <v>0.7990356314249164</v>
      </c>
      <c r="AA466" s="289">
        <f t="shared" si="55"/>
        <v>0.92388073298211582</v>
      </c>
      <c r="AB466" s="289">
        <f t="shared" si="55"/>
        <v>0.84782051831226635</v>
      </c>
      <c r="AC466" s="289">
        <f t="shared" si="55"/>
        <v>0.67404608915702813</v>
      </c>
      <c r="AD466" s="289">
        <f t="shared" si="55"/>
        <v>0.60906269061980567</v>
      </c>
      <c r="AE466" s="289">
        <f t="shared" si="55"/>
        <v>0.59463423440973662</v>
      </c>
      <c r="AF466" s="289">
        <f t="shared" si="55"/>
        <v>0.68962463910758076</v>
      </c>
      <c r="AG466" s="289">
        <f t="shared" si="55"/>
        <v>0.66969872072234293</v>
      </c>
      <c r="AH466" s="289">
        <f t="shared" si="55"/>
        <v>0.74711202015983924</v>
      </c>
      <c r="AI466" s="289">
        <f t="shared" si="55"/>
        <v>0.80063335787121204</v>
      </c>
      <c r="AJ466" s="289">
        <f t="shared" si="55"/>
        <v>1.0650055877375997</v>
      </c>
      <c r="AK466" s="289">
        <f t="shared" si="55"/>
        <v>1.1047766408272273</v>
      </c>
      <c r="AL466" s="289">
        <f t="shared" si="55"/>
        <v>1.1493367661603928</v>
      </c>
      <c r="AM466" s="289">
        <f t="shared" si="55"/>
        <v>1.2303490028421626</v>
      </c>
      <c r="AN466" s="289">
        <f t="shared" si="55"/>
        <v>1.1741503776897337</v>
      </c>
      <c r="AO466" s="289">
        <f t="shared" si="55"/>
        <v>0.97616006135664701</v>
      </c>
      <c r="AP466" s="289">
        <f t="shared" si="55"/>
        <v>0.84741080726912377</v>
      </c>
      <c r="AQ466" s="289">
        <f t="shared" si="55"/>
        <v>0.95039204691374857</v>
      </c>
      <c r="AR466" s="289">
        <f t="shared" si="55"/>
        <v>0.88689212403403672</v>
      </c>
      <c r="AS466" s="289">
        <f t="shared" si="55"/>
        <v>0.80347113991418184</v>
      </c>
      <c r="AT466" s="289">
        <f t="shared" si="55"/>
        <v>0.72832591031005278</v>
      </c>
      <c r="AU466" s="289">
        <f t="shared" si="55"/>
        <v>0.71509586307533723</v>
      </c>
      <c r="AV466" s="289">
        <f t="shared" si="55"/>
        <v>0.75948640748403984</v>
      </c>
      <c r="AW466" s="289">
        <f t="shared" si="55"/>
        <v>0.78084291318728694</v>
      </c>
      <c r="AX466" s="289">
        <f t="shared" si="55"/>
        <v>0.79229143660454615</v>
      </c>
      <c r="AY466" s="289">
        <f t="shared" si="55"/>
        <v>0.79879525545072139</v>
      </c>
      <c r="AZ466" s="289">
        <f t="shared" si="55"/>
        <v>0.99839166297436444</v>
      </c>
      <c r="BA466" s="289">
        <f t="shared" si="55"/>
        <v>1.1580652343712152</v>
      </c>
      <c r="BB466" s="289">
        <f t="shared" si="55"/>
        <v>1.1844992477349094</v>
      </c>
      <c r="BC466" s="289">
        <f t="shared" si="54"/>
        <v>1.1844992477349094</v>
      </c>
    </row>
    <row r="467" spans="2:55">
      <c r="B467" s="72" t="s">
        <v>819</v>
      </c>
      <c r="C467" s="72" t="s">
        <v>820</v>
      </c>
      <c r="D467" s="289">
        <f t="shared" si="52"/>
        <v>0</v>
      </c>
      <c r="E467" s="289">
        <f t="shared" si="55"/>
        <v>0</v>
      </c>
      <c r="F467" s="289">
        <f t="shared" si="55"/>
        <v>0</v>
      </c>
      <c r="G467" s="289">
        <f t="shared" si="55"/>
        <v>0</v>
      </c>
      <c r="H467" s="289">
        <f t="shared" si="55"/>
        <v>0</v>
      </c>
      <c r="I467" s="289">
        <f t="shared" si="55"/>
        <v>0</v>
      </c>
      <c r="J467" s="289">
        <f t="shared" si="55"/>
        <v>0</v>
      </c>
      <c r="K467" s="289">
        <f t="shared" si="55"/>
        <v>0</v>
      </c>
      <c r="L467" s="289">
        <f t="shared" si="55"/>
        <v>0</v>
      </c>
      <c r="M467" s="289">
        <f t="shared" si="55"/>
        <v>0</v>
      </c>
      <c r="N467" s="289">
        <f t="shared" si="55"/>
        <v>0</v>
      </c>
      <c r="O467" s="289">
        <f t="shared" si="55"/>
        <v>0</v>
      </c>
      <c r="P467" s="289">
        <f t="shared" si="55"/>
        <v>0</v>
      </c>
      <c r="Q467" s="289">
        <f t="shared" si="55"/>
        <v>0</v>
      </c>
      <c r="R467" s="289">
        <f t="shared" si="55"/>
        <v>0</v>
      </c>
      <c r="S467" s="289">
        <f t="shared" si="55"/>
        <v>0</v>
      </c>
      <c r="T467" s="289">
        <f t="shared" si="55"/>
        <v>0</v>
      </c>
      <c r="U467" s="289">
        <f t="shared" si="55"/>
        <v>0</v>
      </c>
      <c r="V467" s="289">
        <f t="shared" si="55"/>
        <v>0</v>
      </c>
      <c r="W467" s="289">
        <f t="shared" si="55"/>
        <v>0</v>
      </c>
      <c r="X467" s="289">
        <f t="shared" si="55"/>
        <v>0</v>
      </c>
      <c r="Y467" s="289">
        <f t="shared" si="55"/>
        <v>0</v>
      </c>
      <c r="Z467" s="289">
        <f t="shared" si="55"/>
        <v>0</v>
      </c>
      <c r="AA467" s="289">
        <f t="shared" si="55"/>
        <v>0</v>
      </c>
      <c r="AB467" s="289">
        <f t="shared" si="55"/>
        <v>0</v>
      </c>
      <c r="AC467" s="289">
        <f t="shared" si="55"/>
        <v>0</v>
      </c>
      <c r="AD467" s="289">
        <f t="shared" si="55"/>
        <v>0</v>
      </c>
      <c r="AE467" s="289">
        <f t="shared" si="55"/>
        <v>0</v>
      </c>
      <c r="AF467" s="289">
        <f t="shared" si="55"/>
        <v>0</v>
      </c>
      <c r="AG467" s="289">
        <f t="shared" si="55"/>
        <v>0</v>
      </c>
      <c r="AH467" s="289">
        <f t="shared" si="55"/>
        <v>0</v>
      </c>
      <c r="AI467" s="289">
        <f t="shared" si="55"/>
        <v>0</v>
      </c>
      <c r="AJ467" s="289">
        <f t="shared" si="55"/>
        <v>0</v>
      </c>
      <c r="AK467" s="289">
        <f t="shared" si="55"/>
        <v>0</v>
      </c>
      <c r="AL467" s="289">
        <f t="shared" si="55"/>
        <v>0</v>
      </c>
      <c r="AM467" s="289">
        <f t="shared" si="55"/>
        <v>0</v>
      </c>
      <c r="AN467" s="289">
        <f t="shared" si="55"/>
        <v>0</v>
      </c>
      <c r="AO467" s="289">
        <f t="shared" si="55"/>
        <v>0</v>
      </c>
      <c r="AP467" s="289">
        <f t="shared" si="55"/>
        <v>0</v>
      </c>
      <c r="AQ467" s="289">
        <f t="shared" si="55"/>
        <v>0</v>
      </c>
      <c r="AR467" s="289">
        <f t="shared" si="55"/>
        <v>0</v>
      </c>
      <c r="AS467" s="289">
        <f t="shared" si="55"/>
        <v>0</v>
      </c>
      <c r="AT467" s="289">
        <f t="shared" si="55"/>
        <v>0</v>
      </c>
      <c r="AU467" s="289">
        <f t="shared" si="55"/>
        <v>0</v>
      </c>
      <c r="AV467" s="289">
        <f t="shared" si="55"/>
        <v>0</v>
      </c>
      <c r="AW467" s="289">
        <f t="shared" si="55"/>
        <v>0</v>
      </c>
      <c r="AX467" s="289">
        <f t="shared" si="55"/>
        <v>0</v>
      </c>
      <c r="AY467" s="289">
        <f t="shared" si="55"/>
        <v>0</v>
      </c>
      <c r="AZ467" s="289">
        <f t="shared" si="55"/>
        <v>0</v>
      </c>
      <c r="BA467" s="289">
        <f t="shared" si="55"/>
        <v>0</v>
      </c>
      <c r="BB467" s="289">
        <f t="shared" si="55"/>
        <v>0</v>
      </c>
      <c r="BC467" s="289">
        <f t="shared" si="54"/>
        <v>0</v>
      </c>
    </row>
    <row r="468" spans="2:55">
      <c r="B468" s="72" t="s">
        <v>821</v>
      </c>
      <c r="C468" s="72" t="s">
        <v>822</v>
      </c>
      <c r="D468" s="289">
        <f t="shared" si="52"/>
        <v>0</v>
      </c>
      <c r="E468" s="289">
        <f t="shared" si="55"/>
        <v>0</v>
      </c>
      <c r="F468" s="289">
        <f t="shared" si="55"/>
        <v>0</v>
      </c>
      <c r="G468" s="289">
        <f t="shared" si="55"/>
        <v>0</v>
      </c>
      <c r="H468" s="289">
        <f t="shared" si="55"/>
        <v>0</v>
      </c>
      <c r="I468" s="289">
        <f t="shared" si="55"/>
        <v>0</v>
      </c>
      <c r="J468" s="289">
        <f t="shared" si="55"/>
        <v>0</v>
      </c>
      <c r="K468" s="289">
        <f t="shared" si="55"/>
        <v>0</v>
      </c>
      <c r="L468" s="289">
        <f t="shared" si="55"/>
        <v>0</v>
      </c>
      <c r="M468" s="289">
        <f t="shared" si="55"/>
        <v>0</v>
      </c>
      <c r="N468" s="289">
        <f t="shared" si="55"/>
        <v>0</v>
      </c>
      <c r="O468" s="289">
        <f t="shared" si="55"/>
        <v>0</v>
      </c>
      <c r="P468" s="289">
        <f t="shared" si="55"/>
        <v>0</v>
      </c>
      <c r="Q468" s="289">
        <f t="shared" si="55"/>
        <v>0</v>
      </c>
      <c r="R468" s="289">
        <f t="shared" si="55"/>
        <v>0</v>
      </c>
      <c r="S468" s="289">
        <f t="shared" si="55"/>
        <v>0</v>
      </c>
      <c r="T468" s="289">
        <f t="shared" si="55"/>
        <v>0</v>
      </c>
      <c r="U468" s="289">
        <f t="shared" si="55"/>
        <v>0</v>
      </c>
      <c r="V468" s="289">
        <f t="shared" si="55"/>
        <v>0</v>
      </c>
      <c r="W468" s="289">
        <f t="shared" si="55"/>
        <v>0</v>
      </c>
      <c r="X468" s="289">
        <f t="shared" si="55"/>
        <v>0</v>
      </c>
      <c r="Y468" s="289">
        <f t="shared" si="55"/>
        <v>0.1385561790976724</v>
      </c>
      <c r="Z468" s="289">
        <f t="shared" si="55"/>
        <v>0.1456527204209826</v>
      </c>
      <c r="AA468" s="289">
        <f t="shared" si="55"/>
        <v>0.14420641119082708</v>
      </c>
      <c r="AB468" s="289">
        <f t="shared" si="55"/>
        <v>0.13750340790191223</v>
      </c>
      <c r="AC468" s="289">
        <f t="shared" si="55"/>
        <v>0.15064389747780371</v>
      </c>
      <c r="AD468" s="289">
        <f t="shared" si="55"/>
        <v>0.14717528947931394</v>
      </c>
      <c r="AE468" s="289">
        <f t="shared" si="55"/>
        <v>0.12832619605468709</v>
      </c>
      <c r="AF468" s="289">
        <f t="shared" si="55"/>
        <v>0.12297939438243626</v>
      </c>
      <c r="AG468" s="289">
        <f t="shared" si="55"/>
        <v>0.12500223683443018</v>
      </c>
      <c r="AH468" s="289">
        <f t="shared" si="55"/>
        <v>0.13454289803000552</v>
      </c>
      <c r="AI468" s="289">
        <f t="shared" si="55"/>
        <v>0.14188280399392911</v>
      </c>
      <c r="AJ468" s="289">
        <f t="shared" si="55"/>
        <v>0.17836729518342986</v>
      </c>
      <c r="AK468" s="289">
        <f t="shared" si="55"/>
        <v>0.20109524329290698</v>
      </c>
      <c r="AL468" s="289">
        <f t="shared" si="55"/>
        <v>0.23615065056151208</v>
      </c>
      <c r="AM468" s="289">
        <f t="shared" si="55"/>
        <v>0.24218577221120652</v>
      </c>
      <c r="AN468" s="289">
        <f t="shared" ref="E468:BB473" si="56">AN218/AN$251</f>
        <v>0.21410191311137594</v>
      </c>
      <c r="AO468" s="289">
        <f t="shared" si="56"/>
        <v>0.21729351433559413</v>
      </c>
      <c r="AP468" s="289">
        <f t="shared" si="56"/>
        <v>0.2165835703647177</v>
      </c>
      <c r="AQ468" s="289">
        <f t="shared" si="56"/>
        <v>0.21272582943303794</v>
      </c>
      <c r="AR468" s="289">
        <f t="shared" si="56"/>
        <v>0.22695110815397163</v>
      </c>
      <c r="AS468" s="289">
        <f t="shared" si="56"/>
        <v>0.23852588881052247</v>
      </c>
      <c r="AT468" s="289">
        <f t="shared" si="56"/>
        <v>0.27350790116439244</v>
      </c>
      <c r="AU468" s="289">
        <f t="shared" si="56"/>
        <v>0.28390163865454993</v>
      </c>
      <c r="AV468" s="289">
        <f t="shared" si="56"/>
        <v>0.29863753135845894</v>
      </c>
      <c r="AW468" s="289">
        <f t="shared" si="56"/>
        <v>0.31616164350003545</v>
      </c>
      <c r="AX468" s="289">
        <f t="shared" si="56"/>
        <v>0.33635476682030391</v>
      </c>
      <c r="AY468" s="289">
        <f t="shared" si="56"/>
        <v>0.41970767949228732</v>
      </c>
      <c r="AZ468" s="289">
        <f t="shared" si="56"/>
        <v>0.4556891872557654</v>
      </c>
      <c r="BA468" s="289">
        <f t="shared" si="56"/>
        <v>0.44230098254614808</v>
      </c>
      <c r="BB468" s="289">
        <f t="shared" si="56"/>
        <v>0.4520153677129633</v>
      </c>
      <c r="BC468" s="289">
        <f t="shared" si="54"/>
        <v>0.4520153677129633</v>
      </c>
    </row>
    <row r="469" spans="2:55">
      <c r="B469" s="72" t="s">
        <v>823</v>
      </c>
      <c r="C469" s="72" t="s">
        <v>824</v>
      </c>
      <c r="D469" s="289">
        <f t="shared" si="52"/>
        <v>0</v>
      </c>
      <c r="E469" s="289">
        <f t="shared" si="56"/>
        <v>0</v>
      </c>
      <c r="F469" s="289">
        <f t="shared" si="56"/>
        <v>0</v>
      </c>
      <c r="G469" s="289">
        <f t="shared" si="56"/>
        <v>0</v>
      </c>
      <c r="H469" s="289">
        <f t="shared" si="56"/>
        <v>0</v>
      </c>
      <c r="I469" s="289">
        <f t="shared" si="56"/>
        <v>0</v>
      </c>
      <c r="J469" s="289">
        <f t="shared" si="56"/>
        <v>0</v>
      </c>
      <c r="K469" s="289">
        <f t="shared" si="56"/>
        <v>0</v>
      </c>
      <c r="L469" s="289">
        <f t="shared" si="56"/>
        <v>0</v>
      </c>
      <c r="M469" s="289">
        <f t="shared" si="56"/>
        <v>0</v>
      </c>
      <c r="N469" s="289">
        <f t="shared" si="56"/>
        <v>0</v>
      </c>
      <c r="O469" s="289">
        <f t="shared" si="56"/>
        <v>0</v>
      </c>
      <c r="P469" s="289">
        <f t="shared" si="56"/>
        <v>0</v>
      </c>
      <c r="Q469" s="289">
        <f t="shared" si="56"/>
        <v>0</v>
      </c>
      <c r="R469" s="289">
        <f t="shared" si="56"/>
        <v>0</v>
      </c>
      <c r="S469" s="289">
        <f t="shared" si="56"/>
        <v>0</v>
      </c>
      <c r="T469" s="289">
        <f t="shared" si="56"/>
        <v>0</v>
      </c>
      <c r="U469" s="289">
        <f t="shared" si="56"/>
        <v>0</v>
      </c>
      <c r="V469" s="289">
        <f t="shared" si="56"/>
        <v>0</v>
      </c>
      <c r="W469" s="289">
        <f t="shared" si="56"/>
        <v>0</v>
      </c>
      <c r="X469" s="289">
        <f t="shared" si="56"/>
        <v>0</v>
      </c>
      <c r="Y469" s="289">
        <f t="shared" si="56"/>
        <v>0</v>
      </c>
      <c r="Z469" s="289">
        <f t="shared" si="56"/>
        <v>0</v>
      </c>
      <c r="AA469" s="289">
        <f t="shared" si="56"/>
        <v>0</v>
      </c>
      <c r="AB469" s="289">
        <f t="shared" si="56"/>
        <v>0</v>
      </c>
      <c r="AC469" s="289">
        <f t="shared" si="56"/>
        <v>0</v>
      </c>
      <c r="AD469" s="289">
        <f t="shared" si="56"/>
        <v>0</v>
      </c>
      <c r="AE469" s="289">
        <f t="shared" si="56"/>
        <v>0</v>
      </c>
      <c r="AF469" s="289">
        <f t="shared" si="56"/>
        <v>0</v>
      </c>
      <c r="AG469" s="289">
        <f t="shared" si="56"/>
        <v>0.49180590397004686</v>
      </c>
      <c r="AH469" s="289">
        <f t="shared" si="56"/>
        <v>0.34473884061405141</v>
      </c>
      <c r="AI469" s="289">
        <f t="shared" si="56"/>
        <v>0.33080671576355386</v>
      </c>
      <c r="AJ469" s="289">
        <f t="shared" si="56"/>
        <v>0.37432637173091182</v>
      </c>
      <c r="AK469" s="289">
        <f t="shared" si="56"/>
        <v>0.39452017949451745</v>
      </c>
      <c r="AL469" s="289">
        <f t="shared" si="56"/>
        <v>0.5276696247353263</v>
      </c>
      <c r="AM469" s="289">
        <f t="shared" si="56"/>
        <v>0.50726476976849622</v>
      </c>
      <c r="AN469" s="289">
        <f t="shared" si="56"/>
        <v>0.43829691819691441</v>
      </c>
      <c r="AO469" s="289">
        <f t="shared" si="56"/>
        <v>0.43905186180644651</v>
      </c>
      <c r="AP469" s="289">
        <f t="shared" si="56"/>
        <v>0.43902883334754389</v>
      </c>
      <c r="AQ469" s="289">
        <f t="shared" si="56"/>
        <v>0.40089053430480737</v>
      </c>
      <c r="AR469" s="289">
        <f t="shared" si="56"/>
        <v>0.41432466980853744</v>
      </c>
      <c r="AS469" s="289">
        <f t="shared" si="56"/>
        <v>0.42967418390576295</v>
      </c>
      <c r="AT469" s="289">
        <f t="shared" si="56"/>
        <v>0.46888602143073344</v>
      </c>
      <c r="AU469" s="289">
        <f t="shared" si="56"/>
        <v>0.46175562560617173</v>
      </c>
      <c r="AV469" s="289">
        <f t="shared" si="56"/>
        <v>0.46836052708607973</v>
      </c>
      <c r="AW469" s="289">
        <f t="shared" si="56"/>
        <v>0.47938420021219996</v>
      </c>
      <c r="AX469" s="289">
        <f t="shared" si="56"/>
        <v>0.50595459195959802</v>
      </c>
      <c r="AY469" s="289">
        <f t="shared" si="56"/>
        <v>0.62611975741287973</v>
      </c>
      <c r="AZ469" s="289">
        <f t="shared" si="56"/>
        <v>0.6807292409318868</v>
      </c>
      <c r="BA469" s="289">
        <f t="shared" si="56"/>
        <v>0.63156255061603639</v>
      </c>
      <c r="BB469" s="289">
        <f t="shared" si="56"/>
        <v>0.61841440601855779</v>
      </c>
      <c r="BC469" s="289">
        <f t="shared" si="54"/>
        <v>0.61841440601855779</v>
      </c>
    </row>
    <row r="470" spans="2:55">
      <c r="B470" s="72" t="s">
        <v>825</v>
      </c>
      <c r="C470" s="72" t="s">
        <v>826</v>
      </c>
      <c r="D470" s="289">
        <f t="shared" si="52"/>
        <v>0</v>
      </c>
      <c r="E470" s="289">
        <f t="shared" si="56"/>
        <v>0</v>
      </c>
      <c r="F470" s="289">
        <f t="shared" si="56"/>
        <v>0</v>
      </c>
      <c r="G470" s="289">
        <f t="shared" si="56"/>
        <v>0</v>
      </c>
      <c r="H470" s="289">
        <f t="shared" si="56"/>
        <v>0</v>
      </c>
      <c r="I470" s="289">
        <f t="shared" si="56"/>
        <v>0</v>
      </c>
      <c r="J470" s="289">
        <f t="shared" si="56"/>
        <v>8.5597037752999594E-2</v>
      </c>
      <c r="K470" s="289">
        <f t="shared" si="56"/>
        <v>9.8705302511023288E-2</v>
      </c>
      <c r="L470" s="289">
        <f t="shared" si="56"/>
        <v>9.085399159619699E-2</v>
      </c>
      <c r="M470" s="289">
        <f t="shared" si="56"/>
        <v>0</v>
      </c>
      <c r="N470" s="289">
        <f t="shared" si="56"/>
        <v>0.11934687204563714</v>
      </c>
      <c r="O470" s="289">
        <f t="shared" si="56"/>
        <v>8.1483418296291563E-2</v>
      </c>
      <c r="P470" s="289">
        <f t="shared" si="56"/>
        <v>9.4836178363824228E-2</v>
      </c>
      <c r="Q470" s="289">
        <f t="shared" si="56"/>
        <v>0.12942271625588964</v>
      </c>
      <c r="R470" s="289">
        <f t="shared" si="56"/>
        <v>9.2077997021017044E-2</v>
      </c>
      <c r="S470" s="289">
        <f t="shared" si="56"/>
        <v>0.10293477129119663</v>
      </c>
      <c r="T470" s="289">
        <f t="shared" si="56"/>
        <v>9.8591516325492554E-2</v>
      </c>
      <c r="U470" s="289">
        <f t="shared" si="56"/>
        <v>8.9578389172687192E-2</v>
      </c>
      <c r="V470" s="289">
        <f t="shared" si="56"/>
        <v>9.0861461759170453E-2</v>
      </c>
      <c r="W470" s="289">
        <f t="shared" si="56"/>
        <v>7.6482895035026977E-2</v>
      </c>
      <c r="X470" s="289">
        <f t="shared" si="56"/>
        <v>8.6454205094426889E-2</v>
      </c>
      <c r="Y470" s="289">
        <f t="shared" si="56"/>
        <v>8.8269153438700218E-2</v>
      </c>
      <c r="Z470" s="289">
        <f t="shared" si="56"/>
        <v>8.6218107336956076E-2</v>
      </c>
      <c r="AA470" s="289">
        <f t="shared" si="56"/>
        <v>0.12460003740767805</v>
      </c>
      <c r="AB470" s="289">
        <f t="shared" si="56"/>
        <v>0.10524417770794463</v>
      </c>
      <c r="AC470" s="289">
        <f t="shared" si="56"/>
        <v>7.564658026407621E-2</v>
      </c>
      <c r="AD470" s="289">
        <f t="shared" si="56"/>
        <v>6.7940358451805738E-2</v>
      </c>
      <c r="AE470" s="289">
        <f t="shared" si="56"/>
        <v>7.0973418666904667E-2</v>
      </c>
      <c r="AF470" s="289">
        <f t="shared" si="56"/>
        <v>7.3313779524422265E-2</v>
      </c>
      <c r="AG470" s="289">
        <f t="shared" si="56"/>
        <v>5.5255792565261842E-2</v>
      </c>
      <c r="AH470" s="289">
        <f t="shared" si="56"/>
        <v>5.4726574938960985E-2</v>
      </c>
      <c r="AI470" s="289">
        <f t="shared" si="56"/>
        <v>6.0993834927187456E-2</v>
      </c>
      <c r="AJ470" s="289">
        <f t="shared" si="56"/>
        <v>7.1744060169323928E-2</v>
      </c>
      <c r="AK470" s="289">
        <f t="shared" si="56"/>
        <v>7.3160032198016575E-2</v>
      </c>
      <c r="AL470" s="289">
        <f t="shared" si="56"/>
        <v>7.3062897300731997E-2</v>
      </c>
      <c r="AM470" s="289">
        <f t="shared" si="56"/>
        <v>7.3577064491794797E-2</v>
      </c>
      <c r="AN470" s="289">
        <f t="shared" si="56"/>
        <v>6.4296354902642641E-2</v>
      </c>
      <c r="AO470" s="289">
        <f t="shared" si="56"/>
        <v>4.8720321329687628E-2</v>
      </c>
      <c r="AP470" s="289">
        <f t="shared" si="56"/>
        <v>4.7325610098324589E-2</v>
      </c>
      <c r="AQ470" s="289">
        <f t="shared" si="56"/>
        <v>4.2482684400921733E-2</v>
      </c>
      <c r="AR470" s="289">
        <f t="shared" si="56"/>
        <v>3.8369583364219556E-2</v>
      </c>
      <c r="AS470" s="289">
        <f t="shared" si="56"/>
        <v>2.928813109845578E-2</v>
      </c>
      <c r="AT470" s="289">
        <f t="shared" si="56"/>
        <v>2.4037049981880387E-2</v>
      </c>
      <c r="AU470" s="289">
        <f t="shared" si="56"/>
        <v>2.2372291299547847E-2</v>
      </c>
      <c r="AV470" s="289">
        <f t="shared" si="56"/>
        <v>2.3110931986003783E-2</v>
      </c>
      <c r="AW470" s="289">
        <f t="shared" si="56"/>
        <v>2.3359673481206225E-2</v>
      </c>
      <c r="AX470" s="289">
        <f t="shared" si="56"/>
        <v>2.548498143755246E-2</v>
      </c>
      <c r="AY470" s="289">
        <f t="shared" si="56"/>
        <v>2.9335167704794746E-2</v>
      </c>
      <c r="AZ470" s="289">
        <f t="shared" si="56"/>
        <v>3.2471046649705869E-2</v>
      </c>
      <c r="BA470" s="289">
        <f t="shared" si="56"/>
        <v>3.478150843099221E-2</v>
      </c>
      <c r="BB470" s="289">
        <f t="shared" si="56"/>
        <v>3.8869926834474502E-2</v>
      </c>
      <c r="BC470" s="289">
        <f t="shared" si="54"/>
        <v>3.8869926834474502E-2</v>
      </c>
    </row>
    <row r="471" spans="2:55">
      <c r="B471" s="72" t="s">
        <v>827</v>
      </c>
      <c r="C471" s="72" t="s">
        <v>828</v>
      </c>
      <c r="D471" s="289">
        <f t="shared" si="52"/>
        <v>4.5743158528773226E-2</v>
      </c>
      <c r="E471" s="289">
        <f t="shared" si="56"/>
        <v>4.5549409052536141E-2</v>
      </c>
      <c r="F471" s="289">
        <f t="shared" si="56"/>
        <v>4.4908786179499803E-2</v>
      </c>
      <c r="G471" s="289">
        <f t="shared" si="56"/>
        <v>4.2883475758019415E-2</v>
      </c>
      <c r="H471" s="289">
        <f t="shared" si="56"/>
        <v>4.1525235133305374E-2</v>
      </c>
      <c r="I471" s="289">
        <f t="shared" si="56"/>
        <v>4.0351129364264743E-2</v>
      </c>
      <c r="J471" s="289">
        <f t="shared" si="56"/>
        <v>4.011688271912723E-2</v>
      </c>
      <c r="K471" s="289">
        <f t="shared" si="56"/>
        <v>4.3920502701349812E-2</v>
      </c>
      <c r="L471" s="289">
        <f t="shared" si="56"/>
        <v>4.1867458145846963E-2</v>
      </c>
      <c r="M471" s="289">
        <f t="shared" si="56"/>
        <v>3.91572558795725E-2</v>
      </c>
      <c r="N471" s="289">
        <f t="shared" si="56"/>
        <v>3.5948773889563329E-2</v>
      </c>
      <c r="O471" s="289">
        <f t="shared" si="56"/>
        <v>3.9245991031040796E-2</v>
      </c>
      <c r="P471" s="289">
        <f t="shared" si="56"/>
        <v>4.17863061165561E-2</v>
      </c>
      <c r="Q471" s="289">
        <f t="shared" si="56"/>
        <v>3.4439807842343899E-2</v>
      </c>
      <c r="R471" s="289">
        <f t="shared" si="56"/>
        <v>4.1052240863989189E-2</v>
      </c>
      <c r="S471" s="289">
        <f t="shared" si="56"/>
        <v>4.4186724610456841E-2</v>
      </c>
      <c r="T471" s="289">
        <f t="shared" si="56"/>
        <v>2.1655609329832314E-2</v>
      </c>
      <c r="U471" s="289">
        <f t="shared" si="56"/>
        <v>1.742740598776819E-2</v>
      </c>
      <c r="V471" s="289">
        <f t="shared" si="56"/>
        <v>1.2899452244739441E-2</v>
      </c>
      <c r="W471" s="289">
        <f t="shared" si="56"/>
        <v>9.7464460995102774E-3</v>
      </c>
      <c r="X471" s="289">
        <f t="shared" si="56"/>
        <v>1.1590167628011291E-2</v>
      </c>
      <c r="Y471" s="289">
        <f t="shared" si="56"/>
        <v>1.3442162402056326E-2</v>
      </c>
      <c r="Z471" s="289">
        <f t="shared" si="56"/>
        <v>1.3614113850964255E-2</v>
      </c>
      <c r="AA471" s="289">
        <f t="shared" si="56"/>
        <v>1.5788239743084836E-2</v>
      </c>
      <c r="AB471" s="289">
        <f t="shared" si="56"/>
        <v>1.6774678875938288E-2</v>
      </c>
      <c r="AC471" s="289">
        <f t="shared" si="56"/>
        <v>1.4506699488842497E-2</v>
      </c>
      <c r="AD471" s="289">
        <f t="shared" si="56"/>
        <v>1.2740250106755974E-2</v>
      </c>
      <c r="AE471" s="289">
        <f t="shared" si="56"/>
        <v>1.067649593292974E-2</v>
      </c>
      <c r="AF471" s="289">
        <f t="shared" si="56"/>
        <v>1.1042211112098325E-2</v>
      </c>
      <c r="AG471" s="289">
        <f t="shared" si="56"/>
        <v>7.8564287726540175E-3</v>
      </c>
      <c r="AH471" s="289">
        <f t="shared" si="56"/>
        <v>0</v>
      </c>
      <c r="AI471" s="289">
        <f t="shared" si="56"/>
        <v>0</v>
      </c>
      <c r="AJ471" s="289">
        <f t="shared" si="56"/>
        <v>0</v>
      </c>
      <c r="AK471" s="289">
        <f t="shared" si="56"/>
        <v>0</v>
      </c>
      <c r="AL471" s="289">
        <f t="shared" si="56"/>
        <v>0</v>
      </c>
      <c r="AM471" s="289">
        <f t="shared" si="56"/>
        <v>0</v>
      </c>
      <c r="AN471" s="289">
        <f t="shared" si="56"/>
        <v>0</v>
      </c>
      <c r="AO471" s="289">
        <f t="shared" si="56"/>
        <v>0</v>
      </c>
      <c r="AP471" s="289">
        <f t="shared" si="56"/>
        <v>0</v>
      </c>
      <c r="AQ471" s="289">
        <f t="shared" si="56"/>
        <v>0</v>
      </c>
      <c r="AR471" s="289">
        <f t="shared" si="56"/>
        <v>0</v>
      </c>
      <c r="AS471" s="289">
        <f t="shared" si="56"/>
        <v>0</v>
      </c>
      <c r="AT471" s="289">
        <f t="shared" si="56"/>
        <v>0</v>
      </c>
      <c r="AU471" s="289">
        <f t="shared" si="56"/>
        <v>0</v>
      </c>
      <c r="AV471" s="289">
        <f t="shared" si="56"/>
        <v>0</v>
      </c>
      <c r="AW471" s="289">
        <f t="shared" si="56"/>
        <v>0</v>
      </c>
      <c r="AX471" s="289">
        <f t="shared" si="56"/>
        <v>0</v>
      </c>
      <c r="AY471" s="289">
        <f t="shared" si="56"/>
        <v>0</v>
      </c>
      <c r="AZ471" s="289">
        <f t="shared" si="56"/>
        <v>0</v>
      </c>
      <c r="BA471" s="289">
        <f t="shared" si="56"/>
        <v>0</v>
      </c>
      <c r="BB471" s="289">
        <f t="shared" si="56"/>
        <v>0</v>
      </c>
      <c r="BC471" s="289">
        <f t="shared" si="54"/>
        <v>0</v>
      </c>
    </row>
    <row r="472" spans="2:55">
      <c r="B472" s="72" t="s">
        <v>829</v>
      </c>
      <c r="C472" s="72" t="s">
        <v>830</v>
      </c>
      <c r="D472" s="289">
        <f t="shared" si="52"/>
        <v>0.29696431117624617</v>
      </c>
      <c r="E472" s="289">
        <f t="shared" si="56"/>
        <v>0.29597408811663523</v>
      </c>
      <c r="F472" s="289">
        <f t="shared" si="56"/>
        <v>0.30423296905789998</v>
      </c>
      <c r="G472" s="289">
        <f t="shared" si="56"/>
        <v>0.30034099041623324</v>
      </c>
      <c r="H472" s="289">
        <f t="shared" si="56"/>
        <v>0.29973179905833247</v>
      </c>
      <c r="I472" s="289">
        <f t="shared" si="56"/>
        <v>0.30200219998205124</v>
      </c>
      <c r="J472" s="289">
        <f t="shared" si="56"/>
        <v>0.31936487879649172</v>
      </c>
      <c r="K472" s="289">
        <f t="shared" si="56"/>
        <v>0.36085663402158141</v>
      </c>
      <c r="L472" s="289">
        <f t="shared" si="56"/>
        <v>0.37144931213188753</v>
      </c>
      <c r="M472" s="289">
        <f t="shared" si="56"/>
        <v>0.36163092725101792</v>
      </c>
      <c r="N472" s="289">
        <f t="shared" si="56"/>
        <v>0.34623045995757507</v>
      </c>
      <c r="O472" s="289">
        <f t="shared" si="56"/>
        <v>0.31030003667301331</v>
      </c>
      <c r="P472" s="289">
        <f t="shared" si="56"/>
        <v>0.36916041529104576</v>
      </c>
      <c r="Q472" s="289">
        <f t="shared" si="56"/>
        <v>0.42003603119650329</v>
      </c>
      <c r="R472" s="289">
        <f t="shared" si="56"/>
        <v>0.35533560118301089</v>
      </c>
      <c r="S472" s="289">
        <f t="shared" si="56"/>
        <v>0.34742354341060422</v>
      </c>
      <c r="T472" s="289">
        <f t="shared" si="56"/>
        <v>0.33442541034927448</v>
      </c>
      <c r="U472" s="289">
        <f t="shared" si="56"/>
        <v>0.29727890187958395</v>
      </c>
      <c r="V472" s="289">
        <f t="shared" si="56"/>
        <v>0.2764284795766781</v>
      </c>
      <c r="W472" s="289">
        <f t="shared" si="56"/>
        <v>0.30352180082098779</v>
      </c>
      <c r="X472" s="289">
        <f t="shared" si="56"/>
        <v>0.3361371264850741</v>
      </c>
      <c r="Y472" s="289">
        <f t="shared" si="56"/>
        <v>0.31706867330665439</v>
      </c>
      <c r="Z472" s="289">
        <f t="shared" si="56"/>
        <v>0.35005345068263849</v>
      </c>
      <c r="AA472" s="289">
        <f t="shared" si="56"/>
        <v>0.35897860661663172</v>
      </c>
      <c r="AB472" s="289">
        <f t="shared" si="56"/>
        <v>0.26092501382932537</v>
      </c>
      <c r="AC472" s="289">
        <f t="shared" si="56"/>
        <v>0.24593444189811314</v>
      </c>
      <c r="AD472" s="289">
        <f t="shared" si="56"/>
        <v>0.25610601389460613</v>
      </c>
      <c r="AE472" s="289">
        <f t="shared" si="56"/>
        <v>0.22731787332315898</v>
      </c>
      <c r="AF472" s="289">
        <f t="shared" si="56"/>
        <v>0.24051801899720182</v>
      </c>
      <c r="AG472" s="289">
        <f t="shared" si="56"/>
        <v>0.17991144311682183</v>
      </c>
      <c r="AH472" s="289">
        <f t="shared" si="56"/>
        <v>0.18197065029291737</v>
      </c>
      <c r="AI472" s="289">
        <f t="shared" si="56"/>
        <v>0.18760668988407214</v>
      </c>
      <c r="AJ472" s="289">
        <f t="shared" si="56"/>
        <v>0.20472617227932588</v>
      </c>
      <c r="AK472" s="289">
        <f t="shared" si="56"/>
        <v>0.19350680815708934</v>
      </c>
      <c r="AL472" s="289">
        <f t="shared" si="56"/>
        <v>0.19368494138238682</v>
      </c>
      <c r="AM472" s="289">
        <f t="shared" si="56"/>
        <v>0.17138410264290782</v>
      </c>
      <c r="AN472" s="289">
        <f t="shared" si="56"/>
        <v>0.15499637611729564</v>
      </c>
      <c r="AO472" s="289">
        <f t="shared" si="56"/>
        <v>0.12822786742022382</v>
      </c>
      <c r="AP472" s="289">
        <f t="shared" si="56"/>
        <v>0.1210843204522538</v>
      </c>
      <c r="AQ472" s="289">
        <f t="shared" si="56"/>
        <v>0.12052011112510909</v>
      </c>
      <c r="AR472" s="289">
        <f t="shared" si="56"/>
        <v>0.10622161245799441</v>
      </c>
      <c r="AS472" s="289">
        <f t="shared" si="56"/>
        <v>9.0380201740848043E-2</v>
      </c>
      <c r="AT472" s="289">
        <f t="shared" si="56"/>
        <v>0.11709002507495243</v>
      </c>
      <c r="AU472" s="289">
        <f t="shared" si="56"/>
        <v>0.12794715467374396</v>
      </c>
      <c r="AV472" s="289">
        <f t="shared" si="56"/>
        <v>0.13730583540636809</v>
      </c>
      <c r="AW472" s="289">
        <f t="shared" si="56"/>
        <v>0.1350832064872706</v>
      </c>
      <c r="AX472" s="289">
        <f t="shared" si="56"/>
        <v>0.12799689067715628</v>
      </c>
      <c r="AY472" s="289">
        <f t="shared" si="56"/>
        <v>0.13008822976183071</v>
      </c>
      <c r="AZ472" s="289">
        <f t="shared" si="56"/>
        <v>0.16241334739189958</v>
      </c>
      <c r="BA472" s="289">
        <f t="shared" si="56"/>
        <v>0.200566167989285</v>
      </c>
      <c r="BB472" s="289">
        <f t="shared" si="56"/>
        <v>0.2067200511483463</v>
      </c>
      <c r="BC472" s="289">
        <f t="shared" si="54"/>
        <v>0.2067200511483463</v>
      </c>
    </row>
    <row r="473" spans="2:55">
      <c r="B473" s="72" t="s">
        <v>831</v>
      </c>
      <c r="C473" s="72" t="s">
        <v>832</v>
      </c>
      <c r="D473" s="289">
        <f t="shared" si="52"/>
        <v>0</v>
      </c>
      <c r="E473" s="289">
        <f t="shared" si="56"/>
        <v>0</v>
      </c>
      <c r="F473" s="289">
        <f t="shared" si="56"/>
        <v>0</v>
      </c>
      <c r="G473" s="289">
        <f t="shared" si="56"/>
        <v>0</v>
      </c>
      <c r="H473" s="289">
        <f t="shared" si="56"/>
        <v>0</v>
      </c>
      <c r="I473" s="289">
        <f t="shared" si="56"/>
        <v>0</v>
      </c>
      <c r="J473" s="289">
        <f t="shared" si="56"/>
        <v>0</v>
      </c>
      <c r="K473" s="289">
        <f t="shared" si="56"/>
        <v>0</v>
      </c>
      <c r="L473" s="289">
        <f t="shared" si="56"/>
        <v>0</v>
      </c>
      <c r="M473" s="289">
        <f t="shared" si="56"/>
        <v>0</v>
      </c>
      <c r="N473" s="289">
        <f t="shared" si="56"/>
        <v>0</v>
      </c>
      <c r="O473" s="289">
        <f t="shared" si="56"/>
        <v>0</v>
      </c>
      <c r="P473" s="289">
        <f t="shared" si="56"/>
        <v>0</v>
      </c>
      <c r="Q473" s="289">
        <f t="shared" si="56"/>
        <v>0</v>
      </c>
      <c r="R473" s="289">
        <f t="shared" si="56"/>
        <v>0</v>
      </c>
      <c r="S473" s="289">
        <f t="shared" si="56"/>
        <v>0</v>
      </c>
      <c r="T473" s="289">
        <f t="shared" si="56"/>
        <v>0</v>
      </c>
      <c r="U473" s="289">
        <f t="shared" si="56"/>
        <v>0</v>
      </c>
      <c r="V473" s="289">
        <f t="shared" si="56"/>
        <v>0</v>
      </c>
      <c r="W473" s="289">
        <f t="shared" si="56"/>
        <v>0</v>
      </c>
      <c r="X473" s="289">
        <f t="shared" si="56"/>
        <v>0</v>
      </c>
      <c r="Y473" s="289">
        <f t="shared" si="56"/>
        <v>0</v>
      </c>
      <c r="Z473" s="289">
        <f t="shared" si="56"/>
        <v>0</v>
      </c>
      <c r="AA473" s="289">
        <f t="shared" si="56"/>
        <v>0</v>
      </c>
      <c r="AB473" s="289">
        <f t="shared" si="56"/>
        <v>0</v>
      </c>
      <c r="AC473" s="289">
        <f t="shared" si="56"/>
        <v>0</v>
      </c>
      <c r="AD473" s="289">
        <f t="shared" si="56"/>
        <v>0</v>
      </c>
      <c r="AE473" s="289">
        <f t="shared" si="56"/>
        <v>0</v>
      </c>
      <c r="AF473" s="289">
        <f t="shared" si="56"/>
        <v>0</v>
      </c>
      <c r="AG473" s="289">
        <f t="shared" si="56"/>
        <v>0</v>
      </c>
      <c r="AH473" s="289">
        <f t="shared" si="56"/>
        <v>0</v>
      </c>
      <c r="AI473" s="289">
        <f t="shared" si="56"/>
        <v>0</v>
      </c>
      <c r="AJ473" s="289">
        <f t="shared" si="56"/>
        <v>0</v>
      </c>
      <c r="AK473" s="289">
        <f t="shared" si="56"/>
        <v>0</v>
      </c>
      <c r="AL473" s="289">
        <f t="shared" si="56"/>
        <v>0</v>
      </c>
      <c r="AM473" s="289">
        <f t="shared" si="56"/>
        <v>0</v>
      </c>
      <c r="AN473" s="289">
        <f t="shared" si="56"/>
        <v>0</v>
      </c>
      <c r="AO473" s="289">
        <f t="shared" si="56"/>
        <v>0</v>
      </c>
      <c r="AP473" s="289">
        <f t="shared" si="56"/>
        <v>0</v>
      </c>
      <c r="AQ473" s="289">
        <f t="shared" si="56"/>
        <v>0</v>
      </c>
      <c r="AR473" s="289">
        <f t="shared" si="56"/>
        <v>0</v>
      </c>
      <c r="AS473" s="289">
        <f t="shared" ref="E473:BB478" si="57">AS223/AS$251</f>
        <v>0</v>
      </c>
      <c r="AT473" s="289">
        <f t="shared" si="57"/>
        <v>0</v>
      </c>
      <c r="AU473" s="289">
        <f t="shared" si="57"/>
        <v>0</v>
      </c>
      <c r="AV473" s="289">
        <f t="shared" si="57"/>
        <v>0</v>
      </c>
      <c r="AW473" s="289">
        <f t="shared" si="57"/>
        <v>0</v>
      </c>
      <c r="AX473" s="289">
        <f t="shared" si="57"/>
        <v>0</v>
      </c>
      <c r="AY473" s="289">
        <f t="shared" si="57"/>
        <v>3.9410426382202372E-2</v>
      </c>
      <c r="AZ473" s="289">
        <f t="shared" si="57"/>
        <v>3.5286545288875773E-2</v>
      </c>
      <c r="BA473" s="289">
        <f t="shared" si="57"/>
        <v>4.1507488814716942E-2</v>
      </c>
      <c r="BB473" s="289">
        <f t="shared" si="57"/>
        <v>4.761524196060668E-2</v>
      </c>
      <c r="BC473" s="289">
        <f t="shared" si="54"/>
        <v>4.761524196060668E-2</v>
      </c>
    </row>
    <row r="474" spans="2:55">
      <c r="B474" s="72" t="s">
        <v>833</v>
      </c>
      <c r="C474" s="72" t="s">
        <v>834</v>
      </c>
      <c r="D474" s="289">
        <f t="shared" si="52"/>
        <v>0.30983782217113681</v>
      </c>
      <c r="E474" s="289">
        <f t="shared" si="57"/>
        <v>0.34367630135629218</v>
      </c>
      <c r="F474" s="289">
        <f t="shared" si="57"/>
        <v>0.38269612200920244</v>
      </c>
      <c r="G474" s="289">
        <f t="shared" si="57"/>
        <v>0.39044850683308796</v>
      </c>
      <c r="H474" s="289">
        <f t="shared" si="57"/>
        <v>0.41857403675776611</v>
      </c>
      <c r="I474" s="289">
        <f t="shared" si="57"/>
        <v>0.45399430369565402</v>
      </c>
      <c r="J474" s="289">
        <f t="shared" si="57"/>
        <v>0.47850049047077792</v>
      </c>
      <c r="K474" s="289">
        <f t="shared" si="57"/>
        <v>0.50124044649214416</v>
      </c>
      <c r="L474" s="289">
        <f t="shared" si="57"/>
        <v>0.53026313657633595</v>
      </c>
      <c r="M474" s="289">
        <f t="shared" si="57"/>
        <v>0.52501323926505461</v>
      </c>
      <c r="N474" s="289">
        <f t="shared" si="57"/>
        <v>0.52416867489593533</v>
      </c>
      <c r="O474" s="289">
        <f t="shared" si="57"/>
        <v>0.5754016298813176</v>
      </c>
      <c r="P474" s="289">
        <f t="shared" si="57"/>
        <v>0.67326208116349828</v>
      </c>
      <c r="Q474" s="289">
        <f t="shared" si="57"/>
        <v>0.7640312632414471</v>
      </c>
      <c r="R474" s="289">
        <f t="shared" si="57"/>
        <v>0.74591107365828035</v>
      </c>
      <c r="S474" s="289">
        <f t="shared" si="57"/>
        <v>0.79227202584007139</v>
      </c>
      <c r="T474" s="289">
        <f t="shared" si="57"/>
        <v>0.77448793785131442</v>
      </c>
      <c r="U474" s="289">
        <f t="shared" si="57"/>
        <v>0.73096746188578743</v>
      </c>
      <c r="V474" s="289">
        <f t="shared" si="57"/>
        <v>0.74570605416402347</v>
      </c>
      <c r="W474" s="289">
        <f t="shared" si="57"/>
        <v>0.62730840304763036</v>
      </c>
      <c r="X474" s="289">
        <f t="shared" si="57"/>
        <v>0.57069912739236062</v>
      </c>
      <c r="Y474" s="289">
        <f t="shared" si="57"/>
        <v>0.57528532892443551</v>
      </c>
      <c r="Z474" s="289">
        <f t="shared" si="57"/>
        <v>0.52669921371207062</v>
      </c>
      <c r="AA474" s="289">
        <f t="shared" si="57"/>
        <v>0.56127850290585424</v>
      </c>
      <c r="AB474" s="289">
        <f t="shared" si="57"/>
        <v>0.55654237564250197</v>
      </c>
      <c r="AC474" s="289">
        <f t="shared" si="57"/>
        <v>0.62921194356595278</v>
      </c>
      <c r="AD474" s="289">
        <f t="shared" si="57"/>
        <v>0.64958191331558168</v>
      </c>
      <c r="AE474" s="289">
        <f t="shared" si="57"/>
        <v>0.63096689519727089</v>
      </c>
      <c r="AF474" s="289">
        <f t="shared" si="57"/>
        <v>0.68945817420846922</v>
      </c>
      <c r="AG474" s="289">
        <f t="shared" si="57"/>
        <v>0.75813177324076197</v>
      </c>
      <c r="AH474" s="289">
        <f t="shared" si="57"/>
        <v>0.78272589604446874</v>
      </c>
      <c r="AI474" s="289">
        <f t="shared" si="57"/>
        <v>0.8269859669657541</v>
      </c>
      <c r="AJ474" s="289">
        <f t="shared" si="57"/>
        <v>0.76533378478669267</v>
      </c>
      <c r="AK474" s="289">
        <f t="shared" si="57"/>
        <v>0.71526892289583166</v>
      </c>
      <c r="AL474" s="289">
        <f t="shared" si="57"/>
        <v>0.75968315047094814</v>
      </c>
      <c r="AM474" s="289">
        <f t="shared" si="57"/>
        <v>0.75199025690817145</v>
      </c>
      <c r="AN474" s="289">
        <f t="shared" si="57"/>
        <v>0.61667274957938378</v>
      </c>
      <c r="AO474" s="289">
        <f t="shared" si="57"/>
        <v>0.60515692382598918</v>
      </c>
      <c r="AP474" s="289">
        <f t="shared" si="57"/>
        <v>0.603917318867083</v>
      </c>
      <c r="AQ474" s="289">
        <f t="shared" si="57"/>
        <v>0.57522592304623432</v>
      </c>
      <c r="AR474" s="289">
        <f t="shared" si="57"/>
        <v>0.60202427925874946</v>
      </c>
      <c r="AS474" s="289">
        <f t="shared" si="57"/>
        <v>0.61531764972613934</v>
      </c>
      <c r="AT474" s="289">
        <f t="shared" si="57"/>
        <v>0.6754259896389132</v>
      </c>
      <c r="AU474" s="289">
        <f t="shared" si="57"/>
        <v>0.66681152485975714</v>
      </c>
      <c r="AV474" s="289">
        <f t="shared" si="57"/>
        <v>0.68350788189322687</v>
      </c>
      <c r="AW474" s="289">
        <f t="shared" si="57"/>
        <v>0.69229453968450128</v>
      </c>
      <c r="AX474" s="289">
        <f t="shared" si="57"/>
        <v>0.69324264203826846</v>
      </c>
      <c r="AY474" s="289">
        <f t="shared" si="57"/>
        <v>0.81065954351108205</v>
      </c>
      <c r="AZ474" s="289">
        <f t="shared" si="57"/>
        <v>0.89762509296614867</v>
      </c>
      <c r="BA474" s="289">
        <f t="shared" si="57"/>
        <v>0.82623972022653636</v>
      </c>
      <c r="BB474" s="289">
        <f t="shared" si="57"/>
        <v>0.81824292943534327</v>
      </c>
      <c r="BC474" s="289">
        <f t="shared" si="54"/>
        <v>0.81824292943534327</v>
      </c>
    </row>
    <row r="475" spans="2:55">
      <c r="B475" s="72" t="s">
        <v>835</v>
      </c>
      <c r="C475" s="72" t="s">
        <v>836</v>
      </c>
      <c r="D475" s="289">
        <f t="shared" si="52"/>
        <v>9.8469456115206966E-2</v>
      </c>
      <c r="E475" s="289">
        <f t="shared" si="57"/>
        <v>9.227582030293778E-2</v>
      </c>
      <c r="F475" s="289">
        <f t="shared" si="57"/>
        <v>7.3659544083147399E-2</v>
      </c>
      <c r="G475" s="289">
        <f t="shared" si="57"/>
        <v>7.0103171676618004E-2</v>
      </c>
      <c r="H475" s="289">
        <f t="shared" si="57"/>
        <v>8.2187111678310928E-2</v>
      </c>
      <c r="I475" s="289">
        <f t="shared" si="57"/>
        <v>7.8134203682796888E-2</v>
      </c>
      <c r="J475" s="289">
        <f t="shared" si="57"/>
        <v>7.8516371589795297E-2</v>
      </c>
      <c r="K475" s="289">
        <f t="shared" si="57"/>
        <v>7.9202289005767007E-2</v>
      </c>
      <c r="L475" s="289">
        <f t="shared" si="57"/>
        <v>7.8936598758350462E-2</v>
      </c>
      <c r="M475" s="289">
        <f t="shared" si="57"/>
        <v>8.1853012901682509E-2</v>
      </c>
      <c r="N475" s="289">
        <f t="shared" si="57"/>
        <v>7.3924873268095562E-2</v>
      </c>
      <c r="O475" s="289">
        <f t="shared" si="57"/>
        <v>6.8665709287363472E-2</v>
      </c>
      <c r="P475" s="289">
        <f t="shared" si="57"/>
        <v>6.7437411293096494E-2</v>
      </c>
      <c r="Q475" s="289">
        <f t="shared" si="57"/>
        <v>7.6523735746968066E-2</v>
      </c>
      <c r="R475" s="289">
        <f t="shared" si="57"/>
        <v>6.6807453825941152E-2</v>
      </c>
      <c r="S475" s="289">
        <f t="shared" si="57"/>
        <v>6.4789082519903479E-2</v>
      </c>
      <c r="T475" s="289">
        <f t="shared" si="57"/>
        <v>6.4483875569753199E-2</v>
      </c>
      <c r="U475" s="289">
        <f t="shared" si="57"/>
        <v>3.3292654640322238E-2</v>
      </c>
      <c r="V475" s="289">
        <f t="shared" si="57"/>
        <v>3.0952973301707983E-2</v>
      </c>
      <c r="W475" s="289">
        <f t="shared" si="57"/>
        <v>2.8360380043587378E-2</v>
      </c>
      <c r="X475" s="289">
        <f t="shared" si="57"/>
        <v>3.2532066504920111E-2</v>
      </c>
      <c r="Y475" s="289">
        <f t="shared" si="57"/>
        <v>3.599535489955636E-2</v>
      </c>
      <c r="Z475" s="289">
        <f t="shared" si="57"/>
        <v>4.0550146904537884E-2</v>
      </c>
      <c r="AA475" s="289">
        <f t="shared" si="57"/>
        <v>4.9800136521065609E-2</v>
      </c>
      <c r="AB475" s="289">
        <f t="shared" si="57"/>
        <v>4.5966861988088158E-2</v>
      </c>
      <c r="AC475" s="289">
        <f t="shared" si="57"/>
        <v>3.9465368244760261E-2</v>
      </c>
      <c r="AD475" s="289">
        <f t="shared" si="57"/>
        <v>3.3091428011177947E-2</v>
      </c>
      <c r="AE475" s="289">
        <f t="shared" si="57"/>
        <v>2.8119034852040207E-2</v>
      </c>
      <c r="AF475" s="289">
        <f t="shared" si="57"/>
        <v>2.7580916204585425E-2</v>
      </c>
      <c r="AG475" s="289">
        <f t="shared" si="57"/>
        <v>2.66901458077792E-2</v>
      </c>
      <c r="AH475" s="289">
        <f t="shared" si="57"/>
        <v>2.8349359880649409E-2</v>
      </c>
      <c r="AI475" s="289">
        <f t="shared" si="57"/>
        <v>2.9367010674058714E-2</v>
      </c>
      <c r="AJ475" s="289">
        <f t="shared" si="57"/>
        <v>3.4468501555137268E-2</v>
      </c>
      <c r="AK475" s="289">
        <f t="shared" si="57"/>
        <v>3.5733849194799605E-2</v>
      </c>
      <c r="AL475" s="289">
        <f t="shared" si="57"/>
        <v>3.602346223469427E-2</v>
      </c>
      <c r="AM475" s="289">
        <f t="shared" si="57"/>
        <v>3.6150915198474402E-2</v>
      </c>
      <c r="AN475" s="289">
        <f t="shared" si="57"/>
        <v>3.4646304440750425E-2</v>
      </c>
      <c r="AO475" s="289">
        <f t="shared" si="57"/>
        <v>3.3640490744222241E-2</v>
      </c>
      <c r="AP475" s="289">
        <f t="shared" si="57"/>
        <v>3.2062010032307513E-2</v>
      </c>
      <c r="AQ475" s="289">
        <f t="shared" si="57"/>
        <v>3.4118441651067602E-2</v>
      </c>
      <c r="AR475" s="289">
        <f t="shared" si="57"/>
        <v>3.372872889847929E-2</v>
      </c>
      <c r="AS475" s="289">
        <f t="shared" si="57"/>
        <v>3.3481399463837894E-2</v>
      </c>
      <c r="AT475" s="289">
        <f t="shared" si="57"/>
        <v>3.1612061720128766E-2</v>
      </c>
      <c r="AU475" s="289">
        <f t="shared" si="57"/>
        <v>2.8972786193305934E-2</v>
      </c>
      <c r="AV475" s="289">
        <f t="shared" si="57"/>
        <v>3.2590593159825682E-2</v>
      </c>
      <c r="AW475" s="289">
        <f t="shared" si="57"/>
        <v>3.516411587819878E-2</v>
      </c>
      <c r="AX475" s="289">
        <f t="shared" si="57"/>
        <v>3.4845727265046353E-2</v>
      </c>
      <c r="AY475" s="289">
        <f t="shared" si="57"/>
        <v>4.6675771338361899E-2</v>
      </c>
      <c r="AZ475" s="289">
        <f t="shared" si="57"/>
        <v>5.8223568200386169E-2</v>
      </c>
      <c r="BA475" s="289">
        <f t="shared" si="57"/>
        <v>6.6196349556946046E-2</v>
      </c>
      <c r="BB475" s="289">
        <f t="shared" si="57"/>
        <v>7.2631154021005603E-2</v>
      </c>
      <c r="BC475" s="289">
        <f t="shared" si="54"/>
        <v>7.2631154021005603E-2</v>
      </c>
    </row>
    <row r="476" spans="2:55">
      <c r="B476" s="72" t="s">
        <v>837</v>
      </c>
      <c r="C476" s="72" t="s">
        <v>838</v>
      </c>
      <c r="D476" s="289">
        <f t="shared" si="52"/>
        <v>0.17007404222386305</v>
      </c>
      <c r="E476" s="289">
        <f t="shared" si="57"/>
        <v>0.16549108044472319</v>
      </c>
      <c r="F476" s="289">
        <f t="shared" si="57"/>
        <v>0.16243599648260973</v>
      </c>
      <c r="G476" s="289">
        <f t="shared" si="57"/>
        <v>0.15783775137208811</v>
      </c>
      <c r="H476" s="289">
        <f t="shared" si="57"/>
        <v>0.15080659680487582</v>
      </c>
      <c r="I476" s="289">
        <f t="shared" si="57"/>
        <v>0.15409722962349795</v>
      </c>
      <c r="J476" s="289">
        <f t="shared" si="57"/>
        <v>0.17549696940661011</v>
      </c>
      <c r="K476" s="289">
        <f t="shared" si="57"/>
        <v>0.16598412553020089</v>
      </c>
      <c r="L476" s="289">
        <f t="shared" si="57"/>
        <v>0.17089467821725035</v>
      </c>
      <c r="M476" s="289">
        <f t="shared" si="57"/>
        <v>0.16192398979543202</v>
      </c>
      <c r="N476" s="289">
        <f t="shared" si="57"/>
        <v>0.17422070826674335</v>
      </c>
      <c r="O476" s="289">
        <f t="shared" si="57"/>
        <v>0.17869269720007486</v>
      </c>
      <c r="P476" s="289">
        <f t="shared" si="57"/>
        <v>0.16844060053464416</v>
      </c>
      <c r="Q476" s="289">
        <f t="shared" si="57"/>
        <v>0.20461640494275138</v>
      </c>
      <c r="R476" s="289">
        <f t="shared" si="57"/>
        <v>0.18198449134505265</v>
      </c>
      <c r="S476" s="289">
        <f t="shared" si="57"/>
        <v>0.17199745583886303</v>
      </c>
      <c r="T476" s="289">
        <f t="shared" si="57"/>
        <v>0.14968411292910691</v>
      </c>
      <c r="U476" s="289">
        <f t="shared" si="57"/>
        <v>0.13518735763958481</v>
      </c>
      <c r="V476" s="289">
        <f t="shared" si="57"/>
        <v>0.12156419002902324</v>
      </c>
      <c r="W476" s="289">
        <f t="shared" si="57"/>
        <v>0.11234374578964822</v>
      </c>
      <c r="X476" s="289">
        <f t="shared" si="57"/>
        <v>0.13823526445617207</v>
      </c>
      <c r="Y476" s="289">
        <f t="shared" si="57"/>
        <v>0.15243175077500662</v>
      </c>
      <c r="Z476" s="289">
        <f t="shared" si="57"/>
        <v>0.16148797746410493</v>
      </c>
      <c r="AA476" s="289">
        <f t="shared" si="57"/>
        <v>0.20621316056775918</v>
      </c>
      <c r="AB476" s="289">
        <f t="shared" si="57"/>
        <v>0.22225127528154098</v>
      </c>
      <c r="AC476" s="289">
        <f t="shared" si="57"/>
        <v>0.21959069011563473</v>
      </c>
      <c r="AD476" s="289">
        <f t="shared" si="57"/>
        <v>0.20660539293332136</v>
      </c>
      <c r="AE476" s="289">
        <f t="shared" si="57"/>
        <v>0.20022560969826991</v>
      </c>
      <c r="AF476" s="289">
        <f t="shared" si="57"/>
        <v>0.22562630749209481</v>
      </c>
      <c r="AG476" s="289">
        <f t="shared" si="57"/>
        <v>0.2141735003609602</v>
      </c>
      <c r="AH476" s="289">
        <f t="shared" si="57"/>
        <v>0.2141343092084339</v>
      </c>
      <c r="AI476" s="289">
        <f t="shared" si="57"/>
        <v>0.23059175109782243</v>
      </c>
      <c r="AJ476" s="289">
        <f t="shared" si="57"/>
        <v>0.28198299976409119</v>
      </c>
      <c r="AK476" s="289">
        <f t="shared" si="57"/>
        <v>0.29375085436089415</v>
      </c>
      <c r="AL476" s="289">
        <f t="shared" si="57"/>
        <v>0.28218442587458242</v>
      </c>
      <c r="AM476" s="289">
        <f t="shared" si="57"/>
        <v>0.28656614650706019</v>
      </c>
      <c r="AN476" s="289">
        <f t="shared" si="57"/>
        <v>0.28782656424589154</v>
      </c>
      <c r="AO476" s="289">
        <f t="shared" si="57"/>
        <v>0.28644075897648186</v>
      </c>
      <c r="AP476" s="289">
        <f t="shared" si="57"/>
        <v>0.28165337896441989</v>
      </c>
      <c r="AQ476" s="289">
        <f t="shared" si="57"/>
        <v>0.37538650226318709</v>
      </c>
      <c r="AR476" s="289">
        <f t="shared" si="57"/>
        <v>0.39809109894063577</v>
      </c>
      <c r="AS476" s="289">
        <f t="shared" si="57"/>
        <v>0.37910953640510719</v>
      </c>
      <c r="AT476" s="289">
        <f t="shared" si="57"/>
        <v>0.31720096517363011</v>
      </c>
      <c r="AU476" s="289">
        <f t="shared" si="57"/>
        <v>0.27931883228740501</v>
      </c>
      <c r="AV476" s="289">
        <f t="shared" si="57"/>
        <v>0.28615411904172461</v>
      </c>
      <c r="AW476" s="289">
        <f t="shared" si="57"/>
        <v>0.31219632149876503</v>
      </c>
      <c r="AX476" s="289">
        <f t="shared" si="57"/>
        <v>0.29494526674746108</v>
      </c>
      <c r="AY476" s="289">
        <f t="shared" si="57"/>
        <v>0.33566442595382917</v>
      </c>
      <c r="AZ476" s="289">
        <f t="shared" si="57"/>
        <v>0.37663507953713182</v>
      </c>
      <c r="BA476" s="289">
        <f t="shared" si="57"/>
        <v>0.35433774936278328</v>
      </c>
      <c r="BB476" s="289">
        <f t="shared" si="57"/>
        <v>0.33668221145489646</v>
      </c>
      <c r="BC476" s="289">
        <f t="shared" si="54"/>
        <v>0.33668221145489646</v>
      </c>
    </row>
    <row r="477" spans="2:55">
      <c r="B477" s="72" t="s">
        <v>839</v>
      </c>
      <c r="C477" s="72" t="s">
        <v>840</v>
      </c>
      <c r="D477" s="289">
        <f t="shared" si="52"/>
        <v>0</v>
      </c>
      <c r="E477" s="289">
        <f t="shared" si="57"/>
        <v>0</v>
      </c>
      <c r="F477" s="289">
        <f t="shared" si="57"/>
        <v>0</v>
      </c>
      <c r="G477" s="289">
        <f t="shared" si="57"/>
        <v>0</v>
      </c>
      <c r="H477" s="289">
        <f t="shared" si="57"/>
        <v>0</v>
      </c>
      <c r="I477" s="289">
        <f t="shared" si="57"/>
        <v>0</v>
      </c>
      <c r="J477" s="289">
        <f t="shared" si="57"/>
        <v>0</v>
      </c>
      <c r="K477" s="289">
        <f t="shared" si="57"/>
        <v>0</v>
      </c>
      <c r="L477" s="289">
        <f t="shared" si="57"/>
        <v>0</v>
      </c>
      <c r="M477" s="289">
        <f t="shared" si="57"/>
        <v>0</v>
      </c>
      <c r="N477" s="289">
        <f t="shared" si="57"/>
        <v>0</v>
      </c>
      <c r="O477" s="289">
        <f t="shared" si="57"/>
        <v>0</v>
      </c>
      <c r="P477" s="289">
        <f t="shared" si="57"/>
        <v>0</v>
      </c>
      <c r="Q477" s="289">
        <f t="shared" si="57"/>
        <v>0</v>
      </c>
      <c r="R477" s="289">
        <f t="shared" si="57"/>
        <v>0</v>
      </c>
      <c r="S477" s="289">
        <f t="shared" si="57"/>
        <v>0</v>
      </c>
      <c r="T477" s="289">
        <f t="shared" si="57"/>
        <v>0</v>
      </c>
      <c r="U477" s="289">
        <f t="shared" si="57"/>
        <v>0</v>
      </c>
      <c r="V477" s="289">
        <f t="shared" si="57"/>
        <v>0.12070285153816017</v>
      </c>
      <c r="W477" s="289">
        <f t="shared" si="57"/>
        <v>0.12003632932570481</v>
      </c>
      <c r="X477" s="289">
        <f t="shared" si="57"/>
        <v>0.14184367385801155</v>
      </c>
      <c r="Y477" s="289">
        <f t="shared" si="57"/>
        <v>0.13793875580613282</v>
      </c>
      <c r="Z477" s="289">
        <f t="shared" si="57"/>
        <v>0.1543376306805492</v>
      </c>
      <c r="AA477" s="289">
        <f t="shared" si="57"/>
        <v>0.20618742446143895</v>
      </c>
      <c r="AB477" s="289">
        <f t="shared" si="57"/>
        <v>0.18462712165388923</v>
      </c>
      <c r="AC477" s="289">
        <f t="shared" si="57"/>
        <v>0.1770683359145955</v>
      </c>
      <c r="AD477" s="289">
        <f t="shared" si="57"/>
        <v>0.15294291880963026</v>
      </c>
      <c r="AE477" s="289">
        <f t="shared" si="57"/>
        <v>0.14052901514275967</v>
      </c>
      <c r="AF477" s="289">
        <f t="shared" si="57"/>
        <v>0.15649427673387972</v>
      </c>
      <c r="AG477" s="289">
        <f t="shared" si="57"/>
        <v>0.16745639629558887</v>
      </c>
      <c r="AH477" s="289">
        <f t="shared" si="57"/>
        <v>0.17254890046768026</v>
      </c>
      <c r="AI477" s="289">
        <f t="shared" si="57"/>
        <v>0.18381308660149523</v>
      </c>
      <c r="AJ477" s="289">
        <f t="shared" si="57"/>
        <v>0.20689609844583143</v>
      </c>
      <c r="AK477" s="289">
        <f t="shared" si="57"/>
        <v>0.19790255113838412</v>
      </c>
      <c r="AL477" s="289">
        <f t="shared" si="57"/>
        <v>0.19334560446025939</v>
      </c>
      <c r="AM477" s="289">
        <f t="shared" si="57"/>
        <v>0.18368758924162562</v>
      </c>
      <c r="AN477" s="289">
        <f t="shared" si="57"/>
        <v>0.17214186746179927</v>
      </c>
      <c r="AO477" s="289">
        <f t="shared" si="57"/>
        <v>0.17311727300549229</v>
      </c>
      <c r="AP477" s="289">
        <f t="shared" si="57"/>
        <v>0.17582242314979252</v>
      </c>
      <c r="AQ477" s="289">
        <f t="shared" si="57"/>
        <v>0.19556912990644021</v>
      </c>
      <c r="AR477" s="289">
        <f t="shared" si="57"/>
        <v>0.18061325331855413</v>
      </c>
      <c r="AS477" s="289">
        <f t="shared" si="57"/>
        <v>0.1682982479791284</v>
      </c>
      <c r="AT477" s="289">
        <f t="shared" si="57"/>
        <v>0.15614921898906137</v>
      </c>
      <c r="AU477" s="289">
        <f t="shared" si="57"/>
        <v>0.1439895552401938</v>
      </c>
      <c r="AV477" s="289">
        <f t="shared" si="57"/>
        <v>0.14503247215384232</v>
      </c>
      <c r="AW477" s="289">
        <f t="shared" si="57"/>
        <v>0.15114964040064202</v>
      </c>
      <c r="AX477" s="289">
        <f t="shared" si="57"/>
        <v>0.14519646214751961</v>
      </c>
      <c r="AY477" s="289">
        <f t="shared" si="57"/>
        <v>0.15986365606209296</v>
      </c>
      <c r="AZ477" s="289">
        <f t="shared" si="57"/>
        <v>0.19276189397310917</v>
      </c>
      <c r="BA477" s="289">
        <f t="shared" si="57"/>
        <v>0.19162158585552533</v>
      </c>
      <c r="BB477" s="289">
        <f t="shared" si="57"/>
        <v>0.18325145918388661</v>
      </c>
      <c r="BC477" s="289">
        <f t="shared" si="54"/>
        <v>0.18325145918388661</v>
      </c>
    </row>
    <row r="478" spans="2:55">
      <c r="B478" s="72" t="s">
        <v>841</v>
      </c>
      <c r="C478" s="72" t="s">
        <v>842</v>
      </c>
      <c r="D478" s="289">
        <f t="shared" si="52"/>
        <v>0</v>
      </c>
      <c r="E478" s="289">
        <f t="shared" si="57"/>
        <v>0</v>
      </c>
      <c r="F478" s="289">
        <f t="shared" si="57"/>
        <v>0</v>
      </c>
      <c r="G478" s="289">
        <f t="shared" si="57"/>
        <v>0</v>
      </c>
      <c r="H478" s="289">
        <f t="shared" si="57"/>
        <v>0</v>
      </c>
      <c r="I478" s="289">
        <f t="shared" si="57"/>
        <v>0</v>
      </c>
      <c r="J478" s="289">
        <f t="shared" si="57"/>
        <v>0</v>
      </c>
      <c r="K478" s="289">
        <f t="shared" si="57"/>
        <v>0</v>
      </c>
      <c r="L478" s="289">
        <f t="shared" si="57"/>
        <v>0</v>
      </c>
      <c r="M478" s="289">
        <f t="shared" si="57"/>
        <v>0</v>
      </c>
      <c r="N478" s="289">
        <f t="shared" si="57"/>
        <v>0</v>
      </c>
      <c r="O478" s="289">
        <f t="shared" si="57"/>
        <v>0</v>
      </c>
      <c r="P478" s="289">
        <f t="shared" si="57"/>
        <v>0</v>
      </c>
      <c r="Q478" s="289">
        <f t="shared" si="57"/>
        <v>0</v>
      </c>
      <c r="R478" s="289">
        <f t="shared" si="57"/>
        <v>0</v>
      </c>
      <c r="S478" s="289">
        <f t="shared" si="57"/>
        <v>0</v>
      </c>
      <c r="T478" s="289">
        <f t="shared" si="57"/>
        <v>0</v>
      </c>
      <c r="U478" s="289">
        <f t="shared" si="57"/>
        <v>0</v>
      </c>
      <c r="V478" s="289">
        <f t="shared" si="57"/>
        <v>0</v>
      </c>
      <c r="W478" s="289">
        <f t="shared" si="57"/>
        <v>0</v>
      </c>
      <c r="X478" s="289">
        <f t="shared" si="57"/>
        <v>0</v>
      </c>
      <c r="Y478" s="289">
        <f t="shared" si="57"/>
        <v>0</v>
      </c>
      <c r="Z478" s="289">
        <f t="shared" si="57"/>
        <v>0</v>
      </c>
      <c r="AA478" s="289">
        <f t="shared" si="57"/>
        <v>0</v>
      </c>
      <c r="AB478" s="289">
        <f t="shared" si="57"/>
        <v>0</v>
      </c>
      <c r="AC478" s="289">
        <f t="shared" si="57"/>
        <v>0</v>
      </c>
      <c r="AD478" s="289">
        <f t="shared" si="57"/>
        <v>0</v>
      </c>
      <c r="AE478" s="289">
        <f t="shared" si="57"/>
        <v>0</v>
      </c>
      <c r="AF478" s="289">
        <f t="shared" si="57"/>
        <v>0</v>
      </c>
      <c r="AG478" s="289">
        <f t="shared" si="57"/>
        <v>0</v>
      </c>
      <c r="AH478" s="289">
        <f t="shared" si="57"/>
        <v>0</v>
      </c>
      <c r="AI478" s="289">
        <f t="shared" si="57"/>
        <v>0</v>
      </c>
      <c r="AJ478" s="289">
        <f t="shared" si="57"/>
        <v>0</v>
      </c>
      <c r="AK478" s="289">
        <f t="shared" si="57"/>
        <v>0</v>
      </c>
      <c r="AL478" s="289">
        <f t="shared" si="57"/>
        <v>0</v>
      </c>
      <c r="AM478" s="289">
        <f t="shared" si="57"/>
        <v>0</v>
      </c>
      <c r="AN478" s="289">
        <f t="shared" si="57"/>
        <v>0</v>
      </c>
      <c r="AO478" s="289">
        <f t="shared" si="57"/>
        <v>0</v>
      </c>
      <c r="AP478" s="289">
        <f t="shared" si="57"/>
        <v>0</v>
      </c>
      <c r="AQ478" s="289">
        <f t="shared" si="57"/>
        <v>0</v>
      </c>
      <c r="AR478" s="289">
        <f t="shared" si="57"/>
        <v>0</v>
      </c>
      <c r="AS478" s="289">
        <f t="shared" si="57"/>
        <v>0</v>
      </c>
      <c r="AT478" s="289">
        <f t="shared" si="57"/>
        <v>0</v>
      </c>
      <c r="AU478" s="289">
        <f t="shared" si="57"/>
        <v>0</v>
      </c>
      <c r="AV478" s="289">
        <f t="shared" si="57"/>
        <v>0</v>
      </c>
      <c r="AW478" s="289">
        <f t="shared" si="57"/>
        <v>0</v>
      </c>
      <c r="AX478" s="289">
        <f t="shared" ref="E478:BB483" si="58">AX228/AX$251</f>
        <v>0</v>
      </c>
      <c r="AY478" s="289">
        <f t="shared" si="58"/>
        <v>0</v>
      </c>
      <c r="AZ478" s="289">
        <f t="shared" si="58"/>
        <v>0</v>
      </c>
      <c r="BA478" s="289">
        <f t="shared" si="58"/>
        <v>0</v>
      </c>
      <c r="BB478" s="289">
        <f t="shared" si="58"/>
        <v>0</v>
      </c>
      <c r="BC478" s="289">
        <f t="shared" si="54"/>
        <v>0</v>
      </c>
    </row>
    <row r="479" spans="2:55">
      <c r="B479" s="72" t="s">
        <v>843</v>
      </c>
      <c r="C479" s="72" t="s">
        <v>844</v>
      </c>
      <c r="D479" s="289">
        <f t="shared" si="52"/>
        <v>0.11733338186488171</v>
      </c>
      <c r="E479" s="289">
        <f t="shared" si="58"/>
        <v>0.11532655118135005</v>
      </c>
      <c r="F479" s="289">
        <f t="shared" si="58"/>
        <v>0.10226595019487533</v>
      </c>
      <c r="G479" s="289">
        <f t="shared" si="58"/>
        <v>0.10030757054493444</v>
      </c>
      <c r="H479" s="289">
        <f t="shared" si="58"/>
        <v>9.4941825710193495E-2</v>
      </c>
      <c r="I479" s="289">
        <f t="shared" si="58"/>
        <v>9.4583713587957474E-2</v>
      </c>
      <c r="J479" s="289">
        <f t="shared" si="58"/>
        <v>8.9184077849243371E-2</v>
      </c>
      <c r="K479" s="289">
        <f t="shared" si="58"/>
        <v>9.1334534678619905E-2</v>
      </c>
      <c r="L479" s="289">
        <f t="shared" si="58"/>
        <v>9.1508691061165798E-2</v>
      </c>
      <c r="M479" s="289">
        <f t="shared" si="58"/>
        <v>9.0967386137190201E-2</v>
      </c>
      <c r="N479" s="289">
        <f t="shared" si="58"/>
        <v>8.6820181650643605E-2</v>
      </c>
      <c r="O479" s="289">
        <f t="shared" si="58"/>
        <v>0.10316141111428699</v>
      </c>
      <c r="P479" s="289">
        <f t="shared" si="58"/>
        <v>9.903895348475468E-2</v>
      </c>
      <c r="Q479" s="289">
        <f t="shared" si="58"/>
        <v>9.9020603869785173E-2</v>
      </c>
      <c r="R479" s="289">
        <f t="shared" si="58"/>
        <v>8.2689204611375064E-2</v>
      </c>
      <c r="S479" s="289">
        <f t="shared" si="58"/>
        <v>8.3996977392730945E-2</v>
      </c>
      <c r="T479" s="289">
        <f t="shared" si="58"/>
        <v>8.1987848784835421E-2</v>
      </c>
      <c r="U479" s="289">
        <f t="shared" si="58"/>
        <v>8.1698675654701541E-2</v>
      </c>
      <c r="V479" s="289">
        <f t="shared" si="58"/>
        <v>7.2910111790038437E-2</v>
      </c>
      <c r="W479" s="289">
        <f t="shared" si="58"/>
        <v>6.238947778481569E-2</v>
      </c>
      <c r="X479" s="289">
        <f t="shared" si="58"/>
        <v>8.0753281053696863E-2</v>
      </c>
      <c r="Y479" s="289">
        <f t="shared" si="58"/>
        <v>9.5961687391748651E-2</v>
      </c>
      <c r="Z479" s="289">
        <f t="shared" si="58"/>
        <v>0.11054307576091098</v>
      </c>
      <c r="AA479" s="289">
        <f t="shared" si="58"/>
        <v>0.12836402639648054</v>
      </c>
      <c r="AB479" s="289">
        <f t="shared" si="58"/>
        <v>0.13169804916201394</v>
      </c>
      <c r="AC479" s="289">
        <f t="shared" si="58"/>
        <v>0.12096523016611785</v>
      </c>
      <c r="AD479" s="289">
        <f t="shared" si="58"/>
        <v>0.10905813788896521</v>
      </c>
      <c r="AE479" s="289">
        <f t="shared" si="58"/>
        <v>0.10339101860383469</v>
      </c>
      <c r="AF479" s="289">
        <f t="shared" si="58"/>
        <v>0.11002903950409161</v>
      </c>
      <c r="AG479" s="289">
        <f t="shared" si="58"/>
        <v>0.10429101495678883</v>
      </c>
      <c r="AH479" s="289">
        <f t="shared" si="58"/>
        <v>0.10725226806219125</v>
      </c>
      <c r="AI479" s="289">
        <f t="shared" si="58"/>
        <v>0.11392947242618554</v>
      </c>
      <c r="AJ479" s="289">
        <f t="shared" si="58"/>
        <v>0.13000557043072741</v>
      </c>
      <c r="AK479" s="289">
        <f t="shared" si="58"/>
        <v>0.12278826505745474</v>
      </c>
      <c r="AL479" s="289">
        <f t="shared" si="58"/>
        <v>0.1236192787703552</v>
      </c>
      <c r="AM479" s="289">
        <f t="shared" si="58"/>
        <v>0.12426990188593705</v>
      </c>
      <c r="AN479" s="289">
        <f t="shared" si="58"/>
        <v>0.11569373526736176</v>
      </c>
      <c r="AO479" s="289">
        <f t="shared" si="58"/>
        <v>0.11784376406987766</v>
      </c>
      <c r="AP479" s="289">
        <f t="shared" si="58"/>
        <v>0.12006022771446291</v>
      </c>
      <c r="AQ479" s="289">
        <f t="shared" si="58"/>
        <v>0.14701251434393442</v>
      </c>
      <c r="AR479" s="289">
        <f t="shared" si="58"/>
        <v>0.16070742601365964</v>
      </c>
      <c r="AS479" s="289">
        <f t="shared" si="58"/>
        <v>0.15845396459335417</v>
      </c>
      <c r="AT479" s="289">
        <f t="shared" si="58"/>
        <v>0.14290913224573243</v>
      </c>
      <c r="AU479" s="289">
        <f t="shared" si="58"/>
        <v>0.13116591899486071</v>
      </c>
      <c r="AV479" s="289">
        <f t="shared" si="58"/>
        <v>0.13300615982188849</v>
      </c>
      <c r="AW479" s="289">
        <f t="shared" si="58"/>
        <v>0.13858596657432881</v>
      </c>
      <c r="AX479" s="289">
        <f t="shared" si="58"/>
        <v>0.13550805185840262</v>
      </c>
      <c r="AY479" s="289">
        <f t="shared" si="58"/>
        <v>0.14838701555671643</v>
      </c>
      <c r="AZ479" s="289">
        <f t="shared" si="58"/>
        <v>0.17415428003682729</v>
      </c>
      <c r="BA479" s="289">
        <f t="shared" si="58"/>
        <v>0.17022343024379147</v>
      </c>
      <c r="BB479" s="289">
        <f t="shared" si="58"/>
        <v>0.16114376434917391</v>
      </c>
      <c r="BC479" s="289">
        <f t="shared" si="54"/>
        <v>0.16114376434917391</v>
      </c>
    </row>
    <row r="480" spans="2:55">
      <c r="B480" s="72" t="s">
        <v>845</v>
      </c>
      <c r="C480" s="72" t="s">
        <v>846</v>
      </c>
      <c r="D480" s="289">
        <f t="shared" si="52"/>
        <v>7.1118763607734004E-2</v>
      </c>
      <c r="E480" s="289">
        <f t="shared" si="58"/>
        <v>7.2394152930666297E-2</v>
      </c>
      <c r="F480" s="289">
        <f t="shared" si="58"/>
        <v>6.8353516917248183E-2</v>
      </c>
      <c r="G480" s="289">
        <f t="shared" si="58"/>
        <v>6.314747270555747E-2</v>
      </c>
      <c r="H480" s="289">
        <f t="shared" si="58"/>
        <v>6.0033037769339284E-2</v>
      </c>
      <c r="I480" s="289">
        <f t="shared" si="58"/>
        <v>5.6790587333876034E-2</v>
      </c>
      <c r="J480" s="289">
        <f t="shared" si="58"/>
        <v>5.812127404229548E-2</v>
      </c>
      <c r="K480" s="289">
        <f t="shared" si="58"/>
        <v>6.3150287628800525E-2</v>
      </c>
      <c r="L480" s="289">
        <f t="shared" si="58"/>
        <v>6.3243834822503883E-2</v>
      </c>
      <c r="M480" s="289">
        <f t="shared" si="58"/>
        <v>6.3443544109996197E-2</v>
      </c>
      <c r="N480" s="289">
        <f t="shared" si="58"/>
        <v>5.9658741129541101E-2</v>
      </c>
      <c r="O480" s="289">
        <f t="shared" si="58"/>
        <v>5.4914624831675023E-2</v>
      </c>
      <c r="P480" s="289">
        <f t="shared" si="58"/>
        <v>5.8638704915955422E-2</v>
      </c>
      <c r="Q480" s="289">
        <f t="shared" si="58"/>
        <v>6.7778280799893703E-2</v>
      </c>
      <c r="R480" s="289">
        <f t="shared" si="58"/>
        <v>6.6950322999497686E-2</v>
      </c>
      <c r="S480" s="289">
        <f t="shared" si="58"/>
        <v>8.4198891949093482E-2</v>
      </c>
      <c r="T480" s="289">
        <f t="shared" si="58"/>
        <v>9.0087074058516889E-2</v>
      </c>
      <c r="U480" s="289">
        <f t="shared" si="58"/>
        <v>7.4673969547937036E-2</v>
      </c>
      <c r="V480" s="289">
        <f t="shared" si="58"/>
        <v>5.7690629423762255E-2</v>
      </c>
      <c r="W480" s="289">
        <f t="shared" si="58"/>
        <v>3.9438307709204416E-2</v>
      </c>
      <c r="X480" s="289">
        <f t="shared" si="58"/>
        <v>5.0276450875819077E-2</v>
      </c>
      <c r="Y480" s="289">
        <f t="shared" si="58"/>
        <v>4.9462728168996765E-2</v>
      </c>
      <c r="Z480" s="289">
        <f t="shared" si="58"/>
        <v>4.6170155810638484E-2</v>
      </c>
      <c r="AA480" s="289">
        <f t="shared" si="58"/>
        <v>5.6443375469071085E-2</v>
      </c>
      <c r="AB480" s="289">
        <f t="shared" si="58"/>
        <v>6.4461917299502264E-2</v>
      </c>
      <c r="AC480" s="289">
        <f t="shared" si="58"/>
        <v>6.5672644898721183E-2</v>
      </c>
      <c r="AD480" s="289">
        <f t="shared" si="58"/>
        <v>6.7628172500886985E-2</v>
      </c>
      <c r="AE480" s="289">
        <f t="shared" si="58"/>
        <v>4.1008637545202106E-2</v>
      </c>
      <c r="AF480" s="289">
        <f t="shared" si="58"/>
        <v>3.9258484420965127E-2</v>
      </c>
      <c r="AG480" s="289">
        <f t="shared" si="58"/>
        <v>2.6479121065543752E-2</v>
      </c>
      <c r="AH480" s="289">
        <f t="shared" si="58"/>
        <v>2.2786869483240192E-2</v>
      </c>
      <c r="AI480" s="289">
        <f t="shared" si="58"/>
        <v>1.3309181343193432E-2</v>
      </c>
      <c r="AJ480" s="289">
        <f t="shared" si="58"/>
        <v>1.8264758083670746E-2</v>
      </c>
      <c r="AK480" s="289">
        <f t="shared" si="58"/>
        <v>2.3769190181047159E-2</v>
      </c>
      <c r="AL480" s="289">
        <f t="shared" si="58"/>
        <v>2.3007352300425991E-2</v>
      </c>
      <c r="AM480" s="289">
        <f t="shared" si="58"/>
        <v>1.3907120382356371E-2</v>
      </c>
      <c r="AN480" s="289">
        <f t="shared" si="58"/>
        <v>1.5690708060436289E-2</v>
      </c>
      <c r="AO480" s="289">
        <f t="shared" si="58"/>
        <v>1.3827719342878053E-2</v>
      </c>
      <c r="AP480" s="289">
        <f t="shared" si="58"/>
        <v>1.2492427752877256E-2</v>
      </c>
      <c r="AQ480" s="289">
        <f t="shared" si="58"/>
        <v>1.4308194217044769E-2</v>
      </c>
      <c r="AR480" s="289">
        <f t="shared" si="58"/>
        <v>1.5164439724844821E-2</v>
      </c>
      <c r="AS480" s="289">
        <f t="shared" si="58"/>
        <v>1.5309770732415658E-2</v>
      </c>
      <c r="AT480" s="289">
        <f t="shared" si="58"/>
        <v>1.5458134974991244E-2</v>
      </c>
      <c r="AU480" s="289">
        <f t="shared" si="58"/>
        <v>1.5592107849570998E-2</v>
      </c>
      <c r="AV480" s="289">
        <f t="shared" si="58"/>
        <v>1.8114929226059784E-2</v>
      </c>
      <c r="AW480" s="289">
        <f t="shared" si="58"/>
        <v>2.2061621839470063E-2</v>
      </c>
      <c r="AX480" s="289">
        <f t="shared" si="58"/>
        <v>2.4301504276818521E-2</v>
      </c>
      <c r="AY480" s="289">
        <f t="shared" si="58"/>
        <v>3.0007335343484084E-2</v>
      </c>
      <c r="AZ480" s="289">
        <f t="shared" si="58"/>
        <v>3.5078049101159227E-2</v>
      </c>
      <c r="BA480" s="289">
        <f t="shared" si="58"/>
        <v>4.1032869291340993E-2</v>
      </c>
      <c r="BB480" s="289">
        <f t="shared" si="58"/>
        <v>3.6761990608326738E-2</v>
      </c>
      <c r="BC480" s="289">
        <f t="shared" si="54"/>
        <v>3.6761990608326738E-2</v>
      </c>
    </row>
    <row r="481" spans="2:55">
      <c r="B481" s="72" t="s">
        <v>847</v>
      </c>
      <c r="C481" s="72" t="s">
        <v>848</v>
      </c>
      <c r="D481" s="289">
        <f t="shared" si="52"/>
        <v>0.24086599548755755</v>
      </c>
      <c r="E481" s="289">
        <f t="shared" si="58"/>
        <v>0.23661576764231629</v>
      </c>
      <c r="F481" s="289">
        <f t="shared" si="58"/>
        <v>0.23272512718172525</v>
      </c>
      <c r="G481" s="289">
        <f t="shared" si="58"/>
        <v>0.22922977980045597</v>
      </c>
      <c r="H481" s="289">
        <f t="shared" si="58"/>
        <v>0.23913944406267507</v>
      </c>
      <c r="I481" s="289">
        <f t="shared" si="58"/>
        <v>0.2710358493277647</v>
      </c>
      <c r="J481" s="289">
        <f t="shared" si="58"/>
        <v>0.2959835453967824</v>
      </c>
      <c r="K481" s="289">
        <f t="shared" si="58"/>
        <v>0.34222603595531215</v>
      </c>
      <c r="L481" s="289">
        <f t="shared" si="58"/>
        <v>0.33127317053425021</v>
      </c>
      <c r="M481" s="289">
        <f t="shared" si="58"/>
        <v>0.31401640458356078</v>
      </c>
      <c r="N481" s="289">
        <f t="shared" si="58"/>
        <v>0.30435274070312424</v>
      </c>
      <c r="O481" s="289">
        <f t="shared" si="58"/>
        <v>0.29901050657305284</v>
      </c>
      <c r="P481" s="289">
        <f t="shared" si="58"/>
        <v>0.28395741557187998</v>
      </c>
      <c r="Q481" s="289">
        <f t="shared" si="58"/>
        <v>0.32022562624697803</v>
      </c>
      <c r="R481" s="289">
        <f t="shared" si="58"/>
        <v>0.33993260955232674</v>
      </c>
      <c r="S481" s="289">
        <f t="shared" si="58"/>
        <v>0.38570177048788895</v>
      </c>
      <c r="T481" s="289">
        <f t="shared" si="58"/>
        <v>0.43309844425131172</v>
      </c>
      <c r="U481" s="289">
        <f t="shared" si="58"/>
        <v>0.39151850014379541</v>
      </c>
      <c r="V481" s="289">
        <f t="shared" si="58"/>
        <v>0.32022339955518742</v>
      </c>
      <c r="W481" s="289">
        <f t="shared" si="58"/>
        <v>0.25305314441795951</v>
      </c>
      <c r="X481" s="289">
        <f t="shared" si="58"/>
        <v>0.29707136062325057</v>
      </c>
      <c r="Y481" s="289">
        <f t="shared" si="58"/>
        <v>0.31957603685163405</v>
      </c>
      <c r="Z481" s="289">
        <f t="shared" si="58"/>
        <v>0.32387603020229949</v>
      </c>
      <c r="AA481" s="289">
        <f t="shared" si="58"/>
        <v>0.33429162765487297</v>
      </c>
      <c r="AB481" s="289">
        <f t="shared" si="58"/>
        <v>0.31687662291810847</v>
      </c>
      <c r="AC481" s="289">
        <f t="shared" si="58"/>
        <v>0.2603557456979364</v>
      </c>
      <c r="AD481" s="289">
        <f t="shared" si="58"/>
        <v>0.23003611809904256</v>
      </c>
      <c r="AE481" s="289">
        <f t="shared" si="58"/>
        <v>0.22103153045850499</v>
      </c>
      <c r="AF481" s="289">
        <f t="shared" si="58"/>
        <v>9.1455549739278386E-2</v>
      </c>
      <c r="AG481" s="289">
        <f t="shared" si="58"/>
        <v>5.5450692208833058E-2</v>
      </c>
      <c r="AH481" s="289">
        <f t="shared" si="58"/>
        <v>5.7707420394890949E-2</v>
      </c>
      <c r="AI481" s="289">
        <f t="shared" si="58"/>
        <v>5.0949635196254235E-2</v>
      </c>
      <c r="AJ481" s="289">
        <f t="shared" si="58"/>
        <v>6.0319101653170171E-2</v>
      </c>
      <c r="AK481" s="289">
        <f t="shared" si="58"/>
        <v>7.674041970193371E-2</v>
      </c>
      <c r="AL481" s="289">
        <f t="shared" si="58"/>
        <v>7.978127742191897E-2</v>
      </c>
      <c r="AM481" s="289">
        <f t="shared" si="58"/>
        <v>9.2822194007468592E-2</v>
      </c>
      <c r="AN481" s="289">
        <f t="shared" si="58"/>
        <v>8.8458695957605318E-2</v>
      </c>
      <c r="AO481" s="289">
        <f t="shared" si="58"/>
        <v>8.3250886352215239E-2</v>
      </c>
      <c r="AP481" s="289">
        <f t="shared" si="58"/>
        <v>7.5048173477937741E-2</v>
      </c>
      <c r="AQ481" s="289">
        <f t="shared" si="58"/>
        <v>7.626609425987857E-2</v>
      </c>
      <c r="AR481" s="289">
        <f t="shared" si="58"/>
        <v>6.4929914525278951E-2</v>
      </c>
      <c r="AS481" s="289">
        <f t="shared" si="58"/>
        <v>8.3196497858883889E-2</v>
      </c>
      <c r="AT481" s="289">
        <f t="shared" si="58"/>
        <v>8.3813153447921687E-2</v>
      </c>
      <c r="AU481" s="289">
        <f t="shared" si="58"/>
        <v>8.2009431527399687E-2</v>
      </c>
      <c r="AV481" s="289">
        <f t="shared" si="58"/>
        <v>9.4241313671854607E-2</v>
      </c>
      <c r="AW481" s="289">
        <f t="shared" si="58"/>
        <v>0.12849385241490446</v>
      </c>
      <c r="AX481" s="289">
        <f t="shared" si="58"/>
        <v>0.12424988496811279</v>
      </c>
      <c r="AY481" s="289">
        <f t="shared" si="58"/>
        <v>0.1589747169662932</v>
      </c>
      <c r="AZ481" s="289">
        <f t="shared" si="58"/>
        <v>0.21188697379763902</v>
      </c>
      <c r="BA481" s="289">
        <f t="shared" si="58"/>
        <v>0.22871962025650711</v>
      </c>
      <c r="BB481" s="289">
        <f t="shared" si="58"/>
        <v>0</v>
      </c>
      <c r="BC481" s="289">
        <f t="shared" si="54"/>
        <v>0</v>
      </c>
    </row>
    <row r="482" spans="2:55">
      <c r="B482" s="72" t="s">
        <v>849</v>
      </c>
      <c r="C482" s="72" t="s">
        <v>850</v>
      </c>
      <c r="D482" s="289">
        <f t="shared" si="52"/>
        <v>8.2865725220936465E-2</v>
      </c>
      <c r="E482" s="289">
        <f t="shared" si="58"/>
        <v>8.298358429370091E-2</v>
      </c>
      <c r="F482" s="289">
        <f t="shared" si="58"/>
        <v>9.0899796804496738E-2</v>
      </c>
      <c r="G482" s="289">
        <f t="shared" si="58"/>
        <v>9.8238753443254986E-2</v>
      </c>
      <c r="H482" s="289">
        <f t="shared" si="58"/>
        <v>9.697120029399936E-2</v>
      </c>
      <c r="I482" s="289">
        <f t="shared" si="58"/>
        <v>9.7764359159273451E-2</v>
      </c>
      <c r="J482" s="289">
        <f t="shared" si="58"/>
        <v>8.9806702165350874E-2</v>
      </c>
      <c r="K482" s="289">
        <f t="shared" si="58"/>
        <v>9.967919192798369E-2</v>
      </c>
      <c r="L482" s="289">
        <f t="shared" si="58"/>
        <v>0.11962866578439448</v>
      </c>
      <c r="M482" s="289">
        <f t="shared" si="58"/>
        <v>0.11221349156955697</v>
      </c>
      <c r="N482" s="289">
        <f t="shared" si="58"/>
        <v>0.11781712486137572</v>
      </c>
      <c r="O482" s="289">
        <f t="shared" si="58"/>
        <v>0.10744784373295943</v>
      </c>
      <c r="P482" s="289">
        <f t="shared" si="58"/>
        <v>0.14001233776349031</v>
      </c>
      <c r="Q482" s="289">
        <f t="shared" si="58"/>
        <v>0.14987782219349796</v>
      </c>
      <c r="R482" s="289">
        <f t="shared" si="58"/>
        <v>0.13261125287455519</v>
      </c>
      <c r="S482" s="289">
        <f t="shared" si="58"/>
        <v>0.12648642791427966</v>
      </c>
      <c r="T482" s="289">
        <f t="shared" si="58"/>
        <v>0.12106647453414526</v>
      </c>
      <c r="U482" s="289">
        <f t="shared" si="58"/>
        <v>0.10373746088328334</v>
      </c>
      <c r="V482" s="289">
        <f t="shared" si="58"/>
        <v>9.3710802584005784E-2</v>
      </c>
      <c r="W482" s="289">
        <f t="shared" si="58"/>
        <v>9.3445866172070888E-2</v>
      </c>
      <c r="X482" s="289">
        <f t="shared" si="58"/>
        <v>0.10132391592953204</v>
      </c>
      <c r="Y482" s="289">
        <f t="shared" si="58"/>
        <v>9.6806680018373656E-2</v>
      </c>
      <c r="Z482" s="289">
        <f t="shared" si="58"/>
        <v>0.10218030959245918</v>
      </c>
      <c r="AA482" s="289">
        <f t="shared" si="58"/>
        <v>9.5870562371024426E-2</v>
      </c>
      <c r="AB482" s="289">
        <f t="shared" si="58"/>
        <v>6.3420033546408058E-2</v>
      </c>
      <c r="AC482" s="289">
        <f t="shared" si="58"/>
        <v>6.1165879985732932E-2</v>
      </c>
      <c r="AD482" s="289">
        <f t="shared" si="58"/>
        <v>6.1734782365974607E-2</v>
      </c>
      <c r="AE482" s="289">
        <f t="shared" si="58"/>
        <v>5.8067285642341079E-2</v>
      </c>
      <c r="AF482" s="289">
        <f t="shared" si="58"/>
        <v>5.563048124104452E-2</v>
      </c>
      <c r="AG482" s="289">
        <f t="shared" si="58"/>
        <v>7.3048807715718714E-2</v>
      </c>
      <c r="AH482" s="289">
        <f t="shared" si="58"/>
        <v>7.0980652141107062E-2</v>
      </c>
      <c r="AI482" s="289">
        <f t="shared" si="58"/>
        <v>7.4670060111320491E-2</v>
      </c>
      <c r="AJ482" s="289">
        <f t="shared" si="58"/>
        <v>8.6292429183558048E-2</v>
      </c>
      <c r="AK482" s="289">
        <f t="shared" si="58"/>
        <v>8.2045957362802596E-2</v>
      </c>
      <c r="AL482" s="289">
        <f t="shared" si="58"/>
        <v>8.8406677492348137E-2</v>
      </c>
      <c r="AM482" s="289">
        <f t="shared" si="58"/>
        <v>7.8173392584510323E-2</v>
      </c>
      <c r="AN482" s="289">
        <f t="shared" si="58"/>
        <v>7.2742857303755099E-2</v>
      </c>
      <c r="AO482" s="289">
        <f t="shared" si="58"/>
        <v>6.2580393940781215E-2</v>
      </c>
      <c r="AP482" s="289">
        <f t="shared" si="58"/>
        <v>5.9843284093737459E-2</v>
      </c>
      <c r="AQ482" s="289">
        <f t="shared" si="58"/>
        <v>6.0188639194394877E-2</v>
      </c>
      <c r="AR482" s="289">
        <f t="shared" si="58"/>
        <v>5.3679721219371916E-2</v>
      </c>
      <c r="AS482" s="289">
        <f t="shared" si="58"/>
        <v>4.4744271793360449E-2</v>
      </c>
      <c r="AT482" s="289">
        <f t="shared" si="58"/>
        <v>5.8645533708105282E-2</v>
      </c>
      <c r="AU482" s="289">
        <f t="shared" si="58"/>
        <v>6.4920586509627884E-2</v>
      </c>
      <c r="AV482" s="289">
        <f t="shared" si="58"/>
        <v>6.6624276180018913E-2</v>
      </c>
      <c r="AW482" s="289">
        <f t="shared" si="58"/>
        <v>7.1481583626435377E-2</v>
      </c>
      <c r="AX482" s="289">
        <f t="shared" si="58"/>
        <v>6.4615350572400712E-2</v>
      </c>
      <c r="AY482" s="289">
        <f t="shared" si="58"/>
        <v>6.7834692612193534E-2</v>
      </c>
      <c r="AZ482" s="289">
        <f t="shared" si="58"/>
        <v>8.0006597035952559E-2</v>
      </c>
      <c r="BA482" s="289">
        <f t="shared" si="58"/>
        <v>9.6622884684348528E-2</v>
      </c>
      <c r="BB482" s="289">
        <f t="shared" si="58"/>
        <v>9.5425922616780248E-2</v>
      </c>
      <c r="BC482" s="289">
        <f t="shared" si="54"/>
        <v>9.5425922616780248E-2</v>
      </c>
    </row>
    <row r="483" spans="2:55">
      <c r="B483" s="72" t="s">
        <v>851</v>
      </c>
      <c r="C483" s="72" t="s">
        <v>386</v>
      </c>
      <c r="D483" s="289">
        <f t="shared" si="52"/>
        <v>1.4782535074340706</v>
      </c>
      <c r="E483" s="289">
        <f t="shared" si="58"/>
        <v>1.5299734490538173</v>
      </c>
      <c r="F483" s="289">
        <f t="shared" si="58"/>
        <v>1.5650651068121122</v>
      </c>
      <c r="G483" s="289">
        <f t="shared" si="58"/>
        <v>1.595318319232345</v>
      </c>
      <c r="H483" s="289">
        <f t="shared" si="58"/>
        <v>1.6248900455408506</v>
      </c>
      <c r="I483" s="289">
        <f t="shared" si="58"/>
        <v>1.653686984818528</v>
      </c>
      <c r="J483" s="289">
        <f t="shared" si="58"/>
        <v>1.7248976043731836</v>
      </c>
      <c r="K483" s="289">
        <f t="shared" si="58"/>
        <v>1.9422798100553318</v>
      </c>
      <c r="L483" s="289">
        <f t="shared" si="58"/>
        <v>1.9543920058217994</v>
      </c>
      <c r="M483" s="289">
        <f t="shared" si="58"/>
        <v>1.9634388383044452</v>
      </c>
      <c r="N483" s="289">
        <f t="shared" si="58"/>
        <v>1.8888329944756326</v>
      </c>
      <c r="O483" s="289">
        <f t="shared" si="58"/>
        <v>1.9370040838875675</v>
      </c>
      <c r="P483" s="289">
        <f t="shared" si="58"/>
        <v>2.0833013225195156</v>
      </c>
      <c r="Q483" s="289">
        <f t="shared" si="58"/>
        <v>2.1382535843670265</v>
      </c>
      <c r="R483" s="289">
        <f t="shared" si="58"/>
        <v>2.236262748949374</v>
      </c>
      <c r="S483" s="289">
        <f t="shared" si="58"/>
        <v>2.4996739084721087</v>
      </c>
      <c r="T483" s="289">
        <f t="shared" si="58"/>
        <v>2.3306864209314511</v>
      </c>
      <c r="U483" s="289">
        <f t="shared" si="58"/>
        <v>2.0274758485497033</v>
      </c>
      <c r="V483" s="289">
        <f t="shared" si="58"/>
        <v>1.8409057469254968</v>
      </c>
      <c r="W483" s="289">
        <f t="shared" si="58"/>
        <v>1.6513835380657107</v>
      </c>
      <c r="X483" s="289">
        <f t="shared" si="58"/>
        <v>1.5844981312553224</v>
      </c>
      <c r="Y483" s="289">
        <f t="shared" si="58"/>
        <v>1.4641794685795828</v>
      </c>
      <c r="Z483" s="289">
        <f t="shared" si="58"/>
        <v>1.4188847077394411</v>
      </c>
      <c r="AA483" s="289">
        <f t="shared" si="58"/>
        <v>1.5662667975138633</v>
      </c>
      <c r="AB483" s="289">
        <f t="shared" si="58"/>
        <v>1.5508652003018055</v>
      </c>
      <c r="AC483" s="289">
        <f t="shared" si="58"/>
        <v>1.6705586019827643</v>
      </c>
      <c r="AD483" s="289">
        <f t="shared" si="58"/>
        <v>1.6560129446120389</v>
      </c>
      <c r="AE483" s="289">
        <f t="shared" si="58"/>
        <v>1.5362774856857322</v>
      </c>
      <c r="AF483" s="289">
        <f t="shared" si="58"/>
        <v>1.5978953320297897</v>
      </c>
      <c r="AG483" s="289">
        <f t="shared" si="58"/>
        <v>1.6145118937729968</v>
      </c>
      <c r="AH483" s="289">
        <f t="shared" si="58"/>
        <v>1.6268550595154325</v>
      </c>
      <c r="AI483" s="289">
        <f t="shared" si="58"/>
        <v>1.6247587570089277</v>
      </c>
      <c r="AJ483" s="289">
        <f t="shared" si="58"/>
        <v>1.3632999459576447</v>
      </c>
      <c r="AK483" s="289">
        <f t="shared" si="58"/>
        <v>1.3517492007149052</v>
      </c>
      <c r="AL483" s="289">
        <f t="shared" si="58"/>
        <v>1.4410153127778698</v>
      </c>
      <c r="AM483" s="289">
        <f t="shared" si="58"/>
        <v>1.4914364119716719</v>
      </c>
      <c r="AN483" s="289">
        <f t="shared" si="58"/>
        <v>1.2199809925148049</v>
      </c>
      <c r="AO483" s="289">
        <f t="shared" si="58"/>
        <v>1.1513542341799969</v>
      </c>
      <c r="AP483" s="289">
        <f t="shared" si="58"/>
        <v>1.1402227080628926</v>
      </c>
      <c r="AQ483" s="289">
        <f t="shared" si="58"/>
        <v>1.1122119658076166</v>
      </c>
      <c r="AR483" s="289">
        <f t="shared" si="58"/>
        <v>1.0290402483352299</v>
      </c>
      <c r="AS483" s="289">
        <f t="shared" si="58"/>
        <v>1.041560689398749</v>
      </c>
      <c r="AT483" s="289">
        <f t="shared" si="58"/>
        <v>1.1276994683878647</v>
      </c>
      <c r="AU483" s="289">
        <f t="shared" si="58"/>
        <v>1.0971784488769867</v>
      </c>
      <c r="AV483" s="289">
        <f t="shared" si="58"/>
        <v>1.0765735141831378</v>
      </c>
      <c r="AW483" s="289">
        <f t="shared" si="58"/>
        <v>1.0856614645047327</v>
      </c>
      <c r="AX483" s="289">
        <f t="shared" si="58"/>
        <v>1.0912611109942589</v>
      </c>
      <c r="AY483" s="289">
        <f t="shared" si="58"/>
        <v>1.2221239909984263</v>
      </c>
      <c r="AZ483" s="289">
        <f t="shared" si="58"/>
        <v>1.2351533012750282</v>
      </c>
      <c r="BA483" s="289">
        <f t="shared" si="58"/>
        <v>1.3614257502258891</v>
      </c>
      <c r="BB483" s="289">
        <f t="shared" si="58"/>
        <v>1.4624308743661749</v>
      </c>
      <c r="BC483" s="289">
        <f t="shared" si="54"/>
        <v>1.4624308743661749</v>
      </c>
    </row>
    <row r="484" spans="2:55">
      <c r="B484" s="72" t="s">
        <v>852</v>
      </c>
      <c r="C484" s="72" t="s">
        <v>853</v>
      </c>
      <c r="D484" s="289">
        <f t="shared" si="52"/>
        <v>1.357146744302989</v>
      </c>
      <c r="E484" s="289">
        <f t="shared" ref="E484:BB489" si="59">E234/E$251</f>
        <v>1.4081125834105541</v>
      </c>
      <c r="F484" s="289">
        <f t="shared" si="59"/>
        <v>1.4405136214714231</v>
      </c>
      <c r="G484" s="289">
        <f t="shared" si="59"/>
        <v>1.4463358515852627</v>
      </c>
      <c r="H484" s="289">
        <f t="shared" si="59"/>
        <v>1.4157426166598195</v>
      </c>
      <c r="I484" s="289">
        <f t="shared" si="59"/>
        <v>1.4210522557513767</v>
      </c>
      <c r="J484" s="289">
        <f t="shared" si="59"/>
        <v>1.4630768225226696</v>
      </c>
      <c r="K484" s="289">
        <f t="shared" si="59"/>
        <v>1.6462301443362364</v>
      </c>
      <c r="L484" s="289">
        <f t="shared" si="59"/>
        <v>1.6457738696555542</v>
      </c>
      <c r="M484" s="289">
        <f t="shared" si="59"/>
        <v>0</v>
      </c>
      <c r="N484" s="289">
        <f t="shared" si="59"/>
        <v>0</v>
      </c>
      <c r="O484" s="289">
        <f t="shared" si="59"/>
        <v>0</v>
      </c>
      <c r="P484" s="289">
        <f t="shared" si="59"/>
        <v>0</v>
      </c>
      <c r="Q484" s="289">
        <f t="shared" si="59"/>
        <v>0</v>
      </c>
      <c r="R484" s="289">
        <f t="shared" si="59"/>
        <v>0</v>
      </c>
      <c r="S484" s="289">
        <f t="shared" si="59"/>
        <v>0</v>
      </c>
      <c r="T484" s="289">
        <f t="shared" si="59"/>
        <v>0</v>
      </c>
      <c r="U484" s="289">
        <f t="shared" si="59"/>
        <v>0</v>
      </c>
      <c r="V484" s="289">
        <f t="shared" si="59"/>
        <v>0</v>
      </c>
      <c r="W484" s="289">
        <f t="shared" si="59"/>
        <v>1.8505025780782332</v>
      </c>
      <c r="X484" s="289">
        <f t="shared" si="59"/>
        <v>1.7741279681164071</v>
      </c>
      <c r="Y484" s="289">
        <f t="shared" si="59"/>
        <v>1.8957275588150515</v>
      </c>
      <c r="Z484" s="289">
        <f t="shared" si="59"/>
        <v>1.9836918565326696</v>
      </c>
      <c r="AA484" s="289">
        <f t="shared" si="59"/>
        <v>2.0059101928049379</v>
      </c>
      <c r="AB484" s="289">
        <f t="shared" si="59"/>
        <v>1.9183019748607466</v>
      </c>
      <c r="AC484" s="289">
        <f t="shared" si="59"/>
        <v>2.2316419942878438</v>
      </c>
      <c r="AD484" s="289">
        <f t="shared" si="59"/>
        <v>2.266275539499929</v>
      </c>
      <c r="AE484" s="289">
        <f t="shared" si="59"/>
        <v>2.0076278791150886</v>
      </c>
      <c r="AF484" s="289">
        <f t="shared" si="59"/>
        <v>1.9092160242424863</v>
      </c>
      <c r="AG484" s="289">
        <f t="shared" si="59"/>
        <v>2.0543744703106528</v>
      </c>
      <c r="AH484" s="289">
        <f t="shared" si="59"/>
        <v>1.9747881341443196</v>
      </c>
      <c r="AI484" s="289">
        <f t="shared" si="59"/>
        <v>1.9716312015402344</v>
      </c>
      <c r="AJ484" s="289">
        <f t="shared" si="59"/>
        <v>2.1195079302966073</v>
      </c>
      <c r="AK484" s="289">
        <f t="shared" si="59"/>
        <v>2.158759856136387</v>
      </c>
      <c r="AL484" s="289">
        <f t="shared" si="59"/>
        <v>2.3071964448050499</v>
      </c>
      <c r="AM484" s="289">
        <f t="shared" si="59"/>
        <v>2.104481272031427</v>
      </c>
      <c r="AN484" s="289">
        <f t="shared" si="59"/>
        <v>1.6371874565624382</v>
      </c>
      <c r="AO484" s="289">
        <f t="shared" si="59"/>
        <v>1.569339502851788</v>
      </c>
      <c r="AP484" s="289">
        <f t="shared" si="59"/>
        <v>1.4942566962884209</v>
      </c>
      <c r="AQ484" s="289">
        <f t="shared" si="59"/>
        <v>1.4223014020937854</v>
      </c>
      <c r="AR484" s="289">
        <f t="shared" si="59"/>
        <v>1.4627000521456293</v>
      </c>
      <c r="AS484" s="289">
        <f t="shared" si="59"/>
        <v>1.4575872697169616</v>
      </c>
      <c r="AT484" s="289">
        <f t="shared" si="59"/>
        <v>1.463378733951028</v>
      </c>
      <c r="AU484" s="289">
        <f t="shared" si="59"/>
        <v>1.3800691489415204</v>
      </c>
      <c r="AV484" s="289">
        <f t="shared" si="59"/>
        <v>1.3570876912654755</v>
      </c>
      <c r="AW484" s="289">
        <f t="shared" si="59"/>
        <v>1.3374311369215788</v>
      </c>
      <c r="AX484" s="289">
        <f t="shared" si="59"/>
        <v>1.2877930862711198</v>
      </c>
      <c r="AY484" s="289">
        <f t="shared" si="59"/>
        <v>1.5888855048057084</v>
      </c>
      <c r="AZ484" s="289">
        <f t="shared" si="59"/>
        <v>1.8620911995893075</v>
      </c>
      <c r="BA484" s="289">
        <f t="shared" si="59"/>
        <v>1.9461997404157676</v>
      </c>
      <c r="BB484" s="289">
        <f t="shared" si="59"/>
        <v>2.1359146602645769</v>
      </c>
      <c r="BC484" s="289">
        <f t="shared" si="54"/>
        <v>2.1359146602645769</v>
      </c>
    </row>
    <row r="485" spans="2:55">
      <c r="B485" s="72" t="s">
        <v>854</v>
      </c>
      <c r="C485" s="72" t="s">
        <v>855</v>
      </c>
      <c r="D485" s="289">
        <f t="shared" si="52"/>
        <v>0.13796232477841144</v>
      </c>
      <c r="E485" s="289">
        <f t="shared" si="59"/>
        <v>0.15057957123839652</v>
      </c>
      <c r="F485" s="289">
        <f t="shared" si="59"/>
        <v>0.14972801003345385</v>
      </c>
      <c r="G485" s="289">
        <f t="shared" si="59"/>
        <v>0.14887592739126593</v>
      </c>
      <c r="H485" s="289">
        <f t="shared" si="59"/>
        <v>0.14786957071243281</v>
      </c>
      <c r="I485" s="289">
        <f t="shared" si="59"/>
        <v>0.12316579060595585</v>
      </c>
      <c r="J485" s="289">
        <f t="shared" si="59"/>
        <v>0.13576422795513007</v>
      </c>
      <c r="K485" s="289">
        <f t="shared" si="59"/>
        <v>0.15543382582899276</v>
      </c>
      <c r="L485" s="289">
        <f t="shared" si="59"/>
        <v>0.17946797011405935</v>
      </c>
      <c r="M485" s="289">
        <f t="shared" si="59"/>
        <v>0.14991923441188479</v>
      </c>
      <c r="N485" s="289">
        <f t="shared" si="59"/>
        <v>0.15562887805966677</v>
      </c>
      <c r="O485" s="289">
        <f t="shared" si="59"/>
        <v>0.155177131512786</v>
      </c>
      <c r="P485" s="289">
        <f t="shared" si="59"/>
        <v>0.14098086481996108</v>
      </c>
      <c r="Q485" s="289">
        <f t="shared" si="59"/>
        <v>0.20107227390134128</v>
      </c>
      <c r="R485" s="289">
        <f t="shared" si="59"/>
        <v>0.21515226878312391</v>
      </c>
      <c r="S485" s="289">
        <f t="shared" si="59"/>
        <v>0.24217492356713902</v>
      </c>
      <c r="T485" s="289">
        <f t="shared" si="59"/>
        <v>0.20914421869660674</v>
      </c>
      <c r="U485" s="289">
        <f t="shared" si="59"/>
        <v>0.19249250107124505</v>
      </c>
      <c r="V485" s="289">
        <f t="shared" si="59"/>
        <v>0.15354378535470667</v>
      </c>
      <c r="W485" s="289">
        <f t="shared" si="59"/>
        <v>0.15240708244270618</v>
      </c>
      <c r="X485" s="289">
        <f t="shared" si="59"/>
        <v>0.18410332285320366</v>
      </c>
      <c r="Y485" s="289">
        <f t="shared" si="59"/>
        <v>0.19580772201445212</v>
      </c>
      <c r="Z485" s="289">
        <f t="shared" si="59"/>
        <v>0.21521599895307608</v>
      </c>
      <c r="AA485" s="289">
        <f t="shared" si="59"/>
        <v>0.21996327290201012</v>
      </c>
      <c r="AB485" s="289">
        <f t="shared" si="59"/>
        <v>0.18891107416671057</v>
      </c>
      <c r="AC485" s="289">
        <f t="shared" si="59"/>
        <v>0.12094099774922164</v>
      </c>
      <c r="AD485" s="289">
        <f t="shared" si="59"/>
        <v>8.1722665995484972E-2</v>
      </c>
      <c r="AE485" s="289">
        <f t="shared" si="59"/>
        <v>6.0910252343917066E-2</v>
      </c>
      <c r="AF485" s="289">
        <f t="shared" si="59"/>
        <v>5.4686909916166725E-2</v>
      </c>
      <c r="AG485" s="289">
        <f t="shared" si="59"/>
        <v>5.6465494589783435E-2</v>
      </c>
      <c r="AH485" s="289">
        <f t="shared" si="59"/>
        <v>5.5637586810600867E-2</v>
      </c>
      <c r="AI485" s="289">
        <f t="shared" si="59"/>
        <v>5.3508977325422882E-2</v>
      </c>
      <c r="AJ485" s="289">
        <f t="shared" si="59"/>
        <v>5.9956418886355521E-2</v>
      </c>
      <c r="AK485" s="289">
        <f t="shared" si="59"/>
        <v>3.9991673394675721E-2</v>
      </c>
      <c r="AL485" s="289">
        <f t="shared" si="59"/>
        <v>4.032436228622454E-2</v>
      </c>
      <c r="AM485" s="289">
        <f t="shared" si="59"/>
        <v>4.5299998990685819E-2</v>
      </c>
      <c r="AN485" s="289">
        <f t="shared" si="59"/>
        <v>4.1618509437801911E-2</v>
      </c>
      <c r="AO485" s="289">
        <f t="shared" si="59"/>
        <v>4.0007962688612675E-2</v>
      </c>
      <c r="AP485" s="289">
        <f t="shared" si="59"/>
        <v>3.9778421570132262E-2</v>
      </c>
      <c r="AQ485" s="289">
        <f t="shared" si="59"/>
        <v>4.8238218697949996E-2</v>
      </c>
      <c r="AR485" s="289">
        <f t="shared" si="59"/>
        <v>5.1629174370930245E-2</v>
      </c>
      <c r="AS485" s="289">
        <f t="shared" si="59"/>
        <v>4.7128224349327133E-2</v>
      </c>
      <c r="AT485" s="289">
        <f t="shared" si="59"/>
        <v>4.0061271311800109E-2</v>
      </c>
      <c r="AU485" s="289">
        <f t="shared" si="59"/>
        <v>3.797088290152828E-2</v>
      </c>
      <c r="AV485" s="289">
        <f t="shared" si="59"/>
        <v>4.0955405910046892E-2</v>
      </c>
      <c r="AW485" s="289">
        <f t="shared" si="59"/>
        <v>4.3657438336467222E-2</v>
      </c>
      <c r="AX485" s="289">
        <f t="shared" si="59"/>
        <v>4.5315082150927E-2</v>
      </c>
      <c r="AY485" s="289">
        <f t="shared" si="59"/>
        <v>6.2057632117023531E-2</v>
      </c>
      <c r="AZ485" s="289">
        <f t="shared" si="59"/>
        <v>7.6181715913405279E-2</v>
      </c>
      <c r="BA485" s="289">
        <f t="shared" si="59"/>
        <v>7.9786911794360205E-2</v>
      </c>
      <c r="BB485" s="289">
        <f t="shared" si="59"/>
        <v>0</v>
      </c>
      <c r="BC485" s="289">
        <f t="shared" si="54"/>
        <v>0</v>
      </c>
    </row>
    <row r="486" spans="2:55">
      <c r="B486" s="72" t="s">
        <v>856</v>
      </c>
      <c r="C486" s="72" t="s">
        <v>857</v>
      </c>
      <c r="D486" s="289">
        <f t="shared" si="52"/>
        <v>0</v>
      </c>
      <c r="E486" s="289">
        <f t="shared" si="59"/>
        <v>0</v>
      </c>
      <c r="F486" s="289">
        <f t="shared" si="59"/>
        <v>0</v>
      </c>
      <c r="G486" s="289">
        <f t="shared" si="59"/>
        <v>0</v>
      </c>
      <c r="H486" s="289">
        <f t="shared" si="59"/>
        <v>0</v>
      </c>
      <c r="I486" s="289">
        <f t="shared" si="59"/>
        <v>0</v>
      </c>
      <c r="J486" s="289">
        <f t="shared" si="59"/>
        <v>0</v>
      </c>
      <c r="K486" s="289">
        <f t="shared" si="59"/>
        <v>0</v>
      </c>
      <c r="L486" s="289">
        <f t="shared" si="59"/>
        <v>0</v>
      </c>
      <c r="M486" s="289">
        <f t="shared" si="59"/>
        <v>0</v>
      </c>
      <c r="N486" s="289">
        <f t="shared" si="59"/>
        <v>0</v>
      </c>
      <c r="O486" s="289">
        <f t="shared" si="59"/>
        <v>0</v>
      </c>
      <c r="P486" s="289">
        <f t="shared" si="59"/>
        <v>0</v>
      </c>
      <c r="Q486" s="289">
        <f t="shared" si="59"/>
        <v>0</v>
      </c>
      <c r="R486" s="289">
        <f t="shared" si="59"/>
        <v>0</v>
      </c>
      <c r="S486" s="289">
        <f t="shared" si="59"/>
        <v>0</v>
      </c>
      <c r="T486" s="289">
        <f t="shared" si="59"/>
        <v>0</v>
      </c>
      <c r="U486" s="289">
        <f t="shared" si="59"/>
        <v>0</v>
      </c>
      <c r="V486" s="289">
        <f t="shared" si="59"/>
        <v>0</v>
      </c>
      <c r="W486" s="289">
        <f t="shared" si="59"/>
        <v>0</v>
      </c>
      <c r="X486" s="289">
        <f t="shared" si="59"/>
        <v>0</v>
      </c>
      <c r="Y486" s="289">
        <f t="shared" si="59"/>
        <v>0</v>
      </c>
      <c r="Z486" s="289">
        <f t="shared" si="59"/>
        <v>0</v>
      </c>
      <c r="AA486" s="289">
        <f t="shared" si="59"/>
        <v>0</v>
      </c>
      <c r="AB486" s="289">
        <f t="shared" si="59"/>
        <v>0</v>
      </c>
      <c r="AC486" s="289">
        <f t="shared" si="59"/>
        <v>0</v>
      </c>
      <c r="AD486" s="289">
        <f t="shared" si="59"/>
        <v>0</v>
      </c>
      <c r="AE486" s="289">
        <f t="shared" si="59"/>
        <v>0</v>
      </c>
      <c r="AF486" s="289">
        <f t="shared" si="59"/>
        <v>0</v>
      </c>
      <c r="AG486" s="289">
        <f t="shared" si="59"/>
        <v>2.8031811709496077E-2</v>
      </c>
      <c r="AH486" s="289">
        <f t="shared" si="59"/>
        <v>2.5448934860210409E-2</v>
      </c>
      <c r="AI486" s="289">
        <f t="shared" si="59"/>
        <v>1.8245294895615022E-2</v>
      </c>
      <c r="AJ486" s="289">
        <f t="shared" si="59"/>
        <v>1.7274858800981337E-2</v>
      </c>
      <c r="AK486" s="289">
        <f t="shared" si="59"/>
        <v>1.2903027145335861E-2</v>
      </c>
      <c r="AL486" s="289">
        <f t="shared" si="59"/>
        <v>1.069184902628045E-2</v>
      </c>
      <c r="AM486" s="289">
        <f t="shared" si="59"/>
        <v>8.495978557286836E-3</v>
      </c>
      <c r="AN486" s="289">
        <f t="shared" si="59"/>
        <v>6.6095086315165379E-3</v>
      </c>
      <c r="AO486" s="289">
        <f t="shared" si="59"/>
        <v>8.7618784047351454E-3</v>
      </c>
      <c r="AP486" s="289">
        <f t="shared" si="59"/>
        <v>6.9463275018391661E-3</v>
      </c>
      <c r="AQ486" s="289">
        <f t="shared" si="59"/>
        <v>5.5635737870674299E-3</v>
      </c>
      <c r="AR486" s="289">
        <f t="shared" si="59"/>
        <v>6.9819803251675357E-3</v>
      </c>
      <c r="AS486" s="289">
        <f t="shared" si="59"/>
        <v>7.1958135255619947E-3</v>
      </c>
      <c r="AT486" s="289">
        <f t="shared" si="59"/>
        <v>7.8726619246589045E-3</v>
      </c>
      <c r="AU486" s="289">
        <f t="shared" si="59"/>
        <v>8.8526415694203872E-3</v>
      </c>
      <c r="AV486" s="289">
        <f t="shared" si="59"/>
        <v>9.3993828861023247E-3</v>
      </c>
      <c r="AW486" s="289">
        <f t="shared" si="59"/>
        <v>1.071558008974937E-2</v>
      </c>
      <c r="AX486" s="289">
        <f t="shared" si="59"/>
        <v>1.2155828749101103E-2</v>
      </c>
      <c r="AY486" s="289">
        <f t="shared" si="59"/>
        <v>1.7877024209825867E-2</v>
      </c>
      <c r="AZ486" s="289">
        <f t="shared" si="59"/>
        <v>2.077122868491172E-2</v>
      </c>
      <c r="BA486" s="289">
        <f t="shared" si="59"/>
        <v>2.2621990103013408E-2</v>
      </c>
      <c r="BB486" s="289">
        <f t="shared" si="59"/>
        <v>2.3946131600106366E-2</v>
      </c>
      <c r="BC486" s="289">
        <f t="shared" si="54"/>
        <v>2.3946131600106366E-2</v>
      </c>
    </row>
    <row r="487" spans="2:55">
      <c r="B487" s="72" t="s">
        <v>858</v>
      </c>
      <c r="C487" s="72" t="s">
        <v>859</v>
      </c>
      <c r="D487" s="289">
        <f t="shared" si="52"/>
        <v>0</v>
      </c>
      <c r="E487" s="289">
        <f t="shared" si="59"/>
        <v>0</v>
      </c>
      <c r="F487" s="289">
        <f t="shared" si="59"/>
        <v>0</v>
      </c>
      <c r="G487" s="289">
        <f t="shared" si="59"/>
        <v>0</v>
      </c>
      <c r="H487" s="289">
        <f t="shared" si="59"/>
        <v>0</v>
      </c>
      <c r="I487" s="289">
        <f t="shared" si="59"/>
        <v>0</v>
      </c>
      <c r="J487" s="289">
        <f t="shared" si="59"/>
        <v>0</v>
      </c>
      <c r="K487" s="289">
        <f t="shared" si="59"/>
        <v>0</v>
      </c>
      <c r="L487" s="289">
        <f t="shared" si="59"/>
        <v>0</v>
      </c>
      <c r="M487" s="289">
        <f t="shared" si="59"/>
        <v>0</v>
      </c>
      <c r="N487" s="289">
        <f t="shared" si="59"/>
        <v>0</v>
      </c>
      <c r="O487" s="289">
        <f t="shared" si="59"/>
        <v>0</v>
      </c>
      <c r="P487" s="289">
        <f t="shared" si="59"/>
        <v>0</v>
      </c>
      <c r="Q487" s="289">
        <f t="shared" si="59"/>
        <v>0</v>
      </c>
      <c r="R487" s="289">
        <f t="shared" si="59"/>
        <v>0</v>
      </c>
      <c r="S487" s="289">
        <f t="shared" si="59"/>
        <v>0</v>
      </c>
      <c r="T487" s="289">
        <f t="shared" si="59"/>
        <v>0</v>
      </c>
      <c r="U487" s="289">
        <f t="shared" si="59"/>
        <v>0</v>
      </c>
      <c r="V487" s="289">
        <f t="shared" si="59"/>
        <v>0</v>
      </c>
      <c r="W487" s="289">
        <f t="shared" si="59"/>
        <v>0</v>
      </c>
      <c r="X487" s="289">
        <f t="shared" si="59"/>
        <v>0</v>
      </c>
      <c r="Y487" s="289">
        <f t="shared" si="59"/>
        <v>0</v>
      </c>
      <c r="Z487" s="289">
        <f t="shared" si="59"/>
        <v>0</v>
      </c>
      <c r="AA487" s="289">
        <f t="shared" si="59"/>
        <v>0</v>
      </c>
      <c r="AB487" s="289">
        <f t="shared" si="59"/>
        <v>0</v>
      </c>
      <c r="AC487" s="289">
        <f t="shared" si="59"/>
        <v>0</v>
      </c>
      <c r="AD487" s="289">
        <f t="shared" si="59"/>
        <v>0</v>
      </c>
      <c r="AE487" s="289">
        <f t="shared" si="59"/>
        <v>1.4661197953536181E-2</v>
      </c>
      <c r="AF487" s="289">
        <f t="shared" si="59"/>
        <v>1.2232812768301181E-2</v>
      </c>
      <c r="AG487" s="289">
        <f t="shared" si="59"/>
        <v>9.7194334184380633E-3</v>
      </c>
      <c r="AH487" s="289">
        <f t="shared" si="59"/>
        <v>1.0530477397944348E-2</v>
      </c>
      <c r="AI487" s="289">
        <f t="shared" si="59"/>
        <v>9.1676120981561329E-3</v>
      </c>
      <c r="AJ487" s="289">
        <f t="shared" si="59"/>
        <v>9.1530006864732928E-3</v>
      </c>
      <c r="AK487" s="289">
        <f t="shared" si="59"/>
        <v>8.71169256525158E-3</v>
      </c>
      <c r="AL487" s="289">
        <f t="shared" si="59"/>
        <v>9.0538700452656041E-3</v>
      </c>
      <c r="AM487" s="289">
        <f t="shared" si="59"/>
        <v>1.0356461861471024E-2</v>
      </c>
      <c r="AN487" s="289">
        <f t="shared" si="59"/>
        <v>1.0668117240154774E-2</v>
      </c>
      <c r="AO487" s="289">
        <f t="shared" si="59"/>
        <v>1.1878725455345457E-2</v>
      </c>
      <c r="AP487" s="289">
        <f t="shared" si="59"/>
        <v>1.1732162697248014E-2</v>
      </c>
      <c r="AQ487" s="289">
        <f t="shared" si="59"/>
        <v>1.2291120790699307E-2</v>
      </c>
      <c r="AR487" s="289">
        <f t="shared" si="59"/>
        <v>1.2324029774713545E-2</v>
      </c>
      <c r="AS487" s="289">
        <f t="shared" si="59"/>
        <v>1.1497898792654056E-2</v>
      </c>
      <c r="AT487" s="289">
        <f t="shared" si="59"/>
        <v>1.0473047176906326E-2</v>
      </c>
      <c r="AU487" s="289">
        <f t="shared" si="59"/>
        <v>9.523683102691272E-3</v>
      </c>
      <c r="AV487" s="289">
        <f t="shared" si="59"/>
        <v>9.8374935633496734E-3</v>
      </c>
      <c r="AW487" s="289">
        <f t="shared" si="59"/>
        <v>9.1323761155789503E-3</v>
      </c>
      <c r="AX487" s="289">
        <f t="shared" si="59"/>
        <v>9.1082592643106659E-3</v>
      </c>
      <c r="AY487" s="289">
        <f t="shared" si="59"/>
        <v>1.1700960960911047E-2</v>
      </c>
      <c r="AZ487" s="289">
        <f t="shared" si="59"/>
        <v>1.4315928950911652E-2</v>
      </c>
      <c r="BA487" s="289">
        <f t="shared" si="59"/>
        <v>1.4523337341430268E-2</v>
      </c>
      <c r="BB487" s="289">
        <f t="shared" si="59"/>
        <v>1.3635786545997369E-2</v>
      </c>
      <c r="BC487" s="289">
        <f t="shared" si="54"/>
        <v>1.3635786545997369E-2</v>
      </c>
    </row>
    <row r="488" spans="2:55">
      <c r="B488" s="72" t="s">
        <v>860</v>
      </c>
      <c r="C488" s="72" t="s">
        <v>861</v>
      </c>
      <c r="D488" s="289">
        <f t="shared" si="52"/>
        <v>7.4202483806117034E-2</v>
      </c>
      <c r="E488" s="289">
        <f t="shared" si="59"/>
        <v>7.5336912352629348E-2</v>
      </c>
      <c r="F488" s="289">
        <f t="shared" si="59"/>
        <v>7.4314154990399173E-2</v>
      </c>
      <c r="G488" s="289">
        <f t="shared" si="59"/>
        <v>7.2920910775946798E-2</v>
      </c>
      <c r="H488" s="289">
        <f t="shared" si="59"/>
        <v>7.4582271329146285E-2</v>
      </c>
      <c r="I488" s="289">
        <f t="shared" si="59"/>
        <v>8.2205111609545661E-2</v>
      </c>
      <c r="J488" s="289">
        <f t="shared" si="59"/>
        <v>8.2498717024129101E-2</v>
      </c>
      <c r="K488" s="289">
        <f t="shared" si="59"/>
        <v>9.2146515636970724E-2</v>
      </c>
      <c r="L488" s="289">
        <f t="shared" si="59"/>
        <v>9.190149627548104E-2</v>
      </c>
      <c r="M488" s="289">
        <f t="shared" si="59"/>
        <v>8.5624201843175068E-2</v>
      </c>
      <c r="N488" s="289">
        <f t="shared" si="59"/>
        <v>7.6834809186744624E-2</v>
      </c>
      <c r="O488" s="289">
        <f t="shared" si="59"/>
        <v>7.23039272532114E-2</v>
      </c>
      <c r="P488" s="289">
        <f t="shared" si="59"/>
        <v>8.2733054932867922E-2</v>
      </c>
      <c r="Q488" s="289">
        <f t="shared" si="59"/>
        <v>9.4310716040847592E-2</v>
      </c>
      <c r="R488" s="289">
        <f t="shared" si="59"/>
        <v>8.3477766197826417E-2</v>
      </c>
      <c r="S488" s="289">
        <f t="shared" si="59"/>
        <v>9.6728836754045464E-2</v>
      </c>
      <c r="T488" s="289">
        <f t="shared" si="59"/>
        <v>9.7392370803578959E-2</v>
      </c>
      <c r="U488" s="289">
        <f t="shared" si="59"/>
        <v>9.1208197724072251E-2</v>
      </c>
      <c r="V488" s="289">
        <f t="shared" si="59"/>
        <v>7.8381963836088406E-2</v>
      </c>
      <c r="W488" s="289">
        <f t="shared" si="59"/>
        <v>7.0807167210288499E-2</v>
      </c>
      <c r="X488" s="289">
        <f t="shared" si="59"/>
        <v>7.8650961229885685E-2</v>
      </c>
      <c r="Y488" s="289">
        <f t="shared" si="59"/>
        <v>8.4918957141129695E-2</v>
      </c>
      <c r="Z488" s="289">
        <f t="shared" si="59"/>
        <v>9.6149087985699905E-2</v>
      </c>
      <c r="AA488" s="289">
        <f t="shared" si="59"/>
        <v>0.10466353966425848</v>
      </c>
      <c r="AB488" s="289">
        <f t="shared" si="59"/>
        <v>9.0548940102685757E-2</v>
      </c>
      <c r="AC488" s="289">
        <f t="shared" si="59"/>
        <v>8.0284189617190721E-2</v>
      </c>
      <c r="AD488" s="289">
        <f t="shared" si="59"/>
        <v>7.5365836467381556E-2</v>
      </c>
      <c r="AE488" s="289">
        <f t="shared" si="59"/>
        <v>7.4491069190607773E-2</v>
      </c>
      <c r="AF488" s="289">
        <f t="shared" si="59"/>
        <v>8.5252330634522491E-2</v>
      </c>
      <c r="AG488" s="289">
        <f t="shared" si="59"/>
        <v>8.4542431453671241E-2</v>
      </c>
      <c r="AH488" s="289">
        <f t="shared" si="59"/>
        <v>9.2576896537529041E-2</v>
      </c>
      <c r="AI488" s="289">
        <f t="shared" si="59"/>
        <v>0.10095432896515101</v>
      </c>
      <c r="AJ488" s="289">
        <f t="shared" si="59"/>
        <v>0.12535046682020029</v>
      </c>
      <c r="AK488" s="289">
        <f t="shared" si="59"/>
        <v>0.13316271295567769</v>
      </c>
      <c r="AL488" s="289">
        <f t="shared" si="59"/>
        <v>0.14123368248677809</v>
      </c>
      <c r="AM488" s="289">
        <f t="shared" si="59"/>
        <v>0.1440159670009879</v>
      </c>
      <c r="AN488" s="289">
        <f t="shared" si="59"/>
        <v>0.1055562488491827</v>
      </c>
      <c r="AO488" s="289">
        <f t="shared" si="59"/>
        <v>7.2576960401603108E-2</v>
      </c>
      <c r="AP488" s="289">
        <f t="shared" si="59"/>
        <v>7.6680209657950971E-2</v>
      </c>
      <c r="AQ488" s="289">
        <f t="shared" si="59"/>
        <v>7.7550798114695813E-2</v>
      </c>
      <c r="AR488" s="289">
        <f t="shared" si="59"/>
        <v>7.2801058001805363E-2</v>
      </c>
      <c r="AS488" s="289">
        <f t="shared" si="59"/>
        <v>7.2702028176359845E-2</v>
      </c>
      <c r="AT488" s="289">
        <f t="shared" si="59"/>
        <v>7.004248419549422E-2</v>
      </c>
      <c r="AU488" s="289">
        <f t="shared" si="59"/>
        <v>6.6556702388860495E-2</v>
      </c>
      <c r="AV488" s="289">
        <f t="shared" si="59"/>
        <v>6.9357528269365185E-2</v>
      </c>
      <c r="AW488" s="289">
        <f t="shared" si="59"/>
        <v>7.6040194558241014E-2</v>
      </c>
      <c r="AX488" s="289">
        <f t="shared" si="59"/>
        <v>7.8629355900038125E-2</v>
      </c>
      <c r="AY488" s="289">
        <f t="shared" si="59"/>
        <v>9.2538941508113551E-2</v>
      </c>
      <c r="AZ488" s="289">
        <f t="shared" si="59"/>
        <v>0.10863601572631043</v>
      </c>
      <c r="BA488" s="289">
        <f t="shared" si="59"/>
        <v>0.12725285457287347</v>
      </c>
      <c r="BB488" s="289">
        <f t="shared" si="59"/>
        <v>0.12737115873345881</v>
      </c>
      <c r="BC488" s="289">
        <f t="shared" si="54"/>
        <v>0.12737115873345881</v>
      </c>
    </row>
    <row r="489" spans="2:55">
      <c r="B489" s="72" t="s">
        <v>862</v>
      </c>
      <c r="C489" s="72" t="s">
        <v>863</v>
      </c>
      <c r="D489" s="289">
        <f t="shared" si="52"/>
        <v>0</v>
      </c>
      <c r="E489" s="289">
        <f t="shared" si="59"/>
        <v>0</v>
      </c>
      <c r="F489" s="289">
        <f t="shared" si="59"/>
        <v>0</v>
      </c>
      <c r="G489" s="289">
        <f t="shared" si="59"/>
        <v>0</v>
      </c>
      <c r="H489" s="289">
        <f t="shared" si="59"/>
        <v>0</v>
      </c>
      <c r="I489" s="289">
        <f t="shared" si="59"/>
        <v>0</v>
      </c>
      <c r="J489" s="289">
        <f t="shared" ref="E489:BB494" si="60">J239/J$251</f>
        <v>0</v>
      </c>
      <c r="K489" s="289">
        <f t="shared" si="60"/>
        <v>0</v>
      </c>
      <c r="L489" s="289">
        <f t="shared" si="60"/>
        <v>0</v>
      </c>
      <c r="M489" s="289">
        <f t="shared" si="60"/>
        <v>0</v>
      </c>
      <c r="N489" s="289">
        <f t="shared" si="60"/>
        <v>0</v>
      </c>
      <c r="O489" s="289">
        <f t="shared" si="60"/>
        <v>0</v>
      </c>
      <c r="P489" s="289">
        <f t="shared" si="60"/>
        <v>0</v>
      </c>
      <c r="Q489" s="289">
        <f t="shared" si="60"/>
        <v>0</v>
      </c>
      <c r="R489" s="289">
        <f t="shared" si="60"/>
        <v>0</v>
      </c>
      <c r="S489" s="289">
        <f t="shared" si="60"/>
        <v>0</v>
      </c>
      <c r="T489" s="289">
        <f t="shared" si="60"/>
        <v>0</v>
      </c>
      <c r="U489" s="289">
        <f t="shared" si="60"/>
        <v>0</v>
      </c>
      <c r="V489" s="289">
        <f t="shared" si="60"/>
        <v>0</v>
      </c>
      <c r="W489" s="289">
        <f t="shared" si="60"/>
        <v>0</v>
      </c>
      <c r="X489" s="289">
        <f t="shared" si="60"/>
        <v>0</v>
      </c>
      <c r="Y489" s="289">
        <f t="shared" si="60"/>
        <v>0</v>
      </c>
      <c r="Z489" s="289">
        <f t="shared" si="60"/>
        <v>0</v>
      </c>
      <c r="AA489" s="289">
        <f t="shared" si="60"/>
        <v>0</v>
      </c>
      <c r="AB489" s="289">
        <f t="shared" si="60"/>
        <v>0</v>
      </c>
      <c r="AC489" s="289">
        <f t="shared" si="60"/>
        <v>0</v>
      </c>
      <c r="AD489" s="289">
        <f t="shared" si="60"/>
        <v>0</v>
      </c>
      <c r="AE489" s="289">
        <f t="shared" si="60"/>
        <v>0</v>
      </c>
      <c r="AF489" s="289">
        <f t="shared" si="60"/>
        <v>0</v>
      </c>
      <c r="AG489" s="289">
        <f t="shared" si="60"/>
        <v>0</v>
      </c>
      <c r="AH489" s="289">
        <f t="shared" si="60"/>
        <v>0</v>
      </c>
      <c r="AI489" s="289">
        <f t="shared" si="60"/>
        <v>0</v>
      </c>
      <c r="AJ489" s="289">
        <f t="shared" si="60"/>
        <v>0</v>
      </c>
      <c r="AK489" s="289">
        <f t="shared" si="60"/>
        <v>0</v>
      </c>
      <c r="AL489" s="289">
        <f t="shared" si="60"/>
        <v>0</v>
      </c>
      <c r="AM489" s="289">
        <f t="shared" si="60"/>
        <v>0</v>
      </c>
      <c r="AN489" s="289">
        <f t="shared" si="60"/>
        <v>0</v>
      </c>
      <c r="AO489" s="289">
        <f t="shared" si="60"/>
        <v>0</v>
      </c>
      <c r="AP489" s="289">
        <f t="shared" si="60"/>
        <v>0</v>
      </c>
      <c r="AQ489" s="289">
        <f t="shared" si="60"/>
        <v>1.5201887003198421E-2</v>
      </c>
      <c r="AR489" s="289">
        <f t="shared" si="60"/>
        <v>1.3096533373671799E-2</v>
      </c>
      <c r="AS489" s="289">
        <f t="shared" si="60"/>
        <v>1.1849357324563763E-2</v>
      </c>
      <c r="AT489" s="289">
        <f t="shared" si="60"/>
        <v>1.0264178448828331E-2</v>
      </c>
      <c r="AU489" s="289">
        <f t="shared" si="60"/>
        <v>8.6536964390344449E-3</v>
      </c>
      <c r="AV489" s="289">
        <f t="shared" si="60"/>
        <v>1.2119025284665337E-2</v>
      </c>
      <c r="AW489" s="289">
        <f t="shared" si="60"/>
        <v>1.0843661208243892E-2</v>
      </c>
      <c r="AX489" s="289">
        <f t="shared" si="60"/>
        <v>1.0835108723478482E-2</v>
      </c>
      <c r="AY489" s="289">
        <f t="shared" si="60"/>
        <v>1.429847938314528E-2</v>
      </c>
      <c r="AZ489" s="289">
        <f t="shared" si="60"/>
        <v>2.0094221583678764E-2</v>
      </c>
      <c r="BA489" s="289">
        <f t="shared" si="60"/>
        <v>2.112616636157567E-2</v>
      </c>
      <c r="BB489" s="289">
        <f t="shared" si="60"/>
        <v>2.2960690749496471E-2</v>
      </c>
      <c r="BC489" s="289">
        <f t="shared" si="54"/>
        <v>2.2960690749496471E-2</v>
      </c>
    </row>
    <row r="490" spans="2:55">
      <c r="B490" s="72" t="s">
        <v>864</v>
      </c>
      <c r="C490" s="72" t="s">
        <v>865</v>
      </c>
      <c r="D490" s="289">
        <f t="shared" si="52"/>
        <v>5.4602254786178507E-2</v>
      </c>
      <c r="E490" s="289">
        <f t="shared" si="60"/>
        <v>5.4339317347589608E-2</v>
      </c>
      <c r="F490" s="289">
        <f t="shared" si="60"/>
        <v>5.5337112334830463E-2</v>
      </c>
      <c r="G490" s="289">
        <f t="shared" si="60"/>
        <v>5.8053838126536972E-2</v>
      </c>
      <c r="H490" s="289">
        <f t="shared" si="60"/>
        <v>5.9540303552645717E-2</v>
      </c>
      <c r="I490" s="289">
        <f t="shared" si="60"/>
        <v>6.2548930495744309E-2</v>
      </c>
      <c r="J490" s="289">
        <f t="shared" si="60"/>
        <v>6.2127122706713216E-2</v>
      </c>
      <c r="K490" s="289">
        <f t="shared" si="60"/>
        <v>6.6057314577195339E-2</v>
      </c>
      <c r="L490" s="289">
        <f t="shared" si="60"/>
        <v>6.5258648049612886E-2</v>
      </c>
      <c r="M490" s="289">
        <f t="shared" si="60"/>
        <v>5.4014288341903555E-2</v>
      </c>
      <c r="N490" s="289">
        <f t="shared" si="60"/>
        <v>5.2394663799496741E-2</v>
      </c>
      <c r="O490" s="289">
        <f t="shared" si="60"/>
        <v>5.2165908625214891E-2</v>
      </c>
      <c r="P490" s="289">
        <f t="shared" si="60"/>
        <v>5.4770559127970408E-2</v>
      </c>
      <c r="Q490" s="289">
        <f t="shared" si="60"/>
        <v>6.843252681548169E-2</v>
      </c>
      <c r="R490" s="289">
        <f t="shared" si="60"/>
        <v>6.1693679010256047E-2</v>
      </c>
      <c r="S490" s="289">
        <f t="shared" si="60"/>
        <v>6.3071467826405894E-2</v>
      </c>
      <c r="T490" s="289">
        <f t="shared" si="60"/>
        <v>6.8655671946394492E-2</v>
      </c>
      <c r="U490" s="289">
        <f t="shared" si="60"/>
        <v>5.6230184506148667E-2</v>
      </c>
      <c r="V490" s="289">
        <f t="shared" si="60"/>
        <v>4.5753959763873774E-2</v>
      </c>
      <c r="W490" s="289">
        <f t="shared" si="60"/>
        <v>4.4280771062587487E-2</v>
      </c>
      <c r="X490" s="289">
        <f t="shared" si="60"/>
        <v>3.8260793034669581E-2</v>
      </c>
      <c r="Y490" s="289">
        <f t="shared" si="60"/>
        <v>3.3111306887338508E-2</v>
      </c>
      <c r="Z490" s="289">
        <f t="shared" si="60"/>
        <v>3.140843211735609E-2</v>
      </c>
      <c r="AA490" s="289">
        <f t="shared" si="60"/>
        <v>3.021949410270626E-2</v>
      </c>
      <c r="AB490" s="289">
        <f t="shared" si="60"/>
        <v>2.9373522206350866E-2</v>
      </c>
      <c r="AC490" s="289">
        <f t="shared" si="60"/>
        <v>3.2268996402762935E-2</v>
      </c>
      <c r="AD490" s="289">
        <f t="shared" si="60"/>
        <v>3.0030561709753125E-2</v>
      </c>
      <c r="AE490" s="289">
        <f t="shared" si="60"/>
        <v>2.6531950532110705E-2</v>
      </c>
      <c r="AF490" s="289">
        <f t="shared" si="60"/>
        <v>2.5140103844910056E-2</v>
      </c>
      <c r="AG490" s="289">
        <f t="shared" si="60"/>
        <v>2.5116756766407684E-2</v>
      </c>
      <c r="AH490" s="289">
        <f t="shared" si="60"/>
        <v>2.3252695785897028E-2</v>
      </c>
      <c r="AI490" s="289">
        <f t="shared" si="60"/>
        <v>2.335820863472645E-2</v>
      </c>
      <c r="AJ490" s="289">
        <f t="shared" si="60"/>
        <v>1.8618917918465594E-2</v>
      </c>
      <c r="AK490" s="289">
        <f t="shared" si="60"/>
        <v>1.346090226170045E-2</v>
      </c>
      <c r="AL490" s="289">
        <f t="shared" si="60"/>
        <v>1.606996370190994E-2</v>
      </c>
      <c r="AM490" s="289">
        <f t="shared" si="60"/>
        <v>1.6607273829345938E-2</v>
      </c>
      <c r="AN490" s="289">
        <f t="shared" si="60"/>
        <v>1.4690629582631292E-2</v>
      </c>
      <c r="AO490" s="289">
        <f t="shared" si="60"/>
        <v>1.4111523915637131E-2</v>
      </c>
      <c r="AP490" s="289">
        <f t="shared" si="60"/>
        <v>1.3224859622454966E-2</v>
      </c>
      <c r="AQ490" s="289">
        <f t="shared" si="60"/>
        <v>1.0775203144971168E-2</v>
      </c>
      <c r="AR490" s="289">
        <f t="shared" si="60"/>
        <v>1.0889717901867196E-2</v>
      </c>
      <c r="AS490" s="289">
        <f t="shared" si="60"/>
        <v>1.0814281324589364E-2</v>
      </c>
      <c r="AT490" s="289">
        <f t="shared" si="60"/>
        <v>1.0391152209051043E-2</v>
      </c>
      <c r="AU490" s="289">
        <f t="shared" si="60"/>
        <v>9.9821446819266038E-3</v>
      </c>
      <c r="AV490" s="289">
        <f t="shared" si="60"/>
        <v>1.0259615777677018E-2</v>
      </c>
      <c r="AW490" s="289">
        <f t="shared" si="60"/>
        <v>9.8402959489202173E-3</v>
      </c>
      <c r="AX490" s="289">
        <f t="shared" si="60"/>
        <v>9.635357018574639E-3</v>
      </c>
      <c r="AY490" s="289">
        <f t="shared" si="60"/>
        <v>1.2691629389508441E-2</v>
      </c>
      <c r="AZ490" s="289">
        <f t="shared" si="60"/>
        <v>1.5168794228245066E-2</v>
      </c>
      <c r="BA490" s="289">
        <f t="shared" si="60"/>
        <v>1.4608556797546733E-2</v>
      </c>
      <c r="BB490" s="289">
        <f t="shared" si="60"/>
        <v>1.5066812982897236E-2</v>
      </c>
      <c r="BC490" s="289">
        <f t="shared" si="54"/>
        <v>1.5066812982897236E-2</v>
      </c>
    </row>
    <row r="491" spans="2:55">
      <c r="B491" s="72" t="s">
        <v>866</v>
      </c>
      <c r="C491" s="72" t="s">
        <v>867</v>
      </c>
      <c r="D491" s="289">
        <f t="shared" si="52"/>
        <v>0</v>
      </c>
      <c r="E491" s="289">
        <f t="shared" si="60"/>
        <v>0</v>
      </c>
      <c r="F491" s="289">
        <f t="shared" si="60"/>
        <v>0</v>
      </c>
      <c r="G491" s="289">
        <f t="shared" si="60"/>
        <v>0</v>
      </c>
      <c r="H491" s="289">
        <f t="shared" si="60"/>
        <v>0</v>
      </c>
      <c r="I491" s="289">
        <f t="shared" si="60"/>
        <v>0</v>
      </c>
      <c r="J491" s="289">
        <f t="shared" si="60"/>
        <v>0</v>
      </c>
      <c r="K491" s="289">
        <f t="shared" si="60"/>
        <v>0</v>
      </c>
      <c r="L491" s="289">
        <f t="shared" si="60"/>
        <v>0</v>
      </c>
      <c r="M491" s="289">
        <f t="shared" si="60"/>
        <v>0</v>
      </c>
      <c r="N491" s="289">
        <f t="shared" si="60"/>
        <v>0</v>
      </c>
      <c r="O491" s="289">
        <f t="shared" si="60"/>
        <v>0</v>
      </c>
      <c r="P491" s="289">
        <f t="shared" si="60"/>
        <v>0</v>
      </c>
      <c r="Q491" s="289">
        <f t="shared" si="60"/>
        <v>0</v>
      </c>
      <c r="R491" s="289">
        <f t="shared" si="60"/>
        <v>8.7507182019534294E-2</v>
      </c>
      <c r="S491" s="289">
        <f t="shared" si="60"/>
        <v>8.3279330698820125E-2</v>
      </c>
      <c r="T491" s="289">
        <f t="shared" si="60"/>
        <v>8.2819169608967513E-2</v>
      </c>
      <c r="U491" s="289">
        <f t="shared" si="60"/>
        <v>7.8648060234701223E-2</v>
      </c>
      <c r="V491" s="289">
        <f t="shared" si="60"/>
        <v>6.4434543724623691E-2</v>
      </c>
      <c r="W491" s="289">
        <f t="shared" si="60"/>
        <v>5.9513316835978242E-2</v>
      </c>
      <c r="X491" s="289">
        <f t="shared" si="60"/>
        <v>7.2857368531264302E-2</v>
      </c>
      <c r="Y491" s="289">
        <f t="shared" si="60"/>
        <v>7.6001868772207867E-2</v>
      </c>
      <c r="Z491" s="289">
        <f t="shared" si="60"/>
        <v>7.8522104212987914E-2</v>
      </c>
      <c r="AA491" s="289">
        <f t="shared" si="60"/>
        <v>8.8039353535503143E-2</v>
      </c>
      <c r="AB491" s="289">
        <f t="shared" si="60"/>
        <v>7.7870341918619912E-2</v>
      </c>
      <c r="AC491" s="289">
        <f t="shared" si="60"/>
        <v>7.1982137053683642E-2</v>
      </c>
      <c r="AD491" s="289">
        <f t="shared" si="60"/>
        <v>7.0151758421763397E-2</v>
      </c>
      <c r="AE491" s="289">
        <f t="shared" si="60"/>
        <v>7.535081779145178E-2</v>
      </c>
      <c r="AF491" s="289">
        <f t="shared" si="60"/>
        <v>7.4393122056784777E-2</v>
      </c>
      <c r="AG491" s="289">
        <f t="shared" si="60"/>
        <v>6.7477751854799858E-2</v>
      </c>
      <c r="AH491" s="289">
        <f t="shared" si="60"/>
        <v>7.5443123351031122E-2</v>
      </c>
      <c r="AI491" s="289">
        <f t="shared" si="60"/>
        <v>7.5755616768490713E-2</v>
      </c>
      <c r="AJ491" s="289">
        <f t="shared" si="60"/>
        <v>8.5276991563531579E-2</v>
      </c>
      <c r="AK491" s="289">
        <f t="shared" si="60"/>
        <v>0.11048526391835284</v>
      </c>
      <c r="AL491" s="289">
        <f t="shared" si="60"/>
        <v>0.10589322164655014</v>
      </c>
      <c r="AM491" s="289">
        <f t="shared" si="60"/>
        <v>0.10887360237062652</v>
      </c>
      <c r="AN491" s="289">
        <f t="shared" si="60"/>
        <v>9.366427782908851E-2</v>
      </c>
      <c r="AO491" s="289">
        <f t="shared" si="60"/>
        <v>7.7849174411472169E-2</v>
      </c>
      <c r="AP491" s="289">
        <f t="shared" si="60"/>
        <v>7.7970971731408323E-2</v>
      </c>
      <c r="AQ491" s="289">
        <f t="shared" si="60"/>
        <v>7.686304910100332E-2</v>
      </c>
      <c r="AR491" s="289">
        <f t="shared" si="60"/>
        <v>6.8298261512911573E-2</v>
      </c>
      <c r="AS491" s="289">
        <f t="shared" si="60"/>
        <v>6.7985428598609524E-2</v>
      </c>
      <c r="AT491" s="289">
        <f t="shared" si="60"/>
        <v>6.7027470211531742E-2</v>
      </c>
      <c r="AU491" s="289">
        <f t="shared" si="60"/>
        <v>6.5433144972160281E-2</v>
      </c>
      <c r="AV491" s="289">
        <f t="shared" si="60"/>
        <v>6.8828050078971845E-2</v>
      </c>
      <c r="AW491" s="289">
        <f t="shared" si="60"/>
        <v>7.1980225952751914E-2</v>
      </c>
      <c r="AX491" s="289">
        <f t="shared" si="60"/>
        <v>6.3549766056304871E-2</v>
      </c>
      <c r="AY491" s="289">
        <f t="shared" si="60"/>
        <v>7.8119463312897111E-2</v>
      </c>
      <c r="AZ491" s="289">
        <f t="shared" si="60"/>
        <v>8.7078601254314741E-2</v>
      </c>
      <c r="BA491" s="289">
        <f t="shared" si="60"/>
        <v>9.7749628786545154E-2</v>
      </c>
      <c r="BB491" s="289">
        <f t="shared" si="60"/>
        <v>0.10634634669716915</v>
      </c>
      <c r="BC491" s="289">
        <f t="shared" si="54"/>
        <v>0.10634634669716915</v>
      </c>
    </row>
    <row r="492" spans="2:55">
      <c r="B492" s="72" t="s">
        <v>868</v>
      </c>
      <c r="C492" s="72" t="s">
        <v>869</v>
      </c>
      <c r="D492" s="289">
        <f t="shared" si="52"/>
        <v>0.47030512399307112</v>
      </c>
      <c r="E492" s="289">
        <f t="shared" si="60"/>
        <v>0.47194636730431755</v>
      </c>
      <c r="F492" s="289">
        <f t="shared" si="60"/>
        <v>0.48665708503969635</v>
      </c>
      <c r="G492" s="289">
        <f t="shared" si="60"/>
        <v>0.46596610166389335</v>
      </c>
      <c r="H492" s="289">
        <f t="shared" si="60"/>
        <v>0.44516443670413752</v>
      </c>
      <c r="I492" s="289">
        <f t="shared" si="60"/>
        <v>0.40704164079434879</v>
      </c>
      <c r="J492" s="289">
        <f t="shared" si="60"/>
        <v>0.40798049781618462</v>
      </c>
      <c r="K492" s="289">
        <f t="shared" si="60"/>
        <v>0.42599162086447778</v>
      </c>
      <c r="L492" s="289">
        <f t="shared" si="60"/>
        <v>0.4015613093838033</v>
      </c>
      <c r="M492" s="289">
        <f t="shared" si="60"/>
        <v>0.37882671015773617</v>
      </c>
      <c r="N492" s="289">
        <f t="shared" si="60"/>
        <v>0.36317183686628468</v>
      </c>
      <c r="O492" s="289">
        <f t="shared" si="60"/>
        <v>0.38011285099144848</v>
      </c>
      <c r="P492" s="289">
        <f t="shared" si="60"/>
        <v>0.40489846685846947</v>
      </c>
      <c r="Q492" s="289">
        <f t="shared" si="60"/>
        <v>0.58090808444924502</v>
      </c>
      <c r="R492" s="289">
        <f t="shared" si="60"/>
        <v>0.57594382408538014</v>
      </c>
      <c r="S492" s="289">
        <f t="shared" si="60"/>
        <v>0.60697957126312041</v>
      </c>
      <c r="T492" s="289">
        <f t="shared" si="60"/>
        <v>0.66636044377610182</v>
      </c>
      <c r="U492" s="289">
        <f t="shared" si="60"/>
        <v>0.58888562088442664</v>
      </c>
      <c r="V492" s="289">
        <f t="shared" si="60"/>
        <v>0.57744315683583758</v>
      </c>
      <c r="W492" s="289">
        <f t="shared" si="60"/>
        <v>0.60101968410471718</v>
      </c>
      <c r="X492" s="289">
        <f t="shared" si="60"/>
        <v>0.68287494342205957</v>
      </c>
      <c r="Y492" s="289">
        <f t="shared" si="60"/>
        <v>0.82011145850754852</v>
      </c>
      <c r="Z492" s="289">
        <f t="shared" si="60"/>
        <v>0.82911199311290085</v>
      </c>
      <c r="AA492" s="289">
        <f t="shared" si="60"/>
        <v>0.86202327767318321</v>
      </c>
      <c r="AB492" s="289">
        <f t="shared" si="60"/>
        <v>0.76610178460803313</v>
      </c>
      <c r="AC492" s="289">
        <f t="shared" si="60"/>
        <v>0.40201693213415779</v>
      </c>
      <c r="AD492" s="289">
        <f t="shared" si="60"/>
        <v>0.32576884537191886</v>
      </c>
      <c r="AE492" s="289">
        <f t="shared" si="60"/>
        <v>0.25038507573348884</v>
      </c>
      <c r="AF492" s="289">
        <f t="shared" si="60"/>
        <v>0.23768353608267467</v>
      </c>
      <c r="AG492" s="289">
        <f t="shared" si="60"/>
        <v>0.23573236914212875</v>
      </c>
      <c r="AH492" s="289">
        <f t="shared" si="60"/>
        <v>0.23824815991326154</v>
      </c>
      <c r="AI492" s="289">
        <f t="shared" si="60"/>
        <v>0.23649069693845892</v>
      </c>
      <c r="AJ492" s="289">
        <f t="shared" si="60"/>
        <v>0.21688634039863067</v>
      </c>
      <c r="AK492" s="289">
        <f t="shared" si="60"/>
        <v>0.21541925193392295</v>
      </c>
      <c r="AL492" s="289">
        <f t="shared" si="60"/>
        <v>0.21183034050698729</v>
      </c>
      <c r="AM492" s="289">
        <f t="shared" si="60"/>
        <v>0.21649943886414136</v>
      </c>
      <c r="AN492" s="289">
        <f t="shared" si="60"/>
        <v>0.19175739322223725</v>
      </c>
      <c r="AO492" s="289">
        <f t="shared" si="60"/>
        <v>0.1886912610056114</v>
      </c>
      <c r="AP492" s="289">
        <f t="shared" si="60"/>
        <v>0.2064804722440344</v>
      </c>
      <c r="AQ492" s="289">
        <f t="shared" si="60"/>
        <v>0.25186383146714103</v>
      </c>
      <c r="AR492" s="289">
        <f t="shared" si="60"/>
        <v>0.27396387449011811</v>
      </c>
      <c r="AS492" s="289">
        <f t="shared" si="60"/>
        <v>0.25636396243572235</v>
      </c>
      <c r="AT492" s="289">
        <f t="shared" si="60"/>
        <v>0.27615042029570508</v>
      </c>
      <c r="AU492" s="289">
        <f t="shared" si="60"/>
        <v>0.26790984094550319</v>
      </c>
      <c r="AV492" s="289">
        <f t="shared" si="60"/>
        <v>0.32084284716468214</v>
      </c>
      <c r="AW492" s="289">
        <f t="shared" si="60"/>
        <v>0.34537517270681367</v>
      </c>
      <c r="AX492" s="289">
        <f t="shared" si="60"/>
        <v>0.3538886950838423</v>
      </c>
      <c r="AY492" s="289">
        <f t="shared" si="60"/>
        <v>0.48785711499732715</v>
      </c>
      <c r="AZ492" s="289">
        <f t="shared" si="60"/>
        <v>0.41809731447493953</v>
      </c>
      <c r="BA492" s="289">
        <f t="shared" si="60"/>
        <v>0.43065221241011226</v>
      </c>
      <c r="BB492" s="289">
        <f t="shared" si="60"/>
        <v>0.4277656093093069</v>
      </c>
      <c r="BC492" s="289">
        <f t="shared" si="54"/>
        <v>0.4277656093093069</v>
      </c>
    </row>
    <row r="493" spans="2:55">
      <c r="B493" s="72" t="s">
        <v>870</v>
      </c>
      <c r="C493" s="72" t="s">
        <v>871</v>
      </c>
      <c r="D493" s="289">
        <f t="shared" si="52"/>
        <v>0.13940854531265731</v>
      </c>
      <c r="E493" s="289">
        <f t="shared" si="60"/>
        <v>0.1336288570000522</v>
      </c>
      <c r="F493" s="289">
        <f t="shared" si="60"/>
        <v>0.14530960337929757</v>
      </c>
      <c r="G493" s="289">
        <f t="shared" si="60"/>
        <v>0.13092339688878576</v>
      </c>
      <c r="H493" s="289">
        <f t="shared" si="60"/>
        <v>0.11564256751041442</v>
      </c>
      <c r="I493" s="289">
        <f t="shared" si="60"/>
        <v>0.11227111595514899</v>
      </c>
      <c r="J493" s="289">
        <f t="shared" si="60"/>
        <v>0.11101331518773064</v>
      </c>
      <c r="K493" s="289">
        <f t="shared" si="60"/>
        <v>0.12983970965878708</v>
      </c>
      <c r="L493" s="289">
        <f t="shared" si="60"/>
        <v>0.12614999414781142</v>
      </c>
      <c r="M493" s="289">
        <f t="shared" si="60"/>
        <v>0.12521007084626215</v>
      </c>
      <c r="N493" s="289">
        <f t="shared" si="60"/>
        <v>0.12811087534770196</v>
      </c>
      <c r="O493" s="289">
        <f t="shared" si="60"/>
        <v>0.14614052542502745</v>
      </c>
      <c r="P493" s="289">
        <f t="shared" si="60"/>
        <v>0.15557673148034573</v>
      </c>
      <c r="Q493" s="289">
        <f t="shared" si="60"/>
        <v>0.18354949317733157</v>
      </c>
      <c r="R493" s="289">
        <f t="shared" si="60"/>
        <v>0.18347744224560797</v>
      </c>
      <c r="S493" s="289">
        <f t="shared" si="60"/>
        <v>0.19427432940964007</v>
      </c>
      <c r="T493" s="289">
        <f t="shared" si="60"/>
        <v>0.1900361881495895</v>
      </c>
      <c r="U493" s="289">
        <f t="shared" si="60"/>
        <v>0.17053087454914889</v>
      </c>
      <c r="V493" s="289">
        <f t="shared" si="60"/>
        <v>0.15398168608893661</v>
      </c>
      <c r="W493" s="289">
        <f t="shared" si="60"/>
        <v>0.14231836887423205</v>
      </c>
      <c r="X493" s="289">
        <f t="shared" si="60"/>
        <v>0.14063800275446051</v>
      </c>
      <c r="Y493" s="289">
        <f t="shared" si="60"/>
        <v>0.13863960865121411</v>
      </c>
      <c r="Z493" s="289">
        <f t="shared" si="60"/>
        <v>0.14629170904661853</v>
      </c>
      <c r="AA493" s="289">
        <f t="shared" si="60"/>
        <v>0.15070115885706309</v>
      </c>
      <c r="AB493" s="289">
        <f t="shared" si="60"/>
        <v>0.14109539550745787</v>
      </c>
      <c r="AC493" s="289">
        <f t="shared" si="60"/>
        <v>0.11959203899384345</v>
      </c>
      <c r="AD493" s="289">
        <f t="shared" si="60"/>
        <v>0.10231100181661387</v>
      </c>
      <c r="AE493" s="289">
        <f t="shared" si="60"/>
        <v>8.594076534844966E-2</v>
      </c>
      <c r="AF493" s="289">
        <f t="shared" si="60"/>
        <v>8.4297753171212353E-2</v>
      </c>
      <c r="AG493" s="289">
        <f t="shared" si="60"/>
        <v>8.521368529563568E-2</v>
      </c>
      <c r="AH493" s="289">
        <f t="shared" si="60"/>
        <v>8.5488020145641358E-2</v>
      </c>
      <c r="AI493" s="289">
        <f t="shared" si="60"/>
        <v>9.6272883561513992E-2</v>
      </c>
      <c r="AJ493" s="289">
        <f t="shared" si="60"/>
        <v>9.9273887119927393E-2</v>
      </c>
      <c r="AK493" s="289">
        <f t="shared" si="60"/>
        <v>9.6752231273165734E-2</v>
      </c>
      <c r="AL493" s="289">
        <f t="shared" si="60"/>
        <v>0.10093055165932381</v>
      </c>
      <c r="AM493" s="289">
        <f t="shared" si="60"/>
        <v>0.10278373783608313</v>
      </c>
      <c r="AN493" s="289">
        <f t="shared" si="60"/>
        <v>9.5967419624234426E-2</v>
      </c>
      <c r="AO493" s="289">
        <f t="shared" si="60"/>
        <v>9.345874887820016E-2</v>
      </c>
      <c r="AP493" s="289">
        <f t="shared" si="60"/>
        <v>9.4687468168512631E-2</v>
      </c>
      <c r="AQ493" s="289">
        <f t="shared" si="60"/>
        <v>8.9606899567494833E-2</v>
      </c>
      <c r="AR493" s="289">
        <f t="shared" si="60"/>
        <v>9.1843451111328259E-2</v>
      </c>
      <c r="AS493" s="289">
        <f t="shared" si="60"/>
        <v>8.7630526067123099E-2</v>
      </c>
      <c r="AT493" s="289">
        <f t="shared" si="60"/>
        <v>8.9558163340967764E-2</v>
      </c>
      <c r="AU493" s="289">
        <f t="shared" si="60"/>
        <v>8.5557071333591431E-2</v>
      </c>
      <c r="AV493" s="289">
        <f t="shared" si="60"/>
        <v>8.4439378377387159E-2</v>
      </c>
      <c r="AW493" s="289">
        <f t="shared" si="60"/>
        <v>8.3849547426091409E-2</v>
      </c>
      <c r="AX493" s="289">
        <f t="shared" si="60"/>
        <v>8.2185559294193813E-2</v>
      </c>
      <c r="AY493" s="289">
        <f t="shared" si="60"/>
        <v>0.10070428255563983</v>
      </c>
      <c r="AZ493" s="289">
        <f t="shared" si="60"/>
        <v>0.11799562995846816</v>
      </c>
      <c r="BA493" s="289">
        <f t="shared" si="60"/>
        <v>0.11566508915666118</v>
      </c>
      <c r="BB493" s="289">
        <f t="shared" si="60"/>
        <v>0.11006731224595</v>
      </c>
      <c r="BC493" s="289">
        <f t="shared" si="54"/>
        <v>0.11006731224595</v>
      </c>
    </row>
    <row r="494" spans="2:55">
      <c r="B494" s="72" t="s">
        <v>872</v>
      </c>
      <c r="C494" s="72" t="s">
        <v>873</v>
      </c>
      <c r="D494" s="289">
        <f t="shared" si="52"/>
        <v>0.19102717533889726</v>
      </c>
      <c r="E494" s="289">
        <f t="shared" si="60"/>
        <v>0.19884199233651703</v>
      </c>
      <c r="F494" s="289">
        <f t="shared" si="60"/>
        <v>0.21399700835892882</v>
      </c>
      <c r="G494" s="289">
        <f t="shared" si="60"/>
        <v>0.20767060476224911</v>
      </c>
      <c r="H494" s="289">
        <f t="shared" si="60"/>
        <v>0.20270797678790325</v>
      </c>
      <c r="I494" s="289">
        <f t="shared" si="60"/>
        <v>0.22130923542278699</v>
      </c>
      <c r="J494" s="289">
        <f t="shared" si="60"/>
        <v>0.23268269853964471</v>
      </c>
      <c r="K494" s="289">
        <f t="shared" si="60"/>
        <v>0.27155662295603405</v>
      </c>
      <c r="L494" s="289">
        <f t="shared" si="60"/>
        <v>0.2759462614326666</v>
      </c>
      <c r="M494" s="289">
        <f t="shared" si="60"/>
        <v>0.21490401467011966</v>
      </c>
      <c r="N494" s="289">
        <f t="shared" si="60"/>
        <v>0.177583933152754</v>
      </c>
      <c r="O494" s="289">
        <f t="shared" ref="E494:BB499" si="61">O244/O$251</f>
        <v>0.19065981405559759</v>
      </c>
      <c r="P494" s="289">
        <f t="shared" si="61"/>
        <v>0.20845897858803911</v>
      </c>
      <c r="Q494" s="289">
        <f t="shared" si="61"/>
        <v>0.26139456784276893</v>
      </c>
      <c r="R494" s="289">
        <f t="shared" si="61"/>
        <v>0.26814231548513928</v>
      </c>
      <c r="S494" s="289">
        <f t="shared" si="61"/>
        <v>0.31374197968806006</v>
      </c>
      <c r="T494" s="289">
        <f t="shared" si="61"/>
        <v>0.311071388327337</v>
      </c>
      <c r="U494" s="289">
        <f t="shared" si="61"/>
        <v>0.2667965760656813</v>
      </c>
      <c r="V494" s="289">
        <f t="shared" si="61"/>
        <v>0.2759300748264204</v>
      </c>
      <c r="W494" s="289">
        <f t="shared" si="61"/>
        <v>0.16207704553059232</v>
      </c>
      <c r="X494" s="289">
        <f t="shared" si="61"/>
        <v>0.17217666344818769</v>
      </c>
      <c r="Y494" s="289">
        <f t="shared" si="61"/>
        <v>0.16025735291895304</v>
      </c>
      <c r="Z494" s="289">
        <f t="shared" si="61"/>
        <v>0.15778990824112502</v>
      </c>
      <c r="AA494" s="289">
        <f t="shared" si="61"/>
        <v>0.15949157243893886</v>
      </c>
      <c r="AB494" s="289">
        <f t="shared" si="61"/>
        <v>0.16578179829413248</v>
      </c>
      <c r="AC494" s="289">
        <f t="shared" si="61"/>
        <v>0.14932001618777835</v>
      </c>
      <c r="AD494" s="289">
        <f t="shared" si="61"/>
        <v>0.13764932577327493</v>
      </c>
      <c r="AE494" s="289">
        <f t="shared" si="61"/>
        <v>0.11623676583597621</v>
      </c>
      <c r="AF494" s="289">
        <f t="shared" si="61"/>
        <v>0.13375296453944088</v>
      </c>
      <c r="AG494" s="289">
        <f t="shared" si="61"/>
        <v>0.15737442014777042</v>
      </c>
      <c r="AH494" s="289">
        <f t="shared" si="61"/>
        <v>0.14917273858191349</v>
      </c>
      <c r="AI494" s="289">
        <f t="shared" si="61"/>
        <v>0.14980472544201578</v>
      </c>
      <c r="AJ494" s="289">
        <f t="shared" si="61"/>
        <v>0.18634764718254801</v>
      </c>
      <c r="AK494" s="289">
        <f t="shared" si="61"/>
        <v>0.12312759886168792</v>
      </c>
      <c r="AL494" s="289">
        <f t="shared" si="61"/>
        <v>0.14436826693261459</v>
      </c>
      <c r="AM494" s="289">
        <f t="shared" si="61"/>
        <v>0.14468953802810405</v>
      </c>
      <c r="AN494" s="289">
        <f t="shared" si="61"/>
        <v>0.13312788751261234</v>
      </c>
      <c r="AO494" s="289">
        <f t="shared" si="61"/>
        <v>0.17448642063797037</v>
      </c>
      <c r="AP494" s="289">
        <f t="shared" si="61"/>
        <v>0.15546185741176766</v>
      </c>
      <c r="AQ494" s="289">
        <f t="shared" si="61"/>
        <v>0.16719381744152895</v>
      </c>
      <c r="AR494" s="289">
        <f t="shared" si="61"/>
        <v>0.12226941749510298</v>
      </c>
      <c r="AS494" s="289">
        <f t="shared" si="61"/>
        <v>0.13160980635403949</v>
      </c>
      <c r="AT494" s="289">
        <f t="shared" si="61"/>
        <v>0.14661512297796558</v>
      </c>
      <c r="AU494" s="289">
        <f t="shared" si="61"/>
        <v>0.15894989329880707</v>
      </c>
      <c r="AV494" s="289">
        <f t="shared" si="61"/>
        <v>0.18592417768481079</v>
      </c>
      <c r="AW494" s="289">
        <f t="shared" si="61"/>
        <v>0.18989483937238638</v>
      </c>
      <c r="AX494" s="289">
        <f t="shared" si="61"/>
        <v>0.19956791165453872</v>
      </c>
      <c r="AY494" s="289">
        <f t="shared" si="61"/>
        <v>0.23866192675408057</v>
      </c>
      <c r="AZ494" s="289">
        <f t="shared" si="61"/>
        <v>0.24210108493134305</v>
      </c>
      <c r="BA494" s="289">
        <f t="shared" si="61"/>
        <v>0.27718916943504429</v>
      </c>
      <c r="BB494" s="289">
        <f t="shared" si="61"/>
        <v>0.2695804258561989</v>
      </c>
      <c r="BC494" s="289">
        <f t="shared" si="54"/>
        <v>0.2695804258561989</v>
      </c>
    </row>
    <row r="495" spans="2:55">
      <c r="B495" s="72" t="s">
        <v>874</v>
      </c>
      <c r="C495" s="72" t="s">
        <v>875</v>
      </c>
      <c r="D495" s="289">
        <f t="shared" si="52"/>
        <v>0</v>
      </c>
      <c r="E495" s="289">
        <f t="shared" si="61"/>
        <v>0</v>
      </c>
      <c r="F495" s="289">
        <f t="shared" si="61"/>
        <v>0</v>
      </c>
      <c r="G495" s="289">
        <f t="shared" si="61"/>
        <v>0</v>
      </c>
      <c r="H495" s="289">
        <f t="shared" si="61"/>
        <v>0</v>
      </c>
      <c r="I495" s="289">
        <f t="shared" si="61"/>
        <v>0</v>
      </c>
      <c r="J495" s="289">
        <f t="shared" si="61"/>
        <v>0</v>
      </c>
      <c r="K495" s="289">
        <f t="shared" si="61"/>
        <v>0</v>
      </c>
      <c r="L495" s="289">
        <f t="shared" si="61"/>
        <v>0</v>
      </c>
      <c r="M495" s="289">
        <f t="shared" si="61"/>
        <v>0</v>
      </c>
      <c r="N495" s="289">
        <f t="shared" si="61"/>
        <v>0</v>
      </c>
      <c r="O495" s="289">
        <f t="shared" si="61"/>
        <v>0</v>
      </c>
      <c r="P495" s="289">
        <f t="shared" si="61"/>
        <v>0</v>
      </c>
      <c r="Q495" s="289">
        <f t="shared" si="61"/>
        <v>0</v>
      </c>
      <c r="R495" s="289">
        <f t="shared" si="61"/>
        <v>0</v>
      </c>
      <c r="S495" s="289">
        <f t="shared" si="61"/>
        <v>0</v>
      </c>
      <c r="T495" s="289">
        <f t="shared" si="61"/>
        <v>0</v>
      </c>
      <c r="U495" s="289">
        <f t="shared" si="61"/>
        <v>0</v>
      </c>
      <c r="V495" s="289">
        <f t="shared" si="61"/>
        <v>0</v>
      </c>
      <c r="W495" s="289">
        <f t="shared" si="61"/>
        <v>0</v>
      </c>
      <c r="X495" s="289">
        <f t="shared" si="61"/>
        <v>0</v>
      </c>
      <c r="Y495" s="289">
        <f t="shared" si="61"/>
        <v>0</v>
      </c>
      <c r="Z495" s="289">
        <f t="shared" si="61"/>
        <v>0</v>
      </c>
      <c r="AA495" s="289">
        <f t="shared" si="61"/>
        <v>0</v>
      </c>
      <c r="AB495" s="289">
        <f t="shared" si="61"/>
        <v>0</v>
      </c>
      <c r="AC495" s="289">
        <f t="shared" si="61"/>
        <v>0</v>
      </c>
      <c r="AD495" s="289">
        <f t="shared" si="61"/>
        <v>5.6606729390894395E-2</v>
      </c>
      <c r="AE495" s="289">
        <f t="shared" si="61"/>
        <v>5.7456885246007824E-2</v>
      </c>
      <c r="AF495" s="289">
        <f t="shared" si="61"/>
        <v>5.6729939842965774E-2</v>
      </c>
      <c r="AG495" s="289">
        <f t="shared" si="61"/>
        <v>4.9817325108586032E-2</v>
      </c>
      <c r="AH495" s="289">
        <f t="shared" si="61"/>
        <v>4.6095786145857846E-2</v>
      </c>
      <c r="AI495" s="289">
        <f t="shared" si="61"/>
        <v>4.3483212563771127E-2</v>
      </c>
      <c r="AJ495" s="289">
        <f t="shared" si="61"/>
        <v>4.6853656818226702E-2</v>
      </c>
      <c r="AK495" s="289">
        <f t="shared" si="61"/>
        <v>3.4119061780744107E-2</v>
      </c>
      <c r="AL495" s="289">
        <f t="shared" si="61"/>
        <v>2.971848457749484E-2</v>
      </c>
      <c r="AM495" s="289">
        <f t="shared" si="61"/>
        <v>2.6590884049589279E-2</v>
      </c>
      <c r="AN495" s="289">
        <f t="shared" si="61"/>
        <v>2.4086295635450002E-2</v>
      </c>
      <c r="AO495" s="289">
        <f t="shared" si="61"/>
        <v>2.3717347177176194E-2</v>
      </c>
      <c r="AP495" s="289">
        <f t="shared" si="61"/>
        <v>2.1493932994278445E-2</v>
      </c>
      <c r="AQ495" s="289">
        <f t="shared" si="61"/>
        <v>2.5751738116813298E-2</v>
      </c>
      <c r="AR495" s="289">
        <f t="shared" si="61"/>
        <v>3.1267727708434251E-2</v>
      </c>
      <c r="AS495" s="289">
        <f t="shared" si="61"/>
        <v>3.5929462393648123E-2</v>
      </c>
      <c r="AT495" s="289">
        <f t="shared" si="61"/>
        <v>4.1281708817714237E-2</v>
      </c>
      <c r="AU495" s="289">
        <f t="shared" si="61"/>
        <v>3.967741802095031E-2</v>
      </c>
      <c r="AV495" s="289">
        <f t="shared" si="61"/>
        <v>4.4776672124806009E-2</v>
      </c>
      <c r="AW495" s="289">
        <f t="shared" si="61"/>
        <v>5.2872822802903834E-2</v>
      </c>
      <c r="AX495" s="289">
        <f t="shared" si="61"/>
        <v>5.6257326958388761E-2</v>
      </c>
      <c r="AY495" s="289">
        <f t="shared" si="61"/>
        <v>9.0812087967147792E-2</v>
      </c>
      <c r="AZ495" s="289">
        <f t="shared" si="61"/>
        <v>0.11489481563847095</v>
      </c>
      <c r="BA495" s="289">
        <f t="shared" si="61"/>
        <v>0.12115838083491717</v>
      </c>
      <c r="BB495" s="289">
        <f t="shared" si="61"/>
        <v>0.14079940149164519</v>
      </c>
      <c r="BC495" s="289">
        <f t="shared" si="54"/>
        <v>0.14079940149164519</v>
      </c>
    </row>
    <row r="496" spans="2:55">
      <c r="B496" s="72" t="s">
        <v>876</v>
      </c>
      <c r="C496" s="72" t="s">
        <v>877</v>
      </c>
      <c r="D496" s="289">
        <f t="shared" si="52"/>
        <v>0</v>
      </c>
      <c r="E496" s="289">
        <f t="shared" si="61"/>
        <v>0</v>
      </c>
      <c r="F496" s="289">
        <f t="shared" si="61"/>
        <v>0</v>
      </c>
      <c r="G496" s="289">
        <f t="shared" si="61"/>
        <v>0</v>
      </c>
      <c r="H496" s="289">
        <f t="shared" si="61"/>
        <v>0</v>
      </c>
      <c r="I496" s="289">
        <f t="shared" si="61"/>
        <v>0</v>
      </c>
      <c r="J496" s="289">
        <f t="shared" si="61"/>
        <v>0</v>
      </c>
      <c r="K496" s="289">
        <f t="shared" si="61"/>
        <v>0</v>
      </c>
      <c r="L496" s="289">
        <f t="shared" si="61"/>
        <v>0</v>
      </c>
      <c r="M496" s="289">
        <f t="shared" si="61"/>
        <v>0</v>
      </c>
      <c r="N496" s="289">
        <f t="shared" si="61"/>
        <v>0</v>
      </c>
      <c r="O496" s="289">
        <f t="shared" si="61"/>
        <v>0</v>
      </c>
      <c r="P496" s="289">
        <f t="shared" si="61"/>
        <v>0</v>
      </c>
      <c r="Q496" s="289">
        <f t="shared" si="61"/>
        <v>0</v>
      </c>
      <c r="R496" s="289">
        <f t="shared" si="61"/>
        <v>0</v>
      </c>
      <c r="S496" s="289">
        <f t="shared" si="61"/>
        <v>0</v>
      </c>
      <c r="T496" s="289">
        <f t="shared" si="61"/>
        <v>0</v>
      </c>
      <c r="U496" s="289">
        <f t="shared" si="61"/>
        <v>0</v>
      </c>
      <c r="V496" s="289">
        <f t="shared" si="61"/>
        <v>0</v>
      </c>
      <c r="W496" s="289">
        <f t="shared" si="61"/>
        <v>0</v>
      </c>
      <c r="X496" s="289">
        <f t="shared" si="61"/>
        <v>0</v>
      </c>
      <c r="Y496" s="289">
        <f t="shared" si="61"/>
        <v>0</v>
      </c>
      <c r="Z496" s="289">
        <f t="shared" si="61"/>
        <v>0</v>
      </c>
      <c r="AA496" s="289">
        <f t="shared" si="61"/>
        <v>0</v>
      </c>
      <c r="AB496" s="289">
        <f t="shared" si="61"/>
        <v>0</v>
      </c>
      <c r="AC496" s="289">
        <f t="shared" si="61"/>
        <v>0</v>
      </c>
      <c r="AD496" s="289">
        <f t="shared" si="61"/>
        <v>0</v>
      </c>
      <c r="AE496" s="289">
        <f t="shared" si="61"/>
        <v>0</v>
      </c>
      <c r="AF496" s="289">
        <f t="shared" si="61"/>
        <v>0</v>
      </c>
      <c r="AG496" s="289">
        <f t="shared" si="61"/>
        <v>0</v>
      </c>
      <c r="AH496" s="289">
        <f t="shared" si="61"/>
        <v>0</v>
      </c>
      <c r="AI496" s="289">
        <f t="shared" si="61"/>
        <v>0</v>
      </c>
      <c r="AJ496" s="289">
        <f t="shared" si="61"/>
        <v>0</v>
      </c>
      <c r="AK496" s="289">
        <f t="shared" si="61"/>
        <v>0</v>
      </c>
      <c r="AL496" s="289">
        <f t="shared" si="61"/>
        <v>0</v>
      </c>
      <c r="AM496" s="289">
        <f t="shared" si="61"/>
        <v>0</v>
      </c>
      <c r="AN496" s="289">
        <f t="shared" si="61"/>
        <v>0</v>
      </c>
      <c r="AO496" s="289">
        <f t="shared" si="61"/>
        <v>0</v>
      </c>
      <c r="AP496" s="289">
        <f t="shared" si="61"/>
        <v>0</v>
      </c>
      <c r="AQ496" s="289">
        <f t="shared" si="61"/>
        <v>0</v>
      </c>
      <c r="AR496" s="289">
        <f t="shared" si="61"/>
        <v>0</v>
      </c>
      <c r="AS496" s="289">
        <f t="shared" si="61"/>
        <v>0</v>
      </c>
      <c r="AT496" s="289">
        <f t="shared" si="61"/>
        <v>0</v>
      </c>
      <c r="AU496" s="289">
        <f t="shared" si="61"/>
        <v>0</v>
      </c>
      <c r="AV496" s="289">
        <f t="shared" si="61"/>
        <v>0</v>
      </c>
      <c r="AW496" s="289">
        <f t="shared" si="61"/>
        <v>0</v>
      </c>
      <c r="AX496" s="289">
        <f t="shared" si="61"/>
        <v>0</v>
      </c>
      <c r="AY496" s="289">
        <f t="shared" si="61"/>
        <v>0</v>
      </c>
      <c r="AZ496" s="289">
        <f t="shared" si="61"/>
        <v>0</v>
      </c>
      <c r="BA496" s="289">
        <f t="shared" si="61"/>
        <v>0</v>
      </c>
      <c r="BB496" s="289">
        <f t="shared" si="61"/>
        <v>0</v>
      </c>
      <c r="BC496" s="289">
        <f t="shared" si="54"/>
        <v>0</v>
      </c>
    </row>
    <row r="497" spans="2:55">
      <c r="B497" s="72" t="s">
        <v>878</v>
      </c>
      <c r="C497" s="72" t="s">
        <v>879</v>
      </c>
      <c r="D497" s="289">
        <f t="shared" si="52"/>
        <v>0</v>
      </c>
      <c r="E497" s="289">
        <f t="shared" si="61"/>
        <v>0</v>
      </c>
      <c r="F497" s="289">
        <f t="shared" si="61"/>
        <v>0</v>
      </c>
      <c r="G497" s="289">
        <f t="shared" si="61"/>
        <v>0</v>
      </c>
      <c r="H497" s="289">
        <f t="shared" si="61"/>
        <v>0</v>
      </c>
      <c r="I497" s="289">
        <f t="shared" si="61"/>
        <v>0</v>
      </c>
      <c r="J497" s="289">
        <f t="shared" si="61"/>
        <v>0</v>
      </c>
      <c r="K497" s="289">
        <f t="shared" si="61"/>
        <v>0</v>
      </c>
      <c r="L497" s="289">
        <f t="shared" si="61"/>
        <v>0</v>
      </c>
      <c r="M497" s="289">
        <f t="shared" si="61"/>
        <v>0</v>
      </c>
      <c r="N497" s="289">
        <f t="shared" si="61"/>
        <v>0</v>
      </c>
      <c r="O497" s="289">
        <f t="shared" si="61"/>
        <v>0</v>
      </c>
      <c r="P497" s="289">
        <f t="shared" si="61"/>
        <v>0</v>
      </c>
      <c r="Q497" s="289">
        <f t="shared" si="61"/>
        <v>0</v>
      </c>
      <c r="R497" s="289">
        <f t="shared" si="61"/>
        <v>0</v>
      </c>
      <c r="S497" s="289">
        <f t="shared" si="61"/>
        <v>0</v>
      </c>
      <c r="T497" s="289">
        <f t="shared" si="61"/>
        <v>0</v>
      </c>
      <c r="U497" s="289">
        <f t="shared" si="61"/>
        <v>0</v>
      </c>
      <c r="V497" s="289">
        <f t="shared" si="61"/>
        <v>0</v>
      </c>
      <c r="W497" s="289">
        <f t="shared" si="61"/>
        <v>0</v>
      </c>
      <c r="X497" s="289">
        <f t="shared" si="61"/>
        <v>0</v>
      </c>
      <c r="Y497" s="289">
        <f t="shared" si="61"/>
        <v>0</v>
      </c>
      <c r="Z497" s="289">
        <f t="shared" si="61"/>
        <v>0</v>
      </c>
      <c r="AA497" s="289">
        <f t="shared" si="61"/>
        <v>0</v>
      </c>
      <c r="AB497" s="289">
        <f t="shared" si="61"/>
        <v>0</v>
      </c>
      <c r="AC497" s="289">
        <f t="shared" si="61"/>
        <v>0</v>
      </c>
      <c r="AD497" s="289">
        <f t="shared" si="61"/>
        <v>0</v>
      </c>
      <c r="AE497" s="289">
        <f t="shared" si="61"/>
        <v>0</v>
      </c>
      <c r="AF497" s="289">
        <f t="shared" si="61"/>
        <v>0</v>
      </c>
      <c r="AG497" s="289">
        <f t="shared" si="61"/>
        <v>5.5411019176633262E-2</v>
      </c>
      <c r="AH497" s="289">
        <f t="shared" si="61"/>
        <v>5.6246323959545569E-2</v>
      </c>
      <c r="AI497" s="289">
        <f t="shared" si="61"/>
        <v>5.6447068193303931E-2</v>
      </c>
      <c r="AJ497" s="289">
        <f t="shared" si="61"/>
        <v>6.1936969360569506E-2</v>
      </c>
      <c r="AK497" s="289">
        <f t="shared" si="61"/>
        <v>6.465043933136444E-2</v>
      </c>
      <c r="AL497" s="289">
        <f t="shared" si="61"/>
        <v>5.9915262543547176E-2</v>
      </c>
      <c r="AM497" s="289">
        <f t="shared" si="61"/>
        <v>6.3507851367475152E-2</v>
      </c>
      <c r="AN497" s="289">
        <f t="shared" si="61"/>
        <v>5.822759143130718E-2</v>
      </c>
      <c r="AO497" s="289">
        <f t="shared" si="61"/>
        <v>5.4679696069413156E-2</v>
      </c>
      <c r="AP497" s="289">
        <f t="shared" si="61"/>
        <v>5.6977839172349824E-2</v>
      </c>
      <c r="AQ497" s="289">
        <f t="shared" si="61"/>
        <v>5.8223805840851656E-2</v>
      </c>
      <c r="AR497" s="289">
        <f t="shared" si="61"/>
        <v>5.6100421758928848E-2</v>
      </c>
      <c r="AS497" s="289">
        <f t="shared" si="61"/>
        <v>6.0056068756626863E-2</v>
      </c>
      <c r="AT497" s="289">
        <f t="shared" si="61"/>
        <v>6.1022448682295949E-2</v>
      </c>
      <c r="AU497" s="289">
        <f t="shared" si="61"/>
        <v>6.0841969446103289E-2</v>
      </c>
      <c r="AV497" s="289">
        <f t="shared" si="61"/>
        <v>5.909770008027472E-2</v>
      </c>
      <c r="AW497" s="289">
        <f t="shared" si="61"/>
        <v>5.7926684320101389E-2</v>
      </c>
      <c r="AX497" s="289">
        <f t="shared" si="61"/>
        <v>6.0081129250919421E-2</v>
      </c>
      <c r="AY497" s="289">
        <f t="shared" si="61"/>
        <v>7.1489063463051186E-2</v>
      </c>
      <c r="AZ497" s="289">
        <f t="shared" si="61"/>
        <v>7.7934865298131609E-2</v>
      </c>
      <c r="BA497" s="289">
        <f t="shared" si="61"/>
        <v>8.9300063351797007E-2</v>
      </c>
      <c r="BB497" s="289">
        <f t="shared" si="61"/>
        <v>9.3140693987011178E-2</v>
      </c>
      <c r="BC497" s="289">
        <f t="shared" si="54"/>
        <v>9.3140693987011178E-2</v>
      </c>
    </row>
    <row r="498" spans="2:55">
      <c r="B498" s="72" t="s">
        <v>880</v>
      </c>
      <c r="C498" s="72" t="s">
        <v>881</v>
      </c>
      <c r="D498" s="289">
        <f t="shared" si="52"/>
        <v>4.3395463965347006E-2</v>
      </c>
      <c r="E498" s="289">
        <f t="shared" si="61"/>
        <v>4.0981624775593938E-2</v>
      </c>
      <c r="F498" s="289">
        <f t="shared" si="61"/>
        <v>4.3292988696908105E-2</v>
      </c>
      <c r="G498" s="289">
        <f t="shared" si="61"/>
        <v>4.3981435462898032E-2</v>
      </c>
      <c r="H498" s="289">
        <f t="shared" si="61"/>
        <v>5.9625875120659699E-2</v>
      </c>
      <c r="I498" s="289">
        <f t="shared" si="61"/>
        <v>5.6957228426741113E-2</v>
      </c>
      <c r="J498" s="289">
        <f t="shared" si="61"/>
        <v>5.5732790929321693E-2</v>
      </c>
      <c r="K498" s="289">
        <f t="shared" si="61"/>
        <v>6.1695222563089305E-2</v>
      </c>
      <c r="L498" s="289">
        <f t="shared" si="61"/>
        <v>6.2787286585381838E-2</v>
      </c>
      <c r="M498" s="289">
        <f t="shared" si="61"/>
        <v>5.947606158760059E-2</v>
      </c>
      <c r="N498" s="289">
        <f t="shared" si="61"/>
        <v>5.7668489224246194E-2</v>
      </c>
      <c r="O498" s="289">
        <f t="shared" si="61"/>
        <v>5.1492895205364451E-2</v>
      </c>
      <c r="P498" s="289">
        <f t="shared" si="61"/>
        <v>5.0741966196339958E-2</v>
      </c>
      <c r="Q498" s="289">
        <f t="shared" si="61"/>
        <v>5.636558821799649E-2</v>
      </c>
      <c r="R498" s="289">
        <f t="shared" si="61"/>
        <v>5.1494386395504479E-2</v>
      </c>
      <c r="S498" s="289">
        <f t="shared" si="61"/>
        <v>5.3970068568706446E-2</v>
      </c>
      <c r="T498" s="289">
        <f t="shared" si="61"/>
        <v>5.5631096191269234E-2</v>
      </c>
      <c r="U498" s="289">
        <f t="shared" si="61"/>
        <v>3.5103907769308329E-2</v>
      </c>
      <c r="V498" s="289">
        <f t="shared" si="61"/>
        <v>2.3182535146995826E-2</v>
      </c>
      <c r="W498" s="289">
        <f t="shared" si="61"/>
        <v>1.0214500270364427E-2</v>
      </c>
      <c r="X498" s="289">
        <f t="shared" si="61"/>
        <v>1.1209541166142711E-2</v>
      </c>
      <c r="Y498" s="289">
        <f t="shared" si="61"/>
        <v>1.857281552818715E-2</v>
      </c>
      <c r="Z498" s="289">
        <f t="shared" si="61"/>
        <v>1.9544718315163419E-2</v>
      </c>
      <c r="AA498" s="289">
        <f t="shared" si="61"/>
        <v>3.2474608142280759E-2</v>
      </c>
      <c r="AB498" s="289">
        <f t="shared" si="61"/>
        <v>2.8965174501780613E-2</v>
      </c>
      <c r="AC498" s="289">
        <f t="shared" si="61"/>
        <v>2.5433385125734162E-2</v>
      </c>
      <c r="AD498" s="289">
        <f t="shared" si="61"/>
        <v>3.1989372627235106E-2</v>
      </c>
      <c r="AE498" s="289">
        <f t="shared" si="61"/>
        <v>2.6413042365538944E-2</v>
      </c>
      <c r="AF498" s="289">
        <f t="shared" si="61"/>
        <v>2.0506837558102245E-2</v>
      </c>
      <c r="AG498" s="289">
        <f t="shared" si="61"/>
        <v>1.3749143671984782E-2</v>
      </c>
      <c r="AH498" s="289">
        <f t="shared" si="61"/>
        <v>9.8642605052570494E-3</v>
      </c>
      <c r="AI498" s="289">
        <f t="shared" si="61"/>
        <v>7.9588214360032591E-3</v>
      </c>
      <c r="AJ498" s="289">
        <f t="shared" si="61"/>
        <v>9.6851461814276129E-3</v>
      </c>
      <c r="AK498" s="289">
        <f t="shared" si="61"/>
        <v>1.0781649528917196E-2</v>
      </c>
      <c r="AL498" s="289">
        <f t="shared" si="61"/>
        <v>1.3854410549545499E-2</v>
      </c>
      <c r="AM498" s="289">
        <f t="shared" si="61"/>
        <v>1.3425843491621063E-2</v>
      </c>
      <c r="AN498" s="289">
        <f t="shared" si="61"/>
        <v>1.2079555330593055E-2</v>
      </c>
      <c r="AO498" s="289">
        <f t="shared" si="61"/>
        <v>1.1559868025521031E-2</v>
      </c>
      <c r="AP498" s="289">
        <f t="shared" si="61"/>
        <v>9.9686073843735738E-3</v>
      </c>
      <c r="AQ498" s="289">
        <f t="shared" si="61"/>
        <v>1.0207700381163552E-2</v>
      </c>
      <c r="AR498" s="289">
        <f t="shared" si="61"/>
        <v>9.4123326075611878E-3</v>
      </c>
      <c r="AS498" s="289">
        <f t="shared" si="61"/>
        <v>8.872521815021156E-3</v>
      </c>
      <c r="AT498" s="289">
        <f t="shared" si="61"/>
        <v>7.6348840172247119E-3</v>
      </c>
      <c r="AU498" s="289">
        <f t="shared" si="61"/>
        <v>7.8624437202943868E-3</v>
      </c>
      <c r="AV498" s="289">
        <f t="shared" si="61"/>
        <v>8.5227710697584631E-3</v>
      </c>
      <c r="AW498" s="289">
        <f t="shared" si="61"/>
        <v>8.3917126229144604E-3</v>
      </c>
      <c r="AX498" s="289">
        <f t="shared" si="61"/>
        <v>8.4772018826790897E-3</v>
      </c>
      <c r="AY498" s="289">
        <f t="shared" si="61"/>
        <v>1.0679543987366379E-2</v>
      </c>
      <c r="AZ498" s="289">
        <f t="shared" si="61"/>
        <v>1.3819083579657943E-2</v>
      </c>
      <c r="BA498" s="289">
        <f t="shared" si="61"/>
        <v>1.4191079992905141E-2</v>
      </c>
      <c r="BB498" s="289">
        <f t="shared" si="61"/>
        <v>1.2477580304945841E-2</v>
      </c>
      <c r="BC498" s="289">
        <f t="shared" si="54"/>
        <v>1.2477580304945841E-2</v>
      </c>
    </row>
    <row r="499" spans="2:55">
      <c r="B499" s="72" t="s">
        <v>882</v>
      </c>
      <c r="C499" s="72" t="s">
        <v>883</v>
      </c>
      <c r="D499" s="289">
        <f t="shared" si="52"/>
        <v>0</v>
      </c>
      <c r="E499" s="289">
        <f t="shared" si="61"/>
        <v>0</v>
      </c>
      <c r="F499" s="289">
        <f t="shared" si="61"/>
        <v>0</v>
      </c>
      <c r="G499" s="289">
        <f t="shared" si="61"/>
        <v>0</v>
      </c>
      <c r="H499" s="289">
        <f t="shared" si="61"/>
        <v>0</v>
      </c>
      <c r="I499" s="289">
        <f t="shared" si="61"/>
        <v>0</v>
      </c>
      <c r="J499" s="289">
        <f t="shared" si="61"/>
        <v>0</v>
      </c>
      <c r="K499" s="289">
        <f t="shared" si="61"/>
        <v>0</v>
      </c>
      <c r="L499" s="289">
        <f t="shared" si="61"/>
        <v>0</v>
      </c>
      <c r="M499" s="289">
        <f t="shared" si="61"/>
        <v>0</v>
      </c>
      <c r="N499" s="289">
        <f t="shared" si="61"/>
        <v>0</v>
      </c>
      <c r="O499" s="289">
        <f t="shared" si="61"/>
        <v>0</v>
      </c>
      <c r="P499" s="289">
        <f t="shared" si="61"/>
        <v>0</v>
      </c>
      <c r="Q499" s="289">
        <f t="shared" si="61"/>
        <v>0</v>
      </c>
      <c r="R499" s="289">
        <f t="shared" si="61"/>
        <v>0</v>
      </c>
      <c r="S499" s="289">
        <f t="shared" si="61"/>
        <v>0</v>
      </c>
      <c r="T499" s="289">
        <f t="shared" ref="E499:BB504" si="62">T249/T$251</f>
        <v>0</v>
      </c>
      <c r="U499" s="289">
        <f t="shared" si="62"/>
        <v>0</v>
      </c>
      <c r="V499" s="289">
        <f t="shared" si="62"/>
        <v>0</v>
      </c>
      <c r="W499" s="289">
        <f t="shared" si="62"/>
        <v>0</v>
      </c>
      <c r="X499" s="289">
        <f t="shared" si="62"/>
        <v>0</v>
      </c>
      <c r="Y499" s="289">
        <f t="shared" si="62"/>
        <v>0</v>
      </c>
      <c r="Z499" s="289">
        <f t="shared" si="62"/>
        <v>0</v>
      </c>
      <c r="AA499" s="289">
        <f t="shared" si="62"/>
        <v>0</v>
      </c>
      <c r="AB499" s="289">
        <f t="shared" si="62"/>
        <v>0</v>
      </c>
      <c r="AC499" s="289">
        <f t="shared" si="62"/>
        <v>0</v>
      </c>
      <c r="AD499" s="289">
        <f t="shared" si="62"/>
        <v>0.10130782288361428</v>
      </c>
      <c r="AE499" s="289">
        <f t="shared" si="62"/>
        <v>9.6980632919909202E-2</v>
      </c>
      <c r="AF499" s="289">
        <f t="shared" si="62"/>
        <v>0.1060951032320538</v>
      </c>
      <c r="AG499" s="289">
        <f t="shared" si="62"/>
        <v>8.8747140474055158E-2</v>
      </c>
      <c r="AH499" s="289">
        <f t="shared" si="62"/>
        <v>8.1020149092792204E-2</v>
      </c>
      <c r="AI499" s="289">
        <f t="shared" si="62"/>
        <v>7.4780315569787995E-2</v>
      </c>
      <c r="AJ499" s="289">
        <f t="shared" si="62"/>
        <v>7.4016969985748207E-2</v>
      </c>
      <c r="AK499" s="289">
        <f t="shared" si="62"/>
        <v>5.5220615160138542E-2</v>
      </c>
      <c r="AL499" s="289">
        <f t="shared" si="62"/>
        <v>4.6930336618010424E-2</v>
      </c>
      <c r="AM499" s="289">
        <f t="shared" si="62"/>
        <v>4.162452706093582E-2</v>
      </c>
      <c r="AN499" s="289">
        <f t="shared" si="62"/>
        <v>4.2252432855825708E-2</v>
      </c>
      <c r="AO499" s="289">
        <f t="shared" si="62"/>
        <v>3.3415914935025132E-2</v>
      </c>
      <c r="AP499" s="289">
        <f t="shared" si="62"/>
        <v>2.4810165070727287E-2</v>
      </c>
      <c r="AQ499" s="289">
        <f t="shared" si="62"/>
        <v>2.5369892762724496E-2</v>
      </c>
      <c r="AR499" s="289">
        <f t="shared" si="62"/>
        <v>3.1435285905622279E-2</v>
      </c>
      <c r="AS499" s="289">
        <f t="shared" si="62"/>
        <v>3.2576803340863138E-2</v>
      </c>
      <c r="AT499" s="289">
        <f t="shared" si="62"/>
        <v>3.3657204736989597E-2</v>
      </c>
      <c r="AU499" s="289">
        <f t="shared" si="62"/>
        <v>3.7262489143134778E-2</v>
      </c>
      <c r="AV499" s="289">
        <f t="shared" si="62"/>
        <v>4.7970688577931138E-2</v>
      </c>
      <c r="AW499" s="289">
        <f t="shared" si="62"/>
        <v>5.6891406597170964E-2</v>
      </c>
      <c r="AX499" s="289">
        <f t="shared" si="62"/>
        <v>6.6233384768938627E-2</v>
      </c>
      <c r="AY499" s="289">
        <f t="shared" si="62"/>
        <v>9.0181315151699123E-2</v>
      </c>
      <c r="AZ499" s="289">
        <f t="shared" si="62"/>
        <v>7.2046081312324331E-2</v>
      </c>
      <c r="BA499" s="289">
        <f t="shared" si="62"/>
        <v>8.202727299814673E-2</v>
      </c>
      <c r="BB499" s="289">
        <f t="shared" si="62"/>
        <v>9.2610777501789282E-2</v>
      </c>
      <c r="BC499" s="289">
        <f t="shared" si="54"/>
        <v>9.2610777501789282E-2</v>
      </c>
    </row>
    <row r="500" spans="2:55">
      <c r="B500" s="72" t="s">
        <v>884</v>
      </c>
      <c r="C500" s="72" t="s">
        <v>885</v>
      </c>
      <c r="D500" s="289">
        <f t="shared" si="52"/>
        <v>0</v>
      </c>
      <c r="E500" s="289">
        <f t="shared" si="62"/>
        <v>0</v>
      </c>
      <c r="F500" s="289">
        <f t="shared" si="62"/>
        <v>0</v>
      </c>
      <c r="G500" s="289">
        <f t="shared" si="62"/>
        <v>0</v>
      </c>
      <c r="H500" s="289">
        <f t="shared" si="62"/>
        <v>0</v>
      </c>
      <c r="I500" s="289">
        <f t="shared" si="62"/>
        <v>0</v>
      </c>
      <c r="J500" s="289">
        <f t="shared" si="62"/>
        <v>0</v>
      </c>
      <c r="K500" s="289">
        <f t="shared" si="62"/>
        <v>0</v>
      </c>
      <c r="L500" s="289">
        <f t="shared" si="62"/>
        <v>0</v>
      </c>
      <c r="M500" s="289">
        <f t="shared" si="62"/>
        <v>0</v>
      </c>
      <c r="N500" s="289">
        <f t="shared" si="62"/>
        <v>0</v>
      </c>
      <c r="O500" s="289">
        <f t="shared" si="62"/>
        <v>0</v>
      </c>
      <c r="P500" s="289">
        <f t="shared" si="62"/>
        <v>0</v>
      </c>
      <c r="Q500" s="289">
        <f t="shared" si="62"/>
        <v>0</v>
      </c>
      <c r="R500" s="289">
        <f t="shared" si="62"/>
        <v>6.5613217292274806</v>
      </c>
      <c r="S500" s="289">
        <f t="shared" si="62"/>
        <v>7.6145920692566911</v>
      </c>
      <c r="T500" s="289">
        <f t="shared" si="62"/>
        <v>7.5174931460464745</v>
      </c>
      <c r="U500" s="289">
        <f t="shared" si="62"/>
        <v>4.9609988654263768</v>
      </c>
      <c r="V500" s="289">
        <f t="shared" si="62"/>
        <v>4.4826226706157923</v>
      </c>
      <c r="W500" s="289">
        <f t="shared" si="62"/>
        <v>4.4583431936433291</v>
      </c>
      <c r="X500" s="289">
        <f t="shared" si="62"/>
        <v>4.9407672846990529</v>
      </c>
      <c r="Y500" s="289">
        <f t="shared" si="62"/>
        <v>4.6207019167712238</v>
      </c>
      <c r="Z500" s="289">
        <f t="shared" si="62"/>
        <v>4.2545781204944735</v>
      </c>
      <c r="AA500" s="289">
        <f t="shared" si="62"/>
        <v>4.202782349877265</v>
      </c>
      <c r="AB500" s="289">
        <f t="shared" si="62"/>
        <v>3.6662206160467248</v>
      </c>
      <c r="AC500" s="289">
        <f t="shared" si="62"/>
        <v>2.3606227890047284</v>
      </c>
      <c r="AD500" s="289">
        <f t="shared" si="62"/>
        <v>1.9450221931222127</v>
      </c>
      <c r="AE500" s="289">
        <f t="shared" si="62"/>
        <v>1.5058403123715294</v>
      </c>
      <c r="AF500" s="289">
        <f t="shared" si="62"/>
        <v>1.6111537692842115</v>
      </c>
      <c r="AG500" s="289">
        <f t="shared" si="62"/>
        <v>1.5848826561855591</v>
      </c>
      <c r="AH500" s="289">
        <f t="shared" si="62"/>
        <v>1.4681026966854331</v>
      </c>
      <c r="AI500" s="289">
        <f t="shared" si="62"/>
        <v>1.4203127870476175</v>
      </c>
      <c r="AJ500" s="289">
        <f t="shared" si="62"/>
        <v>1.5423756428847424</v>
      </c>
      <c r="AK500" s="289">
        <f t="shared" si="62"/>
        <v>1.4490479478168401</v>
      </c>
      <c r="AL500" s="289">
        <f t="shared" si="62"/>
        <v>1.4036174768450613</v>
      </c>
      <c r="AM500" s="289">
        <f t="shared" si="62"/>
        <v>1.4183750846593568</v>
      </c>
      <c r="AN500" s="289">
        <f t="shared" si="62"/>
        <v>1.2867970858212263</v>
      </c>
      <c r="AO500" s="289">
        <f t="shared" si="62"/>
        <v>1.0987027435469037</v>
      </c>
      <c r="AP500" s="289">
        <f t="shared" si="62"/>
        <v>1.1375078006874288</v>
      </c>
      <c r="AQ500" s="289">
        <f t="shared" si="62"/>
        <v>1.3726426537957535</v>
      </c>
      <c r="AR500" s="289">
        <f t="shared" si="62"/>
        <v>1.3207724793101074</v>
      </c>
      <c r="AS500" s="289">
        <f t="shared" si="62"/>
        <v>1.2498031368835023</v>
      </c>
      <c r="AT500" s="289">
        <f t="shared" si="62"/>
        <v>1.1736321049135605</v>
      </c>
      <c r="AU500" s="289">
        <f t="shared" si="62"/>
        <v>1.1012571909149054</v>
      </c>
      <c r="AV500" s="289">
        <f t="shared" si="62"/>
        <v>1.1642950333414361</v>
      </c>
      <c r="AW500" s="289">
        <f t="shared" si="62"/>
        <v>1.1767094799138778</v>
      </c>
      <c r="AX500" s="289">
        <f t="shared" si="62"/>
        <v>1.0307858039588342</v>
      </c>
      <c r="AY500" s="289">
        <f t="shared" si="62"/>
        <v>1.1756879975901642</v>
      </c>
      <c r="AZ500" s="289">
        <f t="shared" si="62"/>
        <v>1.1027002463575637</v>
      </c>
      <c r="BA500" s="289">
        <f t="shared" si="62"/>
        <v>1.0929139977015556</v>
      </c>
      <c r="BB500" s="289">
        <f t="shared" si="62"/>
        <v>1.1694388935422591</v>
      </c>
      <c r="BC500" s="289">
        <f t="shared" si="54"/>
        <v>1.1694388935422591</v>
      </c>
    </row>
    <row r="501" spans="2:55">
      <c r="B501" s="72" t="s">
        <v>886</v>
      </c>
      <c r="C501" s="72" t="s">
        <v>887</v>
      </c>
      <c r="D501" s="289">
        <f t="shared" si="52"/>
        <v>1</v>
      </c>
      <c r="E501" s="289">
        <f t="shared" si="62"/>
        <v>1</v>
      </c>
      <c r="F501" s="289">
        <f t="shared" si="62"/>
        <v>1</v>
      </c>
      <c r="G501" s="289">
        <f t="shared" si="62"/>
        <v>1</v>
      </c>
      <c r="H501" s="289">
        <f t="shared" si="62"/>
        <v>1</v>
      </c>
      <c r="I501" s="289">
        <f t="shared" si="62"/>
        <v>1</v>
      </c>
      <c r="J501" s="289">
        <f t="shared" si="62"/>
        <v>1</v>
      </c>
      <c r="K501" s="289">
        <f t="shared" si="62"/>
        <v>1</v>
      </c>
      <c r="L501" s="289">
        <f t="shared" si="62"/>
        <v>1</v>
      </c>
      <c r="M501" s="289">
        <f t="shared" si="62"/>
        <v>1</v>
      </c>
      <c r="N501" s="289">
        <f t="shared" si="62"/>
        <v>1</v>
      </c>
      <c r="O501" s="289">
        <f t="shared" si="62"/>
        <v>1</v>
      </c>
      <c r="P501" s="289">
        <f t="shared" si="62"/>
        <v>1</v>
      </c>
      <c r="Q501" s="289">
        <f t="shared" si="62"/>
        <v>1</v>
      </c>
      <c r="R501" s="289">
        <f t="shared" si="62"/>
        <v>1</v>
      </c>
      <c r="S501" s="289">
        <f t="shared" si="62"/>
        <v>1</v>
      </c>
      <c r="T501" s="289">
        <f t="shared" si="62"/>
        <v>1</v>
      </c>
      <c r="U501" s="289">
        <f t="shared" si="62"/>
        <v>1</v>
      </c>
      <c r="V501" s="289">
        <f t="shared" si="62"/>
        <v>1</v>
      </c>
      <c r="W501" s="289">
        <f t="shared" si="62"/>
        <v>1</v>
      </c>
      <c r="X501" s="289">
        <f t="shared" si="62"/>
        <v>1</v>
      </c>
      <c r="Y501" s="289">
        <f t="shared" si="62"/>
        <v>1</v>
      </c>
      <c r="Z501" s="289">
        <f t="shared" si="62"/>
        <v>1</v>
      </c>
      <c r="AA501" s="289">
        <f t="shared" si="62"/>
        <v>1</v>
      </c>
      <c r="AB501" s="289">
        <f t="shared" si="62"/>
        <v>1</v>
      </c>
      <c r="AC501" s="289">
        <f t="shared" si="62"/>
        <v>1</v>
      </c>
      <c r="AD501" s="289">
        <f t="shared" si="62"/>
        <v>1</v>
      </c>
      <c r="AE501" s="289">
        <f t="shared" si="62"/>
        <v>1</v>
      </c>
      <c r="AF501" s="289">
        <f t="shared" si="62"/>
        <v>1</v>
      </c>
      <c r="AG501" s="289">
        <f t="shared" si="62"/>
        <v>1</v>
      </c>
      <c r="AH501" s="289">
        <f t="shared" si="62"/>
        <v>1</v>
      </c>
      <c r="AI501" s="289">
        <f t="shared" si="62"/>
        <v>1</v>
      </c>
      <c r="AJ501" s="289">
        <f t="shared" si="62"/>
        <v>1</v>
      </c>
      <c r="AK501" s="289">
        <f t="shared" si="62"/>
        <v>1</v>
      </c>
      <c r="AL501" s="289">
        <f t="shared" si="62"/>
        <v>1</v>
      </c>
      <c r="AM501" s="289">
        <f t="shared" si="62"/>
        <v>1</v>
      </c>
      <c r="AN501" s="289">
        <f t="shared" si="62"/>
        <v>1</v>
      </c>
      <c r="AO501" s="289">
        <f t="shared" si="62"/>
        <v>1</v>
      </c>
      <c r="AP501" s="289">
        <f t="shared" si="62"/>
        <v>1</v>
      </c>
      <c r="AQ501" s="289">
        <f t="shared" si="62"/>
        <v>1</v>
      </c>
      <c r="AR501" s="289">
        <f t="shared" si="62"/>
        <v>1</v>
      </c>
      <c r="AS501" s="289">
        <f t="shared" si="62"/>
        <v>1</v>
      </c>
      <c r="AT501" s="289">
        <f t="shared" si="62"/>
        <v>1</v>
      </c>
      <c r="AU501" s="289">
        <f t="shared" si="62"/>
        <v>1</v>
      </c>
      <c r="AV501" s="289">
        <f t="shared" si="62"/>
        <v>1</v>
      </c>
      <c r="AW501" s="289">
        <f t="shared" si="62"/>
        <v>1</v>
      </c>
      <c r="AX501" s="289">
        <f t="shared" si="62"/>
        <v>1</v>
      </c>
      <c r="AY501" s="289">
        <f t="shared" si="62"/>
        <v>1</v>
      </c>
      <c r="AZ501" s="289">
        <f t="shared" si="62"/>
        <v>1</v>
      </c>
      <c r="BA501" s="289">
        <f t="shared" si="62"/>
        <v>1</v>
      </c>
      <c r="BB501" s="289">
        <f t="shared" si="62"/>
        <v>1</v>
      </c>
      <c r="BC501" s="289">
        <f t="shared" si="54"/>
        <v>1</v>
      </c>
    </row>
    <row r="502" spans="2:55">
      <c r="B502" s="72" t="s">
        <v>888</v>
      </c>
      <c r="C502" s="72" t="s">
        <v>889</v>
      </c>
      <c r="D502" s="289">
        <f t="shared" si="52"/>
        <v>2.0202839605557603</v>
      </c>
      <c r="E502" s="289">
        <f t="shared" si="62"/>
        <v>2.0532715240436383</v>
      </c>
      <c r="F502" s="289">
        <f t="shared" si="62"/>
        <v>2.0294980717297371</v>
      </c>
      <c r="G502" s="289">
        <f t="shared" si="62"/>
        <v>1.9795283480519128</v>
      </c>
      <c r="H502" s="289">
        <f t="shared" si="62"/>
        <v>1.9799521482955298</v>
      </c>
      <c r="I502" s="289">
        <f t="shared" si="62"/>
        <v>2.0269783016476102</v>
      </c>
      <c r="J502" s="289">
        <f t="shared" si="62"/>
        <v>2.0517707465780073</v>
      </c>
      <c r="K502" s="289">
        <f t="shared" si="62"/>
        <v>2.3684115636345777</v>
      </c>
      <c r="L502" s="289">
        <f t="shared" si="62"/>
        <v>2.3631016072872</v>
      </c>
      <c r="M502" s="289">
        <f t="shared" si="62"/>
        <v>2.2291794973484826</v>
      </c>
      <c r="N502" s="289">
        <f t="shared" si="62"/>
        <v>2.1223148926397153</v>
      </c>
      <c r="O502" s="289">
        <f t="shared" si="62"/>
        <v>2.0180712992576058</v>
      </c>
      <c r="P502" s="289">
        <f t="shared" si="62"/>
        <v>1.9837670348403877</v>
      </c>
      <c r="Q502" s="289">
        <f t="shared" si="62"/>
        <v>1.9759294235330171</v>
      </c>
      <c r="R502" s="289">
        <f t="shared" si="62"/>
        <v>1.7875908870657142</v>
      </c>
      <c r="S502" s="289">
        <f t="shared" si="62"/>
        <v>2.0532566645819017</v>
      </c>
      <c r="T502" s="289">
        <f t="shared" si="62"/>
        <v>2.0025986164966318</v>
      </c>
      <c r="U502" s="289">
        <f t="shared" si="62"/>
        <v>1.7674141923318392</v>
      </c>
      <c r="V502" s="289">
        <f t="shared" si="62"/>
        <v>1.5046624629257288</v>
      </c>
      <c r="W502" s="289">
        <f t="shared" si="62"/>
        <v>1.2656748721155795</v>
      </c>
      <c r="X502" s="289">
        <f t="shared" si="62"/>
        <v>1.4794899034776008</v>
      </c>
      <c r="Y502" s="289">
        <f t="shared" si="62"/>
        <v>1.5981017730535592</v>
      </c>
      <c r="Z502" s="289">
        <f t="shared" si="62"/>
        <v>1.8145578600613366</v>
      </c>
      <c r="AA502" s="289">
        <f t="shared" si="62"/>
        <v>2.1265285994652956</v>
      </c>
      <c r="AB502" s="289">
        <f t="shared" si="62"/>
        <v>2.1424067190825267</v>
      </c>
      <c r="AC502" s="289">
        <f t="shared" si="62"/>
        <v>1.8310397085151042</v>
      </c>
      <c r="AD502" s="289">
        <f t="shared" si="62"/>
        <v>1.5724938038108784</v>
      </c>
      <c r="AE502" s="289">
        <f t="shared" si="62"/>
        <v>1.3847287785269935</v>
      </c>
      <c r="AF502" s="289">
        <f t="shared" si="62"/>
        <v>1.4637022511848206</v>
      </c>
      <c r="AG502" s="289">
        <f t="shared" si="62"/>
        <v>1.3024860018989188</v>
      </c>
      <c r="AH502" s="289">
        <f t="shared" si="62"/>
        <v>1.2750235073923815</v>
      </c>
      <c r="AI502" s="289">
        <f t="shared" si="62"/>
        <v>1.2874756318789418</v>
      </c>
      <c r="AJ502" s="289">
        <f t="shared" si="62"/>
        <v>1.489988206737128</v>
      </c>
      <c r="AK502" s="289">
        <f t="shared" si="62"/>
        <v>1.4500867585476744</v>
      </c>
      <c r="AL502" s="289">
        <f t="shared" si="62"/>
        <v>1.3818430445091441</v>
      </c>
      <c r="AM502" s="289">
        <f t="shared" si="62"/>
        <v>1.3723193466830415</v>
      </c>
      <c r="AN502" s="289">
        <f t="shared" si="62"/>
        <v>1.2907929115482064</v>
      </c>
      <c r="AO502" s="289">
        <f t="shared" si="62"/>
        <v>1.2676908421343234</v>
      </c>
      <c r="AP502" s="289">
        <f t="shared" si="62"/>
        <v>1.3007546015505831</v>
      </c>
      <c r="AQ502" s="289">
        <f t="shared" si="62"/>
        <v>1.4000504494038972</v>
      </c>
      <c r="AR502" s="289">
        <f t="shared" si="62"/>
        <v>1.4459580674971804</v>
      </c>
      <c r="AS502" s="289">
        <f t="shared" si="62"/>
        <v>1.3638361016339831</v>
      </c>
      <c r="AT502" s="289">
        <f t="shared" si="62"/>
        <v>1.2270007357691284</v>
      </c>
      <c r="AU502" s="289">
        <f t="shared" si="62"/>
        <v>1.0980281993061505</v>
      </c>
      <c r="AV502" s="289">
        <f t="shared" si="62"/>
        <v>1.1152846354569557</v>
      </c>
      <c r="AW502" s="289">
        <f t="shared" si="62"/>
        <v>1.1023118164160075</v>
      </c>
      <c r="AX502" s="289">
        <f t="shared" si="62"/>
        <v>1.0004072859779714</v>
      </c>
      <c r="AY502" s="289">
        <f t="shared" si="62"/>
        <v>1.0837310748086844</v>
      </c>
      <c r="AZ502" s="289">
        <f t="shared" si="62"/>
        <v>1.282292929287062</v>
      </c>
      <c r="BA502" s="289">
        <f t="shared" si="62"/>
        <v>1.2856344055643318</v>
      </c>
      <c r="BB502" s="289">
        <f>BB252/BB$251</f>
        <v>1.2324248712985342</v>
      </c>
      <c r="BC502" s="289">
        <f t="shared" si="54"/>
        <v>1.2324248712985342</v>
      </c>
    </row>
    <row r="503" spans="2:55">
      <c r="B503" s="72" t="s">
        <v>890</v>
      </c>
      <c r="C503" s="72" t="s">
        <v>891</v>
      </c>
      <c r="D503" s="289">
        <f t="shared" si="52"/>
        <v>0.41492728029198767</v>
      </c>
      <c r="E503" s="289">
        <f t="shared" si="62"/>
        <v>0.43375587116753767</v>
      </c>
      <c r="F503" s="289">
        <f t="shared" si="62"/>
        <v>0.36678832406959561</v>
      </c>
      <c r="G503" s="289">
        <f t="shared" si="62"/>
        <v>0.42845340167861928</v>
      </c>
      <c r="H503" s="289">
        <f t="shared" si="62"/>
        <v>0.37887527291628414</v>
      </c>
      <c r="I503" s="289">
        <f t="shared" si="62"/>
        <v>0.33906736650765418</v>
      </c>
      <c r="J503" s="289">
        <f t="shared" si="62"/>
        <v>0.28723839784820171</v>
      </c>
      <c r="K503" s="289">
        <f t="shared" si="62"/>
        <v>0.3029398937142867</v>
      </c>
      <c r="L503" s="289">
        <f t="shared" si="62"/>
        <v>0.35293082647879714</v>
      </c>
      <c r="M503" s="289">
        <f t="shared" si="62"/>
        <v>0.33935464017837574</v>
      </c>
      <c r="N503" s="289">
        <f t="shared" si="62"/>
        <v>0.39450292200490206</v>
      </c>
      <c r="O503" s="289">
        <f t="shared" si="62"/>
        <v>0.26840335869091686</v>
      </c>
      <c r="P503" s="289">
        <f t="shared" si="62"/>
        <v>0.43136799423727146</v>
      </c>
      <c r="Q503" s="289">
        <f t="shared" si="62"/>
        <v>0.41199155310425323</v>
      </c>
      <c r="R503" s="289">
        <f t="shared" si="62"/>
        <v>0.29740124817095848</v>
      </c>
      <c r="S503" s="289">
        <f t="shared" si="62"/>
        <v>0.31946747705798439</v>
      </c>
      <c r="T503" s="289">
        <f t="shared" si="62"/>
        <v>0.31554396729918222</v>
      </c>
      <c r="U503" s="289">
        <f t="shared" si="62"/>
        <v>0.29520827627699464</v>
      </c>
      <c r="V503" s="289">
        <f t="shared" si="62"/>
        <v>0.33025227361770748</v>
      </c>
      <c r="W503" s="289">
        <f t="shared" si="62"/>
        <v>0.36234485392188964</v>
      </c>
      <c r="X503" s="289">
        <f t="shared" si="62"/>
        <v>0.41189600367271439</v>
      </c>
      <c r="Y503" s="289">
        <f t="shared" si="62"/>
        <v>0.35651273186269461</v>
      </c>
      <c r="Z503" s="289">
        <f t="shared" si="62"/>
        <v>0.20765920929587597</v>
      </c>
      <c r="AA503" s="289">
        <f t="shared" si="62"/>
        <v>0.2084632325928264</v>
      </c>
      <c r="AB503" s="289">
        <f t="shared" si="62"/>
        <v>0.19144094997855621</v>
      </c>
      <c r="AC503" s="289">
        <f t="shared" si="62"/>
        <v>0.19283542849081059</v>
      </c>
      <c r="AD503" s="289">
        <f t="shared" si="62"/>
        <v>0.19592742331566979</v>
      </c>
      <c r="AE503" s="289">
        <f t="shared" si="62"/>
        <v>0.17905170875540699</v>
      </c>
      <c r="AF503" s="289">
        <f t="shared" si="62"/>
        <v>0.18148975242021531</v>
      </c>
      <c r="AG503" s="289">
        <f t="shared" si="62"/>
        <v>0.16909096160985709</v>
      </c>
      <c r="AH503" s="289">
        <f t="shared" si="62"/>
        <v>0.19465060791480096</v>
      </c>
      <c r="AI503" s="289">
        <f t="shared" si="62"/>
        <v>0.21535880182256237</v>
      </c>
      <c r="AJ503" s="289">
        <f t="shared" si="62"/>
        <v>0.2778017313152526</v>
      </c>
      <c r="AK503" s="289">
        <f t="shared" si="62"/>
        <v>0.29791056794154136</v>
      </c>
      <c r="AL503" s="289">
        <f t="shared" si="62"/>
        <v>0.30018086621940376</v>
      </c>
      <c r="AM503" s="289">
        <f t="shared" si="62"/>
        <v>0.30242185035854802</v>
      </c>
      <c r="AN503" s="289">
        <f t="shared" si="62"/>
        <v>0.31378490507770357</v>
      </c>
      <c r="AO503" s="289">
        <f t="shared" si="62"/>
        <v>0.3102240664596338</v>
      </c>
      <c r="AP503" s="289">
        <f t="shared" si="62"/>
        <v>0.28458554191002128</v>
      </c>
      <c r="AQ503" s="289">
        <f t="shared" si="62"/>
        <v>0.27593859142101779</v>
      </c>
      <c r="AR503" s="289">
        <f t="shared" si="62"/>
        <v>0.25434364842633805</v>
      </c>
      <c r="AS503" s="289">
        <f t="shared" si="62"/>
        <v>0.15233389843722234</v>
      </c>
      <c r="AT503" s="289">
        <f t="shared" si="62"/>
        <v>0.11704428365221906</v>
      </c>
      <c r="AU503" s="289">
        <f t="shared" si="62"/>
        <v>0.11296312662412006</v>
      </c>
      <c r="AV503" s="289">
        <f t="shared" si="62"/>
        <v>0.13777944264045533</v>
      </c>
      <c r="AW503" s="289">
        <f t="shared" si="62"/>
        <v>0.14592736772763168</v>
      </c>
      <c r="AX503" s="289">
        <f t="shared" si="62"/>
        <v>0.1520190579871929</v>
      </c>
      <c r="AY503" s="289">
        <f t="shared" si="62"/>
        <v>0.21109038449121156</v>
      </c>
      <c r="AZ503" s="289">
        <f t="shared" si="62"/>
        <v>0.25805386109718537</v>
      </c>
      <c r="BA503" s="289">
        <f t="shared" si="62"/>
        <v>0.32385521761514074</v>
      </c>
      <c r="BB503" s="289">
        <f t="shared" si="62"/>
        <v>0.35519474230410469</v>
      </c>
      <c r="BC503" s="289">
        <f t="shared" si="54"/>
        <v>0.35519474230410469</v>
      </c>
    </row>
    <row r="504" spans="2:55">
      <c r="B504" s="72" t="s">
        <v>892</v>
      </c>
      <c r="C504" s="72" t="s">
        <v>893</v>
      </c>
      <c r="D504" s="289">
        <f t="shared" si="52"/>
        <v>0</v>
      </c>
      <c r="E504" s="289">
        <f t="shared" si="62"/>
        <v>0</v>
      </c>
      <c r="F504" s="289">
        <f t="shared" si="62"/>
        <v>0</v>
      </c>
      <c r="G504" s="289">
        <f t="shared" si="62"/>
        <v>0</v>
      </c>
      <c r="H504" s="289">
        <f t="shared" si="62"/>
        <v>0</v>
      </c>
      <c r="I504" s="289">
        <f t="shared" si="62"/>
        <v>0</v>
      </c>
      <c r="J504" s="289">
        <f t="shared" si="62"/>
        <v>0</v>
      </c>
      <c r="K504" s="289">
        <f t="shared" si="62"/>
        <v>0</v>
      </c>
      <c r="L504" s="289">
        <f t="shared" si="62"/>
        <v>0</v>
      </c>
      <c r="M504" s="289">
        <f t="shared" si="62"/>
        <v>0</v>
      </c>
      <c r="N504" s="289">
        <f t="shared" si="62"/>
        <v>0</v>
      </c>
      <c r="O504" s="289">
        <f t="shared" si="62"/>
        <v>0</v>
      </c>
      <c r="P504" s="289">
        <f t="shared" si="62"/>
        <v>0</v>
      </c>
      <c r="Q504" s="289">
        <f t="shared" si="62"/>
        <v>0</v>
      </c>
      <c r="R504" s="289">
        <f t="shared" si="62"/>
        <v>0</v>
      </c>
      <c r="S504" s="289">
        <f t="shared" si="62"/>
        <v>0</v>
      </c>
      <c r="T504" s="289">
        <f t="shared" si="62"/>
        <v>0</v>
      </c>
      <c r="U504" s="289">
        <f t="shared" si="62"/>
        <v>0</v>
      </c>
      <c r="V504" s="289">
        <f t="shared" si="62"/>
        <v>0</v>
      </c>
      <c r="W504" s="289">
        <f t="shared" si="62"/>
        <v>0</v>
      </c>
      <c r="X504" s="289">
        <f t="shared" si="62"/>
        <v>0</v>
      </c>
      <c r="Y504" s="289">
        <f t="shared" ref="E504:BB509" si="63">Y254/Y$251</f>
        <v>0</v>
      </c>
      <c r="Z504" s="289">
        <f t="shared" si="63"/>
        <v>0</v>
      </c>
      <c r="AA504" s="289">
        <f t="shared" si="63"/>
        <v>0</v>
      </c>
      <c r="AB504" s="289">
        <f t="shared" si="63"/>
        <v>0</v>
      </c>
      <c r="AC504" s="289">
        <f t="shared" si="63"/>
        <v>0</v>
      </c>
      <c r="AD504" s="289">
        <f t="shared" si="63"/>
        <v>0</v>
      </c>
      <c r="AE504" s="289">
        <f t="shared" si="63"/>
        <v>0</v>
      </c>
      <c r="AF504" s="289">
        <f t="shared" si="63"/>
        <v>0</v>
      </c>
      <c r="AG504" s="289">
        <f t="shared" si="63"/>
        <v>3.6829002819905303E-2</v>
      </c>
      <c r="AH504" s="289">
        <f t="shared" si="63"/>
        <v>3.5822732173820974E-2</v>
      </c>
      <c r="AI504" s="289">
        <f t="shared" si="63"/>
        <v>3.1852318961904762E-2</v>
      </c>
      <c r="AJ504" s="289">
        <f t="shared" si="63"/>
        <v>3.5123381120165671E-2</v>
      </c>
      <c r="AK504" s="289">
        <f t="shared" si="63"/>
        <v>3.1450841901606942E-2</v>
      </c>
      <c r="AL504" s="289">
        <f t="shared" si="63"/>
        <v>2.9379193493378527E-2</v>
      </c>
      <c r="AM504" s="289">
        <f t="shared" si="63"/>
        <v>2.8645985030024867E-2</v>
      </c>
      <c r="AN504" s="289">
        <f t="shared" si="63"/>
        <v>2.655627358334316E-2</v>
      </c>
      <c r="AO504" s="289">
        <f t="shared" si="63"/>
        <v>2.4932751336399016E-2</v>
      </c>
      <c r="AP504" s="289">
        <f t="shared" si="63"/>
        <v>2.7413577858404942E-2</v>
      </c>
      <c r="AQ504" s="289">
        <f t="shared" si="63"/>
        <v>2.2277506327503603E-2</v>
      </c>
      <c r="AR504" s="289">
        <f t="shared" si="63"/>
        <v>1.8388541275672094E-2</v>
      </c>
      <c r="AS504" s="289">
        <f t="shared" si="63"/>
        <v>1.4199750171044488E-2</v>
      </c>
      <c r="AT504" s="289">
        <f t="shared" si="63"/>
        <v>1.2723569458626479E-2</v>
      </c>
      <c r="AU504" s="289">
        <f t="shared" si="63"/>
        <v>1.2675218773425501E-2</v>
      </c>
      <c r="AV504" s="289">
        <f t="shared" si="63"/>
        <v>1.4342980913134008E-2</v>
      </c>
      <c r="AW504" s="289">
        <f t="shared" si="63"/>
        <v>1.5883062236266017E-2</v>
      </c>
      <c r="AX504" s="289">
        <f t="shared" si="63"/>
        <v>1.7923662598012233E-2</v>
      </c>
      <c r="AY504" s="289">
        <f t="shared" si="63"/>
        <v>2.3698580786863606E-2</v>
      </c>
      <c r="AZ504" s="289">
        <f t="shared" si="63"/>
        <v>3.3450453179550386E-2</v>
      </c>
      <c r="BA504" s="289">
        <f t="shared" si="63"/>
        <v>3.7982174735402469E-2</v>
      </c>
      <c r="BB504" s="289">
        <f t="shared" si="63"/>
        <v>3.9600172831909426E-2</v>
      </c>
      <c r="BC504" s="289">
        <f t="shared" si="54"/>
        <v>3.9600172831909426E-2</v>
      </c>
    </row>
    <row r="505" spans="2:55">
      <c r="B505" s="72" t="s">
        <v>894</v>
      </c>
      <c r="C505" s="72" t="s">
        <v>895</v>
      </c>
      <c r="D505" s="289">
        <f t="shared" si="52"/>
        <v>0</v>
      </c>
      <c r="E505" s="289">
        <f t="shared" si="63"/>
        <v>0</v>
      </c>
      <c r="F505" s="289">
        <f t="shared" si="63"/>
        <v>0</v>
      </c>
      <c r="G505" s="289">
        <f t="shared" si="63"/>
        <v>0</v>
      </c>
      <c r="H505" s="289">
        <f t="shared" si="63"/>
        <v>0</v>
      </c>
      <c r="I505" s="289">
        <f t="shared" si="63"/>
        <v>0</v>
      </c>
      <c r="J505" s="289">
        <f t="shared" si="63"/>
        <v>0</v>
      </c>
      <c r="K505" s="289">
        <f t="shared" si="63"/>
        <v>0</v>
      </c>
      <c r="L505" s="289">
        <f t="shared" si="63"/>
        <v>0</v>
      </c>
      <c r="M505" s="289">
        <f t="shared" si="63"/>
        <v>0</v>
      </c>
      <c r="N505" s="289">
        <f t="shared" si="63"/>
        <v>0</v>
      </c>
      <c r="O505" s="289">
        <f t="shared" si="63"/>
        <v>0</v>
      </c>
      <c r="P505" s="289">
        <f t="shared" si="63"/>
        <v>0</v>
      </c>
      <c r="Q505" s="289">
        <f t="shared" si="63"/>
        <v>0</v>
      </c>
      <c r="R505" s="289">
        <f t="shared" si="63"/>
        <v>0</v>
      </c>
      <c r="S505" s="289">
        <f t="shared" si="63"/>
        <v>0</v>
      </c>
      <c r="T505" s="289">
        <f t="shared" si="63"/>
        <v>0</v>
      </c>
      <c r="U505" s="289">
        <f t="shared" si="63"/>
        <v>0</v>
      </c>
      <c r="V505" s="289">
        <f t="shared" si="63"/>
        <v>0.14102571353131613</v>
      </c>
      <c r="W505" s="289">
        <f t="shared" si="63"/>
        <v>0.10192497874210435</v>
      </c>
      <c r="X505" s="289">
        <f t="shared" si="63"/>
        <v>9.1081848823420103E-2</v>
      </c>
      <c r="Y505" s="289">
        <f t="shared" si="63"/>
        <v>9.2700444956961989E-2</v>
      </c>
      <c r="Z505" s="289">
        <f t="shared" si="63"/>
        <v>0.10721481349722274</v>
      </c>
      <c r="AA505" s="289">
        <f t="shared" si="63"/>
        <v>0.13712864677252362</v>
      </c>
      <c r="AB505" s="289">
        <f t="shared" si="63"/>
        <v>0.11587409868190017</v>
      </c>
      <c r="AC505" s="289">
        <f t="shared" si="63"/>
        <v>8.8648234127124442E-2</v>
      </c>
      <c r="AD505" s="289">
        <f t="shared" si="63"/>
        <v>7.7928602510989251E-2</v>
      </c>
      <c r="AE505" s="289">
        <f t="shared" si="63"/>
        <v>7.1289294890064109E-2</v>
      </c>
      <c r="AF505" s="289">
        <f t="shared" si="63"/>
        <v>6.7171386429078536E-2</v>
      </c>
      <c r="AG505" s="289">
        <f t="shared" si="63"/>
        <v>6.1071257081293503E-2</v>
      </c>
      <c r="AH505" s="289">
        <f t="shared" si="63"/>
        <v>6.8122043225137555E-2</v>
      </c>
      <c r="AI505" s="289">
        <f t="shared" si="63"/>
        <v>6.6624696982807444E-2</v>
      </c>
      <c r="AJ505" s="289">
        <f t="shared" si="63"/>
        <v>6.9217421727422984E-2</v>
      </c>
      <c r="AK505" s="289">
        <f t="shared" si="63"/>
        <v>7.2831579187064011E-2</v>
      </c>
      <c r="AL505" s="289">
        <f t="shared" si="63"/>
        <v>6.9700861059387983E-2</v>
      </c>
      <c r="AM505" s="289">
        <f t="shared" si="63"/>
        <v>6.8073867229086663E-2</v>
      </c>
      <c r="AN505" s="289">
        <f t="shared" si="63"/>
        <v>6.2357539062335758E-2</v>
      </c>
      <c r="AO505" s="289">
        <f t="shared" si="63"/>
        <v>5.8971699934332607E-2</v>
      </c>
      <c r="AP505" s="289">
        <f t="shared" si="63"/>
        <v>5.7705083142497268E-2</v>
      </c>
      <c r="AQ505" s="289">
        <f t="shared" si="63"/>
        <v>5.8655297946180192E-2</v>
      </c>
      <c r="AR505" s="289">
        <f t="shared" si="63"/>
        <v>5.4789665089133778E-2</v>
      </c>
      <c r="AS505" s="289">
        <f t="shared" si="63"/>
        <v>4.9827349582570006E-2</v>
      </c>
      <c r="AT505" s="289">
        <f t="shared" si="63"/>
        <v>5.030019308199582E-2</v>
      </c>
      <c r="AU505" s="289">
        <f t="shared" si="63"/>
        <v>4.8223398481137998E-2</v>
      </c>
      <c r="AV505" s="289">
        <f t="shared" si="63"/>
        <v>4.8855926824326316E-2</v>
      </c>
      <c r="AW505" s="289">
        <f t="shared" si="63"/>
        <v>4.9620266925939821E-2</v>
      </c>
      <c r="AX505" s="289">
        <f t="shared" si="63"/>
        <v>5.122341306823576E-2</v>
      </c>
      <c r="AY505" s="289">
        <f t="shared" si="63"/>
        <v>6.0313287846695693E-2</v>
      </c>
      <c r="AZ505" s="289">
        <f t="shared" si="63"/>
        <v>7.1482042100776244E-2</v>
      </c>
      <c r="BA505" s="289">
        <f t="shared" si="63"/>
        <v>7.8147791306467276E-2</v>
      </c>
      <c r="BB505" s="289">
        <f t="shared" si="63"/>
        <v>7.9265045394618594E-2</v>
      </c>
      <c r="BC505" s="289">
        <f t="shared" si="54"/>
        <v>7.9265045394618594E-2</v>
      </c>
    </row>
    <row r="506" spans="2:55">
      <c r="B506" s="72" t="s">
        <v>896</v>
      </c>
      <c r="C506" s="72" t="s">
        <v>897</v>
      </c>
      <c r="D506" s="289">
        <f t="shared" si="52"/>
        <v>0.78231440656329043</v>
      </c>
      <c r="E506" s="289">
        <f t="shared" si="63"/>
        <v>0.80030267256363707</v>
      </c>
      <c r="F506" s="289">
        <f t="shared" si="63"/>
        <v>0.79201435152394839</v>
      </c>
      <c r="G506" s="289">
        <f t="shared" si="63"/>
        <v>0.6015821501694234</v>
      </c>
      <c r="H506" s="289">
        <f t="shared" si="63"/>
        <v>0.57216564101798872</v>
      </c>
      <c r="I506" s="289">
        <f t="shared" si="63"/>
        <v>0.54953993983705229</v>
      </c>
      <c r="J506" s="289">
        <f t="shared" si="63"/>
        <v>0.53429807688597231</v>
      </c>
      <c r="K506" s="289">
        <f t="shared" si="63"/>
        <v>0.60468658175473566</v>
      </c>
      <c r="L506" s="289">
        <f t="shared" si="63"/>
        <v>0.5679582895311589</v>
      </c>
      <c r="M506" s="289">
        <f t="shared" si="63"/>
        <v>0.54260575403101519</v>
      </c>
      <c r="N506" s="289">
        <f t="shared" si="63"/>
        <v>0.51873128419080772</v>
      </c>
      <c r="O506" s="289">
        <f t="shared" si="63"/>
        <v>0.48178667494008648</v>
      </c>
      <c r="P506" s="289">
        <f t="shared" si="63"/>
        <v>0.50474339222777098</v>
      </c>
      <c r="Q506" s="289">
        <f t="shared" si="63"/>
        <v>0.67549774587115285</v>
      </c>
      <c r="R506" s="289">
        <f t="shared" si="63"/>
        <v>0.58911441650230145</v>
      </c>
      <c r="S506" s="289">
        <f t="shared" si="63"/>
        <v>0.68331981858331603</v>
      </c>
      <c r="T506" s="289">
        <f t="shared" si="63"/>
        <v>0.68146356462463964</v>
      </c>
      <c r="U506" s="289">
        <f t="shared" si="63"/>
        <v>0.57056786950952287</v>
      </c>
      <c r="V506" s="289">
        <f t="shared" si="63"/>
        <v>0.50951246261427396</v>
      </c>
      <c r="W506" s="289">
        <f t="shared" si="63"/>
        <v>0.4639810318383441</v>
      </c>
      <c r="X506" s="289">
        <f t="shared" si="63"/>
        <v>0.53037375306984602</v>
      </c>
      <c r="Y506" s="289">
        <f t="shared" si="63"/>
        <v>0.54817301683980635</v>
      </c>
      <c r="Z506" s="289">
        <f t="shared" si="63"/>
        <v>0.57538381141821793</v>
      </c>
      <c r="AA506" s="289">
        <f t="shared" si="63"/>
        <v>0.42334858154841271</v>
      </c>
      <c r="AB506" s="289">
        <f t="shared" si="63"/>
        <v>0.40417347029897777</v>
      </c>
      <c r="AC506" s="289">
        <f t="shared" si="63"/>
        <v>0.32662734509256264</v>
      </c>
      <c r="AD506" s="289">
        <f t="shared" si="63"/>
        <v>0.20000471119447275</v>
      </c>
      <c r="AE506" s="289">
        <f t="shared" si="63"/>
        <v>0.20743785220322597</v>
      </c>
      <c r="AF506" s="289">
        <f t="shared" si="63"/>
        <v>0.14505713304476878</v>
      </c>
      <c r="AG506" s="289">
        <f t="shared" si="63"/>
        <v>0.13462145134072803</v>
      </c>
      <c r="AH506" s="289">
        <f t="shared" si="63"/>
        <v>0.13931323638513293</v>
      </c>
      <c r="AI506" s="289">
        <f t="shared" si="63"/>
        <v>0.14927165894123168</v>
      </c>
      <c r="AJ506" s="289">
        <f t="shared" si="63"/>
        <v>0.16185336322327065</v>
      </c>
      <c r="AK506" s="289">
        <f t="shared" si="63"/>
        <v>0.14290322517214354</v>
      </c>
      <c r="AL506" s="289">
        <f t="shared" si="63"/>
        <v>0.17034855672434021</v>
      </c>
      <c r="AM506" s="289">
        <f t="shared" si="63"/>
        <v>0.14468248193237826</v>
      </c>
      <c r="AN506" s="289">
        <f t="shared" si="63"/>
        <v>0.15936786439812753</v>
      </c>
      <c r="AO506" s="289">
        <f t="shared" si="63"/>
        <v>0.15607327041832172</v>
      </c>
      <c r="AP506" s="289">
        <f t="shared" si="63"/>
        <v>0.16019383592175931</v>
      </c>
      <c r="AQ506" s="289">
        <f t="shared" si="63"/>
        <v>0.1923051520529028</v>
      </c>
      <c r="AR506" s="289">
        <f t="shared" si="63"/>
        <v>0.19982969619386426</v>
      </c>
      <c r="AS506" s="289">
        <f t="shared" si="63"/>
        <v>0.1364290619382767</v>
      </c>
      <c r="AT506" s="289">
        <f t="shared" si="63"/>
        <v>0.10455102693228066</v>
      </c>
      <c r="AU506" s="289">
        <f t="shared" si="63"/>
        <v>0.11729154789983171</v>
      </c>
      <c r="AV506" s="289">
        <f t="shared" si="63"/>
        <v>0.14362386219605508</v>
      </c>
      <c r="AW506" s="289">
        <f t="shared" si="63"/>
        <v>0.16767562593981147</v>
      </c>
      <c r="AX506" s="289">
        <f t="shared" si="63"/>
        <v>0.18091971388589012</v>
      </c>
      <c r="AY506" s="289">
        <f t="shared" si="63"/>
        <v>0.26184224206012502</v>
      </c>
      <c r="AZ506" s="289">
        <f t="shared" si="63"/>
        <v>0.32848507055557258</v>
      </c>
      <c r="BA506" s="289">
        <f t="shared" si="63"/>
        <v>0.37670300270757406</v>
      </c>
      <c r="BB506" s="289">
        <f t="shared" si="63"/>
        <v>0.27689506267428443</v>
      </c>
      <c r="BC506" s="289">
        <f t="shared" si="54"/>
        <v>0.27689506267428443</v>
      </c>
    </row>
    <row r="507" spans="2:55">
      <c r="B507" s="72" t="s">
        <v>898</v>
      </c>
      <c r="C507" s="72" t="s">
        <v>899</v>
      </c>
      <c r="D507" s="289">
        <f t="shared" si="52"/>
        <v>0</v>
      </c>
      <c r="E507" s="289">
        <f t="shared" si="63"/>
        <v>0</v>
      </c>
      <c r="F507" s="289">
        <f t="shared" si="63"/>
        <v>0</v>
      </c>
      <c r="G507" s="289">
        <f t="shared" si="63"/>
        <v>0</v>
      </c>
      <c r="H507" s="289">
        <f t="shared" si="63"/>
        <v>0</v>
      </c>
      <c r="I507" s="289">
        <f t="shared" si="63"/>
        <v>0</v>
      </c>
      <c r="J507" s="289">
        <f t="shared" si="63"/>
        <v>0</v>
      </c>
      <c r="K507" s="289">
        <f t="shared" si="63"/>
        <v>0</v>
      </c>
      <c r="L507" s="289">
        <f t="shared" si="63"/>
        <v>0</v>
      </c>
      <c r="M507" s="289">
        <f t="shared" si="63"/>
        <v>0</v>
      </c>
      <c r="N507" s="289">
        <f t="shared" si="63"/>
        <v>0</v>
      </c>
      <c r="O507" s="289">
        <f t="shared" si="63"/>
        <v>0</v>
      </c>
      <c r="P507" s="289">
        <f t="shared" si="63"/>
        <v>0</v>
      </c>
      <c r="Q507" s="289">
        <f t="shared" si="63"/>
        <v>0</v>
      </c>
      <c r="R507" s="289">
        <f t="shared" si="63"/>
        <v>0</v>
      </c>
      <c r="S507" s="289">
        <f t="shared" si="63"/>
        <v>0</v>
      </c>
      <c r="T507" s="289">
        <f t="shared" si="63"/>
        <v>0</v>
      </c>
      <c r="U507" s="289">
        <f t="shared" si="63"/>
        <v>0</v>
      </c>
      <c r="V507" s="289">
        <f t="shared" si="63"/>
        <v>0</v>
      </c>
      <c r="W507" s="289">
        <f t="shared" si="63"/>
        <v>0</v>
      </c>
      <c r="X507" s="289">
        <f t="shared" si="63"/>
        <v>0</v>
      </c>
      <c r="Y507" s="289">
        <f t="shared" si="63"/>
        <v>0</v>
      </c>
      <c r="Z507" s="289">
        <f t="shared" si="63"/>
        <v>0</v>
      </c>
      <c r="AA507" s="289">
        <f t="shared" si="63"/>
        <v>0</v>
      </c>
      <c r="AB507" s="289">
        <f t="shared" si="63"/>
        <v>2.9163635801355538E-2</v>
      </c>
      <c r="AC507" s="289">
        <f t="shared" si="63"/>
        <v>4.3435666858784507E-2</v>
      </c>
      <c r="AD507" s="289">
        <f t="shared" si="63"/>
        <v>4.8134839063692349E-2</v>
      </c>
      <c r="AE507" s="289">
        <f t="shared" si="63"/>
        <v>2.6879373262599898E-2</v>
      </c>
      <c r="AF507" s="289">
        <f t="shared" si="63"/>
        <v>6.4525953780285505E-3</v>
      </c>
      <c r="AG507" s="289">
        <f t="shared" si="63"/>
        <v>5.54238488244445E-3</v>
      </c>
      <c r="AH507" s="289">
        <f t="shared" si="63"/>
        <v>7.7755760344426347E-3</v>
      </c>
      <c r="AI507" s="289">
        <f t="shared" si="63"/>
        <v>7.6025888426960817E-3</v>
      </c>
      <c r="AJ507" s="289">
        <f t="shared" si="63"/>
        <v>1.1134317998072374E-2</v>
      </c>
      <c r="AK507" s="289">
        <f t="shared" si="63"/>
        <v>1.2546369693279269E-2</v>
      </c>
      <c r="AL507" s="289">
        <f t="shared" si="63"/>
        <v>1.4441612499463997E-2</v>
      </c>
      <c r="AM507" s="289">
        <f t="shared" si="63"/>
        <v>1.6075858589322756E-2</v>
      </c>
      <c r="AN507" s="289">
        <f t="shared" si="63"/>
        <v>1.5398928059247296E-2</v>
      </c>
      <c r="AO507" s="289">
        <f t="shared" si="63"/>
        <v>1.4426407718121405E-2</v>
      </c>
      <c r="AP507" s="289">
        <f t="shared" si="63"/>
        <v>1.4613581506340663E-2</v>
      </c>
      <c r="AQ507" s="289">
        <f t="shared" si="63"/>
        <v>1.6024981853885387E-2</v>
      </c>
      <c r="AR507" s="289">
        <f t="shared" si="63"/>
        <v>1.673881287986553E-2</v>
      </c>
      <c r="AS507" s="289">
        <f t="shared" si="63"/>
        <v>1.6326619371957764E-2</v>
      </c>
      <c r="AT507" s="289">
        <f t="shared" si="63"/>
        <v>1.5777893214452318E-2</v>
      </c>
      <c r="AU507" s="289">
        <f t="shared" si="63"/>
        <v>1.5201558775513496E-2</v>
      </c>
      <c r="AV507" s="289">
        <f t="shared" si="63"/>
        <v>1.6847443193676225E-2</v>
      </c>
      <c r="AW507" s="289">
        <f t="shared" si="63"/>
        <v>1.8061344485701358E-2</v>
      </c>
      <c r="AX507" s="289">
        <f t="shared" si="63"/>
        <v>1.8199866532876696E-2</v>
      </c>
      <c r="AY507" s="289">
        <f t="shared" si="63"/>
        <v>2.4802632606137767E-2</v>
      </c>
      <c r="AZ507" s="289">
        <f t="shared" si="63"/>
        <v>3.197379544802826E-2</v>
      </c>
      <c r="BA507" s="289">
        <f t="shared" si="63"/>
        <v>3.3768594116434014E-2</v>
      </c>
      <c r="BB507" s="289">
        <f t="shared" si="63"/>
        <v>3.6044083121613731E-2</v>
      </c>
      <c r="BC507" s="289">
        <f t="shared" si="54"/>
        <v>3.6044083121613731E-2</v>
      </c>
    </row>
    <row r="508" spans="2:55">
      <c r="B508" s="72" t="s">
        <v>900</v>
      </c>
      <c r="C508" s="72" t="s">
        <v>901</v>
      </c>
      <c r="D508" s="289">
        <f t="shared" si="52"/>
        <v>0.51885885816305388</v>
      </c>
      <c r="E508" s="289">
        <f t="shared" si="63"/>
        <v>0.67157397866867641</v>
      </c>
      <c r="F508" s="289">
        <f t="shared" si="63"/>
        <v>0.67170521024885588</v>
      </c>
      <c r="G508" s="289">
        <f t="shared" si="63"/>
        <v>0.7532458973061118</v>
      </c>
      <c r="H508" s="289">
        <f t="shared" si="63"/>
        <v>0.81653191209180009</v>
      </c>
      <c r="I508" s="289">
        <f t="shared" si="63"/>
        <v>0.90732161388679078</v>
      </c>
      <c r="J508" s="289">
        <f t="shared" si="63"/>
        <v>1.122565033232227</v>
      </c>
      <c r="K508" s="289">
        <f t="shared" si="63"/>
        <v>1.6785342892148944</v>
      </c>
      <c r="L508" s="289">
        <f t="shared" si="63"/>
        <v>1.7742058962713063</v>
      </c>
      <c r="M508" s="289">
        <f t="shared" si="63"/>
        <v>1.5505061681346406</v>
      </c>
      <c r="N508" s="289">
        <f t="shared" si="63"/>
        <v>1.4331952314441863</v>
      </c>
      <c r="O508" s="289">
        <f t="shared" si="63"/>
        <v>1.3972393361121165</v>
      </c>
      <c r="P508" s="289">
        <f t="shared" si="63"/>
        <v>1.2850234213069822</v>
      </c>
      <c r="Q508" s="289">
        <f t="shared" si="63"/>
        <v>1.2493766328358187</v>
      </c>
      <c r="R508" s="289">
        <f t="shared" si="63"/>
        <v>1.0114792724723194</v>
      </c>
      <c r="S508" s="289">
        <f t="shared" si="63"/>
        <v>1.1341965584828699</v>
      </c>
      <c r="T508" s="289">
        <f t="shared" si="63"/>
        <v>1.0876418646292003</v>
      </c>
      <c r="U508" s="289">
        <f t="shared" si="63"/>
        <v>0.92347137959181647</v>
      </c>
      <c r="V508" s="289">
        <f t="shared" si="63"/>
        <v>0.84139280815250472</v>
      </c>
      <c r="W508" s="289">
        <f t="shared" si="63"/>
        <v>0.7797061459533855</v>
      </c>
      <c r="X508" s="289">
        <f t="shared" si="63"/>
        <v>0.917226689506626</v>
      </c>
      <c r="Y508" s="289">
        <f t="shared" si="63"/>
        <v>0.93628066875921845</v>
      </c>
      <c r="Z508" s="289">
        <f t="shared" si="63"/>
        <v>1.0665118944130783</v>
      </c>
      <c r="AA508" s="289">
        <f t="shared" si="63"/>
        <v>1.1731153720870924</v>
      </c>
      <c r="AB508" s="289">
        <f t="shared" si="63"/>
        <v>1.1274370987016065</v>
      </c>
      <c r="AC508" s="289">
        <f t="shared" si="63"/>
        <v>0.96622610795729014</v>
      </c>
      <c r="AD508" s="289">
        <f t="shared" si="63"/>
        <v>0.87798443555320971</v>
      </c>
      <c r="AE508" s="289">
        <f t="shared" si="63"/>
        <v>0.77100081224278827</v>
      </c>
      <c r="AF508" s="289">
        <f t="shared" si="63"/>
        <v>0.86653502176808661</v>
      </c>
      <c r="AG508" s="289">
        <f t="shared" si="63"/>
        <v>0.85090619789190824</v>
      </c>
      <c r="AH508" s="289">
        <f t="shared" si="63"/>
        <v>0.86723795715466945</v>
      </c>
      <c r="AI508" s="289">
        <f t="shared" si="63"/>
        <v>0.88353701278893115</v>
      </c>
      <c r="AJ508" s="289">
        <f t="shared" si="63"/>
        <v>1.1017946171725375</v>
      </c>
      <c r="AK508" s="289">
        <f t="shared" si="63"/>
        <v>0</v>
      </c>
      <c r="AL508" s="289">
        <f t="shared" si="63"/>
        <v>0</v>
      </c>
      <c r="AM508" s="289">
        <f t="shared" si="63"/>
        <v>0</v>
      </c>
      <c r="AN508" s="289">
        <f t="shared" si="63"/>
        <v>0</v>
      </c>
      <c r="AO508" s="289">
        <f t="shared" si="63"/>
        <v>0</v>
      </c>
      <c r="AP508" s="289">
        <f t="shared" si="63"/>
        <v>0</v>
      </c>
      <c r="AQ508" s="289">
        <f t="shared" si="63"/>
        <v>0</v>
      </c>
      <c r="AR508" s="289">
        <f t="shared" si="63"/>
        <v>0</v>
      </c>
      <c r="AS508" s="289">
        <f t="shared" si="63"/>
        <v>0</v>
      </c>
      <c r="AT508" s="289">
        <f t="shared" si="63"/>
        <v>0</v>
      </c>
      <c r="AU508" s="289">
        <f t="shared" si="63"/>
        <v>0</v>
      </c>
      <c r="AV508" s="289">
        <f t="shared" si="63"/>
        <v>0</v>
      </c>
      <c r="AW508" s="289">
        <f t="shared" si="63"/>
        <v>0</v>
      </c>
      <c r="AX508" s="289">
        <f t="shared" si="63"/>
        <v>0</v>
      </c>
      <c r="AY508" s="289">
        <f t="shared" si="63"/>
        <v>0</v>
      </c>
      <c r="AZ508" s="289">
        <f t="shared" si="63"/>
        <v>0</v>
      </c>
      <c r="BA508" s="289">
        <f t="shared" si="63"/>
        <v>0</v>
      </c>
      <c r="BB508" s="289">
        <f t="shared" si="63"/>
        <v>0</v>
      </c>
      <c r="BC508" s="289">
        <f t="shared" si="54"/>
        <v>0</v>
      </c>
    </row>
    <row r="509" spans="2:55">
      <c r="B509" s="72" t="s">
        <v>902</v>
      </c>
      <c r="C509" s="72" t="s">
        <v>903</v>
      </c>
      <c r="D509" s="289">
        <f t="shared" si="52"/>
        <v>0</v>
      </c>
      <c r="E509" s="289">
        <f t="shared" si="63"/>
        <v>0</v>
      </c>
      <c r="F509" s="289">
        <f t="shared" si="63"/>
        <v>0</v>
      </c>
      <c r="G509" s="289">
        <f t="shared" si="63"/>
        <v>0</v>
      </c>
      <c r="H509" s="289">
        <f t="shared" si="63"/>
        <v>0</v>
      </c>
      <c r="I509" s="289">
        <f t="shared" si="63"/>
        <v>0</v>
      </c>
      <c r="J509" s="289">
        <f t="shared" si="63"/>
        <v>0</v>
      </c>
      <c r="K509" s="289">
        <f t="shared" si="63"/>
        <v>0</v>
      </c>
      <c r="L509" s="289">
        <f t="shared" si="63"/>
        <v>0</v>
      </c>
      <c r="M509" s="289">
        <f t="shared" si="63"/>
        <v>0</v>
      </c>
      <c r="N509" s="289">
        <f t="shared" si="63"/>
        <v>0</v>
      </c>
      <c r="O509" s="289">
        <f t="shared" si="63"/>
        <v>0</v>
      </c>
      <c r="P509" s="289">
        <f t="shared" si="63"/>
        <v>0</v>
      </c>
      <c r="Q509" s="289">
        <f t="shared" si="63"/>
        <v>0</v>
      </c>
      <c r="R509" s="289">
        <f t="shared" si="63"/>
        <v>0</v>
      </c>
      <c r="S509" s="289">
        <f t="shared" si="63"/>
        <v>0</v>
      </c>
      <c r="T509" s="289">
        <f t="shared" si="63"/>
        <v>0</v>
      </c>
      <c r="U509" s="289">
        <f t="shared" si="63"/>
        <v>0</v>
      </c>
      <c r="V509" s="289">
        <f t="shared" si="63"/>
        <v>0</v>
      </c>
      <c r="W509" s="289">
        <f t="shared" si="63"/>
        <v>0</v>
      </c>
      <c r="X509" s="289">
        <f t="shared" si="63"/>
        <v>0</v>
      </c>
      <c r="Y509" s="289">
        <f t="shared" si="63"/>
        <v>0</v>
      </c>
      <c r="Z509" s="289">
        <f t="shared" si="63"/>
        <v>0</v>
      </c>
      <c r="AA509" s="289">
        <f t="shared" si="63"/>
        <v>0</v>
      </c>
      <c r="AB509" s="289">
        <f t="shared" si="63"/>
        <v>0</v>
      </c>
      <c r="AC509" s="289">
        <f t="shared" si="63"/>
        <v>0</v>
      </c>
      <c r="AD509" s="289">
        <f t="shared" ref="E509:BB512" si="64">AD259/AD$251</f>
        <v>0</v>
      </c>
      <c r="AE509" s="289">
        <f t="shared" si="64"/>
        <v>0</v>
      </c>
      <c r="AF509" s="289">
        <f t="shared" si="64"/>
        <v>0</v>
      </c>
      <c r="AG509" s="289">
        <f t="shared" si="64"/>
        <v>0</v>
      </c>
      <c r="AH509" s="289">
        <f t="shared" si="64"/>
        <v>0</v>
      </c>
      <c r="AI509" s="289">
        <f t="shared" si="64"/>
        <v>0</v>
      </c>
      <c r="AJ509" s="289">
        <f t="shared" si="64"/>
        <v>0</v>
      </c>
      <c r="AK509" s="289">
        <f t="shared" si="64"/>
        <v>6.5217089235800607E-2</v>
      </c>
      <c r="AL509" s="289">
        <f t="shared" si="64"/>
        <v>6.5244720706726614E-2</v>
      </c>
      <c r="AM509" s="289">
        <f t="shared" si="64"/>
        <v>6.1949043876227849E-2</v>
      </c>
      <c r="AN509" s="289">
        <f t="shared" si="64"/>
        <v>5.8293216534999269E-2</v>
      </c>
      <c r="AO509" s="289">
        <f t="shared" si="64"/>
        <v>5.6311669082101438E-2</v>
      </c>
      <c r="AP509" s="289">
        <f t="shared" si="64"/>
        <v>5.6070639689475829E-2</v>
      </c>
      <c r="AQ509" s="289">
        <f t="shared" si="64"/>
        <v>5.4641796818416563E-2</v>
      </c>
      <c r="AR509" s="289">
        <f t="shared" si="64"/>
        <v>4.3136182329376098E-2</v>
      </c>
      <c r="AS509" s="289">
        <f t="shared" si="64"/>
        <v>3.2578571327986902E-2</v>
      </c>
      <c r="AT509" s="289">
        <f t="shared" si="64"/>
        <v>3.0269495495383596E-2</v>
      </c>
      <c r="AU509" s="289">
        <f t="shared" si="64"/>
        <v>2.846992303655356E-2</v>
      </c>
      <c r="AV509" s="289">
        <f t="shared" si="64"/>
        <v>2.946925315646411E-2</v>
      </c>
      <c r="AW509" s="289">
        <f t="shared" si="64"/>
        <v>0</v>
      </c>
      <c r="AX509" s="289">
        <f t="shared" si="64"/>
        <v>0</v>
      </c>
      <c r="AY509" s="289">
        <f t="shared" si="64"/>
        <v>0</v>
      </c>
      <c r="AZ509" s="289">
        <f t="shared" si="64"/>
        <v>0</v>
      </c>
      <c r="BA509" s="289">
        <f t="shared" si="64"/>
        <v>0</v>
      </c>
      <c r="BB509" s="289">
        <f t="shared" si="64"/>
        <v>0</v>
      </c>
      <c r="BC509" s="289">
        <f t="shared" si="54"/>
        <v>0</v>
      </c>
    </row>
    <row r="510" spans="2:55">
      <c r="B510" s="72" t="s">
        <v>904</v>
      </c>
      <c r="C510" s="72" t="s">
        <v>905</v>
      </c>
      <c r="D510" s="289">
        <f t="shared" si="52"/>
        <v>0</v>
      </c>
      <c r="E510" s="289">
        <f t="shared" si="64"/>
        <v>0</v>
      </c>
      <c r="F510" s="289">
        <f t="shared" si="64"/>
        <v>0</v>
      </c>
      <c r="G510" s="289">
        <f t="shared" si="64"/>
        <v>0</v>
      </c>
      <c r="H510" s="289">
        <f t="shared" si="64"/>
        <v>0</v>
      </c>
      <c r="I510" s="289">
        <f t="shared" si="64"/>
        <v>0</v>
      </c>
      <c r="J510" s="289">
        <f t="shared" si="64"/>
        <v>0</v>
      </c>
      <c r="K510" s="289">
        <f t="shared" si="64"/>
        <v>0</v>
      </c>
      <c r="L510" s="289">
        <f t="shared" si="64"/>
        <v>0</v>
      </c>
      <c r="M510" s="289">
        <f t="shared" si="64"/>
        <v>0</v>
      </c>
      <c r="N510" s="289">
        <f t="shared" si="64"/>
        <v>0</v>
      </c>
      <c r="O510" s="289">
        <f t="shared" si="64"/>
        <v>0</v>
      </c>
      <c r="P510" s="289">
        <f t="shared" si="64"/>
        <v>0</v>
      </c>
      <c r="Q510" s="289">
        <f t="shared" si="64"/>
        <v>0</v>
      </c>
      <c r="R510" s="289">
        <f t="shared" si="64"/>
        <v>0</v>
      </c>
      <c r="S510" s="289">
        <f t="shared" si="64"/>
        <v>0</v>
      </c>
      <c r="T510" s="289">
        <f t="shared" si="64"/>
        <v>0</v>
      </c>
      <c r="U510" s="289">
        <f t="shared" si="64"/>
        <v>0</v>
      </c>
      <c r="V510" s="289">
        <f t="shared" si="64"/>
        <v>0</v>
      </c>
      <c r="W510" s="289">
        <f t="shared" si="64"/>
        <v>0</v>
      </c>
      <c r="X510" s="289">
        <f t="shared" si="64"/>
        <v>0</v>
      </c>
      <c r="Y510" s="289">
        <f t="shared" si="64"/>
        <v>0</v>
      </c>
      <c r="Z510" s="289">
        <f t="shared" si="64"/>
        <v>0</v>
      </c>
      <c r="AA510" s="289">
        <f t="shared" si="64"/>
        <v>0</v>
      </c>
      <c r="AB510" s="289">
        <f t="shared" si="64"/>
        <v>0</v>
      </c>
      <c r="AC510" s="289">
        <f t="shared" si="64"/>
        <v>0</v>
      </c>
      <c r="AD510" s="289">
        <f t="shared" si="64"/>
        <v>0</v>
      </c>
      <c r="AE510" s="289">
        <f t="shared" si="64"/>
        <v>0</v>
      </c>
      <c r="AF510" s="289">
        <f t="shared" si="64"/>
        <v>0</v>
      </c>
      <c r="AG510" s="289">
        <f t="shared" si="64"/>
        <v>2.6721679383584433E-2</v>
      </c>
      <c r="AH510" s="289">
        <f t="shared" si="64"/>
        <v>2.5720317033082356E-2</v>
      </c>
      <c r="AI510" s="289">
        <f t="shared" si="64"/>
        <v>2.58450640084248E-2</v>
      </c>
      <c r="AJ510" s="289">
        <f t="shared" si="64"/>
        <v>2.2773770568517863E-2</v>
      </c>
      <c r="AK510" s="289">
        <f t="shared" si="64"/>
        <v>1.5648127046632501E-2</v>
      </c>
      <c r="AL510" s="289">
        <f t="shared" si="64"/>
        <v>1.4096733540065668E-2</v>
      </c>
      <c r="AM510" s="289">
        <f t="shared" si="64"/>
        <v>1.7565177998356874E-2</v>
      </c>
      <c r="AN510" s="289">
        <f t="shared" si="64"/>
        <v>1.7965352538546246E-2</v>
      </c>
      <c r="AO510" s="289">
        <f t="shared" si="64"/>
        <v>1.5137448996505194E-2</v>
      </c>
      <c r="AP510" s="289">
        <f t="shared" si="64"/>
        <v>1.7327873862824826E-2</v>
      </c>
      <c r="AQ510" s="289">
        <f t="shared" si="64"/>
        <v>2.1698550107010384E-2</v>
      </c>
      <c r="AR510" s="289">
        <f t="shared" si="64"/>
        <v>2.1721151877390429E-2</v>
      </c>
      <c r="AS510" s="289">
        <f t="shared" si="64"/>
        <v>2.1033112343416555E-2</v>
      </c>
      <c r="AT510" s="289">
        <f t="shared" si="64"/>
        <v>1.9467964855032011E-2</v>
      </c>
      <c r="AU510" s="289">
        <f t="shared" si="64"/>
        <v>1.8879075001305642E-2</v>
      </c>
      <c r="AV510" s="289">
        <f t="shared" si="64"/>
        <v>2.1283878761402624E-2</v>
      </c>
      <c r="AW510" s="289">
        <f t="shared" si="64"/>
        <v>2.2142605059858253E-2</v>
      </c>
      <c r="AX510" s="289">
        <f t="shared" si="64"/>
        <v>2.1298533678660303E-2</v>
      </c>
      <c r="AY510" s="289">
        <f t="shared" si="64"/>
        <v>2.757175657069609E-2</v>
      </c>
      <c r="AZ510" s="289">
        <f t="shared" si="64"/>
        <v>3.0489699581926124E-2</v>
      </c>
      <c r="BA510" s="289">
        <f t="shared" si="64"/>
        <v>3.5597492460951952E-2</v>
      </c>
      <c r="BB510" s="289">
        <f t="shared" si="64"/>
        <v>3.4868083854299931E-2</v>
      </c>
      <c r="BC510" s="289">
        <f t="shared" si="54"/>
        <v>3.4868083854299931E-2</v>
      </c>
    </row>
    <row r="511" spans="2:55">
      <c r="B511" s="72" t="s">
        <v>906</v>
      </c>
      <c r="C511" s="72" t="s">
        <v>907</v>
      </c>
      <c r="D511" s="289">
        <f t="shared" si="52"/>
        <v>0.14985448497533993</v>
      </c>
      <c r="E511" s="289">
        <f t="shared" si="64"/>
        <v>0.138966615606994</v>
      </c>
      <c r="F511" s="289">
        <f t="shared" si="64"/>
        <v>0.13288623028142277</v>
      </c>
      <c r="G511" s="289">
        <f t="shared" si="64"/>
        <v>0.13865179867634395</v>
      </c>
      <c r="H511" s="289">
        <f t="shared" si="64"/>
        <v>0.16208158116783342</v>
      </c>
      <c r="I511" s="289">
        <f t="shared" si="64"/>
        <v>0.17334279935846619</v>
      </c>
      <c r="J511" s="289">
        <f t="shared" si="64"/>
        <v>0.17611504091329486</v>
      </c>
      <c r="K511" s="289">
        <f t="shared" si="64"/>
        <v>0.213831590678281</v>
      </c>
      <c r="L511" s="289">
        <f t="shared" si="64"/>
        <v>0.23659231300124003</v>
      </c>
      <c r="M511" s="289">
        <f t="shared" si="64"/>
        <v>0.19277395432307959</v>
      </c>
      <c r="N511" s="289">
        <f t="shared" si="64"/>
        <v>0.152982999521938</v>
      </c>
      <c r="O511" s="289">
        <f t="shared" si="64"/>
        <v>0.14628100316330603</v>
      </c>
      <c r="P511" s="289">
        <f t="shared" si="64"/>
        <v>0.1631863444558794</v>
      </c>
      <c r="Q511" s="289">
        <f t="shared" si="64"/>
        <v>0.17472252645225203</v>
      </c>
      <c r="R511" s="289">
        <f t="shared" si="64"/>
        <v>0.11854644917832328</v>
      </c>
      <c r="S511" s="289">
        <f t="shared" si="64"/>
        <v>0.13398130363265215</v>
      </c>
      <c r="T511" s="289">
        <f t="shared" si="64"/>
        <v>0.10523118430459377</v>
      </c>
      <c r="U511" s="289">
        <f t="shared" si="64"/>
        <v>8.9819052609625638E-2</v>
      </c>
      <c r="V511" s="289">
        <f t="shared" si="64"/>
        <v>7.9880319588545162E-2</v>
      </c>
      <c r="W511" s="289">
        <f t="shared" si="64"/>
        <v>6.989801412327229E-2</v>
      </c>
      <c r="X511" s="289">
        <f t="shared" si="64"/>
        <v>7.3465733894856375E-2</v>
      </c>
      <c r="Y511" s="289">
        <f t="shared" si="64"/>
        <v>7.2016765679123323E-2</v>
      </c>
      <c r="Z511" s="289">
        <f t="shared" si="64"/>
        <v>6.3082989464235795E-2</v>
      </c>
      <c r="AA511" s="289">
        <f t="shared" si="64"/>
        <v>5.3176728749517461E-2</v>
      </c>
      <c r="AB511" s="289">
        <f t="shared" si="64"/>
        <v>4.0435065096067709E-2</v>
      </c>
      <c r="AC511" s="289">
        <f t="shared" si="64"/>
        <v>2.3632222988888018E-2</v>
      </c>
      <c r="AD511" s="289">
        <f t="shared" si="64"/>
        <v>2.5458721531700888E-2</v>
      </c>
      <c r="AE511" s="289">
        <f t="shared" si="64"/>
        <v>3.3559480410655401E-2</v>
      </c>
      <c r="AF511" s="289">
        <f t="shared" si="64"/>
        <v>3.4691333724090202E-2</v>
      </c>
      <c r="AG511" s="289">
        <f t="shared" si="64"/>
        <v>2.3652995705906333E-2</v>
      </c>
      <c r="AH511" s="289">
        <f t="shared" si="64"/>
        <v>2.2763551363063652E-2</v>
      </c>
      <c r="AI511" s="289">
        <f t="shared" si="64"/>
        <v>2.0292009974567482E-2</v>
      </c>
      <c r="AJ511" s="289">
        <f t="shared" si="64"/>
        <v>2.2714303593713035E-2</v>
      </c>
      <c r="AK511" s="289">
        <f t="shared" si="64"/>
        <v>2.1005193513551901E-2</v>
      </c>
      <c r="AL511" s="289">
        <f t="shared" si="64"/>
        <v>1.954967558572689E-2</v>
      </c>
      <c r="AM511" s="289">
        <f t="shared" si="64"/>
        <v>1.7024754088627789E-2</v>
      </c>
      <c r="AN511" s="289">
        <f t="shared" si="64"/>
        <v>1.7698369261287809E-2</v>
      </c>
      <c r="AO511" s="289">
        <f t="shared" si="64"/>
        <v>1.3376240707702495E-2</v>
      </c>
      <c r="AP511" s="289">
        <f t="shared" si="64"/>
        <v>1.2287191123912255E-2</v>
      </c>
      <c r="AQ511" s="289">
        <f t="shared" si="64"/>
        <v>1.2727741282358733E-2</v>
      </c>
      <c r="AR511" s="289">
        <f t="shared" si="64"/>
        <v>1.4078310292192531E-2</v>
      </c>
      <c r="AS511" s="289">
        <f t="shared" si="64"/>
        <v>1.2855543637362394E-2</v>
      </c>
      <c r="AT511" s="289">
        <f t="shared" si="64"/>
        <v>1.2741658765906065E-2</v>
      </c>
      <c r="AU511" s="289">
        <f t="shared" si="64"/>
        <v>1.3243429381227812E-2</v>
      </c>
      <c r="AV511" s="289">
        <f t="shared" si="64"/>
        <v>1.6428283204186486E-2</v>
      </c>
      <c r="AW511" s="289">
        <f t="shared" si="64"/>
        <v>2.2499897050864578E-2</v>
      </c>
      <c r="AX511" s="289">
        <f t="shared" si="64"/>
        <v>2.0663963663637201E-2</v>
      </c>
      <c r="AY511" s="289">
        <f t="shared" si="64"/>
        <v>2.740997582351833E-2</v>
      </c>
      <c r="AZ511" s="289">
        <f t="shared" si="64"/>
        <v>2.8484343199844414E-2</v>
      </c>
      <c r="BA511" s="289">
        <f t="shared" si="64"/>
        <v>3.4545717410130697E-2</v>
      </c>
      <c r="BB511" s="289">
        <f t="shared" si="64"/>
        <v>3.651050417580131E-2</v>
      </c>
      <c r="BC511" s="289">
        <f t="shared" si="54"/>
        <v>3.651050417580131E-2</v>
      </c>
    </row>
    <row r="512" spans="2:55">
      <c r="B512" s="72" t="s">
        <v>908</v>
      </c>
      <c r="C512" s="72" t="s">
        <v>909</v>
      </c>
      <c r="D512" s="289">
        <f t="shared" si="52"/>
        <v>0.19475311459878411</v>
      </c>
      <c r="E512" s="289">
        <f t="shared" si="64"/>
        <v>0.1842996952933548</v>
      </c>
      <c r="F512" s="289">
        <f t="shared" si="64"/>
        <v>0.17582598942898073</v>
      </c>
      <c r="G512" s="289">
        <f t="shared" si="64"/>
        <v>0.16445568524239543</v>
      </c>
      <c r="H512" s="289">
        <f t="shared" si="64"/>
        <v>0.16022266623521098</v>
      </c>
      <c r="I512" s="289">
        <f t="shared" si="64"/>
        <v>0.1431786180160283</v>
      </c>
      <c r="J512" s="289">
        <f t="shared" si="64"/>
        <v>0.14630456548311824</v>
      </c>
      <c r="K512" s="289">
        <f t="shared" si="64"/>
        <v>0.1600766637674377</v>
      </c>
      <c r="L512" s="289">
        <f t="shared" si="64"/>
        <v>0.170779803360145</v>
      </c>
      <c r="M512" s="289">
        <f t="shared" si="64"/>
        <v>0.16142661087672841</v>
      </c>
      <c r="N512" s="289">
        <f t="shared" si="64"/>
        <v>0.16018681146073671</v>
      </c>
      <c r="O512" s="289">
        <f t="shared" si="64"/>
        <v>0.16613847879106305</v>
      </c>
      <c r="P512" s="289">
        <f t="shared" si="64"/>
        <v>0.17613476298649119</v>
      </c>
      <c r="Q512" s="289">
        <f t="shared" si="64"/>
        <v>0.18976265158798086</v>
      </c>
      <c r="R512" s="289">
        <f t="shared" si="64"/>
        <v>0.16848035545308473</v>
      </c>
      <c r="S512" s="289">
        <f t="shared" si="64"/>
        <v>0.16764918705011955</v>
      </c>
      <c r="T512" s="289">
        <f t="shared" si="64"/>
        <v>0.14525266179718377</v>
      </c>
      <c r="U512" s="289">
        <f t="shared" si="64"/>
        <v>0.11064764104571426</v>
      </c>
      <c r="V512" s="289">
        <f t="shared" si="64"/>
        <v>9.802430868455124E-2</v>
      </c>
      <c r="W512" s="289">
        <f t="shared" si="64"/>
        <v>9.5213379312926269E-2</v>
      </c>
      <c r="X512" s="289">
        <f t="shared" si="64"/>
        <v>0.11573500418661375</v>
      </c>
      <c r="Y512" s="289">
        <f t="shared" si="64"/>
        <v>0.12438890693146745</v>
      </c>
      <c r="Z512" s="289">
        <f t="shared" si="64"/>
        <v>0.11461979836582351</v>
      </c>
      <c r="AA512" s="289">
        <f t="shared" si="64"/>
        <v>9.5823922864136352E-2</v>
      </c>
      <c r="AB512" s="289">
        <f t="shared" si="64"/>
        <v>7.7540970598980533E-2</v>
      </c>
      <c r="AC512" s="289">
        <f t="shared" si="64"/>
        <v>6.7232234217112871E-2</v>
      </c>
      <c r="AD512" s="289">
        <f t="shared" si="64"/>
        <v>5.7394951185251925E-2</v>
      </c>
      <c r="AE512" s="289">
        <f t="shared" si="64"/>
        <v>5.3053014604773713E-2</v>
      </c>
      <c r="AF512" s="289">
        <f t="shared" si="64"/>
        <v>5.4116779805231406E-2</v>
      </c>
      <c r="AG512" s="289">
        <f t="shared" si="64"/>
        <v>4.7435019340562184E-2</v>
      </c>
      <c r="AH512" s="289">
        <f t="shared" si="64"/>
        <v>4.3727234356992155E-2</v>
      </c>
      <c r="AI512" s="289">
        <f t="shared" si="64"/>
        <v>3.2354307339311203E-2</v>
      </c>
      <c r="AJ512" s="289">
        <f t="shared" si="64"/>
        <v>3.4341373633964986E-2</v>
      </c>
      <c r="AK512" s="289">
        <f t="shared" si="64"/>
        <v>3.2777723408700311E-2</v>
      </c>
      <c r="AL512" s="289">
        <f t="shared" si="64"/>
        <v>3.0515642993542209E-2</v>
      </c>
      <c r="AM512" s="289">
        <f t="shared" si="64"/>
        <v>3.430652345776701E-2</v>
      </c>
      <c r="AN512" s="289">
        <f t="shared" si="64"/>
        <v>3.0081758280498267E-2</v>
      </c>
      <c r="AO512" s="289">
        <f t="shared" si="64"/>
        <v>2.0887807422159378E-2</v>
      </c>
      <c r="AP512" s="289">
        <f t="shared" si="64"/>
        <v>2.1573741319380113E-2</v>
      </c>
      <c r="AQ512" s="289">
        <f t="shared" si="64"/>
        <v>2.134246147958593E-2</v>
      </c>
      <c r="AR512" s="289">
        <f t="shared" si="64"/>
        <v>2.1700298494150699E-2</v>
      </c>
      <c r="AS512" s="289">
        <f t="shared" si="64"/>
        <v>1.8632886905092075E-2</v>
      </c>
      <c r="AT512" s="289">
        <f t="shared" si="64"/>
        <v>1.4576574328962448E-2</v>
      </c>
      <c r="AU512" s="289">
        <f t="shared" si="64"/>
        <v>1.255859411175491E-2</v>
      </c>
      <c r="AV512" s="289">
        <f t="shared" si="64"/>
        <v>1.2009692650823051E-2</v>
      </c>
      <c r="AW512" s="289">
        <f t="shared" si="64"/>
        <v>1.0732970339445346E-2</v>
      </c>
      <c r="AX512" s="289">
        <f t="shared" si="64"/>
        <v>9.1515198857213143E-3</v>
      </c>
      <c r="AY512" s="289">
        <f t="shared" si="64"/>
        <v>8.2191664365255431E-3</v>
      </c>
      <c r="AZ512" s="289">
        <f t="shared" si="64"/>
        <v>1.3916344218259416E-2</v>
      </c>
      <c r="BA512" s="289">
        <f t="shared" si="64"/>
        <v>1.6308611064291358E-2</v>
      </c>
      <c r="BB512" s="289">
        <f>BB262/BB$251</f>
        <v>1.9393414889598053E-2</v>
      </c>
      <c r="BC512" s="289">
        <f t="shared" si="54"/>
        <v>1.9393414889598053E-2</v>
      </c>
    </row>
    <row r="513" spans="2:55">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row>
    <row r="514" spans="2:55">
      <c r="B514" s="153" t="s">
        <v>1309</v>
      </c>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row>
    <row r="516" spans="2:55">
      <c r="B516" s="30" t="s">
        <v>1249</v>
      </c>
      <c r="C516" s="30" t="s">
        <v>1248</v>
      </c>
      <c r="D516" s="30" t="s">
        <v>1250</v>
      </c>
      <c r="E516" s="30" t="s">
        <v>1251</v>
      </c>
    </row>
    <row r="517" spans="2:55">
      <c r="B517" s="72" t="s">
        <v>852</v>
      </c>
      <c r="C517" s="82">
        <f>BC234</f>
        <v>83382.81533387427</v>
      </c>
      <c r="D517" s="82">
        <f>'GDP per emp'!X234</f>
        <v>41937</v>
      </c>
    </row>
    <row r="518" spans="2:55">
      <c r="B518" s="72" t="s">
        <v>596</v>
      </c>
      <c r="C518" s="82">
        <f>BC101</f>
        <v>59852.173465658263</v>
      </c>
      <c r="D518" s="82">
        <f>'GDP per emp'!X101</f>
        <v>47490</v>
      </c>
    </row>
    <row r="519" spans="2:55">
      <c r="B519" s="72" t="s">
        <v>667</v>
      </c>
      <c r="C519" s="82">
        <f>BC139</f>
        <v>48423.211782185579</v>
      </c>
      <c r="D519" s="82">
        <f>'GDP per emp'!X139</f>
        <v>56749</v>
      </c>
    </row>
    <row r="520" spans="2:55">
      <c r="B520" s="72" t="s">
        <v>632</v>
      </c>
      <c r="C520" s="82">
        <f>BC120</f>
        <v>44059.825922391079</v>
      </c>
      <c r="D520" s="82">
        <f>'GDP per emp'!X120</f>
        <v>43276</v>
      </c>
    </row>
    <row r="521" spans="2:55">
      <c r="B521" s="72" t="s">
        <v>886</v>
      </c>
      <c r="C521" s="82">
        <f>BC251</f>
        <v>39038.458270399999</v>
      </c>
      <c r="D521" s="82">
        <f>'GDP per emp'!X251</f>
        <v>47884</v>
      </c>
    </row>
    <row r="522" spans="2:55">
      <c r="B522" s="72" t="s">
        <v>655</v>
      </c>
      <c r="C522" s="82">
        <f>BC132</f>
        <v>35156.385570072947</v>
      </c>
      <c r="D522" s="82">
        <f>'GDP per emp'!X132</f>
        <v>65798</v>
      </c>
    </row>
    <row r="525" spans="2:55">
      <c r="C525" s="30" t="s">
        <v>1161</v>
      </c>
    </row>
    <row r="526" spans="2:55">
      <c r="B526" s="347" t="s">
        <v>852</v>
      </c>
      <c r="C526" s="208">
        <f>VLOOKUP(B526,$B$267:$BB$512,53,FALSE)</f>
        <v>2.1359146602645769</v>
      </c>
    </row>
    <row r="527" spans="2:55">
      <c r="B527" s="347" t="s">
        <v>596</v>
      </c>
      <c r="C527" s="208">
        <f t="shared" ref="C527:C530" si="65">VLOOKUP(B527,$B$267:$BB$512,53,FALSE)</f>
        <v>1.5331592516049688</v>
      </c>
    </row>
    <row r="528" spans="2:55">
      <c r="B528" s="347" t="s">
        <v>667</v>
      </c>
      <c r="C528" s="208">
        <f t="shared" si="65"/>
        <v>1.2403976470275044</v>
      </c>
    </row>
    <row r="529" spans="2:55">
      <c r="B529" s="347" t="s">
        <v>632</v>
      </c>
      <c r="C529" s="208">
        <f t="shared" si="65"/>
        <v>1.1286261772227417</v>
      </c>
    </row>
    <row r="530" spans="2:55">
      <c r="B530" s="347" t="s">
        <v>655</v>
      </c>
      <c r="C530" s="208">
        <f t="shared" si="65"/>
        <v>0.90055773531224359</v>
      </c>
    </row>
    <row r="531" spans="2:55">
      <c r="B531" s="347"/>
      <c r="C531" s="208"/>
    </row>
    <row r="532" spans="2:55">
      <c r="B532" s="347"/>
      <c r="C532" s="208"/>
    </row>
    <row r="533" spans="2:55">
      <c r="B533" s="347"/>
      <c r="C533" s="208"/>
    </row>
    <row r="535" spans="2:55">
      <c r="B535" s="153" t="s">
        <v>163</v>
      </c>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row>
  </sheetData>
  <sortState ref="B519:C524">
    <sortCondition descending="1" ref="C518:C523"/>
  </sortState>
  <hyperlinks>
    <hyperlink ref="C8" r:id="rId1"/>
  </hyperlinks>
  <pageMargins left="0.75" right="0.75" top="1" bottom="1" header="0.5" footer="0.5"/>
  <pageSetup paperSize="9" scale="10" orientation="landscape" r:id="rId2"/>
  <headerFooter alignWithMargins="0">
    <oddFooter>&amp;L&amp;F \ &amp;A&amp;R&amp;T  &amp;D</oddFooter>
  </headerFooter>
  <drawing r:id="rId3"/>
  <legacyDrawing r:id="rId4"/>
</worksheet>
</file>

<file path=xl/worksheets/sheet36.xml><?xml version="1.0" encoding="utf-8"?>
<worksheet xmlns="http://schemas.openxmlformats.org/spreadsheetml/2006/main" xmlns:r="http://schemas.openxmlformats.org/officeDocument/2006/relationships">
  <sheetPr>
    <pageSetUpPr autoPageBreaks="0" fitToPage="1"/>
  </sheetPr>
  <dimension ref="A1:BB514"/>
  <sheetViews>
    <sheetView showGridLines="0" zoomScale="70" zoomScaleNormal="70" workbookViewId="0">
      <pane xSplit="3" ySplit="16" topLeftCell="D483" activePane="bottomRight" state="frozen"/>
      <selection pane="topRight" activeCell="D1" sqref="D1"/>
      <selection pane="bottomLeft" activeCell="A28" sqref="A28"/>
      <selection pane="bottomRight" activeCell="I11" sqref="I11"/>
    </sheetView>
  </sheetViews>
  <sheetFormatPr defaultRowHeight="12.75"/>
  <cols>
    <col min="1" max="1" width="8" style="90" customWidth="1"/>
    <col min="2" max="2" width="44" style="90" customWidth="1"/>
    <col min="3" max="14" width="10.7109375" style="90" customWidth="1"/>
    <col min="15" max="15" width="11.7109375" style="90" customWidth="1"/>
    <col min="16" max="16" width="10.7109375" style="126" customWidth="1"/>
    <col min="17" max="24" width="10.7109375" style="90" customWidth="1"/>
    <col min="25" max="16384" width="9.140625" style="90"/>
  </cols>
  <sheetData>
    <row r="1" spans="1:54" ht="12.75" customHeight="1">
      <c r="A1" s="145"/>
    </row>
    <row r="2" spans="1:54">
      <c r="B2" s="146" t="s">
        <v>134</v>
      </c>
      <c r="C2" s="91"/>
      <c r="D2" s="91"/>
      <c r="E2" s="147" t="str">
        <f>Info!$D$10</f>
        <v>Duncan Kernohan</v>
      </c>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row>
    <row r="3" spans="1:54">
      <c r="B3" s="148" t="s">
        <v>137</v>
      </c>
      <c r="C3" s="92"/>
      <c r="D3" s="92"/>
      <c r="E3" s="149" t="str">
        <f>Info!$D$11 &amp; " - " &amp; Info!$D$12</f>
        <v>Airport Opex Benchmarking 2013 - duncan.kernohan@caa.co.uk</v>
      </c>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c r="B4" s="148" t="s">
        <v>130</v>
      </c>
      <c r="C4" s="92"/>
      <c r="D4" s="92"/>
      <c r="E4" s="150">
        <f>Info!$D$16</f>
        <v>2.8</v>
      </c>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row>
    <row r="5" spans="1:54">
      <c r="B5" s="151" t="s">
        <v>138</v>
      </c>
      <c r="C5" s="93"/>
      <c r="D5" s="93"/>
      <c r="E5" s="152" t="str">
        <f ca="1">IF(CELL("filename",D1)="","",MID(CELL("filename",A1),FIND("]",CELL("filename",A1))+1,99))</f>
        <v>GDP per emp</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row>
    <row r="6" spans="1:54">
      <c r="P6" s="90"/>
    </row>
    <row r="7" spans="1:54">
      <c r="B7" s="90" t="s">
        <v>143</v>
      </c>
      <c r="C7" s="90" t="s">
        <v>911</v>
      </c>
      <c r="P7" s="90"/>
    </row>
    <row r="8" spans="1:54">
      <c r="B8" s="90" t="s">
        <v>1092</v>
      </c>
      <c r="C8" s="348" t="s">
        <v>1097</v>
      </c>
      <c r="P8" s="90"/>
    </row>
    <row r="9" spans="1:54">
      <c r="P9" s="90"/>
    </row>
    <row r="10" spans="1:54">
      <c r="B10" s="231"/>
      <c r="C10" s="72"/>
      <c r="D10" s="72"/>
      <c r="P10" s="90"/>
    </row>
    <row r="11" spans="1:54">
      <c r="B11" s="72" t="s">
        <v>1096</v>
      </c>
      <c r="C11" s="72"/>
      <c r="D11" s="72"/>
      <c r="P11" s="90"/>
    </row>
    <row r="12" spans="1:54">
      <c r="B12" s="231"/>
      <c r="C12" s="232"/>
      <c r="D12" s="72"/>
      <c r="P12" s="90"/>
    </row>
    <row r="13" spans="1:54">
      <c r="P13" s="90"/>
    </row>
    <row r="14" spans="1:54" s="126" customFormat="1">
      <c r="A14" s="90"/>
      <c r="B14" s="153" t="s">
        <v>1118</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row>
    <row r="15" spans="1:54">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row>
    <row r="16" spans="1:54">
      <c r="B16" s="286" t="s">
        <v>400</v>
      </c>
      <c r="C16" s="286" t="s">
        <v>401</v>
      </c>
      <c r="D16" s="286" t="s">
        <v>413</v>
      </c>
      <c r="E16" s="286" t="s">
        <v>414</v>
      </c>
      <c r="F16" s="286" t="s">
        <v>415</v>
      </c>
      <c r="G16" s="286" t="s">
        <v>416</v>
      </c>
      <c r="H16" s="286" t="s">
        <v>417</v>
      </c>
      <c r="I16" s="286" t="s">
        <v>418</v>
      </c>
      <c r="J16" s="286" t="s">
        <v>419</v>
      </c>
      <c r="K16" s="286" t="s">
        <v>420</v>
      </c>
      <c r="L16" s="286" t="s">
        <v>421</v>
      </c>
      <c r="M16" s="286" t="s">
        <v>422</v>
      </c>
      <c r="N16" s="286" t="s">
        <v>423</v>
      </c>
      <c r="O16" s="286" t="s">
        <v>424</v>
      </c>
      <c r="P16" s="286" t="s">
        <v>425</v>
      </c>
      <c r="Q16" s="286" t="s">
        <v>426</v>
      </c>
      <c r="R16" s="286" t="s">
        <v>427</v>
      </c>
      <c r="S16" s="286" t="s">
        <v>428</v>
      </c>
      <c r="T16" s="286" t="s">
        <v>429</v>
      </c>
      <c r="U16" s="286" t="s">
        <v>430</v>
      </c>
      <c r="V16" s="286" t="s">
        <v>431</v>
      </c>
      <c r="W16" s="286" t="s">
        <v>432</v>
      </c>
      <c r="X16" s="286" t="s">
        <v>433</v>
      </c>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row>
    <row r="17" spans="1:54">
      <c r="B17" s="72" t="s">
        <v>434</v>
      </c>
      <c r="C17" s="72" t="s">
        <v>435</v>
      </c>
      <c r="D17" s="292">
        <v>11486.431291616602</v>
      </c>
      <c r="E17" s="292">
        <v>11655.285738210996</v>
      </c>
      <c r="F17" s="292">
        <v>11454.739604889281</v>
      </c>
      <c r="G17" s="292">
        <v>11426.43528052098</v>
      </c>
      <c r="H17" s="292">
        <v>11268.377949924818</v>
      </c>
      <c r="I17" s="292">
        <v>11381.215359058002</v>
      </c>
      <c r="J17" s="292">
        <v>11317.792367320899</v>
      </c>
      <c r="K17" s="292">
        <v>11595.327629380037</v>
      </c>
      <c r="L17" s="292">
        <v>11490.917499334491</v>
      </c>
      <c r="M17" s="292">
        <v>11761.330422044452</v>
      </c>
      <c r="N17" s="292">
        <v>11828.072418630818</v>
      </c>
      <c r="O17" s="292">
        <v>11814.080012935516</v>
      </c>
      <c r="P17" s="292">
        <v>12008.424608189889</v>
      </c>
      <c r="Q17" s="292">
        <v>12326.360746940984</v>
      </c>
      <c r="R17" s="292">
        <v>12464.36521416741</v>
      </c>
      <c r="S17" s="292">
        <v>12677.886580242232</v>
      </c>
      <c r="T17" s="292">
        <v>12864.893535808211</v>
      </c>
      <c r="U17" s="292">
        <v>13108.601644672335</v>
      </c>
      <c r="V17" s="292">
        <v>13036.497547778956</v>
      </c>
      <c r="W17" s="292">
        <v>13291.257579257997</v>
      </c>
      <c r="X17" s="292">
        <v>13379.643535626261</v>
      </c>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row>
    <row r="18" spans="1:54" s="126" customFormat="1">
      <c r="A18" s="90"/>
      <c r="B18" s="72" t="s">
        <v>436</v>
      </c>
      <c r="C18" s="72" t="s">
        <v>437</v>
      </c>
      <c r="D18" s="292"/>
      <c r="E18" s="292"/>
      <c r="F18" s="292"/>
      <c r="G18" s="292"/>
      <c r="H18" s="292"/>
      <c r="I18" s="292"/>
      <c r="J18" s="292"/>
      <c r="K18" s="292"/>
      <c r="L18" s="292"/>
      <c r="M18" s="292"/>
      <c r="N18" s="292"/>
      <c r="O18" s="292"/>
      <c r="P18" s="292"/>
      <c r="Q18" s="292"/>
      <c r="R18" s="292"/>
      <c r="S18" s="292"/>
      <c r="T18" s="292"/>
      <c r="U18" s="292"/>
      <c r="V18" s="292"/>
      <c r="W18" s="292"/>
      <c r="X18" s="29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row>
    <row r="19" spans="1:54">
      <c r="B19" s="72" t="s">
        <v>438</v>
      </c>
      <c r="C19" s="72" t="s">
        <v>439</v>
      </c>
      <c r="D19" s="292">
        <v>6655.8804857487294</v>
      </c>
      <c r="E19" s="292">
        <v>6853.527438041705</v>
      </c>
      <c r="F19" s="292">
        <v>7118.637885882612</v>
      </c>
      <c r="G19" s="292">
        <v>7437.3725489849076</v>
      </c>
      <c r="H19" s="292">
        <v>7980.7589964402241</v>
      </c>
      <c r="I19" s="292">
        <v>8134.0172303093195</v>
      </c>
      <c r="J19" s="292">
        <v>8361.8028874772317</v>
      </c>
      <c r="K19" s="292">
        <v>8096.104030917958</v>
      </c>
      <c r="L19" s="292">
        <v>8314.6459339801295</v>
      </c>
      <c r="M19" s="292">
        <v>8718.2546714700675</v>
      </c>
      <c r="N19" s="292">
        <v>9048.9498933674531</v>
      </c>
      <c r="O19" s="292">
        <v>9559.3489570026159</v>
      </c>
      <c r="P19" s="292">
        <v>10233.508036623687</v>
      </c>
      <c r="Q19" s="292">
        <v>10800.254807198229</v>
      </c>
      <c r="R19" s="292">
        <v>11400.362140538637</v>
      </c>
      <c r="S19" s="292">
        <v>12186.85913568596</v>
      </c>
      <c r="T19" s="292">
        <v>13160.985033525845</v>
      </c>
      <c r="U19" s="292">
        <v>13829.447120565106</v>
      </c>
      <c r="V19" s="292">
        <v>14310.840860564518</v>
      </c>
      <c r="W19" s="292">
        <v>15378.526343593547</v>
      </c>
      <c r="X19" s="292">
        <v>16262.508165184803</v>
      </c>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row>
    <row r="20" spans="1:54">
      <c r="B20" s="72" t="s">
        <v>440</v>
      </c>
      <c r="C20" s="72" t="s">
        <v>441</v>
      </c>
      <c r="D20" s="292">
        <v>3467.6238835033319</v>
      </c>
      <c r="E20" s="292">
        <v>3689.6770798931634</v>
      </c>
      <c r="F20" s="292">
        <v>3969.0184940052468</v>
      </c>
      <c r="G20" s="292">
        <v>4274.3716062501089</v>
      </c>
      <c r="H20" s="292">
        <v>4788.5477363302207</v>
      </c>
      <c r="I20" s="292">
        <v>4878.0825362459427</v>
      </c>
      <c r="J20" s="292">
        <v>5059.716996717194</v>
      </c>
      <c r="K20" s="292">
        <v>4850.8232216073011</v>
      </c>
      <c r="L20" s="292">
        <v>5044.1659025978952</v>
      </c>
      <c r="M20" s="292">
        <v>5379.0589398655047</v>
      </c>
      <c r="N20" s="292">
        <v>5730.3300466303062</v>
      </c>
      <c r="O20" s="292">
        <v>6235.0541962253628</v>
      </c>
      <c r="P20" s="292">
        <v>6926.5620286122103</v>
      </c>
      <c r="Q20" s="292">
        <v>7470.6335427120985</v>
      </c>
      <c r="R20" s="292">
        <v>8089.4057743186522</v>
      </c>
      <c r="S20" s="292">
        <v>8896.2127285902789</v>
      </c>
      <c r="T20" s="292">
        <v>9869.6197608456732</v>
      </c>
      <c r="U20" s="292">
        <v>10615.671326493011</v>
      </c>
      <c r="V20" s="292">
        <v>11313.120859739694</v>
      </c>
      <c r="W20" s="292">
        <v>12291.76948266012</v>
      </c>
      <c r="X20" s="292">
        <v>13236.417636157708</v>
      </c>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row>
    <row r="21" spans="1:54">
      <c r="B21" s="72" t="s">
        <v>442</v>
      </c>
      <c r="C21" s="72" t="s">
        <v>443</v>
      </c>
      <c r="D21" s="292">
        <v>36969.371960557553</v>
      </c>
      <c r="E21" s="292">
        <v>37808.611117069733</v>
      </c>
      <c r="F21" s="292">
        <v>38146.113080792267</v>
      </c>
      <c r="G21" s="292">
        <v>39149.358581162422</v>
      </c>
      <c r="H21" s="292">
        <v>39928.373555189624</v>
      </c>
      <c r="I21" s="292">
        <v>40293.238709224359</v>
      </c>
      <c r="J21" s="292">
        <v>40979.81975906853</v>
      </c>
      <c r="K21" s="292">
        <v>41370.94361773214</v>
      </c>
      <c r="L21" s="292">
        <v>41772.560916767012</v>
      </c>
      <c r="M21" s="292">
        <v>42410.971384051227</v>
      </c>
      <c r="N21" s="292">
        <v>42655.408679623659</v>
      </c>
      <c r="O21" s="292">
        <v>42800.253638519469</v>
      </c>
      <c r="P21" s="292">
        <v>42971.148254644984</v>
      </c>
      <c r="Q21" s="292">
        <v>43614.205549717241</v>
      </c>
      <c r="R21" s="292">
        <v>43903.771291220881</v>
      </c>
      <c r="S21" s="292">
        <v>44572.315552166307</v>
      </c>
      <c r="T21" s="292">
        <v>45092.589199069836</v>
      </c>
      <c r="U21" s="292">
        <v>44922.954969215782</v>
      </c>
      <c r="V21" s="292">
        <v>43823.180252905877</v>
      </c>
      <c r="W21" s="292">
        <v>44848.638028653149</v>
      </c>
      <c r="X21" s="292">
        <v>45438.798889630591</v>
      </c>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row>
    <row r="22" spans="1:54">
      <c r="B22" s="72" t="s">
        <v>444</v>
      </c>
      <c r="C22" s="72" t="s">
        <v>445</v>
      </c>
      <c r="D22" s="292">
        <v>24212.855644357573</v>
      </c>
      <c r="E22" s="292">
        <v>23898.973376821847</v>
      </c>
      <c r="F22" s="292">
        <v>23962.316192715192</v>
      </c>
      <c r="G22" s="292">
        <v>24049.76254676297</v>
      </c>
      <c r="H22" s="292">
        <v>24474.136725129756</v>
      </c>
      <c r="I22" s="292">
        <v>24774.831499327018</v>
      </c>
      <c r="J22" s="292">
        <v>25507.099977567854</v>
      </c>
      <c r="K22" s="292">
        <v>25977.106971421108</v>
      </c>
      <c r="L22" s="292">
        <v>26353.161450007548</v>
      </c>
      <c r="M22" s="292">
        <v>27218.698261695339</v>
      </c>
      <c r="N22" s="292">
        <v>27665.736885644055</v>
      </c>
      <c r="O22" s="292">
        <v>28163.497738719128</v>
      </c>
      <c r="P22" s="292">
        <v>28824.410686017753</v>
      </c>
      <c r="Q22" s="292">
        <v>29823.493621196576</v>
      </c>
      <c r="R22" s="292">
        <v>30398.955245834077</v>
      </c>
      <c r="S22" s="292">
        <v>31303.047383256973</v>
      </c>
      <c r="T22" s="292">
        <v>32051.071025853395</v>
      </c>
      <c r="U22" s="292">
        <v>32202.099210617573</v>
      </c>
      <c r="V22" s="292">
        <v>31195.862977171648</v>
      </c>
      <c r="W22" s="292">
        <v>31906.397316345803</v>
      </c>
      <c r="X22" s="292">
        <v>32467.489917225932</v>
      </c>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row>
    <row r="23" spans="1:54">
      <c r="B23" s="72" t="s">
        <v>446</v>
      </c>
      <c r="C23" s="72" t="s">
        <v>447</v>
      </c>
      <c r="D23" s="292">
        <v>13064.482590135849</v>
      </c>
      <c r="E23" s="292">
        <v>11861.925739574164</v>
      </c>
      <c r="F23" s="292">
        <v>11343.680075536677</v>
      </c>
      <c r="G23" s="292">
        <v>10183.199069470504</v>
      </c>
      <c r="H23" s="292">
        <v>10067.642179194987</v>
      </c>
      <c r="I23" s="292">
        <v>10014.804900683275</v>
      </c>
      <c r="J23" s="292">
        <v>10407.638959518346</v>
      </c>
      <c r="K23" s="292">
        <v>10385.512350619807</v>
      </c>
      <c r="L23" s="292">
        <v>10699.070170635105</v>
      </c>
      <c r="M23" s="292">
        <v>11553.636651916036</v>
      </c>
      <c r="N23" s="292">
        <v>11883.806867815072</v>
      </c>
      <c r="O23" s="292">
        <v>12566.267496504879</v>
      </c>
      <c r="P23" s="292">
        <v>13360.907243383999</v>
      </c>
      <c r="Q23" s="292">
        <v>14596.540130725336</v>
      </c>
      <c r="R23" s="292">
        <v>15459.019332750004</v>
      </c>
      <c r="S23" s="292">
        <v>16559.381149386427</v>
      </c>
      <c r="T23" s="292">
        <v>17617.719127965865</v>
      </c>
      <c r="U23" s="292">
        <v>18208.791689422156</v>
      </c>
      <c r="V23" s="292">
        <v>17369.090875737671</v>
      </c>
      <c r="W23" s="292">
        <v>18044.672320670274</v>
      </c>
      <c r="X23" s="292">
        <v>18911.368844038065</v>
      </c>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row>
    <row r="24" spans="1:54">
      <c r="B24" s="72" t="s">
        <v>448</v>
      </c>
      <c r="C24" s="72" t="s">
        <v>449</v>
      </c>
      <c r="D24" s="292">
        <v>31435.665759516552</v>
      </c>
      <c r="E24" s="292">
        <v>32072.624267093997</v>
      </c>
      <c r="F24" s="292">
        <v>32529.046754502568</v>
      </c>
      <c r="G24" s="292">
        <v>33508.491702552848</v>
      </c>
      <c r="H24" s="292">
        <v>34258.085298419559</v>
      </c>
      <c r="I24" s="292">
        <v>34649.424552717173</v>
      </c>
      <c r="J24" s="292">
        <v>35236.210455921093</v>
      </c>
      <c r="K24" s="292">
        <v>35798.521715079769</v>
      </c>
      <c r="L24" s="292">
        <v>36494.634348444481</v>
      </c>
      <c r="M24" s="292">
        <v>37417.828854886284</v>
      </c>
      <c r="N24" s="292">
        <v>37941.095050575103</v>
      </c>
      <c r="O24" s="292">
        <v>38531.358429619402</v>
      </c>
      <c r="P24" s="292">
        <v>38940.082228210056</v>
      </c>
      <c r="Q24" s="292">
        <v>39754.336516860603</v>
      </c>
      <c r="R24" s="292">
        <v>40200.037095886611</v>
      </c>
      <c r="S24" s="292">
        <v>40898.43312242769</v>
      </c>
      <c r="T24" s="292">
        <v>41446.818174821041</v>
      </c>
      <c r="U24" s="292">
        <v>41301.736598364616</v>
      </c>
      <c r="V24" s="292">
        <v>40236.238737414009</v>
      </c>
      <c r="W24" s="292">
        <v>41194.805028939372</v>
      </c>
      <c r="X24" s="292">
        <v>41691.270882922538</v>
      </c>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row>
    <row r="25" spans="1:54">
      <c r="B25" s="72" t="s">
        <v>450</v>
      </c>
      <c r="C25" s="72" t="s">
        <v>451</v>
      </c>
      <c r="D25" s="292">
        <v>1919.2932936674481</v>
      </c>
      <c r="E25" s="292">
        <v>1814.6694850470672</v>
      </c>
      <c r="F25" s="292">
        <v>1831.8413783739086</v>
      </c>
      <c r="G25" s="292">
        <v>1800.7307217600735</v>
      </c>
      <c r="H25" s="292">
        <v>1823.5845395704318</v>
      </c>
      <c r="I25" s="292">
        <v>1898.7578277112202</v>
      </c>
      <c r="J25" s="292">
        <v>1939.2223702815422</v>
      </c>
      <c r="K25" s="292">
        <v>1954.0591275687218</v>
      </c>
      <c r="L25" s="292">
        <v>1976.5413214295284</v>
      </c>
      <c r="M25" s="292">
        <v>1965.547426640562</v>
      </c>
      <c r="N25" s="292">
        <v>2009.172216149695</v>
      </c>
      <c r="O25" s="292">
        <v>2019.7835705740224</v>
      </c>
      <c r="P25" s="292">
        <v>2038.113054722935</v>
      </c>
      <c r="Q25" s="292">
        <v>2093.4685912691102</v>
      </c>
      <c r="R25" s="292">
        <v>2168.3602230142001</v>
      </c>
      <c r="S25" s="292">
        <v>2248.9267028217146</v>
      </c>
      <c r="T25" s="292">
        <v>2335.8308235211261</v>
      </c>
      <c r="U25" s="292">
        <v>2418.534273931059</v>
      </c>
      <c r="V25" s="292">
        <v>2460.4595022587314</v>
      </c>
      <c r="W25" s="292">
        <v>2533.266193650863</v>
      </c>
      <c r="X25" s="292">
        <v>2590.2272063934524</v>
      </c>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row>
    <row r="26" spans="1:54">
      <c r="B26" s="72" t="s">
        <v>452</v>
      </c>
      <c r="C26" s="72" t="s">
        <v>453</v>
      </c>
      <c r="D26" s="292">
        <v>37613.651086995262</v>
      </c>
      <c r="E26" s="292">
        <v>38503.807465976453</v>
      </c>
      <c r="F26" s="292">
        <v>39048.82520281629</v>
      </c>
      <c r="G26" s="292">
        <v>39958.303967212501</v>
      </c>
      <c r="H26" s="292">
        <v>40612.991015267995</v>
      </c>
      <c r="I26" s="292">
        <v>41384.978449704031</v>
      </c>
      <c r="J26" s="292">
        <v>42227.23747487308</v>
      </c>
      <c r="K26" s="292">
        <v>42973.015770175829</v>
      </c>
      <c r="L26" s="292">
        <v>44051.106503734816</v>
      </c>
      <c r="M26" s="292">
        <v>45191.610246165015</v>
      </c>
      <c r="N26" s="292">
        <v>45572.23313265769</v>
      </c>
      <c r="O26" s="292">
        <v>46214.49384967993</v>
      </c>
      <c r="P26" s="292">
        <v>46866.105628523343</v>
      </c>
      <c r="Q26" s="292">
        <v>47843.296399160186</v>
      </c>
      <c r="R26" s="292">
        <v>48404.318101906458</v>
      </c>
      <c r="S26" s="292">
        <v>48986.598221644381</v>
      </c>
      <c r="T26" s="292">
        <v>49456.596223657471</v>
      </c>
      <c r="U26" s="292">
        <v>49247.678680881749</v>
      </c>
      <c r="V26" s="292">
        <v>48369.803499240472</v>
      </c>
      <c r="W26" s="292">
        <v>49834.293317730342</v>
      </c>
      <c r="X26" s="292">
        <v>50389.79191521609</v>
      </c>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row>
    <row r="27" spans="1:54">
      <c r="B27" s="72" t="s">
        <v>454</v>
      </c>
      <c r="C27" s="72" t="s">
        <v>455</v>
      </c>
      <c r="D27" s="292"/>
      <c r="E27" s="292"/>
      <c r="F27" s="292"/>
      <c r="G27" s="292"/>
      <c r="H27" s="292"/>
      <c r="I27" s="292"/>
      <c r="J27" s="292"/>
      <c r="K27" s="292"/>
      <c r="L27" s="292"/>
      <c r="M27" s="292"/>
      <c r="N27" s="292"/>
      <c r="O27" s="292"/>
      <c r="P27" s="292"/>
      <c r="Q27" s="292"/>
      <c r="R27" s="292"/>
      <c r="S27" s="292"/>
      <c r="T27" s="292"/>
      <c r="U27" s="292"/>
      <c r="V27" s="292"/>
      <c r="W27" s="292"/>
      <c r="X27" s="29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row>
    <row r="28" spans="1:54">
      <c r="B28" s="72" t="s">
        <v>456</v>
      </c>
      <c r="C28" s="72" t="s">
        <v>457</v>
      </c>
      <c r="D28" s="292">
        <v>37969.472124378823</v>
      </c>
      <c r="E28" s="292">
        <v>38824.847004902134</v>
      </c>
      <c r="F28" s="292">
        <v>39414.800951276411</v>
      </c>
      <c r="G28" s="292">
        <v>40356.191404506404</v>
      </c>
      <c r="H28" s="292">
        <v>41073.89756087002</v>
      </c>
      <c r="I28" s="292">
        <v>41879.972117539481</v>
      </c>
      <c r="J28" s="292">
        <v>42730.368979551553</v>
      </c>
      <c r="K28" s="292">
        <v>43521.205252993212</v>
      </c>
      <c r="L28" s="292">
        <v>44640.551413391455</v>
      </c>
      <c r="M28" s="292">
        <v>45790.68163572732</v>
      </c>
      <c r="N28" s="292">
        <v>46229.244601611448</v>
      </c>
      <c r="O28" s="292">
        <v>46928.279313550804</v>
      </c>
      <c r="P28" s="292">
        <v>47593.801730772349</v>
      </c>
      <c r="Q28" s="292">
        <v>48612.886374294852</v>
      </c>
      <c r="R28" s="292">
        <v>49203.909645443819</v>
      </c>
      <c r="S28" s="292">
        <v>49832.631108086025</v>
      </c>
      <c r="T28" s="292">
        <v>50373.739724058956</v>
      </c>
      <c r="U28" s="292">
        <v>50235.951556032946</v>
      </c>
      <c r="V28" s="292">
        <v>49461.241466484447</v>
      </c>
      <c r="W28" s="292">
        <v>51011.236614084191</v>
      </c>
      <c r="X28" s="292">
        <v>51570.970704198087</v>
      </c>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row>
    <row r="29" spans="1:54">
      <c r="B29" s="72" t="s">
        <v>458</v>
      </c>
      <c r="C29" s="72" t="s">
        <v>459</v>
      </c>
      <c r="D29" s="292">
        <v>13892.703574156363</v>
      </c>
      <c r="E29" s="292">
        <v>14050.305422618929</v>
      </c>
      <c r="F29" s="292">
        <v>14360.515157877173</v>
      </c>
      <c r="G29" s="292">
        <v>14742.362379992106</v>
      </c>
      <c r="H29" s="292">
        <v>14816.104188675534</v>
      </c>
      <c r="I29" s="292">
        <v>15224.798092779813</v>
      </c>
      <c r="J29" s="292">
        <v>15747.653322056807</v>
      </c>
      <c r="K29" s="292">
        <v>15872.224760546484</v>
      </c>
      <c r="L29" s="292">
        <v>15569.154867589443</v>
      </c>
      <c r="M29" s="292">
        <v>15705.334618644723</v>
      </c>
      <c r="N29" s="292">
        <v>15570.032044302206</v>
      </c>
      <c r="O29" s="292">
        <v>15400.09556372664</v>
      </c>
      <c r="P29" s="292">
        <v>15386.042544288937</v>
      </c>
      <c r="Q29" s="292">
        <v>15764.385284632113</v>
      </c>
      <c r="R29" s="292">
        <v>16148.350114653374</v>
      </c>
      <c r="S29" s="292">
        <v>16560.807090630056</v>
      </c>
      <c r="T29" s="292">
        <v>17234.314864474905</v>
      </c>
      <c r="U29" s="292">
        <v>17479.741627227038</v>
      </c>
      <c r="V29" s="292">
        <v>17035.264036436769</v>
      </c>
      <c r="W29" s="292">
        <v>17640.949680932692</v>
      </c>
      <c r="X29" s="292">
        <v>17920.687997032215</v>
      </c>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row>
    <row r="30" spans="1:54">
      <c r="B30" s="72" t="s">
        <v>460</v>
      </c>
      <c r="C30" s="72" t="s">
        <v>461</v>
      </c>
      <c r="D30" s="292">
        <v>13851.907574773999</v>
      </c>
      <c r="E30" s="292">
        <v>14013.680572133377</v>
      </c>
      <c r="F30" s="292">
        <v>14325.342314280357</v>
      </c>
      <c r="G30" s="292">
        <v>14707.537172814766</v>
      </c>
      <c r="H30" s="292">
        <v>14780.527371686887</v>
      </c>
      <c r="I30" s="292">
        <v>15186.756016891397</v>
      </c>
      <c r="J30" s="292">
        <v>15708.040481255359</v>
      </c>
      <c r="K30" s="292">
        <v>15829.304202488369</v>
      </c>
      <c r="L30" s="292">
        <v>15520.275223100973</v>
      </c>
      <c r="M30" s="292">
        <v>15652.863473566465</v>
      </c>
      <c r="N30" s="292">
        <v>15515.530722209416</v>
      </c>
      <c r="O30" s="292">
        <v>15339.335415624288</v>
      </c>
      <c r="P30" s="292">
        <v>15311.179692368381</v>
      </c>
      <c r="Q30" s="292">
        <v>15686.176082010543</v>
      </c>
      <c r="R30" s="292">
        <v>16066.770162160903</v>
      </c>
      <c r="S30" s="292">
        <v>16464.505791132022</v>
      </c>
      <c r="T30" s="292">
        <v>17134.877602327626</v>
      </c>
      <c r="U30" s="292">
        <v>17381.066368774718</v>
      </c>
      <c r="V30" s="292">
        <v>16939.713408420135</v>
      </c>
      <c r="W30" s="292">
        <v>17548.779732352159</v>
      </c>
      <c r="X30" s="292">
        <v>17829.40135911274</v>
      </c>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row>
    <row r="31" spans="1:54">
      <c r="B31" s="72" t="s">
        <v>462</v>
      </c>
      <c r="C31" s="72" t="s">
        <v>463</v>
      </c>
      <c r="D31" s="292">
        <v>1924.9184362304427</v>
      </c>
      <c r="E31" s="292">
        <v>1907.2864247792365</v>
      </c>
      <c r="F31" s="292">
        <v>1932.2614441662568</v>
      </c>
      <c r="G31" s="292">
        <v>1952.9590434572351</v>
      </c>
      <c r="H31" s="292">
        <v>1992.8544355036199</v>
      </c>
      <c r="I31" s="292">
        <v>2080.8192777188415</v>
      </c>
      <c r="J31" s="292">
        <v>2142.5189753155973</v>
      </c>
      <c r="K31" s="292">
        <v>2182.1353954435676</v>
      </c>
      <c r="L31" s="292">
        <v>2247.2602597262803</v>
      </c>
      <c r="M31" s="292">
        <v>2325.6054202475166</v>
      </c>
      <c r="N31" s="292">
        <v>2381.490449896648</v>
      </c>
      <c r="O31" s="292">
        <v>2424.844122917475</v>
      </c>
      <c r="P31" s="292">
        <v>2481.4173627102309</v>
      </c>
      <c r="Q31" s="292">
        <v>2585.3299989447974</v>
      </c>
      <c r="R31" s="292">
        <v>2710.5002092707487</v>
      </c>
      <c r="S31" s="292">
        <v>2861.1760708157663</v>
      </c>
      <c r="T31" s="292">
        <v>3015.8851875171422</v>
      </c>
      <c r="U31" s="292">
        <v>3145.4430230690882</v>
      </c>
      <c r="V31" s="292">
        <v>3235.3469523053454</v>
      </c>
      <c r="W31" s="292">
        <v>3373.4265196124175</v>
      </c>
      <c r="X31" s="292">
        <v>3447.5745353950792</v>
      </c>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row>
    <row r="32" spans="1:54">
      <c r="B32" s="72" t="s">
        <v>464</v>
      </c>
      <c r="C32" s="72" t="s">
        <v>465</v>
      </c>
      <c r="D32" s="292">
        <v>5423.3004982600278</v>
      </c>
      <c r="E32" s="292">
        <v>5475.2434168677801</v>
      </c>
      <c r="F32" s="292">
        <v>5586.7665091677372</v>
      </c>
      <c r="G32" s="292">
        <v>5686.7747762165345</v>
      </c>
      <c r="H32" s="292">
        <v>5965.9130583412298</v>
      </c>
      <c r="I32" s="292">
        <v>6098.7575634589903</v>
      </c>
      <c r="J32" s="292">
        <v>6291.4289096179309</v>
      </c>
      <c r="K32" s="292">
        <v>6256.0614195306362</v>
      </c>
      <c r="L32" s="292">
        <v>6398.1131979093252</v>
      </c>
      <c r="M32" s="292">
        <v>6662.1845792140075</v>
      </c>
      <c r="N32" s="292">
        <v>6868.0736046263564</v>
      </c>
      <c r="O32" s="292">
        <v>7156.777678784254</v>
      </c>
      <c r="P32" s="292">
        <v>7578.8204713350442</v>
      </c>
      <c r="Q32" s="292">
        <v>8035.9786900039653</v>
      </c>
      <c r="R32" s="292">
        <v>8521.954053939784</v>
      </c>
      <c r="S32" s="292">
        <v>9107.4428481301566</v>
      </c>
      <c r="T32" s="292">
        <v>9818.3111155639726</v>
      </c>
      <c r="U32" s="292">
        <v>10300.108603725017</v>
      </c>
      <c r="V32" s="292">
        <v>10575.450218251281</v>
      </c>
      <c r="W32" s="292">
        <v>11240.43064872011</v>
      </c>
      <c r="X32" s="292">
        <v>11826.037424461234</v>
      </c>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row>
    <row r="33" spans="2:54">
      <c r="B33" s="72" t="s">
        <v>466</v>
      </c>
      <c r="C33" s="72" t="s">
        <v>467</v>
      </c>
      <c r="D33" s="292">
        <v>1939.7845788180978</v>
      </c>
      <c r="E33" s="292">
        <v>1866.1317374044122</v>
      </c>
      <c r="F33" s="292">
        <v>1877.2761675571419</v>
      </c>
      <c r="G33" s="292">
        <v>1881.5874974580195</v>
      </c>
      <c r="H33" s="292">
        <v>1908.0778845763493</v>
      </c>
      <c r="I33" s="292">
        <v>1989.9090392296785</v>
      </c>
      <c r="J33" s="292">
        <v>2037.8567989566275</v>
      </c>
      <c r="K33" s="292">
        <v>2070.2693793662547</v>
      </c>
      <c r="L33" s="292">
        <v>2129.4940577018137</v>
      </c>
      <c r="M33" s="292">
        <v>2193.0811752509853</v>
      </c>
      <c r="N33" s="292">
        <v>2249.5858474462434</v>
      </c>
      <c r="O33" s="292">
        <v>2276.1473018218467</v>
      </c>
      <c r="P33" s="292">
        <v>2316.4151600605187</v>
      </c>
      <c r="Q33" s="292">
        <v>2412.5898836720075</v>
      </c>
      <c r="R33" s="292">
        <v>2525.8177461534533</v>
      </c>
      <c r="S33" s="292">
        <v>2667.1777688244729</v>
      </c>
      <c r="T33" s="292">
        <v>2810.3973940620313</v>
      </c>
      <c r="U33" s="292">
        <v>2930.9083331704333</v>
      </c>
      <c r="V33" s="292">
        <v>3020.0082554512796</v>
      </c>
      <c r="W33" s="292">
        <v>3139.9596684378885</v>
      </c>
      <c r="X33" s="292">
        <v>3241.4702064695211</v>
      </c>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row>
    <row r="34" spans="2:54">
      <c r="B34" s="72" t="s">
        <v>468</v>
      </c>
      <c r="C34" s="72" t="s">
        <v>469</v>
      </c>
      <c r="D34" s="292">
        <v>4873.1294315428377</v>
      </c>
      <c r="E34" s="292">
        <v>4891.4040236495421</v>
      </c>
      <c r="F34" s="292">
        <v>4952.9798804996908</v>
      </c>
      <c r="G34" s="292">
        <v>5028.9692324101406</v>
      </c>
      <c r="H34" s="292">
        <v>5233.954547593642</v>
      </c>
      <c r="I34" s="292">
        <v>5423.3968937101599</v>
      </c>
      <c r="J34" s="292">
        <v>5555.2894037912156</v>
      </c>
      <c r="K34" s="292">
        <v>5538.5545985435538</v>
      </c>
      <c r="L34" s="292">
        <v>5684.9206880795664</v>
      </c>
      <c r="M34" s="292">
        <v>5840.3758265516726</v>
      </c>
      <c r="N34" s="292">
        <v>5986.8250719880843</v>
      </c>
      <c r="O34" s="292">
        <v>6117.9788199362456</v>
      </c>
      <c r="P34" s="292">
        <v>6367.0797237094885</v>
      </c>
      <c r="Q34" s="292">
        <v>6657.5328079285664</v>
      </c>
      <c r="R34" s="292">
        <v>7016.3943965294138</v>
      </c>
      <c r="S34" s="292">
        <v>7374.8777987832509</v>
      </c>
      <c r="T34" s="292">
        <v>7760.0819601605208</v>
      </c>
      <c r="U34" s="292">
        <v>8061.5161731205562</v>
      </c>
      <c r="V34" s="292">
        <v>8318.9535760004219</v>
      </c>
      <c r="W34" s="292">
        <v>8712.6927422256977</v>
      </c>
      <c r="X34" s="292">
        <v>9060.0629943426429</v>
      </c>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row>
    <row r="35" spans="2:54">
      <c r="B35" s="72" t="s">
        <v>470</v>
      </c>
      <c r="C35" s="72" t="s">
        <v>471</v>
      </c>
      <c r="D35" s="292">
        <v>13514.684888562886</v>
      </c>
      <c r="E35" s="292">
        <v>13783.550928661685</v>
      </c>
      <c r="F35" s="292">
        <v>13493.539940977176</v>
      </c>
      <c r="G35" s="292">
        <v>13453.702403378937</v>
      </c>
      <c r="H35" s="292">
        <v>13354.020728552101</v>
      </c>
      <c r="I35" s="292">
        <v>13551.76103477351</v>
      </c>
      <c r="J35" s="292">
        <v>13449.544904220671</v>
      </c>
      <c r="K35" s="292">
        <v>13642.203712911592</v>
      </c>
      <c r="L35" s="292">
        <v>13465.631451474854</v>
      </c>
      <c r="M35" s="292">
        <v>13780.679190566971</v>
      </c>
      <c r="N35" s="292">
        <v>13772.533424424486</v>
      </c>
      <c r="O35" s="292">
        <v>13793.433554492058</v>
      </c>
      <c r="P35" s="292">
        <v>14004.028588366797</v>
      </c>
      <c r="Q35" s="292">
        <v>14283.133584744814</v>
      </c>
      <c r="R35" s="292">
        <v>14397.339792020597</v>
      </c>
      <c r="S35" s="292">
        <v>14707.867364022011</v>
      </c>
      <c r="T35" s="292">
        <v>15122.850430685465</v>
      </c>
      <c r="U35" s="292">
        <v>15322.685138249752</v>
      </c>
      <c r="V35" s="292">
        <v>15188.118159471929</v>
      </c>
      <c r="W35" s="292">
        <v>15449.047979035671</v>
      </c>
      <c r="X35" s="292">
        <v>15602.994103571222</v>
      </c>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row>
    <row r="36" spans="2:54">
      <c r="B36" s="72" t="s">
        <v>472</v>
      </c>
      <c r="C36" s="72" t="s">
        <v>473</v>
      </c>
      <c r="D36" s="292">
        <v>10896.106252077943</v>
      </c>
      <c r="E36" s="292">
        <v>11025.843728505968</v>
      </c>
      <c r="F36" s="292">
        <v>10819.67814441926</v>
      </c>
      <c r="G36" s="292">
        <v>10793.568917504002</v>
      </c>
      <c r="H36" s="292">
        <v>10721.170656211527</v>
      </c>
      <c r="I36" s="292">
        <v>10990.890678224536</v>
      </c>
      <c r="J36" s="292">
        <v>10891.742488715414</v>
      </c>
      <c r="K36" s="292">
        <v>11167.083016486398</v>
      </c>
      <c r="L36" s="292">
        <v>11081.344600900322</v>
      </c>
      <c r="M36" s="292">
        <v>11244.590470396701</v>
      </c>
      <c r="N36" s="292">
        <v>11373.993769525905</v>
      </c>
      <c r="O36" s="292">
        <v>11571.288838305338</v>
      </c>
      <c r="P36" s="292">
        <v>11674.42455701263</v>
      </c>
      <c r="Q36" s="292">
        <v>11949.890270660779</v>
      </c>
      <c r="R36" s="292">
        <v>12047.241185761388</v>
      </c>
      <c r="S36" s="292">
        <v>12406.912012529227</v>
      </c>
      <c r="T36" s="292">
        <v>12968.322193625487</v>
      </c>
      <c r="U36" s="292">
        <v>13175.990877435906</v>
      </c>
      <c r="V36" s="292">
        <v>13243.328363658762</v>
      </c>
      <c r="W36" s="292">
        <v>13475.399150069019</v>
      </c>
      <c r="X36" s="292">
        <v>13466.28008933347</v>
      </c>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row>
    <row r="37" spans="2:54">
      <c r="B37" s="72" t="s">
        <v>474</v>
      </c>
      <c r="C37" s="72" t="s">
        <v>475</v>
      </c>
      <c r="D37" s="292">
        <v>5778.2308672678109</v>
      </c>
      <c r="E37" s="292">
        <v>5843.8584674815484</v>
      </c>
      <c r="F37" s="292">
        <v>5971.1062604056087</v>
      </c>
      <c r="G37" s="292">
        <v>6085.7445603237056</v>
      </c>
      <c r="H37" s="292">
        <v>6396.5855091104841</v>
      </c>
      <c r="I37" s="292">
        <v>6539.2030972179055</v>
      </c>
      <c r="J37" s="292">
        <v>6751.1930330864352</v>
      </c>
      <c r="K37" s="292">
        <v>6714.2176392844358</v>
      </c>
      <c r="L37" s="292">
        <v>6867.7102905587108</v>
      </c>
      <c r="M37" s="292">
        <v>7159.333124329547</v>
      </c>
      <c r="N37" s="292">
        <v>7388.1901931306829</v>
      </c>
      <c r="O37" s="292">
        <v>7712.5478293656915</v>
      </c>
      <c r="P37" s="292">
        <v>8183.4558877903055</v>
      </c>
      <c r="Q37" s="292">
        <v>8687.6299065204566</v>
      </c>
      <c r="R37" s="292">
        <v>9222.5673308817222</v>
      </c>
      <c r="S37" s="292">
        <v>9868.0380593676837</v>
      </c>
      <c r="T37" s="292">
        <v>10652.925203467597</v>
      </c>
      <c r="U37" s="292">
        <v>11191.709012490788</v>
      </c>
      <c r="V37" s="292">
        <v>11504.561953950764</v>
      </c>
      <c r="W37" s="292">
        <v>12248.901143450748</v>
      </c>
      <c r="X37" s="292">
        <v>12908.080417745567</v>
      </c>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row>
    <row r="38" spans="2:54">
      <c r="B38" s="72" t="s">
        <v>335</v>
      </c>
      <c r="C38" s="72" t="s">
        <v>476</v>
      </c>
      <c r="D38" s="292">
        <v>47333.678939649675</v>
      </c>
      <c r="E38" s="292">
        <v>48617.871962251753</v>
      </c>
      <c r="F38" s="292">
        <v>49322.171157129393</v>
      </c>
      <c r="G38" s="292">
        <v>50222.474023742245</v>
      </c>
      <c r="H38" s="292">
        <v>50732.987549007208</v>
      </c>
      <c r="I38" s="292">
        <v>51804.348271706462</v>
      </c>
      <c r="J38" s="292">
        <v>52895.198997383035</v>
      </c>
      <c r="K38" s="292">
        <v>54309.144499604918</v>
      </c>
      <c r="L38" s="292">
        <v>56004.199269983968</v>
      </c>
      <c r="M38" s="292">
        <v>57494.759842844222</v>
      </c>
      <c r="N38" s="292">
        <v>58041.86517424482</v>
      </c>
      <c r="O38" s="292">
        <v>59148.813544467601</v>
      </c>
      <c r="P38" s="292">
        <v>60029.083281958257</v>
      </c>
      <c r="Q38" s="292">
        <v>61396.906875147026</v>
      </c>
      <c r="R38" s="292">
        <v>62231.773767909261</v>
      </c>
      <c r="S38" s="292">
        <v>62722.2845086163</v>
      </c>
      <c r="T38" s="292">
        <v>63149.166961241528</v>
      </c>
      <c r="U38" s="292">
        <v>63135.690363650712</v>
      </c>
      <c r="V38" s="292">
        <v>63181.266123001886</v>
      </c>
      <c r="W38" s="292">
        <v>65337.449142705067</v>
      </c>
      <c r="X38" s="292">
        <v>66112.907843248249</v>
      </c>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row>
    <row r="39" spans="2:54">
      <c r="B39" s="72" t="s">
        <v>477</v>
      </c>
      <c r="C39" s="72" t="s">
        <v>478</v>
      </c>
      <c r="D39" s="292"/>
      <c r="E39" s="292"/>
      <c r="F39" s="292"/>
      <c r="G39" s="292"/>
      <c r="H39" s="292"/>
      <c r="I39" s="292"/>
      <c r="J39" s="292"/>
      <c r="K39" s="292"/>
      <c r="L39" s="292"/>
      <c r="M39" s="292"/>
      <c r="N39" s="292"/>
      <c r="O39" s="292"/>
      <c r="P39" s="292"/>
      <c r="Q39" s="292"/>
      <c r="R39" s="292"/>
      <c r="S39" s="292"/>
      <c r="T39" s="292"/>
      <c r="U39" s="292"/>
      <c r="V39" s="292"/>
      <c r="W39" s="292"/>
      <c r="X39" s="29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row>
    <row r="40" spans="2:54">
      <c r="B40" s="72" t="s">
        <v>479</v>
      </c>
      <c r="C40" s="72" t="s">
        <v>480</v>
      </c>
      <c r="D40" s="292">
        <v>35571.019899867933</v>
      </c>
      <c r="E40" s="292">
        <v>36329.885201899226</v>
      </c>
      <c r="F40" s="292">
        <v>36933.324706421838</v>
      </c>
      <c r="G40" s="292">
        <v>37645.773658007216</v>
      </c>
      <c r="H40" s="292">
        <v>38289.852803597198</v>
      </c>
      <c r="I40" s="292">
        <v>38987.323706651216</v>
      </c>
      <c r="J40" s="292">
        <v>39747.238202798442</v>
      </c>
      <c r="K40" s="292">
        <v>40430.22474130406</v>
      </c>
      <c r="L40" s="292">
        <v>41384.399829372291</v>
      </c>
      <c r="M40" s="292">
        <v>42547.837898008358</v>
      </c>
      <c r="N40" s="292">
        <v>42878.39003376152</v>
      </c>
      <c r="O40" s="292">
        <v>43495.777931013705</v>
      </c>
      <c r="P40" s="292">
        <v>44142.717498532096</v>
      </c>
      <c r="Q40" s="292">
        <v>45164.072842821042</v>
      </c>
      <c r="R40" s="292">
        <v>45763.211437190628</v>
      </c>
      <c r="S40" s="292">
        <v>46322.680285105911</v>
      </c>
      <c r="T40" s="292">
        <v>46854.753083908603</v>
      </c>
      <c r="U40" s="292">
        <v>46656.492598343524</v>
      </c>
      <c r="V40" s="292">
        <v>45819.006319049346</v>
      </c>
      <c r="W40" s="292">
        <v>47128.019401286663</v>
      </c>
      <c r="X40" s="292">
        <v>47618.764144531917</v>
      </c>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row>
    <row r="41" spans="2:54">
      <c r="B41" s="72" t="s">
        <v>481</v>
      </c>
      <c r="C41" s="72" t="s">
        <v>482</v>
      </c>
      <c r="D41" s="292"/>
      <c r="E41" s="292"/>
      <c r="F41" s="292"/>
      <c r="G41" s="292"/>
      <c r="H41" s="292"/>
      <c r="I41" s="292"/>
      <c r="J41" s="292"/>
      <c r="K41" s="292"/>
      <c r="L41" s="292"/>
      <c r="M41" s="292"/>
      <c r="N41" s="292"/>
      <c r="O41" s="292"/>
      <c r="P41" s="292"/>
      <c r="Q41" s="292"/>
      <c r="R41" s="292"/>
      <c r="S41" s="292"/>
      <c r="T41" s="292"/>
      <c r="U41" s="292"/>
      <c r="V41" s="292"/>
      <c r="W41" s="292"/>
      <c r="X41" s="29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row>
    <row r="42" spans="2:54">
      <c r="B42" s="72" t="s">
        <v>483</v>
      </c>
      <c r="C42" s="72" t="s">
        <v>484</v>
      </c>
      <c r="D42" s="292"/>
      <c r="E42" s="292"/>
      <c r="F42" s="292"/>
      <c r="G42" s="292"/>
      <c r="H42" s="292"/>
      <c r="I42" s="292"/>
      <c r="J42" s="292"/>
      <c r="K42" s="292"/>
      <c r="L42" s="292"/>
      <c r="M42" s="292"/>
      <c r="N42" s="292"/>
      <c r="O42" s="292"/>
      <c r="P42" s="292"/>
      <c r="Q42" s="292"/>
      <c r="R42" s="292"/>
      <c r="S42" s="292"/>
      <c r="T42" s="292"/>
      <c r="U42" s="292"/>
      <c r="V42" s="292"/>
      <c r="W42" s="292"/>
      <c r="X42" s="29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row>
    <row r="43" spans="2:54">
      <c r="B43" s="72" t="s">
        <v>485</v>
      </c>
      <c r="C43" s="72" t="s">
        <v>486</v>
      </c>
      <c r="D43" s="292"/>
      <c r="E43" s="292"/>
      <c r="F43" s="292"/>
      <c r="G43" s="292"/>
      <c r="H43" s="292"/>
      <c r="I43" s="292"/>
      <c r="J43" s="292"/>
      <c r="K43" s="292"/>
      <c r="L43" s="292"/>
      <c r="M43" s="292"/>
      <c r="N43" s="292"/>
      <c r="O43" s="292"/>
      <c r="P43" s="292"/>
      <c r="Q43" s="292"/>
      <c r="R43" s="292"/>
      <c r="S43" s="292"/>
      <c r="T43" s="292"/>
      <c r="U43" s="292"/>
      <c r="V43" s="292"/>
      <c r="W43" s="292"/>
      <c r="X43" s="29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row>
    <row r="44" spans="2:54">
      <c r="B44" s="72" t="s">
        <v>487</v>
      </c>
      <c r="C44" s="72" t="s">
        <v>488</v>
      </c>
      <c r="D44" s="292">
        <v>3641.3606798809315</v>
      </c>
      <c r="E44" s="292">
        <v>3755.551336241394</v>
      </c>
      <c r="F44" s="292">
        <v>3856.9804608516661</v>
      </c>
      <c r="G44" s="292">
        <v>4017.9090477908403</v>
      </c>
      <c r="H44" s="292">
        <v>4229.0442064588888</v>
      </c>
      <c r="I44" s="292">
        <v>4474.6751767222386</v>
      </c>
      <c r="J44" s="292">
        <v>4572.2284361137663</v>
      </c>
      <c r="K44" s="292">
        <v>4762.2507768142368</v>
      </c>
      <c r="L44" s="292">
        <v>4974.3098941535018</v>
      </c>
      <c r="M44" s="292">
        <v>5106.0444990041797</v>
      </c>
      <c r="N44" s="292">
        <v>5235.2918695999842</v>
      </c>
      <c r="O44" s="292">
        <v>5296.8992093675879</v>
      </c>
      <c r="P44" s="292">
        <v>5548.7551485956692</v>
      </c>
      <c r="Q44" s="292">
        <v>5793.758116364138</v>
      </c>
      <c r="R44" s="292">
        <v>6191.8689176318912</v>
      </c>
      <c r="S44" s="292">
        <v>6545.0177356203367</v>
      </c>
      <c r="T44" s="292">
        <v>6950.2540206621434</v>
      </c>
      <c r="U44" s="292">
        <v>7247.7928067639732</v>
      </c>
      <c r="V44" s="292">
        <v>7615.7757107648576</v>
      </c>
      <c r="W44" s="292">
        <v>8038.4087090453349</v>
      </c>
      <c r="X44" s="292">
        <v>8406.2808556033997</v>
      </c>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row>
    <row r="45" spans="2:54">
      <c r="B45" s="72" t="s">
        <v>489</v>
      </c>
      <c r="C45" s="72" t="s">
        <v>490</v>
      </c>
      <c r="D45" s="292">
        <v>2808.5871187413945</v>
      </c>
      <c r="E45" s="292">
        <v>2669.4025201884219</v>
      </c>
      <c r="F45" s="292">
        <v>2633.4163430188114</v>
      </c>
      <c r="G45" s="292">
        <v>2630.4409759852947</v>
      </c>
      <c r="H45" s="292">
        <v>2646.7618772437654</v>
      </c>
      <c r="I45" s="292">
        <v>2696.7459203008721</v>
      </c>
      <c r="J45" s="292">
        <v>2701.4371832375432</v>
      </c>
      <c r="K45" s="292">
        <v>2676.0235261379448</v>
      </c>
      <c r="L45" s="292">
        <v>2669.8616662425752</v>
      </c>
      <c r="M45" s="292">
        <v>2666.4769989370557</v>
      </c>
      <c r="N45" s="292">
        <v>2707.0552754154573</v>
      </c>
      <c r="O45" s="292">
        <v>2810.2163411443289</v>
      </c>
      <c r="P45" s="292">
        <v>2864.5351609494933</v>
      </c>
      <c r="Q45" s="292">
        <v>3002.158274400711</v>
      </c>
      <c r="R45" s="292">
        <v>3095.2175835464932</v>
      </c>
      <c r="S45" s="292">
        <v>3217.2192001523094</v>
      </c>
      <c r="T45" s="292">
        <v>3363.4958511486229</v>
      </c>
      <c r="U45" s="292">
        <v>3450.0413683431775</v>
      </c>
      <c r="V45" s="292">
        <v>3468.3983317208576</v>
      </c>
      <c r="W45" s="292">
        <v>3568.3383409943681</v>
      </c>
      <c r="X45" s="292">
        <v>3669.1312365908257</v>
      </c>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row>
    <row r="46" spans="2:54">
      <c r="B46" s="72" t="s">
        <v>491</v>
      </c>
      <c r="C46" s="72" t="s">
        <v>492</v>
      </c>
      <c r="D46" s="292">
        <v>2808.5871187413945</v>
      </c>
      <c r="E46" s="292">
        <v>2669.4025201884219</v>
      </c>
      <c r="F46" s="292">
        <v>2633.4163430188114</v>
      </c>
      <c r="G46" s="292">
        <v>2630.4409759852947</v>
      </c>
      <c r="H46" s="292">
        <v>2646.7618772437654</v>
      </c>
      <c r="I46" s="292">
        <v>2696.7459203008721</v>
      </c>
      <c r="J46" s="292">
        <v>2701.4371832375432</v>
      </c>
      <c r="K46" s="292">
        <v>2676.0235261379448</v>
      </c>
      <c r="L46" s="292">
        <v>2669.8616662425752</v>
      </c>
      <c r="M46" s="292">
        <v>2666.4769989370557</v>
      </c>
      <c r="N46" s="292">
        <v>2707.0552754154573</v>
      </c>
      <c r="O46" s="292">
        <v>2810.2163411443289</v>
      </c>
      <c r="P46" s="292">
        <v>2864.5351609494933</v>
      </c>
      <c r="Q46" s="292">
        <v>3002.158274400711</v>
      </c>
      <c r="R46" s="292">
        <v>3095.2175835464932</v>
      </c>
      <c r="S46" s="292">
        <v>3217.2192001523094</v>
      </c>
      <c r="T46" s="292">
        <v>3363.4958511486229</v>
      </c>
      <c r="U46" s="292">
        <v>3450.0413683431775</v>
      </c>
      <c r="V46" s="292">
        <v>3468.3983317208576</v>
      </c>
      <c r="W46" s="292">
        <v>3568.3383409943681</v>
      </c>
      <c r="X46" s="292">
        <v>3669.1312365908257</v>
      </c>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row>
    <row r="47" spans="2:54">
      <c r="B47" s="72" t="s">
        <v>493</v>
      </c>
      <c r="C47" s="72" t="s">
        <v>494</v>
      </c>
      <c r="D47" s="292">
        <v>6365.1838123438001</v>
      </c>
      <c r="E47" s="292">
        <v>6458.8404812328499</v>
      </c>
      <c r="F47" s="292">
        <v>6637.5570882212123</v>
      </c>
      <c r="G47" s="292">
        <v>6791.0760207001576</v>
      </c>
      <c r="H47" s="292">
        <v>7178.9057365169456</v>
      </c>
      <c r="I47" s="292">
        <v>7300.6963142584227</v>
      </c>
      <c r="J47" s="292">
        <v>7572.1507705103841</v>
      </c>
      <c r="K47" s="292">
        <v>7530.4244627576709</v>
      </c>
      <c r="L47" s="292">
        <v>7691.9038595310367</v>
      </c>
      <c r="M47" s="292">
        <v>8080.5689730217855</v>
      </c>
      <c r="N47" s="292">
        <v>8376.9431747534163</v>
      </c>
      <c r="O47" s="292">
        <v>8846.0127622139771</v>
      </c>
      <c r="P47" s="292">
        <v>9492.5702307693828</v>
      </c>
      <c r="Q47" s="292">
        <v>10157.091461689572</v>
      </c>
      <c r="R47" s="292">
        <v>10830.093281123975</v>
      </c>
      <c r="S47" s="292">
        <v>11687.437658458872</v>
      </c>
      <c r="T47" s="292">
        <v>12763.566628674329</v>
      </c>
      <c r="U47" s="292">
        <v>13490.441901426295</v>
      </c>
      <c r="V47" s="292">
        <v>13859.585167419682</v>
      </c>
      <c r="W47" s="292">
        <v>14856.427045341066</v>
      </c>
      <c r="X47" s="292">
        <v>15769.743115261768</v>
      </c>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row>
    <row r="48" spans="2:54">
      <c r="B48" s="72" t="s">
        <v>495</v>
      </c>
      <c r="C48" s="72" t="s">
        <v>496</v>
      </c>
      <c r="D48" s="292">
        <v>11845.172981271788</v>
      </c>
      <c r="E48" s="292">
        <v>11912.383400291947</v>
      </c>
      <c r="F48" s="292">
        <v>12030.223463582406</v>
      </c>
      <c r="G48" s="292">
        <v>12241.787059636388</v>
      </c>
      <c r="H48" s="292">
        <v>12593.884159979492</v>
      </c>
      <c r="I48" s="292">
        <v>12809.447651953698</v>
      </c>
      <c r="J48" s="292">
        <v>13109.467054923256</v>
      </c>
      <c r="K48" s="292">
        <v>13192.080753590017</v>
      </c>
      <c r="L48" s="292">
        <v>13464.548558013024</v>
      </c>
      <c r="M48" s="292">
        <v>13873.457932717771</v>
      </c>
      <c r="N48" s="292">
        <v>14043.200903990186</v>
      </c>
      <c r="O48" s="292">
        <v>14300.764952528345</v>
      </c>
      <c r="P48" s="292">
        <v>14696.904040646601</v>
      </c>
      <c r="Q48" s="292">
        <v>15196.982512825458</v>
      </c>
      <c r="R48" s="292">
        <v>15664.089238524582</v>
      </c>
      <c r="S48" s="292">
        <v>16257.932430659579</v>
      </c>
      <c r="T48" s="292">
        <v>16925.841550063844</v>
      </c>
      <c r="U48" s="292">
        <v>17268.824895701367</v>
      </c>
      <c r="V48" s="292">
        <v>17189.159083011298</v>
      </c>
      <c r="W48" s="292">
        <v>17918.08864795903</v>
      </c>
      <c r="X48" s="292">
        <v>18461.047353169222</v>
      </c>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row>
    <row r="49" spans="2:54">
      <c r="B49" s="72" t="s">
        <v>497</v>
      </c>
      <c r="C49" s="72" t="s">
        <v>498</v>
      </c>
      <c r="D49" s="292"/>
      <c r="E49" s="292"/>
      <c r="F49" s="292"/>
      <c r="G49" s="292"/>
      <c r="H49" s="292"/>
      <c r="I49" s="292"/>
      <c r="J49" s="292"/>
      <c r="K49" s="292"/>
      <c r="L49" s="292"/>
      <c r="M49" s="292"/>
      <c r="N49" s="292"/>
      <c r="O49" s="292"/>
      <c r="P49" s="292"/>
      <c r="Q49" s="292"/>
      <c r="R49" s="292"/>
      <c r="S49" s="292"/>
      <c r="T49" s="292"/>
      <c r="U49" s="292"/>
      <c r="V49" s="292"/>
      <c r="W49" s="292"/>
      <c r="X49" s="29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row>
    <row r="50" spans="2:54">
      <c r="B50" s="72" t="s">
        <v>499</v>
      </c>
      <c r="C50" s="72" t="s">
        <v>330</v>
      </c>
      <c r="D50" s="292">
        <v>5030</v>
      </c>
      <c r="E50" s="292">
        <v>4750</v>
      </c>
      <c r="F50" s="292">
        <v>5205</v>
      </c>
      <c r="G50" s="292">
        <v>5659</v>
      </c>
      <c r="H50" s="292">
        <v>6432</v>
      </c>
      <c r="I50" s="292">
        <v>7159</v>
      </c>
      <c r="J50" s="292">
        <v>6509</v>
      </c>
      <c r="K50" s="292">
        <v>7153</v>
      </c>
      <c r="L50" s="292">
        <v>8283</v>
      </c>
      <c r="M50" s="292">
        <v>9001</v>
      </c>
      <c r="N50" s="292">
        <v>9790</v>
      </c>
      <c r="O50" s="292">
        <v>10181</v>
      </c>
      <c r="P50" s="292">
        <v>10459</v>
      </c>
      <c r="Q50" s="292">
        <v>10777</v>
      </c>
      <c r="R50" s="292">
        <v>11102</v>
      </c>
      <c r="S50" s="292">
        <v>11326</v>
      </c>
      <c r="T50" s="292">
        <v>11626</v>
      </c>
      <c r="U50" s="292">
        <v>13353</v>
      </c>
      <c r="V50" s="292">
        <v>14943</v>
      </c>
      <c r="W50" s="292">
        <v>15168</v>
      </c>
      <c r="X50" s="292">
        <v>15324</v>
      </c>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row>
    <row r="51" spans="2:54">
      <c r="B51" s="72" t="s">
        <v>500</v>
      </c>
      <c r="C51" s="72" t="s">
        <v>501</v>
      </c>
      <c r="D51" s="292">
        <v>9914</v>
      </c>
      <c r="E51" s="292">
        <v>9582</v>
      </c>
      <c r="F51" s="292">
        <v>8925</v>
      </c>
      <c r="G51" s="292">
        <v>8433</v>
      </c>
      <c r="H51" s="292">
        <v>8353</v>
      </c>
      <c r="I51" s="292">
        <v>8272</v>
      </c>
      <c r="J51" s="292">
        <v>7997</v>
      </c>
      <c r="K51" s="292">
        <v>8073</v>
      </c>
      <c r="L51" s="292">
        <v>7993</v>
      </c>
      <c r="M51" s="292">
        <v>7842</v>
      </c>
      <c r="N51" s="292">
        <v>7731</v>
      </c>
      <c r="O51" s="292">
        <v>7806</v>
      </c>
      <c r="P51" s="292">
        <v>8086</v>
      </c>
      <c r="Q51" s="292">
        <v>8221</v>
      </c>
      <c r="R51" s="292">
        <v>8374</v>
      </c>
      <c r="S51" s="292">
        <v>8257</v>
      </c>
      <c r="T51" s="292">
        <v>8244</v>
      </c>
      <c r="U51" s="292">
        <v>8208</v>
      </c>
      <c r="V51" s="292">
        <v>8198</v>
      </c>
      <c r="W51" s="292">
        <v>8289</v>
      </c>
      <c r="X51" s="292">
        <v>8374</v>
      </c>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row>
    <row r="52" spans="2:54">
      <c r="B52" s="72" t="s">
        <v>502</v>
      </c>
      <c r="C52" s="72" t="s">
        <v>503</v>
      </c>
      <c r="D52" s="292"/>
      <c r="E52" s="292"/>
      <c r="F52" s="292"/>
      <c r="G52" s="292"/>
      <c r="H52" s="292"/>
      <c r="I52" s="292"/>
      <c r="J52" s="292"/>
      <c r="K52" s="292"/>
      <c r="L52" s="292"/>
      <c r="M52" s="292"/>
      <c r="N52" s="292"/>
      <c r="O52" s="292"/>
      <c r="P52" s="292"/>
      <c r="Q52" s="292"/>
      <c r="R52" s="292"/>
      <c r="S52" s="292"/>
      <c r="T52" s="292"/>
      <c r="U52" s="292"/>
      <c r="V52" s="292"/>
      <c r="W52" s="292"/>
      <c r="X52" s="29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row>
    <row r="53" spans="2:54">
      <c r="B53" s="72" t="s">
        <v>504</v>
      </c>
      <c r="C53" s="72" t="s">
        <v>505</v>
      </c>
      <c r="D53" s="292"/>
      <c r="E53" s="292"/>
      <c r="F53" s="292"/>
      <c r="G53" s="292"/>
      <c r="H53" s="292"/>
      <c r="I53" s="292"/>
      <c r="J53" s="292"/>
      <c r="K53" s="292"/>
      <c r="L53" s="292"/>
      <c r="M53" s="292"/>
      <c r="N53" s="292"/>
      <c r="O53" s="292"/>
      <c r="P53" s="292"/>
      <c r="Q53" s="292"/>
      <c r="R53" s="292"/>
      <c r="S53" s="292"/>
      <c r="T53" s="292"/>
      <c r="U53" s="292"/>
      <c r="V53" s="292"/>
      <c r="W53" s="292"/>
      <c r="X53" s="29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row>
    <row r="54" spans="2:54">
      <c r="B54" s="72" t="s">
        <v>506</v>
      </c>
      <c r="C54" s="72" t="s">
        <v>507</v>
      </c>
      <c r="D54" s="292">
        <v>1590</v>
      </c>
      <c r="E54" s="292">
        <v>1445</v>
      </c>
      <c r="F54" s="292">
        <v>1056</v>
      </c>
      <c r="G54" s="292">
        <v>1036</v>
      </c>
      <c r="H54" s="292">
        <v>1158</v>
      </c>
      <c r="I54" s="292">
        <v>1352</v>
      </c>
      <c r="J54" s="292">
        <v>1390</v>
      </c>
      <c r="K54" s="292">
        <v>1353</v>
      </c>
      <c r="L54" s="292">
        <v>1359</v>
      </c>
      <c r="M54" s="292">
        <v>1358</v>
      </c>
      <c r="N54" s="292">
        <v>1355</v>
      </c>
      <c r="O54" s="292">
        <v>1504</v>
      </c>
      <c r="P54" s="292">
        <v>1501</v>
      </c>
      <c r="Q54" s="292">
        <v>1614</v>
      </c>
      <c r="R54" s="292">
        <v>1888</v>
      </c>
      <c r="S54" s="292">
        <v>2212</v>
      </c>
      <c r="T54" s="292">
        <v>2634</v>
      </c>
      <c r="U54" s="292">
        <v>2908</v>
      </c>
      <c r="V54" s="292">
        <v>2877</v>
      </c>
      <c r="W54" s="292">
        <v>2876</v>
      </c>
      <c r="X54" s="292">
        <v>2878</v>
      </c>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row>
    <row r="55" spans="2:54">
      <c r="B55" s="72" t="s">
        <v>508</v>
      </c>
      <c r="C55" s="72" t="s">
        <v>509</v>
      </c>
      <c r="D55" s="292"/>
      <c r="E55" s="292"/>
      <c r="F55" s="292"/>
      <c r="G55" s="292"/>
      <c r="H55" s="292"/>
      <c r="I55" s="292"/>
      <c r="J55" s="292"/>
      <c r="K55" s="292"/>
      <c r="L55" s="292"/>
      <c r="M55" s="292"/>
      <c r="N55" s="292"/>
      <c r="O55" s="292"/>
      <c r="P55" s="292"/>
      <c r="Q55" s="292"/>
      <c r="R55" s="292"/>
      <c r="S55" s="292"/>
      <c r="T55" s="292"/>
      <c r="U55" s="292"/>
      <c r="V55" s="292"/>
      <c r="W55" s="292"/>
      <c r="X55" s="29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row>
    <row r="56" spans="2:54">
      <c r="B56" s="72" t="s">
        <v>510</v>
      </c>
      <c r="C56" s="72" t="s">
        <v>511</v>
      </c>
      <c r="D56" s="292">
        <v>18711</v>
      </c>
      <c r="E56" s="292">
        <v>20036</v>
      </c>
      <c r="F56" s="292">
        <v>21357</v>
      </c>
      <c r="G56" s="292">
        <v>22744</v>
      </c>
      <c r="H56" s="292">
        <v>21507</v>
      </c>
      <c r="I56" s="292">
        <v>22502</v>
      </c>
      <c r="J56" s="292">
        <v>24435</v>
      </c>
      <c r="K56" s="292">
        <v>25601</v>
      </c>
      <c r="L56" s="292">
        <v>24733</v>
      </c>
      <c r="M56" s="292">
        <v>24303</v>
      </c>
      <c r="N56" s="292">
        <v>22863</v>
      </c>
      <c r="O56" s="292">
        <v>22885</v>
      </c>
      <c r="P56" s="292">
        <v>23223</v>
      </c>
      <c r="Q56" s="292">
        <v>23340</v>
      </c>
      <c r="R56" s="292">
        <v>23618</v>
      </c>
      <c r="S56" s="292">
        <v>24428</v>
      </c>
      <c r="T56" s="292">
        <v>26166</v>
      </c>
      <c r="U56" s="292">
        <v>26595</v>
      </c>
      <c r="V56" s="292">
        <v>26171</v>
      </c>
      <c r="W56" s="292">
        <v>27871</v>
      </c>
      <c r="X56" s="292">
        <v>28412</v>
      </c>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row>
    <row r="57" spans="2:54">
      <c r="B57" s="72" t="s">
        <v>512</v>
      </c>
      <c r="C57" s="72" t="s">
        <v>513</v>
      </c>
      <c r="D57" s="292">
        <v>10341</v>
      </c>
      <c r="E57" s="292">
        <v>6563</v>
      </c>
      <c r="F57" s="292">
        <v>6221</v>
      </c>
      <c r="G57" s="292">
        <v>6803</v>
      </c>
      <c r="H57" s="292">
        <v>7327</v>
      </c>
      <c r="I57" s="292">
        <v>7977</v>
      </c>
      <c r="J57" s="292">
        <v>8622</v>
      </c>
      <c r="K57" s="292">
        <v>9497</v>
      </c>
      <c r="L57" s="292">
        <v>10101</v>
      </c>
      <c r="M57" s="292">
        <v>10869</v>
      </c>
      <c r="N57" s="292">
        <v>12028</v>
      </c>
      <c r="O57" s="292">
        <v>15820</v>
      </c>
      <c r="P57" s="292">
        <v>18022</v>
      </c>
      <c r="Q57" s="292">
        <v>20385</v>
      </c>
      <c r="R57" s="292">
        <v>22872</v>
      </c>
      <c r="S57" s="292">
        <v>26018</v>
      </c>
      <c r="T57" s="292">
        <v>29350</v>
      </c>
      <c r="U57" s="292">
        <v>30938</v>
      </c>
      <c r="V57" s="292">
        <v>27248</v>
      </c>
      <c r="W57" s="292">
        <v>27463</v>
      </c>
      <c r="X57" s="292">
        <v>28502</v>
      </c>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row>
    <row r="58" spans="2:54">
      <c r="B58" s="72" t="s">
        <v>514</v>
      </c>
      <c r="C58" s="72" t="s">
        <v>515</v>
      </c>
      <c r="D58" s="292"/>
      <c r="E58" s="292"/>
      <c r="F58" s="292"/>
      <c r="G58" s="292"/>
      <c r="H58" s="292"/>
      <c r="I58" s="292"/>
      <c r="J58" s="292"/>
      <c r="K58" s="292"/>
      <c r="L58" s="292"/>
      <c r="M58" s="292"/>
      <c r="N58" s="292"/>
      <c r="O58" s="292"/>
      <c r="P58" s="292"/>
      <c r="Q58" s="292"/>
      <c r="R58" s="292"/>
      <c r="S58" s="292"/>
      <c r="T58" s="292"/>
      <c r="U58" s="292"/>
      <c r="V58" s="292"/>
      <c r="W58" s="292"/>
      <c r="X58" s="29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row>
    <row r="59" spans="2:54">
      <c r="B59" s="72" t="s">
        <v>516</v>
      </c>
      <c r="C59" s="72" t="s">
        <v>331</v>
      </c>
      <c r="D59" s="292">
        <v>37792</v>
      </c>
      <c r="E59" s="292">
        <v>38950</v>
      </c>
      <c r="F59" s="292">
        <v>39682</v>
      </c>
      <c r="G59" s="292">
        <v>40013</v>
      </c>
      <c r="H59" s="292">
        <v>40178</v>
      </c>
      <c r="I59" s="292">
        <v>41568</v>
      </c>
      <c r="J59" s="292">
        <v>42704</v>
      </c>
      <c r="K59" s="292">
        <v>44039</v>
      </c>
      <c r="L59" s="292">
        <v>44882</v>
      </c>
      <c r="M59" s="292">
        <v>45454</v>
      </c>
      <c r="N59" s="292">
        <v>46032</v>
      </c>
      <c r="O59" s="292">
        <v>46655</v>
      </c>
      <c r="P59" s="292">
        <v>47440</v>
      </c>
      <c r="Q59" s="292">
        <v>47935</v>
      </c>
      <c r="R59" s="292">
        <v>47950</v>
      </c>
      <c r="S59" s="292">
        <v>47838</v>
      </c>
      <c r="T59" s="292">
        <v>48752</v>
      </c>
      <c r="U59" s="292">
        <v>49443</v>
      </c>
      <c r="V59" s="292">
        <v>49758</v>
      </c>
      <c r="W59" s="292">
        <v>49757</v>
      </c>
      <c r="X59" s="292">
        <v>49898</v>
      </c>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row>
    <row r="60" spans="2:54">
      <c r="B60" s="72" t="s">
        <v>517</v>
      </c>
      <c r="C60" s="72" t="s">
        <v>518</v>
      </c>
      <c r="D60" s="292">
        <v>37137</v>
      </c>
      <c r="E60" s="292">
        <v>37623</v>
      </c>
      <c r="F60" s="292">
        <v>37940</v>
      </c>
      <c r="G60" s="292">
        <v>38767</v>
      </c>
      <c r="H60" s="292">
        <v>40882</v>
      </c>
      <c r="I60" s="292">
        <v>41670</v>
      </c>
      <c r="J60" s="292">
        <v>42308</v>
      </c>
      <c r="K60" s="292">
        <v>43459</v>
      </c>
      <c r="L60" s="292">
        <v>44216</v>
      </c>
      <c r="M60" s="292">
        <v>45262</v>
      </c>
      <c r="N60" s="292">
        <v>45349</v>
      </c>
      <c r="O60" s="292">
        <v>46163</v>
      </c>
      <c r="P60" s="292">
        <v>46266</v>
      </c>
      <c r="Q60" s="292">
        <v>47174</v>
      </c>
      <c r="R60" s="292">
        <v>47742</v>
      </c>
      <c r="S60" s="292">
        <v>48671</v>
      </c>
      <c r="T60" s="292">
        <v>49581</v>
      </c>
      <c r="U60" s="292">
        <v>49301</v>
      </c>
      <c r="V60" s="292">
        <v>47806</v>
      </c>
      <c r="W60" s="292">
        <v>48487</v>
      </c>
      <c r="X60" s="292">
        <v>49220</v>
      </c>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row>
    <row r="61" spans="2:54">
      <c r="B61" s="72" t="s">
        <v>519</v>
      </c>
      <c r="C61" s="72" t="s">
        <v>520</v>
      </c>
      <c r="D61" s="292">
        <v>8886</v>
      </c>
      <c r="E61" s="292">
        <v>6896</v>
      </c>
      <c r="F61" s="292">
        <v>5313</v>
      </c>
      <c r="G61" s="292">
        <v>4367</v>
      </c>
      <c r="H61" s="292">
        <v>3871</v>
      </c>
      <c r="I61" s="292">
        <v>3841</v>
      </c>
      <c r="J61" s="292">
        <v>4056</v>
      </c>
      <c r="K61" s="292">
        <v>4451</v>
      </c>
      <c r="L61" s="292">
        <v>4778</v>
      </c>
      <c r="M61" s="292">
        <v>5303</v>
      </c>
      <c r="N61" s="292">
        <v>5807</v>
      </c>
      <c r="O61" s="292">
        <v>6402</v>
      </c>
      <c r="P61" s="292">
        <v>7078</v>
      </c>
      <c r="Q61" s="292">
        <v>7669</v>
      </c>
      <c r="R61" s="292">
        <v>9551</v>
      </c>
      <c r="S61" s="292">
        <v>12407</v>
      </c>
      <c r="T61" s="292">
        <v>15329</v>
      </c>
      <c r="U61" s="292">
        <v>16743</v>
      </c>
      <c r="V61" s="292">
        <v>18270</v>
      </c>
      <c r="W61" s="292">
        <v>18216</v>
      </c>
      <c r="X61" s="292">
        <v>17983</v>
      </c>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row>
    <row r="62" spans="2:54">
      <c r="B62" s="72" t="s">
        <v>521</v>
      </c>
      <c r="C62" s="72" t="s">
        <v>522</v>
      </c>
      <c r="D62" s="292"/>
      <c r="E62" s="292"/>
      <c r="F62" s="292"/>
      <c r="G62" s="292"/>
      <c r="H62" s="292"/>
      <c r="I62" s="292"/>
      <c r="J62" s="292"/>
      <c r="K62" s="292"/>
      <c r="L62" s="292"/>
      <c r="M62" s="292"/>
      <c r="N62" s="292"/>
      <c r="O62" s="292"/>
      <c r="P62" s="292"/>
      <c r="Q62" s="292"/>
      <c r="R62" s="292"/>
      <c r="S62" s="292"/>
      <c r="T62" s="292"/>
      <c r="U62" s="292"/>
      <c r="V62" s="292"/>
      <c r="W62" s="292"/>
      <c r="X62" s="29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row>
    <row r="63" spans="2:54">
      <c r="B63" s="72" t="s">
        <v>523</v>
      </c>
      <c r="C63" s="72" t="s">
        <v>524</v>
      </c>
      <c r="D63" s="292">
        <v>9318</v>
      </c>
      <c r="E63" s="292">
        <v>9607</v>
      </c>
      <c r="F63" s="292">
        <v>10501</v>
      </c>
      <c r="G63" s="292">
        <v>10127</v>
      </c>
      <c r="H63" s="292">
        <v>10190</v>
      </c>
      <c r="I63" s="292">
        <v>10253</v>
      </c>
      <c r="J63" s="292">
        <v>10190</v>
      </c>
      <c r="K63" s="292">
        <v>10308</v>
      </c>
      <c r="L63" s="292">
        <v>10442</v>
      </c>
      <c r="M63" s="292">
        <v>10772</v>
      </c>
      <c r="N63" s="292">
        <v>11185</v>
      </c>
      <c r="O63" s="292">
        <v>11875</v>
      </c>
      <c r="P63" s="292">
        <v>12716</v>
      </c>
      <c r="Q63" s="292">
        <v>12893</v>
      </c>
      <c r="R63" s="292">
        <v>12740</v>
      </c>
      <c r="S63" s="292">
        <v>11877</v>
      </c>
      <c r="T63" s="292">
        <v>11044</v>
      </c>
      <c r="U63" s="292">
        <v>10135</v>
      </c>
      <c r="V63" s="292">
        <v>9278</v>
      </c>
      <c r="W63" s="292">
        <v>9335</v>
      </c>
      <c r="X63" s="292">
        <v>9175</v>
      </c>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row>
    <row r="64" spans="2:54">
      <c r="B64" s="72" t="s">
        <v>525</v>
      </c>
      <c r="C64" s="72" t="s">
        <v>526</v>
      </c>
      <c r="D64" s="292">
        <v>2084</v>
      </c>
      <c r="E64" s="292">
        <v>2162</v>
      </c>
      <c r="F64" s="292">
        <v>2233</v>
      </c>
      <c r="G64" s="292">
        <v>2297</v>
      </c>
      <c r="H64" s="292">
        <v>2380</v>
      </c>
      <c r="I64" s="292">
        <v>2460</v>
      </c>
      <c r="J64" s="292">
        <v>2561</v>
      </c>
      <c r="K64" s="292">
        <v>2662</v>
      </c>
      <c r="L64" s="292">
        <v>2758</v>
      </c>
      <c r="M64" s="292">
        <v>2886</v>
      </c>
      <c r="N64" s="292">
        <v>2911</v>
      </c>
      <c r="O64" s="292">
        <v>2912</v>
      </c>
      <c r="P64" s="292">
        <v>2937</v>
      </c>
      <c r="Q64" s="292">
        <v>3053</v>
      </c>
      <c r="R64" s="292">
        <v>3164</v>
      </c>
      <c r="S64" s="292">
        <v>3300</v>
      </c>
      <c r="T64" s="292">
        <v>3436</v>
      </c>
      <c r="U64" s="292">
        <v>3569</v>
      </c>
      <c r="V64" s="292">
        <v>3696</v>
      </c>
      <c r="W64" s="292">
        <v>3824</v>
      </c>
      <c r="X64" s="292">
        <v>3972</v>
      </c>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row>
    <row r="65" spans="2:54">
      <c r="B65" s="72" t="s">
        <v>527</v>
      </c>
      <c r="C65" s="72" t="s">
        <v>528</v>
      </c>
      <c r="D65" s="292">
        <v>20260</v>
      </c>
      <c r="E65" s="292">
        <v>19844</v>
      </c>
      <c r="F65" s="292">
        <v>20152</v>
      </c>
      <c r="G65" s="292">
        <v>19060</v>
      </c>
      <c r="H65" s="292">
        <v>18735</v>
      </c>
      <c r="I65" s="292">
        <v>18350</v>
      </c>
      <c r="J65" s="292">
        <v>18878</v>
      </c>
      <c r="K65" s="292">
        <v>19394</v>
      </c>
      <c r="L65" s="292">
        <v>18945</v>
      </c>
      <c r="M65" s="292">
        <v>18806</v>
      </c>
      <c r="N65" s="292">
        <v>17676</v>
      </c>
      <c r="O65" s="292">
        <v>18117</v>
      </c>
      <c r="P65" s="292">
        <v>18341</v>
      </c>
      <c r="Q65" s="292">
        <v>18858</v>
      </c>
      <c r="R65" s="292">
        <v>19403</v>
      </c>
      <c r="S65" s="292">
        <v>19862</v>
      </c>
      <c r="T65" s="292">
        <v>20354</v>
      </c>
      <c r="U65" s="292">
        <v>20296</v>
      </c>
      <c r="V65" s="292">
        <v>19395</v>
      </c>
      <c r="W65" s="292">
        <v>19375</v>
      </c>
      <c r="X65" s="292">
        <v>19663</v>
      </c>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row>
    <row r="66" spans="2:54">
      <c r="B66" s="72" t="s">
        <v>529</v>
      </c>
      <c r="C66" s="72" t="s">
        <v>530</v>
      </c>
      <c r="D66" s="292">
        <v>14410</v>
      </c>
      <c r="E66" s="292">
        <v>13127</v>
      </c>
      <c r="F66" s="292">
        <v>12444</v>
      </c>
      <c r="G66" s="292">
        <v>11357</v>
      </c>
      <c r="H66" s="292">
        <v>10842</v>
      </c>
      <c r="I66" s="292">
        <v>11257</v>
      </c>
      <c r="J66" s="292">
        <v>12528</v>
      </c>
      <c r="K66" s="292">
        <v>13443</v>
      </c>
      <c r="L66" s="292">
        <v>13827</v>
      </c>
      <c r="M66" s="292">
        <v>14630</v>
      </c>
      <c r="N66" s="292">
        <v>15403</v>
      </c>
      <c r="O66" s="292">
        <v>16310</v>
      </c>
      <c r="P66" s="292">
        <v>17618</v>
      </c>
      <c r="Q66" s="292">
        <v>19736</v>
      </c>
      <c r="R66" s="292">
        <v>21433</v>
      </c>
      <c r="S66" s="292">
        <v>23296</v>
      </c>
      <c r="T66" s="292">
        <v>24716</v>
      </c>
      <c r="U66" s="292">
        <v>26720</v>
      </c>
      <c r="V66" s="292">
        <v>26576</v>
      </c>
      <c r="W66" s="292">
        <v>28568</v>
      </c>
      <c r="X66" s="292">
        <v>30031</v>
      </c>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row>
    <row r="67" spans="2:54">
      <c r="B67" s="72" t="s">
        <v>531</v>
      </c>
      <c r="C67" s="72" t="s">
        <v>532</v>
      </c>
      <c r="D67" s="292">
        <v>45253</v>
      </c>
      <c r="E67" s="292">
        <v>46005</v>
      </c>
      <c r="F67" s="292">
        <v>45860</v>
      </c>
      <c r="G67" s="292">
        <v>47539</v>
      </c>
      <c r="H67" s="292">
        <v>47906</v>
      </c>
      <c r="I67" s="292">
        <v>48463</v>
      </c>
      <c r="J67" s="292">
        <v>49926</v>
      </c>
      <c r="K67" s="292">
        <v>50019</v>
      </c>
      <c r="L67" s="292">
        <v>51083</v>
      </c>
      <c r="M67" s="292">
        <v>51915</v>
      </c>
      <c r="N67" s="292">
        <v>51632</v>
      </c>
      <c r="O67" s="292">
        <v>52409</v>
      </c>
      <c r="P67" s="292">
        <v>52883</v>
      </c>
      <c r="Q67" s="292">
        <v>54040</v>
      </c>
      <c r="R67" s="292">
        <v>54202</v>
      </c>
      <c r="S67" s="292">
        <v>55047</v>
      </c>
      <c r="T67" s="292">
        <v>55726</v>
      </c>
      <c r="U67" s="292">
        <v>55263</v>
      </c>
      <c r="V67" s="292">
        <v>53790</v>
      </c>
      <c r="W67" s="292">
        <v>54555</v>
      </c>
      <c r="X67" s="292">
        <v>55092</v>
      </c>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row>
    <row r="68" spans="2:54">
      <c r="B68" s="72" t="s">
        <v>533</v>
      </c>
      <c r="C68" s="72" t="s">
        <v>534</v>
      </c>
      <c r="D68" s="292"/>
      <c r="E68" s="292"/>
      <c r="F68" s="292"/>
      <c r="G68" s="292"/>
      <c r="H68" s="292"/>
      <c r="I68" s="292"/>
      <c r="J68" s="292"/>
      <c r="K68" s="292"/>
      <c r="L68" s="292"/>
      <c r="M68" s="292"/>
      <c r="N68" s="292"/>
      <c r="O68" s="292"/>
      <c r="P68" s="292"/>
      <c r="Q68" s="292"/>
      <c r="R68" s="292"/>
      <c r="S68" s="292"/>
      <c r="T68" s="292"/>
      <c r="U68" s="292"/>
      <c r="V68" s="292"/>
      <c r="W68" s="292"/>
      <c r="X68" s="29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row>
    <row r="69" spans="2:54">
      <c r="B69" s="72" t="s">
        <v>535</v>
      </c>
      <c r="C69" s="72" t="s">
        <v>536</v>
      </c>
      <c r="D69" s="292"/>
      <c r="E69" s="292"/>
      <c r="F69" s="292"/>
      <c r="G69" s="292"/>
      <c r="H69" s="292"/>
      <c r="I69" s="292"/>
      <c r="J69" s="292"/>
      <c r="K69" s="292"/>
      <c r="L69" s="292"/>
      <c r="M69" s="292"/>
      <c r="N69" s="292"/>
      <c r="O69" s="292"/>
      <c r="P69" s="292"/>
      <c r="Q69" s="292"/>
      <c r="R69" s="292"/>
      <c r="S69" s="292"/>
      <c r="T69" s="292"/>
      <c r="U69" s="292"/>
      <c r="V69" s="292"/>
      <c r="W69" s="292"/>
      <c r="X69" s="29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row>
    <row r="70" spans="2:54">
      <c r="B70" s="72" t="s">
        <v>537</v>
      </c>
      <c r="C70" s="72" t="s">
        <v>538</v>
      </c>
      <c r="D70" s="292"/>
      <c r="E70" s="292"/>
      <c r="F70" s="292"/>
      <c r="G70" s="292"/>
      <c r="H70" s="292"/>
      <c r="I70" s="292"/>
      <c r="J70" s="292"/>
      <c r="K70" s="292"/>
      <c r="L70" s="292"/>
      <c r="M70" s="292"/>
      <c r="N70" s="292"/>
      <c r="O70" s="292"/>
      <c r="P70" s="292"/>
      <c r="Q70" s="292"/>
      <c r="R70" s="292"/>
      <c r="S70" s="292"/>
      <c r="T70" s="292"/>
      <c r="U70" s="292"/>
      <c r="V70" s="292"/>
      <c r="W70" s="292"/>
      <c r="X70" s="29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row>
    <row r="71" spans="2:54">
      <c r="B71" s="72" t="s">
        <v>539</v>
      </c>
      <c r="C71" s="72" t="s">
        <v>540</v>
      </c>
      <c r="D71" s="292"/>
      <c r="E71" s="292"/>
      <c r="F71" s="292"/>
      <c r="G71" s="292"/>
      <c r="H71" s="292"/>
      <c r="I71" s="292"/>
      <c r="J71" s="292"/>
      <c r="K71" s="292"/>
      <c r="L71" s="292"/>
      <c r="M71" s="292"/>
      <c r="N71" s="292"/>
      <c r="O71" s="292"/>
      <c r="P71" s="292"/>
      <c r="Q71" s="292"/>
      <c r="R71" s="292"/>
      <c r="S71" s="292"/>
      <c r="T71" s="292"/>
      <c r="U71" s="292"/>
      <c r="V71" s="292"/>
      <c r="W71" s="292"/>
      <c r="X71" s="29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row>
    <row r="72" spans="2:54">
      <c r="B72" s="72" t="s">
        <v>541</v>
      </c>
      <c r="C72" s="72" t="s">
        <v>542</v>
      </c>
      <c r="D72" s="292">
        <v>6639</v>
      </c>
      <c r="E72" s="292">
        <v>6648</v>
      </c>
      <c r="F72" s="292">
        <v>6772</v>
      </c>
      <c r="G72" s="292">
        <v>7040</v>
      </c>
      <c r="H72" s="292">
        <v>7178</v>
      </c>
      <c r="I72" s="292">
        <v>7341</v>
      </c>
      <c r="J72" s="292">
        <v>7357</v>
      </c>
      <c r="K72" s="292">
        <v>7463</v>
      </c>
      <c r="L72" s="292">
        <v>7246</v>
      </c>
      <c r="M72" s="292">
        <v>7193</v>
      </c>
      <c r="N72" s="292">
        <v>7215</v>
      </c>
      <c r="O72" s="292">
        <v>7410</v>
      </c>
      <c r="P72" s="292">
        <v>7015</v>
      </c>
      <c r="Q72" s="292">
        <v>7126</v>
      </c>
      <c r="R72" s="292">
        <v>7266</v>
      </c>
      <c r="S72" s="292">
        <v>7425</v>
      </c>
      <c r="T72" s="292">
        <v>7550</v>
      </c>
      <c r="U72" s="292">
        <v>7816</v>
      </c>
      <c r="V72" s="292">
        <v>7893</v>
      </c>
      <c r="W72" s="292">
        <v>8030</v>
      </c>
      <c r="X72" s="292">
        <v>8244</v>
      </c>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row>
    <row r="73" spans="2:54">
      <c r="B73" s="72" t="s">
        <v>543</v>
      </c>
      <c r="C73" s="72" t="s">
        <v>544</v>
      </c>
      <c r="D73" s="292">
        <v>12906</v>
      </c>
      <c r="E73" s="292">
        <v>10022</v>
      </c>
      <c r="F73" s="292">
        <v>7461</v>
      </c>
      <c r="G73" s="292">
        <v>8058</v>
      </c>
      <c r="H73" s="292">
        <v>8425</v>
      </c>
      <c r="I73" s="292">
        <v>12222</v>
      </c>
      <c r="J73" s="292">
        <v>16253</v>
      </c>
      <c r="K73" s="292">
        <v>18288</v>
      </c>
      <c r="L73" s="292">
        <v>19434</v>
      </c>
      <c r="M73" s="292">
        <v>20075</v>
      </c>
      <c r="N73" s="292">
        <v>20336</v>
      </c>
      <c r="O73" s="292">
        <v>22172</v>
      </c>
      <c r="P73" s="292">
        <v>23399</v>
      </c>
      <c r="Q73" s="292">
        <v>25165</v>
      </c>
      <c r="R73" s="292">
        <v>26013</v>
      </c>
      <c r="S73" s="292">
        <v>27465</v>
      </c>
      <c r="T73" s="292">
        <v>27827</v>
      </c>
      <c r="U73" s="292">
        <v>28094</v>
      </c>
      <c r="V73" s="292">
        <v>28251</v>
      </c>
      <c r="W73" s="292">
        <v>28330</v>
      </c>
      <c r="X73" s="292">
        <v>28906</v>
      </c>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row>
    <row r="74" spans="2:54">
      <c r="B74" s="72" t="s">
        <v>545</v>
      </c>
      <c r="C74" s="72" t="s">
        <v>546</v>
      </c>
      <c r="D74" s="292"/>
      <c r="E74" s="292"/>
      <c r="F74" s="292"/>
      <c r="G74" s="292"/>
      <c r="H74" s="292"/>
      <c r="I74" s="292"/>
      <c r="J74" s="292"/>
      <c r="K74" s="292"/>
      <c r="L74" s="292"/>
      <c r="M74" s="292"/>
      <c r="N74" s="292"/>
      <c r="O74" s="292"/>
      <c r="P74" s="292"/>
      <c r="Q74" s="292"/>
      <c r="R74" s="292"/>
      <c r="S74" s="292"/>
      <c r="T74" s="292"/>
      <c r="U74" s="292"/>
      <c r="V74" s="292"/>
      <c r="W74" s="292"/>
      <c r="X74" s="29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row>
    <row r="75" spans="2:54">
      <c r="B75" s="72" t="s">
        <v>547</v>
      </c>
      <c r="C75" s="72" t="s">
        <v>548</v>
      </c>
      <c r="D75" s="292">
        <v>10502</v>
      </c>
      <c r="E75" s="292">
        <v>10406</v>
      </c>
      <c r="F75" s="292">
        <v>10849</v>
      </c>
      <c r="G75" s="292">
        <v>11336</v>
      </c>
      <c r="H75" s="292">
        <v>11656</v>
      </c>
      <c r="I75" s="292">
        <v>12198</v>
      </c>
      <c r="J75" s="292">
        <v>12534</v>
      </c>
      <c r="K75" s="292">
        <v>12406</v>
      </c>
      <c r="L75" s="292">
        <v>12267</v>
      </c>
      <c r="M75" s="292">
        <v>12100</v>
      </c>
      <c r="N75" s="292">
        <v>12171</v>
      </c>
      <c r="O75" s="292">
        <v>12044</v>
      </c>
      <c r="P75" s="292">
        <v>12009</v>
      </c>
      <c r="Q75" s="292">
        <v>12053</v>
      </c>
      <c r="R75" s="292">
        <v>12087</v>
      </c>
      <c r="S75" s="292">
        <v>12300</v>
      </c>
      <c r="T75" s="292">
        <v>12879</v>
      </c>
      <c r="U75" s="292">
        <v>13096</v>
      </c>
      <c r="V75" s="292">
        <v>12975</v>
      </c>
      <c r="W75" s="292">
        <v>13500</v>
      </c>
      <c r="X75" s="292">
        <v>13690</v>
      </c>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row>
    <row r="76" spans="2:54">
      <c r="B76" s="72" t="s">
        <v>549</v>
      </c>
      <c r="C76" s="72" t="s">
        <v>550</v>
      </c>
      <c r="D76" s="292"/>
      <c r="E76" s="292"/>
      <c r="F76" s="292"/>
      <c r="G76" s="292"/>
      <c r="H76" s="292"/>
      <c r="I76" s="292"/>
      <c r="J76" s="292"/>
      <c r="K76" s="292"/>
      <c r="L76" s="292"/>
      <c r="M76" s="292"/>
      <c r="N76" s="292"/>
      <c r="O76" s="292"/>
      <c r="P76" s="292"/>
      <c r="Q76" s="292"/>
      <c r="R76" s="292"/>
      <c r="S76" s="292"/>
      <c r="T76" s="292"/>
      <c r="U76" s="292"/>
      <c r="V76" s="292"/>
      <c r="W76" s="292"/>
      <c r="X76" s="29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row>
    <row r="77" spans="2:54">
      <c r="B77" s="72" t="s">
        <v>551</v>
      </c>
      <c r="C77" s="72" t="s">
        <v>552</v>
      </c>
      <c r="D77" s="292">
        <v>11934</v>
      </c>
      <c r="E77" s="292">
        <v>12051</v>
      </c>
      <c r="F77" s="292">
        <v>12064</v>
      </c>
      <c r="G77" s="292">
        <v>12207</v>
      </c>
      <c r="H77" s="292">
        <v>12401</v>
      </c>
      <c r="I77" s="292">
        <v>10936</v>
      </c>
      <c r="J77" s="292">
        <v>10654</v>
      </c>
      <c r="K77" s="292">
        <v>11196</v>
      </c>
      <c r="L77" s="292">
        <v>12221</v>
      </c>
      <c r="M77" s="292">
        <v>13235</v>
      </c>
      <c r="N77" s="292">
        <v>13890</v>
      </c>
      <c r="O77" s="292">
        <v>14502</v>
      </c>
      <c r="P77" s="292">
        <v>14861</v>
      </c>
      <c r="Q77" s="292">
        <v>15463</v>
      </c>
      <c r="R77" s="292">
        <v>16014</v>
      </c>
      <c r="S77" s="292">
        <v>16505</v>
      </c>
      <c r="T77" s="292">
        <v>17029</v>
      </c>
      <c r="U77" s="292">
        <v>17617</v>
      </c>
      <c r="V77" s="292">
        <v>17101</v>
      </c>
      <c r="W77" s="292">
        <v>18197</v>
      </c>
      <c r="X77" s="292">
        <v>19198</v>
      </c>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row>
    <row r="78" spans="2:54">
      <c r="B78" s="72" t="s">
        <v>553</v>
      </c>
      <c r="C78" s="72" t="s">
        <v>554</v>
      </c>
      <c r="D78" s="292">
        <v>1749</v>
      </c>
      <c r="E78" s="292">
        <v>1701</v>
      </c>
      <c r="F78" s="292">
        <v>1709</v>
      </c>
      <c r="G78" s="292">
        <v>1678</v>
      </c>
      <c r="H78" s="292">
        <v>1724</v>
      </c>
      <c r="I78" s="292">
        <v>1859</v>
      </c>
      <c r="J78" s="292">
        <v>1917</v>
      </c>
      <c r="K78" s="292">
        <v>1996</v>
      </c>
      <c r="L78" s="292">
        <v>2059</v>
      </c>
      <c r="M78" s="292">
        <v>2051</v>
      </c>
      <c r="N78" s="292">
        <v>2120</v>
      </c>
      <c r="O78" s="292">
        <v>2143</v>
      </c>
      <c r="P78" s="292">
        <v>2237</v>
      </c>
      <c r="Q78" s="292">
        <v>2265</v>
      </c>
      <c r="R78" s="292">
        <v>2382</v>
      </c>
      <c r="S78" s="292">
        <v>2435</v>
      </c>
      <c r="T78" s="292">
        <v>2443</v>
      </c>
      <c r="U78" s="292">
        <v>2492</v>
      </c>
      <c r="V78" s="292">
        <v>2484</v>
      </c>
      <c r="W78" s="292">
        <v>2590</v>
      </c>
      <c r="X78" s="292">
        <v>2625</v>
      </c>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row>
    <row r="79" spans="2:54">
      <c r="B79" s="72" t="s">
        <v>555</v>
      </c>
      <c r="C79" s="72" t="s">
        <v>556</v>
      </c>
      <c r="D79" s="292"/>
      <c r="E79" s="292"/>
      <c r="F79" s="292"/>
      <c r="G79" s="292"/>
      <c r="H79" s="292"/>
      <c r="I79" s="292"/>
      <c r="J79" s="292"/>
      <c r="K79" s="292"/>
      <c r="L79" s="292"/>
      <c r="M79" s="292"/>
      <c r="N79" s="292"/>
      <c r="O79" s="292"/>
      <c r="P79" s="292"/>
      <c r="Q79" s="292"/>
      <c r="R79" s="292"/>
      <c r="S79" s="292"/>
      <c r="T79" s="292"/>
      <c r="U79" s="292"/>
      <c r="V79" s="292"/>
      <c r="W79" s="292"/>
      <c r="X79" s="29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row>
    <row r="80" spans="2:54">
      <c r="B80" s="72" t="s">
        <v>557</v>
      </c>
      <c r="C80" s="72" t="s">
        <v>558</v>
      </c>
      <c r="D80" s="292">
        <v>2394</v>
      </c>
      <c r="E80" s="292">
        <v>2483</v>
      </c>
      <c r="F80" s="292">
        <v>2504</v>
      </c>
      <c r="G80" s="292">
        <v>2733</v>
      </c>
      <c r="H80" s="292">
        <v>2328</v>
      </c>
      <c r="I80" s="292">
        <v>2714</v>
      </c>
      <c r="J80" s="292">
        <v>2885</v>
      </c>
      <c r="K80" s="292">
        <v>2732</v>
      </c>
      <c r="L80" s="292">
        <v>2735</v>
      </c>
      <c r="M80" s="292">
        <v>3103</v>
      </c>
      <c r="N80" s="292">
        <v>2823</v>
      </c>
      <c r="O80" s="292">
        <v>2947</v>
      </c>
      <c r="P80" s="292">
        <v>2945</v>
      </c>
      <c r="Q80" s="292">
        <v>3012</v>
      </c>
      <c r="R80" s="292">
        <v>3343</v>
      </c>
      <c r="S80" s="292">
        <v>4191</v>
      </c>
      <c r="T80" s="292">
        <v>4580</v>
      </c>
      <c r="U80" s="292">
        <v>4803</v>
      </c>
      <c r="V80" s="292">
        <v>4759</v>
      </c>
      <c r="W80" s="292">
        <v>4981</v>
      </c>
      <c r="X80" s="292">
        <v>5200</v>
      </c>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row>
    <row r="81" spans="2:54">
      <c r="B81" s="72" t="s">
        <v>559</v>
      </c>
      <c r="C81" s="72" t="s">
        <v>560</v>
      </c>
      <c r="D81" s="292">
        <v>3084</v>
      </c>
      <c r="E81" s="292">
        <v>2893</v>
      </c>
      <c r="F81" s="292">
        <v>2711</v>
      </c>
      <c r="G81" s="292">
        <v>2559</v>
      </c>
      <c r="H81" s="292">
        <v>2566</v>
      </c>
      <c r="I81" s="292">
        <v>2611</v>
      </c>
      <c r="J81" s="292">
        <v>2664</v>
      </c>
      <c r="K81" s="292">
        <v>2718</v>
      </c>
      <c r="L81" s="292">
        <v>2752</v>
      </c>
      <c r="M81" s="292">
        <v>2782</v>
      </c>
      <c r="N81" s="292">
        <v>2828</v>
      </c>
      <c r="O81" s="292">
        <v>2858</v>
      </c>
      <c r="P81" s="292">
        <v>2891</v>
      </c>
      <c r="Q81" s="292">
        <v>2920</v>
      </c>
      <c r="R81" s="292">
        <v>2901</v>
      </c>
      <c r="S81" s="292">
        <v>2913</v>
      </c>
      <c r="T81" s="292">
        <v>2930</v>
      </c>
      <c r="U81" s="292">
        <v>2925</v>
      </c>
      <c r="V81" s="292">
        <v>2903</v>
      </c>
      <c r="W81" s="292">
        <v>2924</v>
      </c>
      <c r="X81" s="292">
        <v>2964</v>
      </c>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row>
    <row r="82" spans="2:54">
      <c r="B82" s="72" t="s">
        <v>561</v>
      </c>
      <c r="C82" s="72" t="s">
        <v>336</v>
      </c>
      <c r="D82" s="292">
        <v>39697</v>
      </c>
      <c r="E82" s="292">
        <v>40447</v>
      </c>
      <c r="F82" s="292">
        <v>41197</v>
      </c>
      <c r="G82" s="292">
        <v>42308</v>
      </c>
      <c r="H82" s="292">
        <v>42736</v>
      </c>
      <c r="I82" s="292">
        <v>43045</v>
      </c>
      <c r="J82" s="292">
        <v>43935</v>
      </c>
      <c r="K82" s="292">
        <v>44640</v>
      </c>
      <c r="L82" s="292">
        <v>45953</v>
      </c>
      <c r="M82" s="292">
        <v>47199</v>
      </c>
      <c r="N82" s="292">
        <v>47474</v>
      </c>
      <c r="O82" s="292">
        <v>47723</v>
      </c>
      <c r="P82" s="292">
        <v>47488</v>
      </c>
      <c r="Q82" s="292">
        <v>48176</v>
      </c>
      <c r="R82" s="292">
        <v>48997</v>
      </c>
      <c r="S82" s="292">
        <v>49501</v>
      </c>
      <c r="T82" s="292">
        <v>49402</v>
      </c>
      <c r="U82" s="292">
        <v>48921</v>
      </c>
      <c r="V82" s="292">
        <v>48337</v>
      </c>
      <c r="W82" s="292">
        <v>49226</v>
      </c>
      <c r="X82" s="292">
        <v>49540</v>
      </c>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row>
    <row r="83" spans="2:54">
      <c r="B83" s="72" t="s">
        <v>562</v>
      </c>
      <c r="C83" s="72" t="s">
        <v>563</v>
      </c>
      <c r="D83" s="292"/>
      <c r="E83" s="292"/>
      <c r="F83" s="292"/>
      <c r="G83" s="292"/>
      <c r="H83" s="292"/>
      <c r="I83" s="292"/>
      <c r="J83" s="292"/>
      <c r="K83" s="292"/>
      <c r="L83" s="292"/>
      <c r="M83" s="292"/>
      <c r="N83" s="292"/>
      <c r="O83" s="292"/>
      <c r="P83" s="292"/>
      <c r="Q83" s="292"/>
      <c r="R83" s="292"/>
      <c r="S83" s="292"/>
      <c r="T83" s="292"/>
      <c r="U83" s="292"/>
      <c r="V83" s="292"/>
      <c r="W83" s="292"/>
      <c r="X83" s="29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row>
    <row r="84" spans="2:54">
      <c r="B84" s="72" t="s">
        <v>564</v>
      </c>
      <c r="C84" s="72" t="s">
        <v>565</v>
      </c>
      <c r="D84" s="292"/>
      <c r="E84" s="292"/>
      <c r="F84" s="292"/>
      <c r="G84" s="292"/>
      <c r="H84" s="292"/>
      <c r="I84" s="292"/>
      <c r="J84" s="292"/>
      <c r="K84" s="292"/>
      <c r="L84" s="292"/>
      <c r="M84" s="292"/>
      <c r="N84" s="292"/>
      <c r="O84" s="292"/>
      <c r="P84" s="292"/>
      <c r="Q84" s="292"/>
      <c r="R84" s="292"/>
      <c r="S84" s="292"/>
      <c r="T84" s="292"/>
      <c r="U84" s="292"/>
      <c r="V84" s="292"/>
      <c r="W84" s="292"/>
      <c r="X84" s="29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row>
    <row r="85" spans="2:54">
      <c r="B85" s="72" t="s">
        <v>566</v>
      </c>
      <c r="C85" s="72" t="s">
        <v>567</v>
      </c>
      <c r="D85" s="292"/>
      <c r="E85" s="292"/>
      <c r="F85" s="292"/>
      <c r="G85" s="292"/>
      <c r="H85" s="292"/>
      <c r="I85" s="292"/>
      <c r="J85" s="292"/>
      <c r="K85" s="292"/>
      <c r="L85" s="292"/>
      <c r="M85" s="292"/>
      <c r="N85" s="292"/>
      <c r="O85" s="292"/>
      <c r="P85" s="292"/>
      <c r="Q85" s="292"/>
      <c r="R85" s="292"/>
      <c r="S85" s="292"/>
      <c r="T85" s="292"/>
      <c r="U85" s="292"/>
      <c r="V85" s="292"/>
      <c r="W85" s="292"/>
      <c r="X85" s="29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row>
    <row r="86" spans="2:54">
      <c r="B86" s="72" t="s">
        <v>568</v>
      </c>
      <c r="C86" s="72" t="s">
        <v>569</v>
      </c>
      <c r="D86" s="292"/>
      <c r="E86" s="292"/>
      <c r="F86" s="292"/>
      <c r="G86" s="292"/>
      <c r="H86" s="292"/>
      <c r="I86" s="292"/>
      <c r="J86" s="292"/>
      <c r="K86" s="292"/>
      <c r="L86" s="292"/>
      <c r="M86" s="292"/>
      <c r="N86" s="292"/>
      <c r="O86" s="292"/>
      <c r="P86" s="292"/>
      <c r="Q86" s="292"/>
      <c r="R86" s="292"/>
      <c r="S86" s="292"/>
      <c r="T86" s="292"/>
      <c r="U86" s="292"/>
      <c r="V86" s="292"/>
      <c r="W86" s="292"/>
      <c r="X86" s="29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row>
    <row r="87" spans="2:54">
      <c r="B87" s="72" t="s">
        <v>570</v>
      </c>
      <c r="C87" s="72" t="s">
        <v>384</v>
      </c>
      <c r="D87" s="292"/>
      <c r="E87" s="292"/>
      <c r="F87" s="292"/>
      <c r="G87" s="292"/>
      <c r="H87" s="292"/>
      <c r="I87" s="292"/>
      <c r="J87" s="292"/>
      <c r="K87" s="292"/>
      <c r="L87" s="292"/>
      <c r="M87" s="292"/>
      <c r="N87" s="292"/>
      <c r="O87" s="292"/>
      <c r="P87" s="292"/>
      <c r="Q87" s="292"/>
      <c r="R87" s="292"/>
      <c r="S87" s="292"/>
      <c r="T87" s="292"/>
      <c r="U87" s="292"/>
      <c r="V87" s="292"/>
      <c r="W87" s="292"/>
      <c r="X87" s="29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row>
    <row r="88" spans="2:54">
      <c r="B88" s="72" t="s">
        <v>571</v>
      </c>
      <c r="C88" s="72" t="s">
        <v>572</v>
      </c>
      <c r="D88" s="292">
        <v>19811</v>
      </c>
      <c r="E88" s="292">
        <v>21570</v>
      </c>
      <c r="F88" s="292">
        <v>22644</v>
      </c>
      <c r="G88" s="292">
        <v>23512</v>
      </c>
      <c r="H88" s="292">
        <v>25690</v>
      </c>
      <c r="I88" s="292">
        <v>26991</v>
      </c>
      <c r="J88" s="292">
        <v>28287</v>
      </c>
      <c r="K88" s="292">
        <v>28693</v>
      </c>
      <c r="L88" s="292">
        <v>27959</v>
      </c>
      <c r="M88" s="292">
        <v>28753</v>
      </c>
      <c r="N88" s="292">
        <v>28386</v>
      </c>
      <c r="O88" s="292">
        <v>28481</v>
      </c>
      <c r="P88" s="292">
        <v>28757</v>
      </c>
      <c r="Q88" s="292">
        <v>29891</v>
      </c>
      <c r="R88" s="292">
        <v>30466</v>
      </c>
      <c r="S88" s="292">
        <v>29349</v>
      </c>
      <c r="T88" s="292">
        <v>30518</v>
      </c>
      <c r="U88" s="292">
        <v>30717</v>
      </c>
      <c r="V88" s="292">
        <v>30854</v>
      </c>
      <c r="W88" s="292">
        <v>32102</v>
      </c>
      <c r="X88" s="292">
        <v>33860</v>
      </c>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row>
    <row r="89" spans="2:54">
      <c r="B89" s="72" t="s">
        <v>573</v>
      </c>
      <c r="C89" s="72" t="s">
        <v>574</v>
      </c>
      <c r="D89" s="292">
        <v>2691</v>
      </c>
      <c r="E89" s="292">
        <v>2921</v>
      </c>
      <c r="F89" s="292">
        <v>3172</v>
      </c>
      <c r="G89" s="292">
        <v>3455</v>
      </c>
      <c r="H89" s="292">
        <v>3941</v>
      </c>
      <c r="I89" s="292">
        <v>3978</v>
      </c>
      <c r="J89" s="292">
        <v>4135</v>
      </c>
      <c r="K89" s="292">
        <v>4097</v>
      </c>
      <c r="L89" s="292">
        <v>4318</v>
      </c>
      <c r="M89" s="292">
        <v>4660</v>
      </c>
      <c r="N89" s="292">
        <v>5100</v>
      </c>
      <c r="O89" s="292">
        <v>5695</v>
      </c>
      <c r="P89" s="292">
        <v>6517</v>
      </c>
      <c r="Q89" s="292">
        <v>7124</v>
      </c>
      <c r="R89" s="292">
        <v>7825</v>
      </c>
      <c r="S89" s="292">
        <v>8780</v>
      </c>
      <c r="T89" s="292">
        <v>9981</v>
      </c>
      <c r="U89" s="292">
        <v>10904</v>
      </c>
      <c r="V89" s="292">
        <v>11867</v>
      </c>
      <c r="W89" s="292">
        <v>13045</v>
      </c>
      <c r="X89" s="292">
        <v>14196</v>
      </c>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row>
    <row r="90" spans="2:54">
      <c r="B90" s="72" t="s">
        <v>575</v>
      </c>
      <c r="C90" s="72" t="s">
        <v>576</v>
      </c>
      <c r="D90" s="292">
        <v>13560</v>
      </c>
      <c r="E90" s="292">
        <v>14144</v>
      </c>
      <c r="F90" s="292">
        <v>14133</v>
      </c>
      <c r="G90" s="292">
        <v>13976</v>
      </c>
      <c r="H90" s="292">
        <v>15461</v>
      </c>
      <c r="I90" s="292">
        <v>15200</v>
      </c>
      <c r="J90" s="292">
        <v>15995</v>
      </c>
      <c r="K90" s="292">
        <v>15904</v>
      </c>
      <c r="L90" s="292">
        <v>14832</v>
      </c>
      <c r="M90" s="292">
        <v>14781</v>
      </c>
      <c r="N90" s="292">
        <v>14397</v>
      </c>
      <c r="O90" s="292">
        <v>14803</v>
      </c>
      <c r="P90" s="292">
        <v>14497</v>
      </c>
      <c r="Q90" s="292">
        <v>14995</v>
      </c>
      <c r="R90" s="292">
        <v>15107</v>
      </c>
      <c r="S90" s="292">
        <v>16576</v>
      </c>
      <c r="T90" s="292">
        <v>17310</v>
      </c>
      <c r="U90" s="292">
        <v>17426</v>
      </c>
      <c r="V90" s="292">
        <v>17194</v>
      </c>
      <c r="W90" s="292">
        <v>17616</v>
      </c>
      <c r="X90" s="292">
        <v>18163</v>
      </c>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row>
    <row r="91" spans="2:54">
      <c r="B91" s="72" t="s">
        <v>577</v>
      </c>
      <c r="C91" s="72" t="s">
        <v>578</v>
      </c>
      <c r="D91" s="292"/>
      <c r="E91" s="292"/>
      <c r="F91" s="292"/>
      <c r="G91" s="292"/>
      <c r="H91" s="292"/>
      <c r="I91" s="292"/>
      <c r="J91" s="292"/>
      <c r="K91" s="292"/>
      <c r="L91" s="292"/>
      <c r="M91" s="292"/>
      <c r="N91" s="292"/>
      <c r="O91" s="292"/>
      <c r="P91" s="292"/>
      <c r="Q91" s="292"/>
      <c r="R91" s="292"/>
      <c r="S91" s="292"/>
      <c r="T91" s="292"/>
      <c r="U91" s="292"/>
      <c r="V91" s="292"/>
      <c r="W91" s="292"/>
      <c r="X91" s="29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row>
    <row r="92" spans="2:54">
      <c r="B92" s="72" t="s">
        <v>579</v>
      </c>
      <c r="C92" s="72" t="s">
        <v>580</v>
      </c>
      <c r="D92" s="292">
        <v>1325</v>
      </c>
      <c r="E92" s="292">
        <v>1138</v>
      </c>
      <c r="F92" s="292">
        <v>943</v>
      </c>
      <c r="G92" s="292">
        <v>873</v>
      </c>
      <c r="H92" s="292">
        <v>853</v>
      </c>
      <c r="I92" s="292">
        <v>822</v>
      </c>
      <c r="J92" s="292">
        <v>758</v>
      </c>
      <c r="K92" s="292">
        <v>728</v>
      </c>
      <c r="L92" s="292">
        <v>681</v>
      </c>
      <c r="M92" s="292">
        <v>615</v>
      </c>
      <c r="N92" s="292">
        <v>585</v>
      </c>
      <c r="O92" s="292">
        <v>587</v>
      </c>
      <c r="P92" s="292">
        <v>602</v>
      </c>
      <c r="Q92" s="292">
        <v>622</v>
      </c>
      <c r="R92" s="292">
        <v>649</v>
      </c>
      <c r="S92" s="292">
        <v>664</v>
      </c>
      <c r="T92" s="292">
        <v>683</v>
      </c>
      <c r="U92" s="292">
        <v>702</v>
      </c>
      <c r="V92" s="292">
        <v>696</v>
      </c>
      <c r="W92" s="292">
        <v>721</v>
      </c>
      <c r="X92" s="292">
        <v>742</v>
      </c>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row>
    <row r="93" spans="2:54">
      <c r="B93" s="72" t="s">
        <v>581</v>
      </c>
      <c r="C93" s="72" t="s">
        <v>582</v>
      </c>
      <c r="D93" s="292"/>
      <c r="E93" s="292"/>
      <c r="F93" s="292"/>
      <c r="G93" s="292"/>
      <c r="H93" s="292"/>
      <c r="I93" s="292"/>
      <c r="J93" s="292"/>
      <c r="K93" s="292"/>
      <c r="L93" s="292"/>
      <c r="M93" s="292"/>
      <c r="N93" s="292"/>
      <c r="O93" s="292"/>
      <c r="P93" s="292"/>
      <c r="Q93" s="292"/>
      <c r="R93" s="292"/>
      <c r="S93" s="292"/>
      <c r="T93" s="292"/>
      <c r="U93" s="292"/>
      <c r="V93" s="292"/>
      <c r="W93" s="292"/>
      <c r="X93" s="29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row>
    <row r="94" spans="2:54">
      <c r="B94" s="72" t="s">
        <v>583</v>
      </c>
      <c r="C94" s="72" t="s">
        <v>257</v>
      </c>
      <c r="D94" s="292">
        <v>13979</v>
      </c>
      <c r="E94" s="292">
        <v>14701</v>
      </c>
      <c r="F94" s="292">
        <v>15145</v>
      </c>
      <c r="G94" s="292">
        <v>15231</v>
      </c>
      <c r="H94" s="292">
        <v>15351</v>
      </c>
      <c r="I94" s="292">
        <v>15022</v>
      </c>
      <c r="J94" s="292">
        <v>15099</v>
      </c>
      <c r="K94" s="292">
        <v>15641</v>
      </c>
      <c r="L94" s="292">
        <v>16348</v>
      </c>
      <c r="M94" s="292">
        <v>15612</v>
      </c>
      <c r="N94" s="292">
        <v>15517</v>
      </c>
      <c r="O94" s="292">
        <v>15587</v>
      </c>
      <c r="P94" s="292">
        <v>16084</v>
      </c>
      <c r="Q94" s="292">
        <v>16630</v>
      </c>
      <c r="R94" s="292">
        <v>16505</v>
      </c>
      <c r="S94" s="292">
        <v>17434</v>
      </c>
      <c r="T94" s="292">
        <v>17884</v>
      </c>
      <c r="U94" s="292">
        <v>18087</v>
      </c>
      <c r="V94" s="292">
        <v>17716</v>
      </c>
      <c r="W94" s="292">
        <v>18116</v>
      </c>
      <c r="X94" s="292">
        <v>18518</v>
      </c>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row>
    <row r="95" spans="2:54">
      <c r="B95" s="72" t="s">
        <v>584</v>
      </c>
      <c r="C95" s="72" t="s">
        <v>585</v>
      </c>
      <c r="D95" s="292">
        <v>3412</v>
      </c>
      <c r="E95" s="292">
        <v>3274</v>
      </c>
      <c r="F95" s="292">
        <v>3561</v>
      </c>
      <c r="G95" s="292">
        <v>3439</v>
      </c>
      <c r="H95" s="292">
        <v>3508</v>
      </c>
      <c r="I95" s="292">
        <v>3672</v>
      </c>
      <c r="J95" s="292">
        <v>3770</v>
      </c>
      <c r="K95" s="292">
        <v>3828</v>
      </c>
      <c r="L95" s="292">
        <v>3789</v>
      </c>
      <c r="M95" s="292">
        <v>3520</v>
      </c>
      <c r="N95" s="292">
        <v>3452</v>
      </c>
      <c r="O95" s="292">
        <v>3335</v>
      </c>
      <c r="P95" s="292">
        <v>3229</v>
      </c>
      <c r="Q95" s="292">
        <v>3230</v>
      </c>
      <c r="R95" s="292">
        <v>3237</v>
      </c>
      <c r="S95" s="292">
        <v>3197</v>
      </c>
      <c r="T95" s="292">
        <v>3184</v>
      </c>
      <c r="U95" s="292">
        <v>3191</v>
      </c>
      <c r="V95" s="292">
        <v>3227</v>
      </c>
      <c r="W95" s="292">
        <v>3218</v>
      </c>
      <c r="X95" s="292">
        <v>2950</v>
      </c>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row>
    <row r="96" spans="2:54">
      <c r="B96" s="72" t="s">
        <v>586</v>
      </c>
      <c r="C96" s="72" t="s">
        <v>587</v>
      </c>
      <c r="D96" s="292">
        <v>18107</v>
      </c>
      <c r="E96" s="292">
        <v>17995</v>
      </c>
      <c r="F96" s="292">
        <v>14683</v>
      </c>
      <c r="G96" s="292">
        <v>15652</v>
      </c>
      <c r="H96" s="292">
        <v>16949</v>
      </c>
      <c r="I96" s="292">
        <v>16534</v>
      </c>
      <c r="J96" s="292">
        <v>17072</v>
      </c>
      <c r="K96" s="292">
        <v>17941</v>
      </c>
      <c r="L96" s="292">
        <v>18361</v>
      </c>
      <c r="M96" s="292">
        <v>18324</v>
      </c>
      <c r="N96" s="292">
        <v>20083</v>
      </c>
      <c r="O96" s="292">
        <v>20221</v>
      </c>
      <c r="P96" s="292">
        <v>21182</v>
      </c>
      <c r="Q96" s="292">
        <v>21689</v>
      </c>
      <c r="R96" s="292">
        <v>22445</v>
      </c>
      <c r="S96" s="292">
        <v>23693</v>
      </c>
      <c r="T96" s="292">
        <v>24059</v>
      </c>
      <c r="U96" s="292">
        <v>24320</v>
      </c>
      <c r="V96" s="292">
        <v>23293</v>
      </c>
      <c r="W96" s="292">
        <v>23971</v>
      </c>
      <c r="X96" s="292">
        <v>25129</v>
      </c>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row>
    <row r="97" spans="2:54">
      <c r="B97" s="72" t="s">
        <v>588</v>
      </c>
      <c r="C97" s="72" t="s">
        <v>589</v>
      </c>
      <c r="D97" s="292"/>
      <c r="E97" s="292"/>
      <c r="F97" s="292"/>
      <c r="G97" s="292"/>
      <c r="H97" s="292"/>
      <c r="I97" s="292"/>
      <c r="J97" s="292"/>
      <c r="K97" s="292"/>
      <c r="L97" s="292"/>
      <c r="M97" s="292"/>
      <c r="N97" s="292"/>
      <c r="O97" s="292"/>
      <c r="P97" s="292"/>
      <c r="Q97" s="292"/>
      <c r="R97" s="292"/>
      <c r="S97" s="292"/>
      <c r="T97" s="292"/>
      <c r="U97" s="292"/>
      <c r="V97" s="292"/>
      <c r="W97" s="292"/>
      <c r="X97" s="29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row>
    <row r="98" spans="2:54">
      <c r="B98" s="72" t="s">
        <v>590</v>
      </c>
      <c r="C98" s="72" t="s">
        <v>591</v>
      </c>
      <c r="D98" s="292"/>
      <c r="E98" s="292"/>
      <c r="F98" s="292"/>
      <c r="G98" s="292"/>
      <c r="H98" s="292"/>
      <c r="I98" s="292"/>
      <c r="J98" s="292"/>
      <c r="K98" s="292"/>
      <c r="L98" s="292"/>
      <c r="M98" s="292"/>
      <c r="N98" s="292"/>
      <c r="O98" s="292"/>
      <c r="P98" s="292"/>
      <c r="Q98" s="292"/>
      <c r="R98" s="292"/>
      <c r="S98" s="292"/>
      <c r="T98" s="292"/>
      <c r="U98" s="292"/>
      <c r="V98" s="292"/>
      <c r="W98" s="292"/>
      <c r="X98" s="29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row>
    <row r="99" spans="2:54">
      <c r="B99" s="72" t="s">
        <v>592</v>
      </c>
      <c r="C99" s="72" t="s">
        <v>593</v>
      </c>
      <c r="D99" s="292">
        <v>24718</v>
      </c>
      <c r="E99" s="292">
        <v>24309</v>
      </c>
      <c r="F99" s="292">
        <v>23458</v>
      </c>
      <c r="G99" s="292">
        <v>22947</v>
      </c>
      <c r="H99" s="292">
        <v>22538</v>
      </c>
      <c r="I99" s="292">
        <v>22824</v>
      </c>
      <c r="J99" s="292">
        <v>23215</v>
      </c>
      <c r="K99" s="292">
        <v>23993</v>
      </c>
      <c r="L99" s="292">
        <v>24696</v>
      </c>
      <c r="M99" s="292">
        <v>25505</v>
      </c>
      <c r="N99" s="292">
        <v>25970</v>
      </c>
      <c r="O99" s="292">
        <v>25982</v>
      </c>
      <c r="P99" s="292">
        <v>25504</v>
      </c>
      <c r="Q99" s="292">
        <v>25614</v>
      </c>
      <c r="R99" s="292">
        <v>25680</v>
      </c>
      <c r="S99" s="292">
        <v>26281</v>
      </c>
      <c r="T99" s="292">
        <v>26752</v>
      </c>
      <c r="U99" s="292">
        <v>26948</v>
      </c>
      <c r="V99" s="292">
        <v>26629</v>
      </c>
      <c r="W99" s="292">
        <v>27009</v>
      </c>
      <c r="X99" s="292">
        <v>27360</v>
      </c>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row>
    <row r="100" spans="2:54">
      <c r="B100" s="72" t="s">
        <v>594</v>
      </c>
      <c r="C100" s="72" t="s">
        <v>595</v>
      </c>
      <c r="D100" s="292">
        <v>16368</v>
      </c>
      <c r="E100" s="292">
        <v>16065</v>
      </c>
      <c r="F100" s="292">
        <v>16106</v>
      </c>
      <c r="G100" s="292">
        <v>16285</v>
      </c>
      <c r="H100" s="292">
        <v>17128</v>
      </c>
      <c r="I100" s="292">
        <v>17812</v>
      </c>
      <c r="J100" s="292">
        <v>17787</v>
      </c>
      <c r="K100" s="292">
        <v>18064</v>
      </c>
      <c r="L100" s="292">
        <v>18777</v>
      </c>
      <c r="M100" s="292">
        <v>19723</v>
      </c>
      <c r="N100" s="292">
        <v>20395</v>
      </c>
      <c r="O100" s="292">
        <v>20703</v>
      </c>
      <c r="P100" s="292">
        <v>21656</v>
      </c>
      <c r="Q100" s="292">
        <v>22755</v>
      </c>
      <c r="R100" s="292">
        <v>23795</v>
      </c>
      <c r="S100" s="292">
        <v>25131</v>
      </c>
      <c r="T100" s="292">
        <v>26021</v>
      </c>
      <c r="U100" s="292">
        <v>26222</v>
      </c>
      <c r="V100" s="292">
        <v>25295</v>
      </c>
      <c r="W100" s="292">
        <v>26433</v>
      </c>
      <c r="X100" s="292">
        <v>26704</v>
      </c>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row>
    <row r="101" spans="2:54">
      <c r="B101" s="72" t="s">
        <v>596</v>
      </c>
      <c r="C101" s="72" t="s">
        <v>597</v>
      </c>
      <c r="D101" s="292">
        <v>36553</v>
      </c>
      <c r="E101" s="292">
        <v>37690</v>
      </c>
      <c r="F101" s="292">
        <v>38215</v>
      </c>
      <c r="G101" s="292">
        <v>39676</v>
      </c>
      <c r="H101" s="292">
        <v>40581</v>
      </c>
      <c r="I101" s="292">
        <v>41353</v>
      </c>
      <c r="J101" s="292">
        <v>42103</v>
      </c>
      <c r="K101" s="292">
        <v>42397</v>
      </c>
      <c r="L101" s="292">
        <v>43118</v>
      </c>
      <c r="M101" s="292">
        <v>44413</v>
      </c>
      <c r="N101" s="292">
        <v>44325</v>
      </c>
      <c r="O101" s="292">
        <v>44515</v>
      </c>
      <c r="P101" s="292">
        <v>45172</v>
      </c>
      <c r="Q101" s="292">
        <v>46497</v>
      </c>
      <c r="R101" s="292">
        <v>47151</v>
      </c>
      <c r="S101" s="292">
        <v>47751</v>
      </c>
      <c r="T101" s="292">
        <v>47204</v>
      </c>
      <c r="U101" s="292">
        <v>45900</v>
      </c>
      <c r="V101" s="292">
        <v>44971</v>
      </c>
      <c r="W101" s="292">
        <v>46789</v>
      </c>
      <c r="X101" s="292">
        <v>47490</v>
      </c>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row>
    <row r="102" spans="2:54">
      <c r="B102" s="72" t="s">
        <v>598</v>
      </c>
      <c r="C102" s="72" t="s">
        <v>599</v>
      </c>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row>
    <row r="103" spans="2:54">
      <c r="B103" s="72" t="s">
        <v>600</v>
      </c>
      <c r="C103" s="72" t="s">
        <v>601</v>
      </c>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row>
    <row r="104" spans="2:54">
      <c r="B104" s="72" t="s">
        <v>602</v>
      </c>
      <c r="C104" s="72" t="s">
        <v>603</v>
      </c>
      <c r="D104" s="292">
        <v>7847</v>
      </c>
      <c r="E104" s="292">
        <v>8114</v>
      </c>
      <c r="F104" s="292">
        <v>8663</v>
      </c>
      <c r="G104" s="292">
        <v>8922</v>
      </c>
      <c r="H104" s="292">
        <v>9412</v>
      </c>
      <c r="I104" s="292">
        <v>9796</v>
      </c>
      <c r="J104" s="292">
        <v>9858</v>
      </c>
      <c r="K104" s="292">
        <v>9684</v>
      </c>
      <c r="L104" s="292">
        <v>10020</v>
      </c>
      <c r="M104" s="292">
        <v>10373</v>
      </c>
      <c r="N104" s="292">
        <v>10699</v>
      </c>
      <c r="O104" s="292">
        <v>10940</v>
      </c>
      <c r="P104" s="292">
        <v>10956</v>
      </c>
      <c r="Q104" s="292">
        <v>10686</v>
      </c>
      <c r="R104" s="292">
        <v>11440</v>
      </c>
      <c r="S104" s="292">
        <v>11964</v>
      </c>
      <c r="T104" s="292">
        <v>12682</v>
      </c>
      <c r="U104" s="292">
        <v>12972</v>
      </c>
      <c r="V104" s="292">
        <v>13188</v>
      </c>
      <c r="W104" s="292">
        <v>13937</v>
      </c>
      <c r="X104" s="292">
        <v>14291</v>
      </c>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row>
    <row r="105" spans="2:54">
      <c r="B105" s="72" t="s">
        <v>604</v>
      </c>
      <c r="C105" s="72" t="s">
        <v>605</v>
      </c>
      <c r="D105" s="292">
        <v>12562</v>
      </c>
      <c r="E105" s="292">
        <v>12329</v>
      </c>
      <c r="F105" s="292">
        <v>11954</v>
      </c>
      <c r="G105" s="292">
        <v>11981</v>
      </c>
      <c r="H105" s="292">
        <v>11693</v>
      </c>
      <c r="I105" s="292">
        <v>12065</v>
      </c>
      <c r="J105" s="292">
        <v>11996</v>
      </c>
      <c r="K105" s="292">
        <v>12190</v>
      </c>
      <c r="L105" s="292">
        <v>11724</v>
      </c>
      <c r="M105" s="292">
        <v>11763</v>
      </c>
      <c r="N105" s="292">
        <v>11526</v>
      </c>
      <c r="O105" s="292">
        <v>11401</v>
      </c>
      <c r="P105" s="292">
        <v>11641</v>
      </c>
      <c r="Q105" s="292">
        <v>11593</v>
      </c>
      <c r="R105" s="292">
        <v>12154</v>
      </c>
      <c r="S105" s="292">
        <v>12290</v>
      </c>
      <c r="T105" s="292">
        <v>12537</v>
      </c>
      <c r="U105" s="292">
        <v>13345</v>
      </c>
      <c r="V105" s="292">
        <v>13088</v>
      </c>
      <c r="W105" s="292">
        <v>13277</v>
      </c>
      <c r="X105" s="292">
        <v>13757</v>
      </c>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row>
    <row r="106" spans="2:54">
      <c r="B106" s="72" t="s">
        <v>606</v>
      </c>
      <c r="C106" s="72" t="s">
        <v>607</v>
      </c>
      <c r="D106" s="292">
        <v>8423</v>
      </c>
      <c r="E106" s="292">
        <v>8259</v>
      </c>
      <c r="F106" s="292">
        <v>8324</v>
      </c>
      <c r="G106" s="292">
        <v>8495</v>
      </c>
      <c r="H106" s="292">
        <v>8691</v>
      </c>
      <c r="I106" s="292">
        <v>8923</v>
      </c>
      <c r="J106" s="292">
        <v>9250</v>
      </c>
      <c r="K106" s="292">
        <v>9714</v>
      </c>
      <c r="L106" s="292">
        <v>10058</v>
      </c>
      <c r="M106" s="292">
        <v>10357</v>
      </c>
      <c r="N106" s="292">
        <v>10469</v>
      </c>
      <c r="O106" s="292">
        <v>10542</v>
      </c>
      <c r="P106" s="292">
        <v>10619</v>
      </c>
      <c r="Q106" s="292">
        <v>10778</v>
      </c>
      <c r="R106" s="292">
        <v>11018</v>
      </c>
      <c r="S106" s="292">
        <v>11466</v>
      </c>
      <c r="T106" s="292">
        <v>12075</v>
      </c>
      <c r="U106" s="292">
        <v>12659</v>
      </c>
      <c r="V106" s="292">
        <v>12704</v>
      </c>
      <c r="W106" s="292">
        <v>13073</v>
      </c>
      <c r="X106" s="292">
        <v>12980</v>
      </c>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row>
    <row r="107" spans="2:54">
      <c r="B107" s="72" t="s">
        <v>608</v>
      </c>
      <c r="C107" s="72" t="s">
        <v>609</v>
      </c>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row>
    <row r="108" spans="2:54">
      <c r="B108" s="72" t="s">
        <v>610</v>
      </c>
      <c r="C108" s="72" t="s">
        <v>611</v>
      </c>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row>
    <row r="109" spans="2:54">
      <c r="B109" s="72" t="s">
        <v>612</v>
      </c>
      <c r="C109" s="72" t="s">
        <v>613</v>
      </c>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row>
    <row r="110" spans="2:54">
      <c r="B110" s="72" t="s">
        <v>614</v>
      </c>
      <c r="C110" s="72" t="s">
        <v>615</v>
      </c>
      <c r="D110" s="292">
        <v>18932</v>
      </c>
      <c r="E110" s="292">
        <v>17293</v>
      </c>
      <c r="F110" s="292">
        <v>17189</v>
      </c>
      <c r="G110" s="292">
        <v>17492</v>
      </c>
      <c r="H110" s="292">
        <v>19168</v>
      </c>
      <c r="I110" s="292">
        <v>20747</v>
      </c>
      <c r="J110" s="292">
        <v>23171</v>
      </c>
      <c r="K110" s="292">
        <v>25201</v>
      </c>
      <c r="L110" s="292">
        <v>26299</v>
      </c>
      <c r="M110" s="292">
        <v>30435</v>
      </c>
      <c r="N110" s="292">
        <v>32084</v>
      </c>
      <c r="O110" s="292">
        <v>33726</v>
      </c>
      <c r="P110" s="292">
        <v>35848</v>
      </c>
      <c r="Q110" s="292">
        <v>38129</v>
      </c>
      <c r="R110" s="292">
        <v>40687</v>
      </c>
      <c r="S110" s="292">
        <v>42508</v>
      </c>
      <c r="T110" s="292">
        <v>45330</v>
      </c>
      <c r="U110" s="292">
        <v>43592</v>
      </c>
      <c r="V110" s="292">
        <v>41537</v>
      </c>
      <c r="W110" s="292">
        <v>44605</v>
      </c>
      <c r="X110" s="292">
        <v>45481</v>
      </c>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row>
    <row r="111" spans="2:54">
      <c r="B111" s="72" t="s">
        <v>616</v>
      </c>
      <c r="C111" s="72" t="s">
        <v>617</v>
      </c>
      <c r="D111" s="292">
        <v>1171</v>
      </c>
      <c r="E111" s="292">
        <v>1034</v>
      </c>
      <c r="F111" s="292">
        <v>1142</v>
      </c>
      <c r="G111" s="292">
        <v>1151</v>
      </c>
      <c r="H111" s="292">
        <v>1189</v>
      </c>
      <c r="I111" s="292">
        <v>1312</v>
      </c>
      <c r="J111" s="292">
        <v>1321</v>
      </c>
      <c r="K111" s="292">
        <v>1231</v>
      </c>
      <c r="L111" s="292">
        <v>1271</v>
      </c>
      <c r="M111" s="292">
        <v>1296</v>
      </c>
      <c r="N111" s="292">
        <v>1340</v>
      </c>
      <c r="O111" s="292">
        <v>1311</v>
      </c>
      <c r="P111" s="292">
        <v>1235</v>
      </c>
      <c r="Q111" s="292">
        <v>1329</v>
      </c>
      <c r="R111" s="292">
        <v>1441</v>
      </c>
      <c r="S111" s="292">
        <v>1557</v>
      </c>
      <c r="T111" s="292">
        <v>1688</v>
      </c>
      <c r="U111" s="292">
        <v>1818</v>
      </c>
      <c r="V111" s="292">
        <v>1909</v>
      </c>
      <c r="W111" s="292">
        <v>2001</v>
      </c>
      <c r="X111" s="292">
        <v>2087</v>
      </c>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row>
    <row r="112" spans="2:54">
      <c r="B112" s="72" t="s">
        <v>618</v>
      </c>
      <c r="C112" s="72" t="s">
        <v>619</v>
      </c>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row>
    <row r="113" spans="2:54">
      <c r="B113" s="72" t="s">
        <v>620</v>
      </c>
      <c r="C113" s="72" t="s">
        <v>621</v>
      </c>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row>
    <row r="114" spans="2:54">
      <c r="B114" s="72" t="s">
        <v>622</v>
      </c>
      <c r="C114" s="72" t="s">
        <v>385</v>
      </c>
      <c r="D114" s="292">
        <v>33775</v>
      </c>
      <c r="E114" s="292">
        <v>35070</v>
      </c>
      <c r="F114" s="292">
        <v>36996</v>
      </c>
      <c r="G114" s="292">
        <v>38890</v>
      </c>
      <c r="H114" s="292">
        <v>39732</v>
      </c>
      <c r="I114" s="292">
        <v>40575</v>
      </c>
      <c r="J114" s="292">
        <v>41669</v>
      </c>
      <c r="K114" s="292">
        <v>42971</v>
      </c>
      <c r="L114" s="292">
        <v>43568</v>
      </c>
      <c r="M114" s="292">
        <v>44963</v>
      </c>
      <c r="N114" s="292">
        <v>45380</v>
      </c>
      <c r="O114" s="292">
        <v>45779</v>
      </c>
      <c r="P114" s="292">
        <v>46673</v>
      </c>
      <c r="Q114" s="292">
        <v>48406</v>
      </c>
      <c r="R114" s="292">
        <v>49144</v>
      </c>
      <c r="S114" s="292">
        <v>50384</v>
      </c>
      <c r="T114" s="292">
        <v>51943</v>
      </c>
      <c r="U114" s="292">
        <v>51135</v>
      </c>
      <c r="V114" s="292">
        <v>48633</v>
      </c>
      <c r="W114" s="292">
        <v>51128</v>
      </c>
      <c r="X114" s="292">
        <v>52159</v>
      </c>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row>
    <row r="115" spans="2:54">
      <c r="B115" s="72" t="s">
        <v>623</v>
      </c>
      <c r="C115" s="72" t="s">
        <v>328</v>
      </c>
      <c r="D115" s="292">
        <v>43915</v>
      </c>
      <c r="E115" s="292">
        <v>44875</v>
      </c>
      <c r="F115" s="292">
        <v>45103</v>
      </c>
      <c r="G115" s="292">
        <v>45925</v>
      </c>
      <c r="H115" s="292">
        <v>46435</v>
      </c>
      <c r="I115" s="292">
        <v>46673</v>
      </c>
      <c r="J115" s="292">
        <v>47378</v>
      </c>
      <c r="K115" s="292">
        <v>48157</v>
      </c>
      <c r="L115" s="292">
        <v>48626</v>
      </c>
      <c r="M115" s="292">
        <v>49131</v>
      </c>
      <c r="N115" s="292">
        <v>49284</v>
      </c>
      <c r="O115" s="292">
        <v>49474</v>
      </c>
      <c r="P115" s="292">
        <v>49855</v>
      </c>
      <c r="Q115" s="292">
        <v>51073</v>
      </c>
      <c r="R115" s="292">
        <v>51650</v>
      </c>
      <c r="S115" s="292">
        <v>52349</v>
      </c>
      <c r="T115" s="292">
        <v>52796</v>
      </c>
      <c r="U115" s="292">
        <v>52486</v>
      </c>
      <c r="V115" s="292">
        <v>51654</v>
      </c>
      <c r="W115" s="292">
        <v>52331</v>
      </c>
      <c r="X115" s="292">
        <v>52861</v>
      </c>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row>
    <row r="116" spans="2:54">
      <c r="B116" s="72" t="s">
        <v>624</v>
      </c>
      <c r="C116" s="72" t="s">
        <v>625</v>
      </c>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row>
    <row r="117" spans="2:54">
      <c r="B117" s="72" t="s">
        <v>626</v>
      </c>
      <c r="C117" s="72" t="s">
        <v>627</v>
      </c>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row>
    <row r="118" spans="2:54">
      <c r="B118" s="72" t="s">
        <v>628</v>
      </c>
      <c r="C118" s="72" t="s">
        <v>629</v>
      </c>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row>
    <row r="119" spans="2:54">
      <c r="B119" s="72" t="s">
        <v>630</v>
      </c>
      <c r="C119" s="72" t="s">
        <v>631</v>
      </c>
      <c r="D119" s="292">
        <v>12488</v>
      </c>
      <c r="E119" s="292">
        <v>8733</v>
      </c>
      <c r="F119" s="292">
        <v>6831</v>
      </c>
      <c r="G119" s="292">
        <v>6272</v>
      </c>
      <c r="H119" s="292">
        <v>6512</v>
      </c>
      <c r="I119" s="292">
        <v>7057</v>
      </c>
      <c r="J119" s="292">
        <v>7783</v>
      </c>
      <c r="K119" s="292">
        <v>8564</v>
      </c>
      <c r="L119" s="292">
        <v>8988</v>
      </c>
      <c r="M119" s="292">
        <v>8441</v>
      </c>
      <c r="N119" s="292">
        <v>8656</v>
      </c>
      <c r="O119" s="292">
        <v>9321</v>
      </c>
      <c r="P119" s="292">
        <v>10491</v>
      </c>
      <c r="Q119" s="292">
        <v>11303</v>
      </c>
      <c r="R119" s="292">
        <v>12662</v>
      </c>
      <c r="S119" s="292">
        <v>13828</v>
      </c>
      <c r="T119" s="292">
        <v>15926</v>
      </c>
      <c r="U119" s="292">
        <v>17336</v>
      </c>
      <c r="V119" s="292">
        <v>16136</v>
      </c>
      <c r="W119" s="292">
        <v>17110</v>
      </c>
      <c r="X119" s="292">
        <v>18039</v>
      </c>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row>
    <row r="120" spans="2:54">
      <c r="B120" s="72" t="s">
        <v>632</v>
      </c>
      <c r="C120" s="72" t="s">
        <v>633</v>
      </c>
      <c r="D120" s="292">
        <v>35256</v>
      </c>
      <c r="E120" s="292">
        <v>36428</v>
      </c>
      <c r="F120" s="292">
        <v>36530</v>
      </c>
      <c r="G120" s="292">
        <v>37460</v>
      </c>
      <c r="H120" s="292">
        <v>37952</v>
      </c>
      <c r="I120" s="292">
        <v>38283</v>
      </c>
      <c r="J120" s="292">
        <v>39006</v>
      </c>
      <c r="K120" s="292">
        <v>39282</v>
      </c>
      <c r="L120" s="292">
        <v>39425</v>
      </c>
      <c r="M120" s="292">
        <v>39949</v>
      </c>
      <c r="N120" s="292">
        <v>40448</v>
      </c>
      <c r="O120" s="292">
        <v>40687</v>
      </c>
      <c r="P120" s="292">
        <v>40887</v>
      </c>
      <c r="Q120" s="292">
        <v>41239</v>
      </c>
      <c r="R120" s="292">
        <v>41583</v>
      </c>
      <c r="S120" s="292">
        <v>42884</v>
      </c>
      <c r="T120" s="292">
        <v>43547</v>
      </c>
      <c r="U120" s="292">
        <v>43486</v>
      </c>
      <c r="V120" s="292">
        <v>41239</v>
      </c>
      <c r="W120" s="292">
        <v>42560</v>
      </c>
      <c r="X120" s="292">
        <v>43276</v>
      </c>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row>
    <row r="121" spans="2:54">
      <c r="B121" s="72" t="s">
        <v>634</v>
      </c>
      <c r="C121" s="72" t="s">
        <v>635</v>
      </c>
      <c r="D121" s="292">
        <v>2813</v>
      </c>
      <c r="E121" s="292">
        <v>2833</v>
      </c>
      <c r="F121" s="292">
        <v>2854</v>
      </c>
      <c r="G121" s="292">
        <v>2843</v>
      </c>
      <c r="H121" s="292">
        <v>2851</v>
      </c>
      <c r="I121" s="292">
        <v>2875</v>
      </c>
      <c r="J121" s="292">
        <v>2921</v>
      </c>
      <c r="K121" s="292">
        <v>2965</v>
      </c>
      <c r="L121" s="292">
        <v>2999</v>
      </c>
      <c r="M121" s="292">
        <v>3018</v>
      </c>
      <c r="N121" s="292">
        <v>3063</v>
      </c>
      <c r="O121" s="292">
        <v>3114</v>
      </c>
      <c r="P121" s="292">
        <v>3179</v>
      </c>
      <c r="Q121" s="292">
        <v>3257</v>
      </c>
      <c r="R121" s="292">
        <v>3356</v>
      </c>
      <c r="S121" s="292">
        <v>3463</v>
      </c>
      <c r="T121" s="292">
        <v>3590</v>
      </c>
      <c r="U121" s="292">
        <v>3787</v>
      </c>
      <c r="V121" s="292">
        <v>3822</v>
      </c>
      <c r="W121" s="292">
        <v>4014</v>
      </c>
      <c r="X121" s="292">
        <v>4448</v>
      </c>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row>
    <row r="122" spans="2:54">
      <c r="B122" s="72" t="s">
        <v>636</v>
      </c>
      <c r="C122" s="72" t="s">
        <v>637</v>
      </c>
      <c r="D122" s="292">
        <v>26586</v>
      </c>
      <c r="E122" s="292">
        <v>26392</v>
      </c>
      <c r="F122" s="292">
        <v>25756</v>
      </c>
      <c r="G122" s="292">
        <v>25789</v>
      </c>
      <c r="H122" s="292">
        <v>26096</v>
      </c>
      <c r="I122" s="292">
        <v>26813</v>
      </c>
      <c r="J122" s="292">
        <v>27928</v>
      </c>
      <c r="K122" s="292">
        <v>28040</v>
      </c>
      <c r="L122" s="292">
        <v>28902</v>
      </c>
      <c r="M122" s="292">
        <v>30053</v>
      </c>
      <c r="N122" s="292">
        <v>31275</v>
      </c>
      <c r="O122" s="292">
        <v>31638</v>
      </c>
      <c r="P122" s="292">
        <v>33127</v>
      </c>
      <c r="Q122" s="292">
        <v>33759</v>
      </c>
      <c r="R122" s="292">
        <v>33522</v>
      </c>
      <c r="S122" s="292">
        <v>34740</v>
      </c>
      <c r="T122" s="292">
        <v>35227</v>
      </c>
      <c r="U122" s="292">
        <v>34908</v>
      </c>
      <c r="V122" s="292">
        <v>33855</v>
      </c>
      <c r="W122" s="292">
        <v>33294</v>
      </c>
      <c r="X122" s="292">
        <v>33366</v>
      </c>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row>
    <row r="123" spans="2:54">
      <c r="B123" s="72" t="s">
        <v>638</v>
      </c>
      <c r="C123" s="72" t="s">
        <v>639</v>
      </c>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row>
    <row r="124" spans="2:54">
      <c r="B124" s="72" t="s">
        <v>640</v>
      </c>
      <c r="C124" s="72" t="s">
        <v>641</v>
      </c>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row>
    <row r="125" spans="2:54">
      <c r="B125" s="72" t="s">
        <v>642</v>
      </c>
      <c r="C125" s="72" t="s">
        <v>643</v>
      </c>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row>
    <row r="126" spans="2:54">
      <c r="B126" s="72" t="s">
        <v>644</v>
      </c>
      <c r="C126" s="72" t="s">
        <v>645</v>
      </c>
      <c r="D126" s="292">
        <v>11774</v>
      </c>
      <c r="E126" s="292">
        <v>11918</v>
      </c>
      <c r="F126" s="292">
        <v>12023</v>
      </c>
      <c r="G126" s="292">
        <v>11915</v>
      </c>
      <c r="H126" s="292">
        <v>12215</v>
      </c>
      <c r="I126" s="292">
        <v>12385</v>
      </c>
      <c r="J126" s="292">
        <v>12545</v>
      </c>
      <c r="K126" s="292">
        <v>12623</v>
      </c>
      <c r="L126" s="292">
        <v>12736</v>
      </c>
      <c r="M126" s="292">
        <v>12820</v>
      </c>
      <c r="N126" s="292">
        <v>12696</v>
      </c>
      <c r="O126" s="292">
        <v>12671</v>
      </c>
      <c r="P126" s="292">
        <v>12612</v>
      </c>
      <c r="Q126" s="292">
        <v>13169</v>
      </c>
      <c r="R126" s="292">
        <v>13150</v>
      </c>
      <c r="S126" s="292">
        <v>13401</v>
      </c>
      <c r="T126" s="292">
        <v>13739</v>
      </c>
      <c r="U126" s="292">
        <v>14192</v>
      </c>
      <c r="V126" s="292">
        <v>13851</v>
      </c>
      <c r="W126" s="292">
        <v>13794</v>
      </c>
      <c r="X126" s="292">
        <v>13761</v>
      </c>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row>
    <row r="127" spans="2:54">
      <c r="B127" s="72" t="s">
        <v>646</v>
      </c>
      <c r="C127" s="72" t="s">
        <v>647</v>
      </c>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row>
    <row r="128" spans="2:54">
      <c r="B128" s="72" t="s">
        <v>648</v>
      </c>
      <c r="C128" s="72" t="s">
        <v>649</v>
      </c>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row>
    <row r="129" spans="2:54">
      <c r="B129" s="72" t="s">
        <v>650</v>
      </c>
      <c r="C129" s="72" t="s">
        <v>651</v>
      </c>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row>
    <row r="130" spans="2:54">
      <c r="B130" s="72" t="s">
        <v>652</v>
      </c>
      <c r="C130" s="72" t="s">
        <v>653</v>
      </c>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row>
    <row r="131" spans="2:54">
      <c r="B131" s="72" t="s">
        <v>654</v>
      </c>
      <c r="C131" s="72" t="s">
        <v>338</v>
      </c>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row>
    <row r="132" spans="2:54">
      <c r="B132" s="72" t="s">
        <v>655</v>
      </c>
      <c r="C132" s="72" t="s">
        <v>337</v>
      </c>
      <c r="D132" s="292">
        <v>38296</v>
      </c>
      <c r="E132" s="292">
        <v>40872</v>
      </c>
      <c r="F132" s="292">
        <v>42357</v>
      </c>
      <c r="G132" s="292">
        <v>43762</v>
      </c>
      <c r="H132" s="292">
        <v>44271</v>
      </c>
      <c r="I132" s="292">
        <v>43605</v>
      </c>
      <c r="J132" s="292">
        <v>44521</v>
      </c>
      <c r="K132" s="292">
        <v>42408</v>
      </c>
      <c r="L132" s="292">
        <v>43649</v>
      </c>
      <c r="M132" s="292">
        <v>45741</v>
      </c>
      <c r="N132" s="292">
        <v>45326</v>
      </c>
      <c r="O132" s="292">
        <v>46636</v>
      </c>
      <c r="P132" s="292">
        <v>48454</v>
      </c>
      <c r="Q132" s="292">
        <v>51241</v>
      </c>
      <c r="R132" s="292">
        <v>53841</v>
      </c>
      <c r="S132" s="292">
        <v>56522</v>
      </c>
      <c r="T132" s="292">
        <v>58707</v>
      </c>
      <c r="U132" s="292">
        <v>59460</v>
      </c>
      <c r="V132" s="292">
        <v>58503</v>
      </c>
      <c r="W132" s="292">
        <v>62415</v>
      </c>
      <c r="X132" s="292">
        <v>65798</v>
      </c>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row>
    <row r="133" spans="2:54">
      <c r="B133" s="72" t="s">
        <v>656</v>
      </c>
      <c r="C133" s="72" t="s">
        <v>657</v>
      </c>
      <c r="D133" s="292">
        <v>11821</v>
      </c>
      <c r="E133" s="292">
        <v>12646</v>
      </c>
      <c r="F133" s="292">
        <v>13550</v>
      </c>
      <c r="G133" s="292">
        <v>14412</v>
      </c>
      <c r="H133" s="292">
        <v>14763</v>
      </c>
      <c r="I133" s="292">
        <v>14770</v>
      </c>
      <c r="J133" s="292">
        <v>15247</v>
      </c>
      <c r="K133" s="292">
        <v>15595</v>
      </c>
      <c r="L133" s="292">
        <v>15666</v>
      </c>
      <c r="M133" s="292">
        <v>16167</v>
      </c>
      <c r="N133" s="292">
        <v>16842</v>
      </c>
      <c r="O133" s="292">
        <v>17634</v>
      </c>
      <c r="P133" s="292">
        <v>18299</v>
      </c>
      <c r="Q133" s="292">
        <v>19457</v>
      </c>
      <c r="R133" s="292">
        <v>20277</v>
      </c>
      <c r="S133" s="292">
        <v>20938</v>
      </c>
      <c r="T133" s="292">
        <v>21025</v>
      </c>
      <c r="U133" s="292">
        <v>21488</v>
      </c>
      <c r="V133" s="292">
        <v>20612</v>
      </c>
      <c r="W133" s="292">
        <v>20831</v>
      </c>
      <c r="X133" s="292">
        <v>20889</v>
      </c>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row>
    <row r="134" spans="2:54">
      <c r="B134" s="72" t="s">
        <v>658</v>
      </c>
      <c r="C134" s="72" t="s">
        <v>659</v>
      </c>
      <c r="D134" s="292">
        <v>33501</v>
      </c>
      <c r="E134" s="292">
        <v>32371</v>
      </c>
      <c r="F134" s="292">
        <v>32868</v>
      </c>
      <c r="G134" s="292">
        <v>33782</v>
      </c>
      <c r="H134" s="292">
        <v>32797</v>
      </c>
      <c r="I134" s="292">
        <v>34358</v>
      </c>
      <c r="J134" s="292">
        <v>36046</v>
      </c>
      <c r="K134" s="292">
        <v>36799</v>
      </c>
      <c r="L134" s="292">
        <v>36956</v>
      </c>
      <c r="M134" s="292">
        <v>37790</v>
      </c>
      <c r="N134" s="292">
        <v>38630</v>
      </c>
      <c r="O134" s="292">
        <v>39252</v>
      </c>
      <c r="P134" s="292">
        <v>40156</v>
      </c>
      <c r="Q134" s="292">
        <v>43497</v>
      </c>
      <c r="R134" s="292">
        <v>45167</v>
      </c>
      <c r="S134" s="292">
        <v>44979</v>
      </c>
      <c r="T134" s="292">
        <v>45626</v>
      </c>
      <c r="U134" s="292">
        <v>45843</v>
      </c>
      <c r="V134" s="292">
        <v>45538</v>
      </c>
      <c r="W134" s="292">
        <v>43847</v>
      </c>
      <c r="X134" s="292">
        <v>44647</v>
      </c>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row>
    <row r="135" spans="2:54">
      <c r="B135" s="72" t="s">
        <v>660</v>
      </c>
      <c r="C135" s="72" t="s">
        <v>332</v>
      </c>
      <c r="D135" s="292">
        <v>3498</v>
      </c>
      <c r="E135" s="292">
        <v>3600</v>
      </c>
      <c r="F135" s="292">
        <v>3717</v>
      </c>
      <c r="G135" s="292">
        <v>3888</v>
      </c>
      <c r="H135" s="292">
        <v>4111</v>
      </c>
      <c r="I135" s="292">
        <v>4374</v>
      </c>
      <c r="J135" s="292">
        <v>4496</v>
      </c>
      <c r="K135" s="292">
        <v>4727</v>
      </c>
      <c r="L135" s="292">
        <v>4958</v>
      </c>
      <c r="M135" s="292">
        <v>5063</v>
      </c>
      <c r="N135" s="292">
        <v>5227</v>
      </c>
      <c r="O135" s="292">
        <v>5295</v>
      </c>
      <c r="P135" s="292">
        <v>5606</v>
      </c>
      <c r="Q135" s="292">
        <v>5881</v>
      </c>
      <c r="R135" s="292">
        <v>6285</v>
      </c>
      <c r="S135" s="292">
        <v>6720</v>
      </c>
      <c r="T135" s="292">
        <v>7170</v>
      </c>
      <c r="U135" s="292">
        <v>7521</v>
      </c>
      <c r="V135" s="292">
        <v>7990</v>
      </c>
      <c r="W135" s="292">
        <v>8496</v>
      </c>
      <c r="X135" s="292">
        <v>8939</v>
      </c>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row>
    <row r="136" spans="2:54">
      <c r="B136" s="72" t="s">
        <v>661</v>
      </c>
      <c r="C136" s="72" t="s">
        <v>662</v>
      </c>
      <c r="D136" s="292">
        <v>6427</v>
      </c>
      <c r="E136" s="292">
        <v>6707</v>
      </c>
      <c r="F136" s="292">
        <v>7131</v>
      </c>
      <c r="G136" s="292">
        <v>7404</v>
      </c>
      <c r="H136" s="292">
        <v>8205</v>
      </c>
      <c r="I136" s="292">
        <v>8270</v>
      </c>
      <c r="J136" s="292">
        <v>8688</v>
      </c>
      <c r="K136" s="292">
        <v>7353</v>
      </c>
      <c r="L136" s="292">
        <v>7315</v>
      </c>
      <c r="M136" s="292">
        <v>7588</v>
      </c>
      <c r="N136" s="292">
        <v>7780</v>
      </c>
      <c r="O136" s="292">
        <v>8056</v>
      </c>
      <c r="P136" s="292">
        <v>8335</v>
      </c>
      <c r="Q136" s="292">
        <v>8670</v>
      </c>
      <c r="R136" s="292">
        <v>9140</v>
      </c>
      <c r="S136" s="292">
        <v>9491</v>
      </c>
      <c r="T136" s="292">
        <v>9642</v>
      </c>
      <c r="U136" s="292">
        <v>9960</v>
      </c>
      <c r="V136" s="292">
        <v>10186</v>
      </c>
      <c r="W136" s="292">
        <v>10474</v>
      </c>
      <c r="X136" s="292">
        <v>11037</v>
      </c>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row>
    <row r="137" spans="2:54">
      <c r="B137" s="72" t="s">
        <v>663</v>
      </c>
      <c r="C137" s="72" t="s">
        <v>664</v>
      </c>
      <c r="D137" s="292">
        <v>14168</v>
      </c>
      <c r="E137" s="292">
        <v>14430</v>
      </c>
      <c r="F137" s="292">
        <v>13869</v>
      </c>
      <c r="G137" s="292">
        <v>13461</v>
      </c>
      <c r="H137" s="292">
        <v>13380</v>
      </c>
      <c r="I137" s="292">
        <v>13825</v>
      </c>
      <c r="J137" s="292">
        <v>13700</v>
      </c>
      <c r="K137" s="292">
        <v>13466</v>
      </c>
      <c r="L137" s="292">
        <v>13095</v>
      </c>
      <c r="M137" s="292">
        <v>13160</v>
      </c>
      <c r="N137" s="292">
        <v>13016</v>
      </c>
      <c r="O137" s="292">
        <v>13325</v>
      </c>
      <c r="P137" s="292">
        <v>13660</v>
      </c>
      <c r="Q137" s="292">
        <v>13759</v>
      </c>
      <c r="R137" s="292">
        <v>13845</v>
      </c>
      <c r="S137" s="292">
        <v>14406</v>
      </c>
      <c r="T137" s="292">
        <v>15734</v>
      </c>
      <c r="U137" s="292">
        <v>15806</v>
      </c>
      <c r="V137" s="292">
        <v>15580</v>
      </c>
      <c r="W137" s="292">
        <v>15780</v>
      </c>
      <c r="X137" s="292">
        <v>15915</v>
      </c>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row>
    <row r="138" spans="2:54">
      <c r="B138" s="72" t="s">
        <v>665</v>
      </c>
      <c r="C138" s="72" t="s">
        <v>666</v>
      </c>
      <c r="D138" s="292">
        <v>3918</v>
      </c>
      <c r="E138" s="292">
        <v>4902</v>
      </c>
      <c r="F138" s="292">
        <v>4733</v>
      </c>
      <c r="G138" s="292">
        <v>4343</v>
      </c>
      <c r="H138" s="292">
        <v>3828</v>
      </c>
      <c r="I138" s="292">
        <v>4159</v>
      </c>
      <c r="J138" s="292">
        <v>3861</v>
      </c>
      <c r="K138" s="292">
        <v>4291</v>
      </c>
      <c r="L138" s="292">
        <v>4494</v>
      </c>
      <c r="M138" s="292">
        <v>4843</v>
      </c>
      <c r="N138" s="292">
        <v>5143</v>
      </c>
      <c r="O138" s="292">
        <v>5366</v>
      </c>
      <c r="P138" s="292">
        <v>4093</v>
      </c>
      <c r="Q138" s="292">
        <v>6097</v>
      </c>
      <c r="R138" s="292">
        <v>5903</v>
      </c>
      <c r="S138" s="292">
        <v>6086</v>
      </c>
      <c r="T138" s="292">
        <v>5994</v>
      </c>
      <c r="U138" s="292">
        <v>6380</v>
      </c>
      <c r="V138" s="292">
        <v>6457</v>
      </c>
      <c r="W138" s="292">
        <v>6315</v>
      </c>
      <c r="X138" s="292">
        <v>6715</v>
      </c>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row>
    <row r="139" spans="2:54">
      <c r="B139" s="72" t="s">
        <v>667</v>
      </c>
      <c r="C139" s="72" t="s">
        <v>668</v>
      </c>
      <c r="D139" s="292">
        <v>36070</v>
      </c>
      <c r="E139" s="292">
        <v>37145</v>
      </c>
      <c r="F139" s="292">
        <v>37580</v>
      </c>
      <c r="G139" s="292">
        <v>38545</v>
      </c>
      <c r="H139" s="292">
        <v>40475</v>
      </c>
      <c r="I139" s="292">
        <v>42045</v>
      </c>
      <c r="J139" s="292">
        <v>44169</v>
      </c>
      <c r="K139" s="292">
        <v>43900</v>
      </c>
      <c r="L139" s="292">
        <v>45320</v>
      </c>
      <c r="M139" s="292">
        <v>47393</v>
      </c>
      <c r="N139" s="292">
        <v>48165</v>
      </c>
      <c r="O139" s="292">
        <v>50204</v>
      </c>
      <c r="P139" s="292">
        <v>51338</v>
      </c>
      <c r="Q139" s="292">
        <v>51894</v>
      </c>
      <c r="R139" s="292">
        <v>52105</v>
      </c>
      <c r="S139" s="292">
        <v>52576</v>
      </c>
      <c r="T139" s="292">
        <v>53357</v>
      </c>
      <c r="U139" s="292">
        <v>52324</v>
      </c>
      <c r="V139" s="292">
        <v>52972</v>
      </c>
      <c r="W139" s="292">
        <v>55068</v>
      </c>
      <c r="X139" s="292">
        <v>56749</v>
      </c>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row>
    <row r="140" spans="2:54">
      <c r="B140" s="72" t="s">
        <v>669</v>
      </c>
      <c r="C140" s="72" t="s">
        <v>670</v>
      </c>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row>
    <row r="141" spans="2:54">
      <c r="B141" s="72" t="s">
        <v>671</v>
      </c>
      <c r="C141" s="72" t="s">
        <v>672</v>
      </c>
      <c r="D141" s="292">
        <v>35294</v>
      </c>
      <c r="E141" s="292">
        <v>36272</v>
      </c>
      <c r="F141" s="292">
        <v>36048</v>
      </c>
      <c r="G141" s="292">
        <v>37094</v>
      </c>
      <c r="H141" s="292">
        <v>38317</v>
      </c>
      <c r="I141" s="292">
        <v>38751</v>
      </c>
      <c r="J141" s="292">
        <v>38906</v>
      </c>
      <c r="K141" s="292">
        <v>39101</v>
      </c>
      <c r="L141" s="292">
        <v>39066</v>
      </c>
      <c r="M141" s="292">
        <v>41216</v>
      </c>
      <c r="N141" s="292">
        <v>40494</v>
      </c>
      <c r="O141" s="292">
        <v>40101</v>
      </c>
      <c r="P141" s="292">
        <v>40386</v>
      </c>
      <c r="Q141" s="292">
        <v>41430</v>
      </c>
      <c r="R141" s="292">
        <v>41914</v>
      </c>
      <c r="S141" s="292">
        <v>42899</v>
      </c>
      <c r="T141" s="292">
        <v>43179</v>
      </c>
      <c r="U141" s="292">
        <v>43107</v>
      </c>
      <c r="V141" s="292">
        <v>43141</v>
      </c>
      <c r="W141" s="292">
        <v>43703</v>
      </c>
      <c r="X141" s="292">
        <v>44366</v>
      </c>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row>
    <row r="142" spans="2:54">
      <c r="B142" s="72" t="s">
        <v>673</v>
      </c>
      <c r="C142" s="72" t="s">
        <v>674</v>
      </c>
      <c r="D142" s="292">
        <v>40806</v>
      </c>
      <c r="E142" s="292">
        <v>41422</v>
      </c>
      <c r="F142" s="292">
        <v>42187</v>
      </c>
      <c r="G142" s="292">
        <v>43816</v>
      </c>
      <c r="H142" s="292">
        <v>45145</v>
      </c>
      <c r="I142" s="292">
        <v>45381</v>
      </c>
      <c r="J142" s="292">
        <v>46084</v>
      </c>
      <c r="K142" s="292">
        <v>46275</v>
      </c>
      <c r="L142" s="292">
        <v>46447</v>
      </c>
      <c r="M142" s="292">
        <v>47247</v>
      </c>
      <c r="N142" s="292">
        <v>47152</v>
      </c>
      <c r="O142" s="292">
        <v>46570</v>
      </c>
      <c r="P142" s="292">
        <v>45875</v>
      </c>
      <c r="Q142" s="292">
        <v>46375</v>
      </c>
      <c r="R142" s="292">
        <v>46411</v>
      </c>
      <c r="S142" s="292">
        <v>46445</v>
      </c>
      <c r="T142" s="292">
        <v>46547</v>
      </c>
      <c r="U142" s="292">
        <v>45807</v>
      </c>
      <c r="V142" s="292">
        <v>44144</v>
      </c>
      <c r="W142" s="292">
        <v>45047</v>
      </c>
      <c r="X142" s="292">
        <v>45170</v>
      </c>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row>
    <row r="143" spans="2:54">
      <c r="B143" s="72" t="s">
        <v>675</v>
      </c>
      <c r="C143" s="72" t="s">
        <v>676</v>
      </c>
      <c r="D143" s="292">
        <v>9928</v>
      </c>
      <c r="E143" s="292">
        <v>10062</v>
      </c>
      <c r="F143" s="292">
        <v>10253</v>
      </c>
      <c r="G143" s="292">
        <v>10156</v>
      </c>
      <c r="H143" s="292">
        <v>9974</v>
      </c>
      <c r="I143" s="292">
        <v>10026</v>
      </c>
      <c r="J143" s="292">
        <v>9964</v>
      </c>
      <c r="K143" s="292">
        <v>9862</v>
      </c>
      <c r="L143" s="292">
        <v>10146</v>
      </c>
      <c r="M143" s="292">
        <v>10229</v>
      </c>
      <c r="N143" s="292">
        <v>10293</v>
      </c>
      <c r="O143" s="292">
        <v>9546</v>
      </c>
      <c r="P143" s="292">
        <v>9593</v>
      </c>
      <c r="Q143" s="292">
        <v>9712</v>
      </c>
      <c r="R143" s="292">
        <v>9513</v>
      </c>
      <c r="S143" s="292">
        <v>9444</v>
      </c>
      <c r="T143" s="292">
        <v>9252</v>
      </c>
      <c r="U143" s="292">
        <v>9183</v>
      </c>
      <c r="V143" s="292">
        <v>8947</v>
      </c>
      <c r="W143" s="292">
        <v>8686</v>
      </c>
      <c r="X143" s="292">
        <v>8668</v>
      </c>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row>
    <row r="144" spans="2:54">
      <c r="B144" s="72" t="s">
        <v>677</v>
      </c>
      <c r="C144" s="72" t="s">
        <v>678</v>
      </c>
      <c r="D144" s="292">
        <v>36630</v>
      </c>
      <c r="E144" s="292">
        <v>36518</v>
      </c>
      <c r="F144" s="292">
        <v>36442</v>
      </c>
      <c r="G144" s="292">
        <v>36716</v>
      </c>
      <c r="H144" s="292">
        <v>37378</v>
      </c>
      <c r="I144" s="292">
        <v>38194</v>
      </c>
      <c r="J144" s="292">
        <v>38535</v>
      </c>
      <c r="K144" s="292">
        <v>38214</v>
      </c>
      <c r="L144" s="292">
        <v>38670</v>
      </c>
      <c r="M144" s="292">
        <v>39790</v>
      </c>
      <c r="N144" s="292">
        <v>40236</v>
      </c>
      <c r="O144" s="292">
        <v>40994</v>
      </c>
      <c r="P144" s="292">
        <v>41822</v>
      </c>
      <c r="Q144" s="292">
        <v>42717</v>
      </c>
      <c r="R144" s="292">
        <v>43109</v>
      </c>
      <c r="S144" s="292">
        <v>43648</v>
      </c>
      <c r="T144" s="292">
        <v>44439</v>
      </c>
      <c r="U144" s="292">
        <v>44131</v>
      </c>
      <c r="V144" s="292">
        <v>42375</v>
      </c>
      <c r="W144" s="292">
        <v>44702</v>
      </c>
      <c r="X144" s="292">
        <v>44567</v>
      </c>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row>
    <row r="145" spans="2:54">
      <c r="B145" s="72" t="s">
        <v>679</v>
      </c>
      <c r="C145" s="72" t="s">
        <v>680</v>
      </c>
      <c r="D145" s="292">
        <v>14211</v>
      </c>
      <c r="E145" s="292">
        <v>14886</v>
      </c>
      <c r="F145" s="292">
        <v>14157</v>
      </c>
      <c r="G145" s="292">
        <v>13763</v>
      </c>
      <c r="H145" s="292">
        <v>13814</v>
      </c>
      <c r="I145" s="292">
        <v>13433</v>
      </c>
      <c r="J145" s="292">
        <v>13384</v>
      </c>
      <c r="K145" s="292">
        <v>13319</v>
      </c>
      <c r="L145" s="292">
        <v>13537</v>
      </c>
      <c r="M145" s="292">
        <v>13714</v>
      </c>
      <c r="N145" s="292">
        <v>13977</v>
      </c>
      <c r="O145" s="292">
        <v>14376</v>
      </c>
      <c r="P145" s="292">
        <v>14465</v>
      </c>
      <c r="Q145" s="292">
        <v>15220</v>
      </c>
      <c r="R145" s="292">
        <v>15985</v>
      </c>
      <c r="S145" s="292">
        <v>16864</v>
      </c>
      <c r="T145" s="292">
        <v>17773</v>
      </c>
      <c r="U145" s="292">
        <v>18594</v>
      </c>
      <c r="V145" s="292">
        <v>19430</v>
      </c>
      <c r="W145" s="292">
        <v>19360</v>
      </c>
      <c r="X145" s="292">
        <v>19443</v>
      </c>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row>
    <row r="146" spans="2:54">
      <c r="B146" s="72" t="s">
        <v>681</v>
      </c>
      <c r="C146" s="72" t="s">
        <v>682</v>
      </c>
      <c r="D146" s="292">
        <v>14106</v>
      </c>
      <c r="E146" s="292">
        <v>13602</v>
      </c>
      <c r="F146" s="292">
        <v>13441</v>
      </c>
      <c r="G146" s="292">
        <v>12428</v>
      </c>
      <c r="H146" s="292">
        <v>11462</v>
      </c>
      <c r="I146" s="292">
        <v>11575</v>
      </c>
      <c r="J146" s="292">
        <v>11862</v>
      </c>
      <c r="K146" s="292">
        <v>11820</v>
      </c>
      <c r="L146" s="292">
        <v>12655</v>
      </c>
      <c r="M146" s="292">
        <v>13694</v>
      </c>
      <c r="N146" s="292">
        <v>14387</v>
      </c>
      <c r="O146" s="292">
        <v>15771</v>
      </c>
      <c r="P146" s="292">
        <v>16557</v>
      </c>
      <c r="Q146" s="292">
        <v>17648</v>
      </c>
      <c r="R146" s="292">
        <v>19150</v>
      </c>
      <c r="S146" s="292">
        <v>20800</v>
      </c>
      <c r="T146" s="292">
        <v>21966</v>
      </c>
      <c r="U146" s="292">
        <v>22082</v>
      </c>
      <c r="V146" s="292">
        <v>22181</v>
      </c>
      <c r="W146" s="292">
        <v>23106</v>
      </c>
      <c r="X146" s="292">
        <v>24271</v>
      </c>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row>
    <row r="147" spans="2:54">
      <c r="B147" s="72" t="s">
        <v>683</v>
      </c>
      <c r="C147" s="72" t="s">
        <v>684</v>
      </c>
      <c r="D147" s="292">
        <v>2581</v>
      </c>
      <c r="E147" s="292">
        <v>2451</v>
      </c>
      <c r="F147" s="292">
        <v>2348</v>
      </c>
      <c r="G147" s="292">
        <v>2315</v>
      </c>
      <c r="H147" s="292">
        <v>2326</v>
      </c>
      <c r="I147" s="292">
        <v>2335</v>
      </c>
      <c r="J147" s="292">
        <v>2263</v>
      </c>
      <c r="K147" s="292">
        <v>2263</v>
      </c>
      <c r="L147" s="292">
        <v>2245</v>
      </c>
      <c r="M147" s="292">
        <v>2182</v>
      </c>
      <c r="N147" s="292">
        <v>2211</v>
      </c>
      <c r="O147" s="292">
        <v>2144</v>
      </c>
      <c r="P147" s="292">
        <v>2134</v>
      </c>
      <c r="Q147" s="292">
        <v>2165</v>
      </c>
      <c r="R147" s="292">
        <v>2228</v>
      </c>
      <c r="S147" s="292">
        <v>2300</v>
      </c>
      <c r="T147" s="292">
        <v>2396</v>
      </c>
      <c r="U147" s="292">
        <v>2367</v>
      </c>
      <c r="V147" s="292">
        <v>2358</v>
      </c>
      <c r="W147" s="292">
        <v>2422</v>
      </c>
      <c r="X147" s="292">
        <v>2482</v>
      </c>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row>
    <row r="148" spans="2:54">
      <c r="B148" s="72" t="s">
        <v>685</v>
      </c>
      <c r="C148" s="72" t="s">
        <v>686</v>
      </c>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row>
    <row r="149" spans="2:54">
      <c r="B149" s="72" t="s">
        <v>687</v>
      </c>
      <c r="C149" s="72" t="s">
        <v>688</v>
      </c>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row>
    <row r="150" spans="2:54">
      <c r="B150" s="72" t="s">
        <v>689</v>
      </c>
      <c r="C150" s="72" t="s">
        <v>690</v>
      </c>
      <c r="D150" s="292">
        <v>21983</v>
      </c>
      <c r="E150" s="292">
        <v>22807</v>
      </c>
      <c r="F150" s="292">
        <v>23966</v>
      </c>
      <c r="G150" s="292">
        <v>25255</v>
      </c>
      <c r="H150" s="292">
        <v>26745</v>
      </c>
      <c r="I150" s="292">
        <v>28060</v>
      </c>
      <c r="J150" s="292">
        <v>29170</v>
      </c>
      <c r="K150" s="292">
        <v>29272</v>
      </c>
      <c r="L150" s="292">
        <v>31845</v>
      </c>
      <c r="M150" s="292">
        <v>33234</v>
      </c>
      <c r="N150" s="292">
        <v>33881</v>
      </c>
      <c r="O150" s="292">
        <v>35330</v>
      </c>
      <c r="P150" s="292">
        <v>36378</v>
      </c>
      <c r="Q150" s="292">
        <v>37355</v>
      </c>
      <c r="R150" s="292">
        <v>38324</v>
      </c>
      <c r="S150" s="292">
        <v>39787</v>
      </c>
      <c r="T150" s="292">
        <v>41307</v>
      </c>
      <c r="U150" s="292">
        <v>41999</v>
      </c>
      <c r="V150" s="292">
        <v>42255</v>
      </c>
      <c r="W150" s="292">
        <v>44251</v>
      </c>
      <c r="X150" s="292">
        <v>45158</v>
      </c>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row>
    <row r="151" spans="2:54">
      <c r="B151" s="72" t="s">
        <v>691</v>
      </c>
      <c r="C151" s="72" t="s">
        <v>692</v>
      </c>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row>
    <row r="152" spans="2:54">
      <c r="B152" s="72" t="s">
        <v>693</v>
      </c>
      <c r="C152" s="72" t="s">
        <v>694</v>
      </c>
      <c r="D152" s="292">
        <v>9068</v>
      </c>
      <c r="E152" s="292">
        <v>8618</v>
      </c>
      <c r="F152" s="292">
        <v>10823</v>
      </c>
      <c r="G152" s="292">
        <v>11069</v>
      </c>
      <c r="H152" s="292">
        <v>10597</v>
      </c>
      <c r="I152" s="292">
        <v>10409</v>
      </c>
      <c r="J152" s="292">
        <v>10222</v>
      </c>
      <c r="K152" s="292">
        <v>10042</v>
      </c>
      <c r="L152" s="292">
        <v>9339</v>
      </c>
      <c r="M152" s="292">
        <v>8912</v>
      </c>
      <c r="N152" s="292">
        <v>8588</v>
      </c>
      <c r="O152" s="292">
        <v>8496</v>
      </c>
      <c r="P152" s="292">
        <v>9621</v>
      </c>
      <c r="Q152" s="292">
        <v>10419</v>
      </c>
      <c r="R152" s="292">
        <v>11191</v>
      </c>
      <c r="S152" s="292">
        <v>11458</v>
      </c>
      <c r="T152" s="292">
        <v>11623</v>
      </c>
      <c r="U152" s="292">
        <v>11896</v>
      </c>
      <c r="V152" s="292">
        <v>10932</v>
      </c>
      <c r="W152" s="292">
        <v>11055</v>
      </c>
      <c r="X152" s="292">
        <v>11440</v>
      </c>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row>
    <row r="153" spans="2:54">
      <c r="B153" s="72" t="s">
        <v>695</v>
      </c>
      <c r="C153" s="72" t="s">
        <v>696</v>
      </c>
      <c r="D153" s="292">
        <v>8294</v>
      </c>
      <c r="E153" s="292">
        <v>6823</v>
      </c>
      <c r="F153" s="292">
        <v>6300</v>
      </c>
      <c r="G153" s="292">
        <v>5145</v>
      </c>
      <c r="H153" s="292">
        <v>4878</v>
      </c>
      <c r="I153" s="292">
        <v>5192</v>
      </c>
      <c r="J153" s="292">
        <v>5578</v>
      </c>
      <c r="K153" s="292">
        <v>5643</v>
      </c>
      <c r="L153" s="292">
        <v>5654</v>
      </c>
      <c r="M153" s="292">
        <v>5948</v>
      </c>
      <c r="N153" s="292">
        <v>6196</v>
      </c>
      <c r="O153" s="292">
        <v>6127</v>
      </c>
      <c r="P153" s="292">
        <v>6137</v>
      </c>
      <c r="Q153" s="292">
        <v>6370</v>
      </c>
      <c r="R153" s="292">
        <v>6096</v>
      </c>
      <c r="S153" s="292">
        <v>6228</v>
      </c>
      <c r="T153" s="292">
        <v>6581</v>
      </c>
      <c r="U153" s="292">
        <v>7032</v>
      </c>
      <c r="V153" s="292">
        <v>7131</v>
      </c>
      <c r="W153" s="292">
        <v>6883</v>
      </c>
      <c r="X153" s="292">
        <v>7216</v>
      </c>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row>
    <row r="154" spans="2:54">
      <c r="B154" s="72" t="s">
        <v>697</v>
      </c>
      <c r="C154" s="72" t="s">
        <v>698</v>
      </c>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row>
    <row r="155" spans="2:54">
      <c r="B155" s="72" t="s">
        <v>699</v>
      </c>
      <c r="C155" s="72" t="s">
        <v>700</v>
      </c>
      <c r="D155" s="292">
        <v>16527</v>
      </c>
      <c r="E155" s="292">
        <v>12111</v>
      </c>
      <c r="F155" s="292">
        <v>11525</v>
      </c>
      <c r="G155" s="292">
        <v>13105</v>
      </c>
      <c r="H155" s="292">
        <v>14708</v>
      </c>
      <c r="I155" s="292">
        <v>15534</v>
      </c>
      <c r="J155" s="292">
        <v>16124</v>
      </c>
      <c r="K155" s="292">
        <v>16947</v>
      </c>
      <c r="L155" s="292">
        <v>17817</v>
      </c>
      <c r="M155" s="292">
        <v>19534</v>
      </c>
      <c r="N155" s="292">
        <v>20719</v>
      </c>
      <c r="O155" s="292">
        <v>21586</v>
      </c>
      <c r="P155" s="292">
        <v>22783</v>
      </c>
      <c r="Q155" s="292">
        <v>24505</v>
      </c>
      <c r="R155" s="292">
        <v>26568</v>
      </c>
      <c r="S155" s="292">
        <v>28143</v>
      </c>
      <c r="T155" s="292">
        <v>29777</v>
      </c>
      <c r="U155" s="292">
        <v>28538</v>
      </c>
      <c r="V155" s="292">
        <v>27037</v>
      </c>
      <c r="W155" s="292">
        <v>28299</v>
      </c>
      <c r="X155" s="292">
        <v>28935</v>
      </c>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row>
    <row r="156" spans="2:54">
      <c r="B156" s="72" t="s">
        <v>701</v>
      </c>
      <c r="C156" s="72" t="s">
        <v>702</v>
      </c>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row>
    <row r="157" spans="2:54">
      <c r="B157" s="72" t="s">
        <v>703</v>
      </c>
      <c r="C157" s="72" t="s">
        <v>704</v>
      </c>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row>
    <row r="158" spans="2:54">
      <c r="B158" s="72" t="s">
        <v>705</v>
      </c>
      <c r="C158" s="72" t="s">
        <v>706</v>
      </c>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row>
    <row r="159" spans="2:54">
      <c r="B159" s="72" t="s">
        <v>707</v>
      </c>
      <c r="C159" s="72" t="s">
        <v>708</v>
      </c>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row>
    <row r="160" spans="2:54">
      <c r="B160" s="72" t="s">
        <v>709</v>
      </c>
      <c r="C160" s="72" t="s">
        <v>710</v>
      </c>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row>
    <row r="161" spans="2:54">
      <c r="B161" s="72" t="s">
        <v>711</v>
      </c>
      <c r="C161" s="72" t="s">
        <v>712</v>
      </c>
      <c r="D161" s="292">
        <v>15911</v>
      </c>
      <c r="E161" s="292">
        <v>12815</v>
      </c>
      <c r="F161" s="292">
        <v>11200</v>
      </c>
      <c r="G161" s="292">
        <v>10729</v>
      </c>
      <c r="H161" s="292">
        <v>12733</v>
      </c>
      <c r="I161" s="292">
        <v>13273</v>
      </c>
      <c r="J161" s="292">
        <v>14179</v>
      </c>
      <c r="K161" s="292">
        <v>15383</v>
      </c>
      <c r="L161" s="292">
        <v>15567</v>
      </c>
      <c r="M161" s="292">
        <v>18211</v>
      </c>
      <c r="N161" s="292">
        <v>20199</v>
      </c>
      <c r="O161" s="292">
        <v>20827</v>
      </c>
      <c r="P161" s="292">
        <v>22467</v>
      </c>
      <c r="Q161" s="292">
        <v>24128</v>
      </c>
      <c r="R161" s="292">
        <v>25379</v>
      </c>
      <c r="S161" s="292">
        <v>26870</v>
      </c>
      <c r="T161" s="292">
        <v>28703</v>
      </c>
      <c r="U161" s="292">
        <v>29734</v>
      </c>
      <c r="V161" s="292">
        <v>27177</v>
      </c>
      <c r="W161" s="292">
        <v>29055</v>
      </c>
      <c r="X161" s="292">
        <v>29778</v>
      </c>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row>
    <row r="162" spans="2:54">
      <c r="B162" s="72" t="s">
        <v>713</v>
      </c>
      <c r="C162" s="72" t="s">
        <v>714</v>
      </c>
      <c r="D162" s="292">
        <v>48984</v>
      </c>
      <c r="E162" s="292">
        <v>48536</v>
      </c>
      <c r="F162" s="292">
        <v>49685</v>
      </c>
      <c r="G162" s="292">
        <v>50233</v>
      </c>
      <c r="H162" s="292">
        <v>49675</v>
      </c>
      <c r="I162" s="292">
        <v>49174</v>
      </c>
      <c r="J162" s="292">
        <v>50540</v>
      </c>
      <c r="K162" s="292">
        <v>51513</v>
      </c>
      <c r="L162" s="292">
        <v>53190</v>
      </c>
      <c r="M162" s="292">
        <v>54642</v>
      </c>
      <c r="N162" s="292">
        <v>53079</v>
      </c>
      <c r="O162" s="292">
        <v>53528</v>
      </c>
      <c r="P162" s="292">
        <v>53390</v>
      </c>
      <c r="Q162" s="292">
        <v>54527</v>
      </c>
      <c r="R162" s="292">
        <v>55863</v>
      </c>
      <c r="S162" s="292">
        <v>56617</v>
      </c>
      <c r="T162" s="292">
        <v>57801</v>
      </c>
      <c r="U162" s="292">
        <v>55599</v>
      </c>
      <c r="V162" s="292">
        <v>52145</v>
      </c>
      <c r="W162" s="292">
        <v>52585</v>
      </c>
      <c r="X162" s="292">
        <v>51938</v>
      </c>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row>
    <row r="163" spans="2:54">
      <c r="B163" s="72" t="s">
        <v>715</v>
      </c>
      <c r="C163" s="72" t="s">
        <v>716</v>
      </c>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row>
    <row r="164" spans="2:54">
      <c r="B164" s="72" t="s">
        <v>717</v>
      </c>
      <c r="C164" s="72" t="s">
        <v>718</v>
      </c>
      <c r="D164" s="292">
        <v>14599</v>
      </c>
      <c r="E164" s="292">
        <v>13628</v>
      </c>
      <c r="F164" s="292">
        <v>12628</v>
      </c>
      <c r="G164" s="292">
        <v>12423</v>
      </c>
      <c r="H164" s="292">
        <v>12275</v>
      </c>
      <c r="I164" s="292">
        <v>12381</v>
      </c>
      <c r="J164" s="292">
        <v>12562</v>
      </c>
      <c r="K164" s="292">
        <v>12552</v>
      </c>
      <c r="L164" s="292">
        <v>13176</v>
      </c>
      <c r="M164" s="292">
        <v>13734</v>
      </c>
      <c r="N164" s="292">
        <v>13335</v>
      </c>
      <c r="O164" s="292">
        <v>13525</v>
      </c>
      <c r="P164" s="292">
        <v>14177</v>
      </c>
      <c r="Q164" s="292">
        <v>15162</v>
      </c>
      <c r="R164" s="292">
        <v>15499</v>
      </c>
      <c r="S164" s="292">
        <v>15775</v>
      </c>
      <c r="T164" s="292">
        <v>16053</v>
      </c>
      <c r="U164" s="292">
        <v>15861</v>
      </c>
      <c r="V164" s="292">
        <v>15327</v>
      </c>
      <c r="W164" s="292">
        <v>15402</v>
      </c>
      <c r="X164" s="292">
        <v>15748</v>
      </c>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row>
    <row r="165" spans="2:54">
      <c r="B165" s="72" t="s">
        <v>719</v>
      </c>
      <c r="C165" s="72" t="s">
        <v>720</v>
      </c>
      <c r="D165" s="292">
        <v>1555</v>
      </c>
      <c r="E165" s="292">
        <v>1524</v>
      </c>
      <c r="F165" s="292">
        <v>1508</v>
      </c>
      <c r="G165" s="292">
        <v>1460</v>
      </c>
      <c r="H165" s="292">
        <v>1441</v>
      </c>
      <c r="I165" s="292">
        <v>1427</v>
      </c>
      <c r="J165" s="292">
        <v>1437</v>
      </c>
      <c r="K165" s="292">
        <v>1450</v>
      </c>
      <c r="L165" s="292">
        <v>1476</v>
      </c>
      <c r="M165" s="292">
        <v>1494</v>
      </c>
      <c r="N165" s="292">
        <v>1537</v>
      </c>
      <c r="O165" s="292">
        <v>1299</v>
      </c>
      <c r="P165" s="292">
        <v>1383</v>
      </c>
      <c r="Q165" s="292">
        <v>1409</v>
      </c>
      <c r="R165" s="292">
        <v>1426</v>
      </c>
      <c r="S165" s="292">
        <v>1449</v>
      </c>
      <c r="T165" s="292">
        <v>1488</v>
      </c>
      <c r="U165" s="292">
        <v>1542</v>
      </c>
      <c r="V165" s="292">
        <v>1433</v>
      </c>
      <c r="W165" s="292">
        <v>1394</v>
      </c>
      <c r="X165" s="292">
        <v>1362</v>
      </c>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row>
    <row r="166" spans="2:54">
      <c r="B166" s="72" t="s">
        <v>721</v>
      </c>
      <c r="C166" s="72" t="s">
        <v>722</v>
      </c>
      <c r="D166" s="292">
        <v>1380</v>
      </c>
      <c r="E166" s="292">
        <v>1260</v>
      </c>
      <c r="F166" s="292">
        <v>1373</v>
      </c>
      <c r="G166" s="292">
        <v>1224</v>
      </c>
      <c r="H166" s="292">
        <v>1377</v>
      </c>
      <c r="I166" s="292">
        <v>1490</v>
      </c>
      <c r="J166" s="292">
        <v>1554</v>
      </c>
      <c r="K166" s="292">
        <v>1533</v>
      </c>
      <c r="L166" s="292">
        <v>1551</v>
      </c>
      <c r="M166" s="292">
        <v>1524</v>
      </c>
      <c r="N166" s="292">
        <v>1423</v>
      </c>
      <c r="O166" s="292">
        <v>1409</v>
      </c>
      <c r="P166" s="292">
        <v>1451</v>
      </c>
      <c r="Q166" s="292">
        <v>1493</v>
      </c>
      <c r="R166" s="292">
        <v>1489</v>
      </c>
      <c r="S166" s="292">
        <v>1482</v>
      </c>
      <c r="T166" s="292">
        <v>1578</v>
      </c>
      <c r="U166" s="292">
        <v>1663</v>
      </c>
      <c r="V166" s="292">
        <v>1756</v>
      </c>
      <c r="W166" s="292">
        <v>1815</v>
      </c>
      <c r="X166" s="292">
        <v>1841</v>
      </c>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row>
    <row r="167" spans="2:54">
      <c r="B167" s="72" t="s">
        <v>723</v>
      </c>
      <c r="C167" s="72" t="s">
        <v>724</v>
      </c>
      <c r="D167" s="292">
        <v>14279</v>
      </c>
      <c r="E167" s="292">
        <v>15098</v>
      </c>
      <c r="F167" s="292">
        <v>15919</v>
      </c>
      <c r="G167" s="292">
        <v>16913</v>
      </c>
      <c r="H167" s="292">
        <v>18473</v>
      </c>
      <c r="I167" s="292">
        <v>18496</v>
      </c>
      <c r="J167" s="292">
        <v>19457</v>
      </c>
      <c r="K167" s="292">
        <v>17960</v>
      </c>
      <c r="L167" s="292">
        <v>18549</v>
      </c>
      <c r="M167" s="292">
        <v>19253</v>
      </c>
      <c r="N167" s="292">
        <v>19171</v>
      </c>
      <c r="O167" s="292">
        <v>19811</v>
      </c>
      <c r="P167" s="292">
        <v>20263</v>
      </c>
      <c r="Q167" s="292">
        <v>21400</v>
      </c>
      <c r="R167" s="292">
        <v>22394</v>
      </c>
      <c r="S167" s="292">
        <v>23173</v>
      </c>
      <c r="T167" s="292">
        <v>24059</v>
      </c>
      <c r="U167" s="292">
        <v>24929</v>
      </c>
      <c r="V167" s="292">
        <v>23987</v>
      </c>
      <c r="W167" s="292">
        <v>25175</v>
      </c>
      <c r="X167" s="292">
        <v>26009</v>
      </c>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row>
    <row r="168" spans="2:54">
      <c r="B168" s="72" t="s">
        <v>725</v>
      </c>
      <c r="C168" s="72" t="s">
        <v>726</v>
      </c>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row>
    <row r="169" spans="2:54">
      <c r="B169" s="72" t="s">
        <v>727</v>
      </c>
      <c r="C169" s="72" t="s">
        <v>728</v>
      </c>
      <c r="D169" s="292">
        <v>2708</v>
      </c>
      <c r="E169" s="292">
        <v>2567</v>
      </c>
      <c r="F169" s="292">
        <v>2594</v>
      </c>
      <c r="G169" s="292">
        <v>2612</v>
      </c>
      <c r="H169" s="292">
        <v>2603</v>
      </c>
      <c r="I169" s="292">
        <v>2723</v>
      </c>
      <c r="J169" s="292">
        <v>2800</v>
      </c>
      <c r="K169" s="292">
        <v>2847</v>
      </c>
      <c r="L169" s="292">
        <v>2929</v>
      </c>
      <c r="M169" s="292">
        <v>2751</v>
      </c>
      <c r="N169" s="292">
        <v>2996</v>
      </c>
      <c r="O169" s="292">
        <v>3024</v>
      </c>
      <c r="P169" s="292">
        <v>3154</v>
      </c>
      <c r="Q169" s="292">
        <v>3121</v>
      </c>
      <c r="R169" s="292">
        <v>3211</v>
      </c>
      <c r="S169" s="292">
        <v>3271</v>
      </c>
      <c r="T169" s="292">
        <v>3302</v>
      </c>
      <c r="U169" s="292">
        <v>3362</v>
      </c>
      <c r="V169" s="292">
        <v>3400</v>
      </c>
      <c r="W169" s="292">
        <v>3497</v>
      </c>
      <c r="X169" s="292">
        <v>3576</v>
      </c>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row>
    <row r="170" spans="2:54">
      <c r="B170" s="72" t="s">
        <v>729</v>
      </c>
      <c r="C170" s="72" t="s">
        <v>730</v>
      </c>
      <c r="D170" s="292">
        <v>23750</v>
      </c>
      <c r="E170" s="292">
        <v>25352</v>
      </c>
      <c r="F170" s="292">
        <v>26125</v>
      </c>
      <c r="G170" s="292">
        <v>27181</v>
      </c>
      <c r="H170" s="292">
        <v>28169</v>
      </c>
      <c r="I170" s="292">
        <v>28854</v>
      </c>
      <c r="J170" s="292">
        <v>30302</v>
      </c>
      <c r="K170" s="292">
        <v>31150</v>
      </c>
      <c r="L170" s="292">
        <v>32480</v>
      </c>
      <c r="M170" s="292">
        <v>31472</v>
      </c>
      <c r="N170" s="292">
        <v>30443</v>
      </c>
      <c r="O170" s="292">
        <v>31132</v>
      </c>
      <c r="P170" s="292">
        <v>30864</v>
      </c>
      <c r="Q170" s="292">
        <v>30892</v>
      </c>
      <c r="R170" s="292">
        <v>31563</v>
      </c>
      <c r="S170" s="292">
        <v>32031</v>
      </c>
      <c r="T170" s="292">
        <v>32370</v>
      </c>
      <c r="U170" s="292">
        <v>32905</v>
      </c>
      <c r="V170" s="292">
        <v>32142</v>
      </c>
      <c r="W170" s="292">
        <v>32318</v>
      </c>
      <c r="X170" s="292">
        <v>32664</v>
      </c>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row>
    <row r="171" spans="2:54">
      <c r="B171" s="72" t="s">
        <v>731</v>
      </c>
      <c r="C171" s="72" t="s">
        <v>732</v>
      </c>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row>
    <row r="172" spans="2:54">
      <c r="B172" s="72" t="s">
        <v>733</v>
      </c>
      <c r="C172" s="72" t="s">
        <v>734</v>
      </c>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row>
    <row r="173" spans="2:54">
      <c r="B173" s="72" t="s">
        <v>735</v>
      </c>
      <c r="C173" s="72" t="s">
        <v>736</v>
      </c>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row>
    <row r="174" spans="2:54">
      <c r="B174" s="72" t="s">
        <v>737</v>
      </c>
      <c r="C174" s="72" t="s">
        <v>738</v>
      </c>
      <c r="D174" s="292">
        <v>17283</v>
      </c>
      <c r="E174" s="292">
        <v>17498</v>
      </c>
      <c r="F174" s="292">
        <v>17570</v>
      </c>
      <c r="G174" s="292">
        <v>17842</v>
      </c>
      <c r="H174" s="292">
        <v>17071</v>
      </c>
      <c r="I174" s="292">
        <v>17256</v>
      </c>
      <c r="J174" s="292">
        <v>17421</v>
      </c>
      <c r="K174" s="292">
        <v>17827</v>
      </c>
      <c r="L174" s="292">
        <v>18294</v>
      </c>
      <c r="M174" s="292">
        <v>19108</v>
      </c>
      <c r="N174" s="292">
        <v>19091</v>
      </c>
      <c r="O174" s="292">
        <v>18807</v>
      </c>
      <c r="P174" s="292">
        <v>18931</v>
      </c>
      <c r="Q174" s="292">
        <v>19051</v>
      </c>
      <c r="R174" s="292">
        <v>19564</v>
      </c>
      <c r="S174" s="292">
        <v>19869</v>
      </c>
      <c r="T174" s="292">
        <v>20198</v>
      </c>
      <c r="U174" s="292">
        <v>20058</v>
      </c>
      <c r="V174" s="292">
        <v>19080</v>
      </c>
      <c r="W174" s="292">
        <v>19892</v>
      </c>
      <c r="X174" s="292">
        <v>19726</v>
      </c>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row>
    <row r="175" spans="2:54">
      <c r="B175" s="72" t="s">
        <v>739</v>
      </c>
      <c r="C175" s="72" t="s">
        <v>740</v>
      </c>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row>
    <row r="176" spans="2:54">
      <c r="B176" s="72" t="s">
        <v>741</v>
      </c>
      <c r="C176" s="72" t="s">
        <v>742</v>
      </c>
      <c r="D176" s="292">
        <v>13979</v>
      </c>
      <c r="E176" s="292">
        <v>9980</v>
      </c>
      <c r="F176" s="292">
        <v>9923</v>
      </c>
      <c r="G176" s="292">
        <v>6916</v>
      </c>
      <c r="H176" s="292">
        <v>6894</v>
      </c>
      <c r="I176" s="292">
        <v>6545</v>
      </c>
      <c r="J176" s="292">
        <v>6719</v>
      </c>
      <c r="K176" s="292">
        <v>6336</v>
      </c>
      <c r="L176" s="292">
        <v>6181</v>
      </c>
      <c r="M176" s="292">
        <v>6227</v>
      </c>
      <c r="N176" s="292">
        <v>6678</v>
      </c>
      <c r="O176" s="292">
        <v>7170</v>
      </c>
      <c r="P176" s="292">
        <v>8483</v>
      </c>
      <c r="Q176" s="292">
        <v>9388</v>
      </c>
      <c r="R176" s="292">
        <v>10071</v>
      </c>
      <c r="S176" s="292">
        <v>11068</v>
      </c>
      <c r="T176" s="292">
        <v>11492</v>
      </c>
      <c r="U176" s="292">
        <v>12355</v>
      </c>
      <c r="V176" s="292">
        <v>12269</v>
      </c>
      <c r="W176" s="292">
        <v>13591</v>
      </c>
      <c r="X176" s="292">
        <v>14655</v>
      </c>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row>
    <row r="177" spans="2:54">
      <c r="B177" s="72" t="s">
        <v>743</v>
      </c>
      <c r="C177" s="72" t="s">
        <v>333</v>
      </c>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row>
    <row r="178" spans="2:54">
      <c r="B178" s="72" t="s">
        <v>744</v>
      </c>
      <c r="C178" s="72" t="s">
        <v>745</v>
      </c>
      <c r="D178" s="292"/>
      <c r="E178" s="292"/>
      <c r="F178" s="292"/>
      <c r="G178" s="292"/>
      <c r="H178" s="292"/>
      <c r="I178" s="292"/>
      <c r="J178" s="292"/>
      <c r="K178" s="292"/>
      <c r="L178" s="292"/>
      <c r="M178" s="292"/>
      <c r="N178" s="292"/>
      <c r="O178" s="292"/>
      <c r="P178" s="292"/>
      <c r="Q178" s="292"/>
      <c r="R178" s="292"/>
      <c r="S178" s="292"/>
      <c r="T178" s="292"/>
      <c r="U178" s="292"/>
      <c r="V178" s="292"/>
      <c r="W178" s="292"/>
      <c r="X178" s="292"/>
    </row>
    <row r="179" spans="2:54">
      <c r="B179" s="72" t="s">
        <v>746</v>
      </c>
      <c r="C179" s="72" t="s">
        <v>747</v>
      </c>
      <c r="D179" s="292"/>
      <c r="E179" s="292"/>
      <c r="F179" s="292"/>
      <c r="G179" s="292"/>
      <c r="H179" s="292"/>
      <c r="I179" s="292"/>
      <c r="J179" s="292"/>
      <c r="K179" s="292"/>
      <c r="L179" s="292"/>
      <c r="M179" s="292"/>
      <c r="N179" s="292"/>
      <c r="O179" s="292"/>
      <c r="P179" s="292"/>
      <c r="Q179" s="292"/>
      <c r="R179" s="292"/>
      <c r="S179" s="292"/>
      <c r="T179" s="292"/>
      <c r="U179" s="292"/>
      <c r="V179" s="292"/>
      <c r="W179" s="292"/>
      <c r="X179" s="292"/>
    </row>
    <row r="180" spans="2:54">
      <c r="B180" s="72" t="s">
        <v>748</v>
      </c>
      <c r="C180" s="72" t="s">
        <v>749</v>
      </c>
      <c r="D180" s="292">
        <v>8550</v>
      </c>
      <c r="E180" s="292">
        <v>7917</v>
      </c>
      <c r="F180" s="292">
        <v>7593</v>
      </c>
      <c r="G180" s="292">
        <v>8240</v>
      </c>
      <c r="H180" s="292">
        <v>7398</v>
      </c>
      <c r="I180" s="292">
        <v>8139</v>
      </c>
      <c r="J180" s="292">
        <v>7685</v>
      </c>
      <c r="K180" s="292">
        <v>8067</v>
      </c>
      <c r="L180" s="292">
        <v>7853</v>
      </c>
      <c r="M180" s="292">
        <v>7924</v>
      </c>
      <c r="N180" s="292">
        <v>8624</v>
      </c>
      <c r="O180" s="292">
        <v>8791</v>
      </c>
      <c r="P180" s="292">
        <v>8983</v>
      </c>
      <c r="Q180" s="292">
        <v>9146</v>
      </c>
      <c r="R180" s="292">
        <v>9315</v>
      </c>
      <c r="S180" s="292">
        <v>9880</v>
      </c>
      <c r="T180" s="292">
        <v>9939</v>
      </c>
      <c r="U180" s="292">
        <v>10324</v>
      </c>
      <c r="V180" s="292">
        <v>10686</v>
      </c>
      <c r="W180" s="292">
        <v>10900</v>
      </c>
      <c r="X180" s="292">
        <v>11223</v>
      </c>
    </row>
    <row r="181" spans="2:54">
      <c r="B181" s="72" t="s">
        <v>750</v>
      </c>
      <c r="C181" s="72" t="s">
        <v>751</v>
      </c>
      <c r="D181" s="292">
        <v>2337</v>
      </c>
      <c r="E181" s="292">
        <v>2117</v>
      </c>
      <c r="F181" s="292">
        <v>2191</v>
      </c>
      <c r="G181" s="292">
        <v>2219</v>
      </c>
      <c r="H181" s="292">
        <v>2175</v>
      </c>
      <c r="I181" s="292">
        <v>2413</v>
      </c>
      <c r="J181" s="292">
        <v>2606</v>
      </c>
      <c r="K181" s="292">
        <v>2843</v>
      </c>
      <c r="L181" s="292">
        <v>3009</v>
      </c>
      <c r="M181" s="292">
        <v>2977</v>
      </c>
      <c r="N181" s="292">
        <v>3267</v>
      </c>
      <c r="O181" s="292">
        <v>3485</v>
      </c>
      <c r="P181" s="292">
        <v>3621</v>
      </c>
      <c r="Q181" s="292">
        <v>3817</v>
      </c>
      <c r="R181" s="292">
        <v>4043</v>
      </c>
      <c r="S181" s="292">
        <v>4298</v>
      </c>
      <c r="T181" s="292">
        <v>4505</v>
      </c>
      <c r="U181" s="292">
        <v>4695</v>
      </c>
      <c r="V181" s="292">
        <v>4875</v>
      </c>
      <c r="W181" s="292">
        <v>5082</v>
      </c>
      <c r="X181" s="292">
        <v>5306</v>
      </c>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row>
    <row r="182" spans="2:54">
      <c r="B182" s="72" t="s">
        <v>752</v>
      </c>
      <c r="C182" s="72" t="s">
        <v>753</v>
      </c>
      <c r="D182" s="292">
        <v>1913</v>
      </c>
      <c r="E182" s="292">
        <v>2040</v>
      </c>
      <c r="F182" s="292">
        <v>2118</v>
      </c>
      <c r="G182" s="292">
        <v>2222</v>
      </c>
      <c r="H182" s="292">
        <v>2328</v>
      </c>
      <c r="I182" s="292">
        <v>2427</v>
      </c>
      <c r="J182" s="292">
        <v>2509</v>
      </c>
      <c r="K182" s="292">
        <v>2568</v>
      </c>
      <c r="L182" s="292">
        <v>2742</v>
      </c>
      <c r="M182" s="292">
        <v>2998</v>
      </c>
      <c r="N182" s="292">
        <v>3249</v>
      </c>
      <c r="O182" s="292">
        <v>3538</v>
      </c>
      <c r="P182" s="292">
        <v>3872</v>
      </c>
      <c r="Q182" s="292">
        <v>4239</v>
      </c>
      <c r="R182" s="292">
        <v>4592</v>
      </c>
      <c r="S182" s="292">
        <v>4950</v>
      </c>
      <c r="T182" s="292">
        <v>5427</v>
      </c>
      <c r="U182" s="292">
        <v>5840</v>
      </c>
      <c r="V182" s="292">
        <v>6211</v>
      </c>
      <c r="W182" s="292">
        <v>6741</v>
      </c>
      <c r="X182" s="292">
        <v>7000</v>
      </c>
    </row>
    <row r="183" spans="2:54">
      <c r="B183" s="72" t="s">
        <v>754</v>
      </c>
      <c r="C183" s="72" t="s">
        <v>755</v>
      </c>
      <c r="D183" s="292"/>
      <c r="E183" s="292"/>
      <c r="F183" s="292"/>
      <c r="G183" s="292"/>
      <c r="H183" s="292"/>
      <c r="I183" s="292"/>
      <c r="J183" s="292"/>
      <c r="K183" s="292"/>
      <c r="L183" s="292"/>
      <c r="M183" s="292"/>
      <c r="N183" s="292"/>
      <c r="O183" s="292"/>
      <c r="P183" s="292"/>
      <c r="Q183" s="292"/>
      <c r="R183" s="292"/>
      <c r="S183" s="292"/>
      <c r="T183" s="292"/>
      <c r="U183" s="292"/>
      <c r="V183" s="292"/>
      <c r="W183" s="292"/>
      <c r="X183" s="292"/>
    </row>
    <row r="184" spans="2:54">
      <c r="B184" s="72" t="s">
        <v>756</v>
      </c>
      <c r="C184" s="72" t="s">
        <v>757</v>
      </c>
      <c r="D184" s="292"/>
      <c r="E184" s="292"/>
      <c r="F184" s="292"/>
      <c r="G184" s="292"/>
      <c r="H184" s="292"/>
      <c r="I184" s="292"/>
      <c r="J184" s="292"/>
      <c r="K184" s="292"/>
      <c r="L184" s="292"/>
      <c r="M184" s="292"/>
      <c r="N184" s="292"/>
      <c r="O184" s="292"/>
      <c r="P184" s="292"/>
      <c r="Q184" s="292"/>
      <c r="R184" s="292"/>
      <c r="S184" s="292"/>
      <c r="T184" s="292"/>
      <c r="U184" s="292"/>
      <c r="V184" s="292"/>
      <c r="W184" s="292"/>
      <c r="X184" s="292"/>
    </row>
    <row r="185" spans="2:54">
      <c r="B185" s="72" t="s">
        <v>758</v>
      </c>
      <c r="C185" s="72" t="s">
        <v>759</v>
      </c>
      <c r="D185" s="292">
        <v>38743</v>
      </c>
      <c r="E185" s="292">
        <v>38857</v>
      </c>
      <c r="F185" s="292">
        <v>39181</v>
      </c>
      <c r="G185" s="292">
        <v>40063</v>
      </c>
      <c r="H185" s="292">
        <v>40402</v>
      </c>
      <c r="I185" s="292">
        <v>40866</v>
      </c>
      <c r="J185" s="292">
        <v>41334</v>
      </c>
      <c r="K185" s="292">
        <v>41863</v>
      </c>
      <c r="L185" s="292">
        <v>42727</v>
      </c>
      <c r="M185" s="292">
        <v>43434</v>
      </c>
      <c r="N185" s="292">
        <v>43378</v>
      </c>
      <c r="O185" s="292">
        <v>43195</v>
      </c>
      <c r="P185" s="292">
        <v>43554</v>
      </c>
      <c r="Q185" s="292">
        <v>44918</v>
      </c>
      <c r="R185" s="292">
        <v>45613</v>
      </c>
      <c r="S185" s="292">
        <v>46373</v>
      </c>
      <c r="T185" s="292">
        <v>46991</v>
      </c>
      <c r="U185" s="292">
        <v>47143</v>
      </c>
      <c r="V185" s="292">
        <v>45810</v>
      </c>
      <c r="W185" s="292">
        <v>46721</v>
      </c>
      <c r="X185" s="292">
        <v>47698</v>
      </c>
    </row>
    <row r="186" spans="2:54">
      <c r="B186" s="72" t="s">
        <v>760</v>
      </c>
      <c r="C186" s="72" t="s">
        <v>761</v>
      </c>
      <c r="D186" s="292"/>
      <c r="E186" s="292"/>
      <c r="F186" s="292"/>
      <c r="G186" s="292"/>
      <c r="H186" s="292"/>
      <c r="I186" s="292"/>
      <c r="J186" s="292"/>
      <c r="K186" s="292"/>
      <c r="L186" s="292"/>
      <c r="M186" s="292"/>
      <c r="N186" s="292"/>
      <c r="O186" s="292"/>
      <c r="P186" s="292"/>
      <c r="Q186" s="292"/>
      <c r="R186" s="292"/>
      <c r="S186" s="292"/>
      <c r="T186" s="292"/>
      <c r="U186" s="292"/>
      <c r="V186" s="292"/>
      <c r="W186" s="292"/>
      <c r="X186" s="292"/>
    </row>
    <row r="187" spans="2:54">
      <c r="B187" s="72" t="s">
        <v>762</v>
      </c>
      <c r="C187" s="72" t="s">
        <v>763</v>
      </c>
      <c r="D187" s="292">
        <v>30405</v>
      </c>
      <c r="E187" s="292">
        <v>30639</v>
      </c>
      <c r="F187" s="292">
        <v>31916</v>
      </c>
      <c r="G187" s="292">
        <v>32176</v>
      </c>
      <c r="H187" s="292">
        <v>32002</v>
      </c>
      <c r="I187" s="292">
        <v>31978</v>
      </c>
      <c r="J187" s="292">
        <v>32711</v>
      </c>
      <c r="K187" s="292">
        <v>33314</v>
      </c>
      <c r="L187" s="292">
        <v>34541</v>
      </c>
      <c r="M187" s="292">
        <v>34723</v>
      </c>
      <c r="N187" s="292">
        <v>35039</v>
      </c>
      <c r="O187" s="292">
        <v>35600</v>
      </c>
      <c r="P187" s="292">
        <v>36041</v>
      </c>
      <c r="Q187" s="292">
        <v>36079</v>
      </c>
      <c r="R187" s="292">
        <v>36166</v>
      </c>
      <c r="S187" s="292">
        <v>36109</v>
      </c>
      <c r="T187" s="292">
        <v>36478</v>
      </c>
      <c r="U187" s="292">
        <v>35843</v>
      </c>
      <c r="V187" s="292">
        <v>36523</v>
      </c>
      <c r="W187" s="292">
        <v>37101</v>
      </c>
      <c r="X187" s="292">
        <v>36994</v>
      </c>
    </row>
    <row r="188" spans="2:54">
      <c r="B188" s="72" t="s">
        <v>764</v>
      </c>
      <c r="C188" s="72" t="s">
        <v>765</v>
      </c>
      <c r="D188" s="292"/>
      <c r="E188" s="292"/>
      <c r="F188" s="292"/>
      <c r="G188" s="292"/>
      <c r="H188" s="292"/>
      <c r="I188" s="292"/>
      <c r="J188" s="292"/>
      <c r="K188" s="292"/>
      <c r="L188" s="292"/>
      <c r="M188" s="292"/>
      <c r="N188" s="292"/>
      <c r="O188" s="292"/>
      <c r="P188" s="292"/>
      <c r="Q188" s="292"/>
      <c r="R188" s="292"/>
      <c r="S188" s="292"/>
      <c r="T188" s="292"/>
      <c r="U188" s="292"/>
      <c r="V188" s="292"/>
      <c r="W188" s="292"/>
      <c r="X188" s="292"/>
    </row>
    <row r="189" spans="2:54">
      <c r="B189" s="72" t="s">
        <v>766</v>
      </c>
      <c r="C189" s="72" t="s">
        <v>767</v>
      </c>
      <c r="D189" s="292">
        <v>1828</v>
      </c>
      <c r="E189" s="292">
        <v>1643</v>
      </c>
      <c r="F189" s="292">
        <v>1601</v>
      </c>
      <c r="G189" s="292">
        <v>1600</v>
      </c>
      <c r="H189" s="292">
        <v>1432</v>
      </c>
      <c r="I189" s="292">
        <v>1440</v>
      </c>
      <c r="J189" s="292">
        <v>1384</v>
      </c>
      <c r="K189" s="292">
        <v>1493</v>
      </c>
      <c r="L189" s="292">
        <v>1443</v>
      </c>
      <c r="M189" s="292">
        <v>1346</v>
      </c>
      <c r="N189" s="292">
        <v>1398</v>
      </c>
      <c r="O189" s="292">
        <v>1425</v>
      </c>
      <c r="P189" s="292">
        <v>1479</v>
      </c>
      <c r="Q189" s="292">
        <v>1416</v>
      </c>
      <c r="R189" s="292">
        <v>1489</v>
      </c>
      <c r="S189" s="292">
        <v>1528</v>
      </c>
      <c r="T189" s="292">
        <v>1527</v>
      </c>
      <c r="U189" s="292">
        <v>1623</v>
      </c>
      <c r="V189" s="292">
        <v>1537</v>
      </c>
      <c r="W189" s="292">
        <v>1601</v>
      </c>
      <c r="X189" s="292">
        <v>1627</v>
      </c>
    </row>
    <row r="190" spans="2:54">
      <c r="B190" s="72" t="s">
        <v>768</v>
      </c>
      <c r="C190" s="72" t="s">
        <v>769</v>
      </c>
      <c r="D190" s="292">
        <v>3478</v>
      </c>
      <c r="E190" s="292">
        <v>3399</v>
      </c>
      <c r="F190" s="292">
        <v>3377</v>
      </c>
      <c r="G190" s="292">
        <v>3310</v>
      </c>
      <c r="H190" s="292">
        <v>3212</v>
      </c>
      <c r="I190" s="292">
        <v>3284</v>
      </c>
      <c r="J190" s="292">
        <v>3282</v>
      </c>
      <c r="K190" s="292">
        <v>3278</v>
      </c>
      <c r="L190" s="292">
        <v>3203</v>
      </c>
      <c r="M190" s="292">
        <v>3281</v>
      </c>
      <c r="N190" s="292">
        <v>3452</v>
      </c>
      <c r="O190" s="292">
        <v>4069</v>
      </c>
      <c r="P190" s="292">
        <v>4384</v>
      </c>
      <c r="Q190" s="292">
        <v>4735</v>
      </c>
      <c r="R190" s="292">
        <v>4865</v>
      </c>
      <c r="S190" s="292">
        <v>5040</v>
      </c>
      <c r="T190" s="292">
        <v>5259</v>
      </c>
      <c r="U190" s="292">
        <v>5427</v>
      </c>
      <c r="V190" s="292">
        <v>5651</v>
      </c>
      <c r="W190" s="292">
        <v>5984</v>
      </c>
      <c r="X190" s="292">
        <v>6230</v>
      </c>
    </row>
    <row r="191" spans="2:54">
      <c r="B191" s="72" t="s">
        <v>770</v>
      </c>
      <c r="C191" s="72" t="s">
        <v>771</v>
      </c>
      <c r="D191" s="292"/>
      <c r="E191" s="292"/>
      <c r="F191" s="292"/>
      <c r="G191" s="292"/>
      <c r="H191" s="292"/>
      <c r="I191" s="292"/>
      <c r="J191" s="292"/>
      <c r="K191" s="292"/>
      <c r="L191" s="292"/>
      <c r="M191" s="292"/>
      <c r="N191" s="292"/>
      <c r="O191" s="292"/>
      <c r="P191" s="292"/>
      <c r="Q191" s="292"/>
      <c r="R191" s="292"/>
      <c r="S191" s="292"/>
      <c r="T191" s="292"/>
      <c r="U191" s="292"/>
      <c r="V191" s="292"/>
      <c r="W191" s="292"/>
      <c r="X191" s="292"/>
    </row>
    <row r="192" spans="2:54">
      <c r="B192" s="72" t="s">
        <v>772</v>
      </c>
      <c r="C192" s="72" t="s">
        <v>773</v>
      </c>
      <c r="D192" s="292">
        <v>39630</v>
      </c>
      <c r="E192" s="292">
        <v>41106</v>
      </c>
      <c r="F192" s="292">
        <v>41943</v>
      </c>
      <c r="G192" s="292">
        <v>43467</v>
      </c>
      <c r="H192" s="292">
        <v>44368</v>
      </c>
      <c r="I192" s="292">
        <v>45704</v>
      </c>
      <c r="J192" s="292">
        <v>46805</v>
      </c>
      <c r="K192" s="292">
        <v>46820</v>
      </c>
      <c r="L192" s="292">
        <v>47334</v>
      </c>
      <c r="M192" s="292">
        <v>48579</v>
      </c>
      <c r="N192" s="292">
        <v>49375</v>
      </c>
      <c r="O192" s="292">
        <v>49924</v>
      </c>
      <c r="P192" s="292">
        <v>51042</v>
      </c>
      <c r="Q192" s="292">
        <v>52762</v>
      </c>
      <c r="R192" s="292">
        <v>53516</v>
      </c>
      <c r="S192" s="292">
        <v>52891</v>
      </c>
      <c r="T192" s="292">
        <v>52189</v>
      </c>
      <c r="U192" s="292">
        <v>50939</v>
      </c>
      <c r="V192" s="292">
        <v>50281</v>
      </c>
      <c r="W192" s="292">
        <v>50494</v>
      </c>
      <c r="X192" s="292">
        <v>51456</v>
      </c>
    </row>
    <row r="193" spans="2:24">
      <c r="B193" s="72" t="s">
        <v>774</v>
      </c>
      <c r="C193" s="72" t="s">
        <v>775</v>
      </c>
      <c r="D193" s="292">
        <v>20099</v>
      </c>
      <c r="E193" s="292">
        <v>20126</v>
      </c>
      <c r="F193" s="292">
        <v>19725</v>
      </c>
      <c r="G193" s="292">
        <v>19190</v>
      </c>
      <c r="H193" s="292">
        <v>19261</v>
      </c>
      <c r="I193" s="292">
        <v>19294</v>
      </c>
      <c r="J193" s="292">
        <v>20322</v>
      </c>
      <c r="K193" s="292">
        <v>20862</v>
      </c>
      <c r="L193" s="292">
        <v>20610</v>
      </c>
      <c r="M193" s="292">
        <v>21481</v>
      </c>
      <c r="N193" s="292">
        <v>22428</v>
      </c>
      <c r="O193" s="292">
        <v>22437</v>
      </c>
      <c r="P193" s="292">
        <v>21962</v>
      </c>
      <c r="Q193" s="292">
        <v>22096</v>
      </c>
      <c r="R193" s="292">
        <v>22216</v>
      </c>
      <c r="S193" s="292">
        <v>22602</v>
      </c>
      <c r="T193" s="292">
        <v>23173</v>
      </c>
      <c r="U193" s="292">
        <v>25137</v>
      </c>
      <c r="V193" s="292">
        <v>24376</v>
      </c>
      <c r="W193" s="292">
        <v>24724</v>
      </c>
      <c r="X193" s="292">
        <v>25157</v>
      </c>
    </row>
    <row r="194" spans="2:24">
      <c r="B194" s="72" t="s">
        <v>776</v>
      </c>
      <c r="C194" s="72" t="s">
        <v>777</v>
      </c>
      <c r="D194" s="292">
        <v>6498</v>
      </c>
      <c r="E194" s="292">
        <v>6713</v>
      </c>
      <c r="F194" s="292">
        <v>6675</v>
      </c>
      <c r="G194" s="292">
        <v>6798</v>
      </c>
      <c r="H194" s="292">
        <v>7114</v>
      </c>
      <c r="I194" s="292">
        <v>7405</v>
      </c>
      <c r="J194" s="292">
        <v>7097</v>
      </c>
      <c r="K194" s="292">
        <v>6986</v>
      </c>
      <c r="L194" s="292">
        <v>7118</v>
      </c>
      <c r="M194" s="292">
        <v>7496</v>
      </c>
      <c r="N194" s="292">
        <v>7510</v>
      </c>
      <c r="O194" s="292">
        <v>7655</v>
      </c>
      <c r="P194" s="292">
        <v>7658</v>
      </c>
      <c r="Q194" s="292">
        <v>7811</v>
      </c>
      <c r="R194" s="292">
        <v>8353</v>
      </c>
      <c r="S194" s="292">
        <v>8059</v>
      </c>
      <c r="T194" s="292">
        <v>8362</v>
      </c>
      <c r="U194" s="292">
        <v>8394</v>
      </c>
      <c r="V194" s="292">
        <v>8213</v>
      </c>
      <c r="W194" s="292">
        <v>8315</v>
      </c>
      <c r="X194" s="292">
        <v>8300</v>
      </c>
    </row>
    <row r="195" spans="2:24">
      <c r="B195" s="72" t="s">
        <v>778</v>
      </c>
      <c r="C195" s="72" t="s">
        <v>779</v>
      </c>
      <c r="D195" s="292"/>
      <c r="E195" s="292"/>
      <c r="F195" s="292"/>
      <c r="G195" s="292"/>
      <c r="H195" s="292"/>
      <c r="I195" s="292"/>
      <c r="J195" s="292"/>
      <c r="K195" s="292"/>
      <c r="L195" s="292"/>
      <c r="M195" s="292"/>
      <c r="N195" s="292"/>
      <c r="O195" s="292"/>
      <c r="P195" s="292"/>
      <c r="Q195" s="292"/>
      <c r="R195" s="292"/>
      <c r="S195" s="292"/>
      <c r="T195" s="292"/>
      <c r="U195" s="292"/>
      <c r="V195" s="292"/>
      <c r="W195" s="292"/>
      <c r="X195" s="292"/>
    </row>
    <row r="196" spans="2:24">
      <c r="B196" s="72" t="s">
        <v>780</v>
      </c>
      <c r="C196" s="72" t="s">
        <v>781</v>
      </c>
      <c r="D196" s="292"/>
      <c r="E196" s="292"/>
      <c r="F196" s="292"/>
      <c r="G196" s="292"/>
      <c r="H196" s="292"/>
      <c r="I196" s="292"/>
      <c r="J196" s="292"/>
      <c r="K196" s="292"/>
      <c r="L196" s="292"/>
      <c r="M196" s="292"/>
      <c r="N196" s="292"/>
      <c r="O196" s="292"/>
      <c r="P196" s="292"/>
      <c r="Q196" s="292"/>
      <c r="R196" s="292"/>
      <c r="S196" s="292"/>
      <c r="T196" s="292"/>
      <c r="U196" s="292"/>
      <c r="V196" s="292"/>
      <c r="W196" s="292"/>
      <c r="X196" s="292"/>
    </row>
    <row r="197" spans="2:24">
      <c r="B197" s="72" t="s">
        <v>782</v>
      </c>
      <c r="C197" s="72" t="s">
        <v>783</v>
      </c>
      <c r="D197" s="292"/>
      <c r="E197" s="292"/>
      <c r="F197" s="292"/>
      <c r="G197" s="292"/>
      <c r="H197" s="292"/>
      <c r="I197" s="292"/>
      <c r="J197" s="292"/>
      <c r="K197" s="292"/>
      <c r="L197" s="292"/>
      <c r="M197" s="292"/>
      <c r="N197" s="292"/>
      <c r="O197" s="292"/>
      <c r="P197" s="292"/>
      <c r="Q197" s="292"/>
      <c r="R197" s="292"/>
      <c r="S197" s="292"/>
      <c r="T197" s="292"/>
      <c r="U197" s="292"/>
      <c r="V197" s="292"/>
      <c r="W197" s="292"/>
      <c r="X197" s="292"/>
    </row>
    <row r="198" spans="2:24">
      <c r="B198" s="72" t="s">
        <v>784</v>
      </c>
      <c r="C198" s="72" t="s">
        <v>785</v>
      </c>
      <c r="D198" s="292"/>
      <c r="E198" s="292"/>
      <c r="F198" s="292"/>
      <c r="G198" s="292"/>
      <c r="H198" s="292"/>
      <c r="I198" s="292"/>
      <c r="J198" s="292"/>
      <c r="K198" s="292"/>
      <c r="L198" s="292"/>
      <c r="M198" s="292"/>
      <c r="N198" s="292"/>
      <c r="O198" s="292"/>
      <c r="P198" s="292"/>
      <c r="Q198" s="292"/>
      <c r="R198" s="292"/>
      <c r="S198" s="292"/>
      <c r="T198" s="292"/>
      <c r="U198" s="292"/>
      <c r="V198" s="292"/>
      <c r="W198" s="292"/>
      <c r="X198" s="292"/>
    </row>
    <row r="199" spans="2:24">
      <c r="B199" s="72" t="s">
        <v>786</v>
      </c>
      <c r="C199" s="72" t="s">
        <v>339</v>
      </c>
      <c r="D199" s="292">
        <v>7959</v>
      </c>
      <c r="E199" s="292">
        <v>7911</v>
      </c>
      <c r="F199" s="292">
        <v>8672</v>
      </c>
      <c r="G199" s="292">
        <v>10435</v>
      </c>
      <c r="H199" s="292">
        <v>11428</v>
      </c>
      <c r="I199" s="292">
        <v>11497</v>
      </c>
      <c r="J199" s="292">
        <v>11667</v>
      </c>
      <c r="K199" s="292">
        <v>11278</v>
      </c>
      <c r="L199" s="292">
        <v>11078</v>
      </c>
      <c r="M199" s="292">
        <v>11598</v>
      </c>
      <c r="N199" s="292">
        <v>11696</v>
      </c>
      <c r="O199" s="292">
        <v>12181</v>
      </c>
      <c r="P199" s="292">
        <v>12643</v>
      </c>
      <c r="Q199" s="292">
        <v>13001</v>
      </c>
      <c r="R199" s="292">
        <v>13339</v>
      </c>
      <c r="S199" s="292">
        <v>13170</v>
      </c>
      <c r="T199" s="292">
        <v>13262</v>
      </c>
      <c r="U199" s="292">
        <v>14271</v>
      </c>
      <c r="V199" s="292">
        <v>14053</v>
      </c>
      <c r="W199" s="292">
        <v>15031</v>
      </c>
      <c r="X199" s="292">
        <v>15714</v>
      </c>
    </row>
    <row r="200" spans="2:24">
      <c r="B200" s="72" t="s">
        <v>787</v>
      </c>
      <c r="C200" s="72" t="s">
        <v>334</v>
      </c>
      <c r="D200" s="292">
        <v>6205</v>
      </c>
      <c r="E200" s="292">
        <v>6021</v>
      </c>
      <c r="F200" s="292">
        <v>5976</v>
      </c>
      <c r="G200" s="292">
        <v>6076</v>
      </c>
      <c r="H200" s="292">
        <v>6201</v>
      </c>
      <c r="I200" s="292">
        <v>6199</v>
      </c>
      <c r="J200" s="292">
        <v>6724</v>
      </c>
      <c r="K200" s="292">
        <v>6618</v>
      </c>
      <c r="L200" s="292">
        <v>6569</v>
      </c>
      <c r="M200" s="292">
        <v>6931</v>
      </c>
      <c r="N200" s="292">
        <v>6715</v>
      </c>
      <c r="O200" s="292">
        <v>6750</v>
      </c>
      <c r="P200" s="292">
        <v>6953</v>
      </c>
      <c r="Q200" s="292">
        <v>7189</v>
      </c>
      <c r="R200" s="292">
        <v>7319</v>
      </c>
      <c r="S200" s="292">
        <v>7603</v>
      </c>
      <c r="T200" s="292">
        <v>7962</v>
      </c>
      <c r="U200" s="292">
        <v>8164</v>
      </c>
      <c r="V200" s="292">
        <v>8029</v>
      </c>
      <c r="W200" s="292">
        <v>8408</v>
      </c>
      <c r="X200" s="292">
        <v>8601</v>
      </c>
    </row>
    <row r="201" spans="2:24">
      <c r="B201" s="72" t="s">
        <v>788</v>
      </c>
      <c r="C201" s="72" t="s">
        <v>789</v>
      </c>
      <c r="D201" s="292">
        <v>11940</v>
      </c>
      <c r="E201" s="292">
        <v>12357</v>
      </c>
      <c r="F201" s="292">
        <v>13066</v>
      </c>
      <c r="G201" s="292">
        <v>13843</v>
      </c>
      <c r="H201" s="292">
        <v>14679</v>
      </c>
      <c r="I201" s="292">
        <v>15410</v>
      </c>
      <c r="J201" s="292">
        <v>16271</v>
      </c>
      <c r="K201" s="292">
        <v>16884</v>
      </c>
      <c r="L201" s="292">
        <v>18372</v>
      </c>
      <c r="M201" s="292">
        <v>19462</v>
      </c>
      <c r="N201" s="292">
        <v>20143</v>
      </c>
      <c r="O201" s="292">
        <v>21070</v>
      </c>
      <c r="P201" s="292">
        <v>22142</v>
      </c>
      <c r="Q201" s="292">
        <v>23042</v>
      </c>
      <c r="R201" s="292">
        <v>23365</v>
      </c>
      <c r="S201" s="292">
        <v>24042</v>
      </c>
      <c r="T201" s="292">
        <v>24583</v>
      </c>
      <c r="U201" s="292">
        <v>24903</v>
      </c>
      <c r="V201" s="292">
        <v>25223</v>
      </c>
      <c r="W201" s="292">
        <v>26087</v>
      </c>
      <c r="X201" s="292">
        <v>26867</v>
      </c>
    </row>
    <row r="202" spans="2:24">
      <c r="B202" s="72" t="s">
        <v>790</v>
      </c>
      <c r="C202" s="72" t="s">
        <v>791</v>
      </c>
      <c r="D202" s="292">
        <v>23546</v>
      </c>
      <c r="E202" s="292">
        <v>24197</v>
      </c>
      <c r="F202" s="292">
        <v>24199</v>
      </c>
      <c r="G202" s="292">
        <v>24689</v>
      </c>
      <c r="H202" s="292">
        <v>25800</v>
      </c>
      <c r="I202" s="292">
        <v>26304</v>
      </c>
      <c r="J202" s="292">
        <v>26755</v>
      </c>
      <c r="K202" s="292">
        <v>27339</v>
      </c>
      <c r="L202" s="292">
        <v>28069</v>
      </c>
      <c r="M202" s="292">
        <v>28573</v>
      </c>
      <c r="N202" s="292">
        <v>28615</v>
      </c>
      <c r="O202" s="292">
        <v>28651</v>
      </c>
      <c r="P202" s="292">
        <v>28553</v>
      </c>
      <c r="Q202" s="292">
        <v>29021</v>
      </c>
      <c r="R202" s="292">
        <v>29337</v>
      </c>
      <c r="S202" s="292">
        <v>29607</v>
      </c>
      <c r="T202" s="292">
        <v>30327</v>
      </c>
      <c r="U202" s="292">
        <v>30187</v>
      </c>
      <c r="V202" s="292">
        <v>30211</v>
      </c>
      <c r="W202" s="292">
        <v>31110</v>
      </c>
      <c r="X202" s="292">
        <v>30855</v>
      </c>
    </row>
    <row r="203" spans="2:24">
      <c r="B203" s="72" t="s">
        <v>792</v>
      </c>
      <c r="C203" s="72" t="s">
        <v>793</v>
      </c>
      <c r="D203" s="292"/>
      <c r="E203" s="292"/>
      <c r="F203" s="292"/>
      <c r="G203" s="292"/>
      <c r="H203" s="292"/>
      <c r="I203" s="292"/>
      <c r="J203" s="292"/>
      <c r="K203" s="292"/>
      <c r="L203" s="292"/>
      <c r="M203" s="292"/>
      <c r="N203" s="292"/>
      <c r="O203" s="292"/>
      <c r="P203" s="292"/>
      <c r="Q203" s="292"/>
      <c r="R203" s="292"/>
      <c r="S203" s="292"/>
      <c r="T203" s="292"/>
      <c r="U203" s="292"/>
      <c r="V203" s="292"/>
      <c r="W203" s="292"/>
      <c r="X203" s="292"/>
    </row>
    <row r="204" spans="2:24">
      <c r="B204" s="72" t="s">
        <v>794</v>
      </c>
      <c r="C204" s="72" t="s">
        <v>795</v>
      </c>
      <c r="D204" s="292">
        <v>11480</v>
      </c>
      <c r="E204" s="292">
        <v>12277</v>
      </c>
      <c r="F204" s="292">
        <v>12084</v>
      </c>
      <c r="G204" s="292">
        <v>12209</v>
      </c>
      <c r="H204" s="292">
        <v>12541</v>
      </c>
      <c r="I204" s="292">
        <v>13330</v>
      </c>
      <c r="J204" s="292">
        <v>16949</v>
      </c>
      <c r="K204" s="292">
        <v>17977</v>
      </c>
      <c r="L204" s="292">
        <v>18267</v>
      </c>
      <c r="M204" s="292">
        <v>19422</v>
      </c>
      <c r="N204" s="292">
        <v>19704</v>
      </c>
      <c r="O204" s="292">
        <v>19403</v>
      </c>
      <c r="P204" s="292">
        <v>19119</v>
      </c>
      <c r="Q204" s="292">
        <v>19895</v>
      </c>
      <c r="R204" s="292">
        <v>17826</v>
      </c>
      <c r="S204" s="292">
        <v>18144</v>
      </c>
      <c r="T204" s="292">
        <v>17176</v>
      </c>
      <c r="U204" s="292">
        <v>16660</v>
      </c>
      <c r="V204" s="292">
        <v>16005</v>
      </c>
      <c r="W204" s="292">
        <v>16903</v>
      </c>
      <c r="X204" s="292">
        <v>18585</v>
      </c>
    </row>
    <row r="205" spans="2:24">
      <c r="B205" s="72" t="s">
        <v>796</v>
      </c>
      <c r="C205" s="72" t="s">
        <v>797</v>
      </c>
      <c r="D205" s="292">
        <v>5032</v>
      </c>
      <c r="E205" s="292">
        <v>4739</v>
      </c>
      <c r="F205" s="292">
        <v>5005</v>
      </c>
      <c r="G205" s="292">
        <v>5233</v>
      </c>
      <c r="H205" s="292">
        <v>5918</v>
      </c>
      <c r="I205" s="292">
        <v>6232</v>
      </c>
      <c r="J205" s="292">
        <v>6091</v>
      </c>
      <c r="K205" s="292">
        <v>5941</v>
      </c>
      <c r="L205" s="292">
        <v>6152</v>
      </c>
      <c r="M205" s="292">
        <v>6350</v>
      </c>
      <c r="N205" s="292">
        <v>6782</v>
      </c>
      <c r="O205" s="292">
        <v>7933</v>
      </c>
      <c r="P205" s="292">
        <v>8352</v>
      </c>
      <c r="Q205" s="292">
        <v>9215</v>
      </c>
      <c r="R205" s="292">
        <v>9746</v>
      </c>
      <c r="S205" s="292">
        <v>10442</v>
      </c>
      <c r="T205" s="292">
        <v>11061</v>
      </c>
      <c r="U205" s="292">
        <v>11872</v>
      </c>
      <c r="V205" s="292">
        <v>11291</v>
      </c>
      <c r="W205" s="292">
        <v>11281</v>
      </c>
      <c r="X205" s="292">
        <v>11452</v>
      </c>
    </row>
    <row r="206" spans="2:24">
      <c r="B206" s="72" t="s">
        <v>798</v>
      </c>
      <c r="C206" s="72" t="s">
        <v>799</v>
      </c>
      <c r="D206" s="292">
        <v>14807</v>
      </c>
      <c r="E206" s="292">
        <v>12972</v>
      </c>
      <c r="F206" s="292">
        <v>12048</v>
      </c>
      <c r="G206" s="292">
        <v>10881</v>
      </c>
      <c r="H206" s="292">
        <v>10761</v>
      </c>
      <c r="I206" s="292">
        <v>10445</v>
      </c>
      <c r="J206" s="292">
        <v>10795</v>
      </c>
      <c r="K206" s="292">
        <v>10359</v>
      </c>
      <c r="L206" s="292">
        <v>10991</v>
      </c>
      <c r="M206" s="292">
        <v>11991</v>
      </c>
      <c r="N206" s="292">
        <v>12512</v>
      </c>
      <c r="O206" s="292">
        <v>12987</v>
      </c>
      <c r="P206" s="292">
        <v>13849</v>
      </c>
      <c r="Q206" s="292">
        <v>14747</v>
      </c>
      <c r="R206" s="292">
        <v>15597</v>
      </c>
      <c r="S206" s="292">
        <v>16773</v>
      </c>
      <c r="T206" s="292">
        <v>17978</v>
      </c>
      <c r="U206" s="292">
        <v>18796</v>
      </c>
      <c r="V206" s="292">
        <v>17618</v>
      </c>
      <c r="W206" s="292">
        <v>18268</v>
      </c>
      <c r="X206" s="292">
        <v>19078</v>
      </c>
    </row>
    <row r="207" spans="2:24">
      <c r="B207" s="72" t="s">
        <v>800</v>
      </c>
      <c r="C207" s="72" t="s">
        <v>801</v>
      </c>
      <c r="D207" s="292"/>
      <c r="E207" s="292"/>
      <c r="F207" s="292"/>
      <c r="G207" s="292"/>
      <c r="H207" s="292"/>
      <c r="I207" s="292"/>
      <c r="J207" s="292"/>
      <c r="K207" s="292"/>
      <c r="L207" s="292"/>
      <c r="M207" s="292"/>
      <c r="N207" s="292"/>
      <c r="O207" s="292"/>
      <c r="P207" s="292"/>
      <c r="Q207" s="292"/>
      <c r="R207" s="292"/>
      <c r="S207" s="292"/>
      <c r="T207" s="292"/>
      <c r="U207" s="292"/>
      <c r="V207" s="292"/>
      <c r="W207" s="292"/>
      <c r="X207" s="292"/>
    </row>
    <row r="208" spans="2:24">
      <c r="B208" s="72" t="s">
        <v>802</v>
      </c>
      <c r="C208" s="72" t="s">
        <v>803</v>
      </c>
      <c r="D208" s="292"/>
      <c r="E208" s="292"/>
      <c r="F208" s="292"/>
      <c r="G208" s="292"/>
      <c r="H208" s="292"/>
      <c r="I208" s="292"/>
      <c r="J208" s="292"/>
      <c r="K208" s="292"/>
      <c r="L208" s="292"/>
      <c r="M208" s="292"/>
      <c r="N208" s="292"/>
      <c r="O208" s="292"/>
      <c r="P208" s="292"/>
      <c r="Q208" s="292"/>
      <c r="R208" s="292"/>
      <c r="S208" s="292"/>
      <c r="T208" s="292"/>
      <c r="U208" s="292"/>
      <c r="V208" s="292"/>
      <c r="W208" s="292"/>
      <c r="X208" s="292"/>
    </row>
    <row r="209" spans="2:24">
      <c r="B209" s="72" t="s">
        <v>804</v>
      </c>
      <c r="C209" s="72" t="s">
        <v>805</v>
      </c>
      <c r="D209" s="292"/>
      <c r="E209" s="292"/>
      <c r="F209" s="292"/>
      <c r="G209" s="292"/>
      <c r="H209" s="292"/>
      <c r="I209" s="292"/>
      <c r="J209" s="292"/>
      <c r="K209" s="292"/>
      <c r="L209" s="292"/>
      <c r="M209" s="292"/>
      <c r="N209" s="292"/>
      <c r="O209" s="292"/>
      <c r="P209" s="292"/>
      <c r="Q209" s="292"/>
      <c r="R209" s="292"/>
      <c r="S209" s="292"/>
      <c r="T209" s="292"/>
      <c r="U209" s="292"/>
      <c r="V209" s="292"/>
      <c r="W209" s="292"/>
      <c r="X209" s="292"/>
    </row>
    <row r="210" spans="2:24">
      <c r="B210" s="72" t="s">
        <v>806</v>
      </c>
      <c r="C210" s="72" t="s">
        <v>807</v>
      </c>
      <c r="D210" s="292"/>
      <c r="E210" s="292"/>
      <c r="F210" s="292"/>
      <c r="G210" s="292"/>
      <c r="H210" s="292"/>
      <c r="I210" s="292"/>
      <c r="J210" s="292"/>
      <c r="K210" s="292"/>
      <c r="L210" s="292"/>
      <c r="M210" s="292"/>
      <c r="N210" s="292"/>
      <c r="O210" s="292"/>
      <c r="P210" s="292"/>
      <c r="Q210" s="292"/>
      <c r="R210" s="292"/>
      <c r="S210" s="292"/>
      <c r="T210" s="292"/>
      <c r="U210" s="292"/>
      <c r="V210" s="292"/>
      <c r="W210" s="292"/>
      <c r="X210" s="292"/>
    </row>
    <row r="211" spans="2:24">
      <c r="B211" s="72" t="s">
        <v>808</v>
      </c>
      <c r="C211" s="72" t="s">
        <v>809</v>
      </c>
      <c r="D211" s="292">
        <v>30862</v>
      </c>
      <c r="E211" s="292">
        <v>31175</v>
      </c>
      <c r="F211" s="292">
        <v>29986</v>
      </c>
      <c r="G211" s="292">
        <v>29122</v>
      </c>
      <c r="H211" s="292">
        <v>28366</v>
      </c>
      <c r="I211" s="292">
        <v>28746</v>
      </c>
      <c r="J211" s="292">
        <v>28942</v>
      </c>
      <c r="K211" s="292">
        <v>29224</v>
      </c>
      <c r="L211" s="292">
        <v>28183</v>
      </c>
      <c r="M211" s="292">
        <v>28487</v>
      </c>
      <c r="N211" s="292">
        <v>27176</v>
      </c>
      <c r="O211" s="292">
        <v>25583</v>
      </c>
      <c r="P211" s="292">
        <v>25970</v>
      </c>
      <c r="Q211" s="292">
        <v>25840</v>
      </c>
      <c r="R211" s="292">
        <v>25972</v>
      </c>
      <c r="S211" s="292">
        <v>25659</v>
      </c>
      <c r="T211" s="292">
        <v>25181</v>
      </c>
      <c r="U211" s="292">
        <v>25437</v>
      </c>
      <c r="V211" s="292">
        <v>24700</v>
      </c>
      <c r="W211" s="292">
        <v>25074</v>
      </c>
      <c r="X211" s="292">
        <v>26046</v>
      </c>
    </row>
    <row r="212" spans="2:24">
      <c r="B212" s="72" t="s">
        <v>810</v>
      </c>
      <c r="C212" s="72" t="s">
        <v>811</v>
      </c>
      <c r="D212" s="292">
        <v>3432</v>
      </c>
      <c r="E212" s="292">
        <v>3360</v>
      </c>
      <c r="F212" s="292">
        <v>3293</v>
      </c>
      <c r="G212" s="292">
        <v>3188</v>
      </c>
      <c r="H212" s="292">
        <v>3261</v>
      </c>
      <c r="I212" s="292">
        <v>3226</v>
      </c>
      <c r="J212" s="292">
        <v>3234</v>
      </c>
      <c r="K212" s="292">
        <v>3332</v>
      </c>
      <c r="L212" s="292">
        <v>3450</v>
      </c>
      <c r="M212" s="292">
        <v>3454</v>
      </c>
      <c r="N212" s="292">
        <v>3507</v>
      </c>
      <c r="O212" s="292">
        <v>3414</v>
      </c>
      <c r="P212" s="292">
        <v>3532</v>
      </c>
      <c r="Q212" s="292">
        <v>3626</v>
      </c>
      <c r="R212" s="292">
        <v>3711</v>
      </c>
      <c r="S212" s="292">
        <v>3685</v>
      </c>
      <c r="T212" s="292">
        <v>3756</v>
      </c>
      <c r="U212" s="292">
        <v>3756</v>
      </c>
      <c r="V212" s="292">
        <v>3728</v>
      </c>
      <c r="W212" s="292">
        <v>3769</v>
      </c>
      <c r="X212" s="292">
        <v>3804</v>
      </c>
    </row>
    <row r="213" spans="2:24">
      <c r="B213" s="72" t="s">
        <v>812</v>
      </c>
      <c r="C213" s="72" t="s">
        <v>813</v>
      </c>
      <c r="D213" s="292"/>
      <c r="E213" s="292"/>
      <c r="F213" s="292"/>
      <c r="G213" s="292"/>
      <c r="H213" s="292"/>
      <c r="I213" s="292"/>
      <c r="J213" s="292"/>
      <c r="K213" s="292"/>
      <c r="L213" s="292"/>
      <c r="M213" s="292"/>
      <c r="N213" s="292"/>
      <c r="O213" s="292"/>
      <c r="P213" s="292"/>
      <c r="Q213" s="292"/>
      <c r="R213" s="292"/>
      <c r="S213" s="292"/>
      <c r="T213" s="292"/>
      <c r="U213" s="292"/>
      <c r="V213" s="292"/>
      <c r="W213" s="292"/>
      <c r="X213" s="292"/>
    </row>
    <row r="214" spans="2:24">
      <c r="B214" s="72" t="s">
        <v>814</v>
      </c>
      <c r="C214" s="72" t="s">
        <v>815</v>
      </c>
      <c r="D214" s="292"/>
      <c r="E214" s="292"/>
      <c r="F214" s="292"/>
      <c r="G214" s="292"/>
      <c r="H214" s="292"/>
      <c r="I214" s="292"/>
      <c r="J214" s="292"/>
      <c r="K214" s="292"/>
      <c r="L214" s="292"/>
      <c r="M214" s="292"/>
      <c r="N214" s="292"/>
      <c r="O214" s="292"/>
      <c r="P214" s="292"/>
      <c r="Q214" s="292"/>
      <c r="R214" s="292"/>
      <c r="S214" s="292"/>
      <c r="T214" s="292"/>
      <c r="U214" s="292"/>
      <c r="V214" s="292"/>
      <c r="W214" s="292"/>
      <c r="X214" s="292"/>
    </row>
    <row r="215" spans="2:24">
      <c r="B215" s="72" t="s">
        <v>816</v>
      </c>
      <c r="C215" s="72" t="s">
        <v>817</v>
      </c>
      <c r="D215" s="292"/>
      <c r="E215" s="292"/>
      <c r="F215" s="292"/>
      <c r="G215" s="292"/>
      <c r="H215" s="292"/>
      <c r="I215" s="292"/>
      <c r="J215" s="292"/>
      <c r="K215" s="292"/>
      <c r="L215" s="292"/>
      <c r="M215" s="292"/>
      <c r="N215" s="292"/>
      <c r="O215" s="292"/>
      <c r="P215" s="292"/>
      <c r="Q215" s="292"/>
      <c r="R215" s="292"/>
      <c r="S215" s="292"/>
      <c r="T215" s="292"/>
      <c r="U215" s="292"/>
      <c r="V215" s="292"/>
      <c r="W215" s="292"/>
      <c r="X215" s="292"/>
    </row>
    <row r="216" spans="2:24">
      <c r="B216" s="72" t="s">
        <v>396</v>
      </c>
      <c r="C216" s="72" t="s">
        <v>818</v>
      </c>
      <c r="D216" s="292">
        <v>28049</v>
      </c>
      <c r="E216" s="292">
        <v>29185</v>
      </c>
      <c r="F216" s="292">
        <v>31987</v>
      </c>
      <c r="G216" s="292">
        <v>33797</v>
      </c>
      <c r="H216" s="292">
        <v>38368</v>
      </c>
      <c r="I216" s="292">
        <v>35601</v>
      </c>
      <c r="J216" s="292">
        <v>36795</v>
      </c>
      <c r="K216" s="292">
        <v>35041</v>
      </c>
      <c r="L216" s="292">
        <v>37297</v>
      </c>
      <c r="M216" s="292">
        <v>41351</v>
      </c>
      <c r="N216" s="292">
        <v>37739</v>
      </c>
      <c r="O216" s="292">
        <v>40119</v>
      </c>
      <c r="P216" s="292">
        <v>42251</v>
      </c>
      <c r="Q216" s="292">
        <v>45534</v>
      </c>
      <c r="R216" s="292">
        <v>48279</v>
      </c>
      <c r="S216" s="292">
        <v>47473</v>
      </c>
      <c r="T216" s="292">
        <v>49165</v>
      </c>
      <c r="U216" s="292">
        <v>45947</v>
      </c>
      <c r="V216" s="292">
        <v>44843</v>
      </c>
      <c r="W216" s="292">
        <v>48952</v>
      </c>
      <c r="X216" s="292">
        <v>50303</v>
      </c>
    </row>
    <row r="217" spans="2:24">
      <c r="B217" s="72" t="s">
        <v>819</v>
      </c>
      <c r="C217" s="72" t="s">
        <v>820</v>
      </c>
      <c r="D217" s="292"/>
      <c r="E217" s="292"/>
      <c r="F217" s="292"/>
      <c r="G217" s="292"/>
      <c r="H217" s="292"/>
      <c r="I217" s="292"/>
      <c r="J217" s="292"/>
      <c r="K217" s="292"/>
      <c r="L217" s="292"/>
      <c r="M217" s="292"/>
      <c r="N217" s="292"/>
      <c r="O217" s="292"/>
      <c r="P217" s="292"/>
      <c r="Q217" s="292"/>
      <c r="R217" s="292"/>
      <c r="S217" s="292"/>
      <c r="T217" s="292"/>
      <c r="U217" s="292"/>
      <c r="V217" s="292"/>
      <c r="W217" s="292"/>
      <c r="X217" s="292"/>
    </row>
    <row r="218" spans="2:24">
      <c r="B218" s="72" t="s">
        <v>821</v>
      </c>
      <c r="C218" s="72" t="s">
        <v>822</v>
      </c>
      <c r="D218" s="292">
        <v>14379</v>
      </c>
      <c r="E218" s="292">
        <v>15247</v>
      </c>
      <c r="F218" s="292">
        <v>15545</v>
      </c>
      <c r="G218" s="292">
        <v>16806</v>
      </c>
      <c r="H218" s="292">
        <v>17752</v>
      </c>
      <c r="I218" s="292">
        <v>18597</v>
      </c>
      <c r="J218" s="292">
        <v>19626</v>
      </c>
      <c r="K218" s="292">
        <v>20578</v>
      </c>
      <c r="L218" s="292">
        <v>21121</v>
      </c>
      <c r="M218" s="292">
        <v>21837</v>
      </c>
      <c r="N218" s="292">
        <v>22468</v>
      </c>
      <c r="O218" s="292">
        <v>23476</v>
      </c>
      <c r="P218" s="292">
        <v>24333</v>
      </c>
      <c r="Q218" s="292">
        <v>25623</v>
      </c>
      <c r="R218" s="292">
        <v>26894</v>
      </c>
      <c r="S218" s="292">
        <v>28544</v>
      </c>
      <c r="T218" s="292">
        <v>30894</v>
      </c>
      <c r="U218" s="292">
        <v>31778</v>
      </c>
      <c r="V218" s="292">
        <v>31002</v>
      </c>
      <c r="W218" s="292">
        <v>32767</v>
      </c>
      <c r="X218" s="292">
        <v>33172</v>
      </c>
    </row>
    <row r="219" spans="2:24">
      <c r="B219" s="72" t="s">
        <v>823</v>
      </c>
      <c r="C219" s="72" t="s">
        <v>824</v>
      </c>
      <c r="D219" s="292">
        <v>21553</v>
      </c>
      <c r="E219" s="292">
        <v>21327</v>
      </c>
      <c r="F219" s="292">
        <v>21661</v>
      </c>
      <c r="G219" s="292">
        <v>22655</v>
      </c>
      <c r="H219" s="292">
        <v>23474</v>
      </c>
      <c r="I219" s="292">
        <v>24825</v>
      </c>
      <c r="J219" s="292">
        <v>26540</v>
      </c>
      <c r="K219" s="292">
        <v>27500</v>
      </c>
      <c r="L219" s="292">
        <v>28528</v>
      </c>
      <c r="M219" s="292">
        <v>29296</v>
      </c>
      <c r="N219" s="292">
        <v>29986</v>
      </c>
      <c r="O219" s="292">
        <v>30651</v>
      </c>
      <c r="P219" s="292">
        <v>31644</v>
      </c>
      <c r="Q219" s="292">
        <v>32906</v>
      </c>
      <c r="R219" s="292">
        <v>34382</v>
      </c>
      <c r="S219" s="292">
        <v>35839</v>
      </c>
      <c r="T219" s="292">
        <v>37066</v>
      </c>
      <c r="U219" s="292">
        <v>37431</v>
      </c>
      <c r="V219" s="292">
        <v>35071</v>
      </c>
      <c r="W219" s="292">
        <v>36478</v>
      </c>
      <c r="X219" s="292">
        <v>37109</v>
      </c>
    </row>
    <row r="220" spans="2:24">
      <c r="B220" s="72" t="s">
        <v>825</v>
      </c>
      <c r="C220" s="72" t="s">
        <v>826</v>
      </c>
      <c r="D220" s="292"/>
      <c r="E220" s="292"/>
      <c r="F220" s="292"/>
      <c r="G220" s="292"/>
      <c r="H220" s="292"/>
      <c r="I220" s="292"/>
      <c r="J220" s="292"/>
      <c r="K220" s="292"/>
      <c r="L220" s="292"/>
      <c r="M220" s="292"/>
      <c r="N220" s="292"/>
      <c r="O220" s="292"/>
      <c r="P220" s="292"/>
      <c r="Q220" s="292"/>
      <c r="R220" s="292"/>
      <c r="S220" s="292"/>
      <c r="T220" s="292"/>
      <c r="U220" s="292"/>
      <c r="V220" s="292"/>
      <c r="W220" s="292"/>
      <c r="X220" s="292"/>
    </row>
    <row r="221" spans="2:24">
      <c r="B221" s="72" t="s">
        <v>827</v>
      </c>
      <c r="C221" s="72" t="s">
        <v>828</v>
      </c>
      <c r="D221" s="292"/>
      <c r="E221" s="292"/>
      <c r="F221" s="292"/>
      <c r="G221" s="292"/>
      <c r="H221" s="292"/>
      <c r="I221" s="292"/>
      <c r="J221" s="292"/>
      <c r="K221" s="292"/>
      <c r="L221" s="292"/>
      <c r="M221" s="292"/>
      <c r="N221" s="292"/>
      <c r="O221" s="292"/>
      <c r="P221" s="292"/>
      <c r="Q221" s="292"/>
      <c r="R221" s="292"/>
      <c r="S221" s="292"/>
      <c r="T221" s="292"/>
      <c r="U221" s="292"/>
      <c r="V221" s="292"/>
      <c r="W221" s="292"/>
      <c r="X221" s="292"/>
    </row>
    <row r="222" spans="2:24">
      <c r="B222" s="72" t="s">
        <v>829</v>
      </c>
      <c r="C222" s="72" t="s">
        <v>830</v>
      </c>
      <c r="D222" s="292">
        <v>13520</v>
      </c>
      <c r="E222" s="292">
        <v>12704</v>
      </c>
      <c r="F222" s="292">
        <v>12342</v>
      </c>
      <c r="G222" s="292">
        <v>12254</v>
      </c>
      <c r="H222" s="292">
        <v>12159</v>
      </c>
      <c r="I222" s="292">
        <v>12231</v>
      </c>
      <c r="J222" s="292">
        <v>12108</v>
      </c>
      <c r="K222" s="292">
        <v>11712</v>
      </c>
      <c r="L222" s="292">
        <v>11534</v>
      </c>
      <c r="M222" s="292">
        <v>11576</v>
      </c>
      <c r="N222" s="292">
        <v>11490</v>
      </c>
      <c r="O222" s="292">
        <v>11610</v>
      </c>
      <c r="P222" s="292">
        <v>11667</v>
      </c>
      <c r="Q222" s="292">
        <v>11988</v>
      </c>
      <c r="R222" s="292">
        <v>12365</v>
      </c>
      <c r="S222" s="292">
        <v>12774</v>
      </c>
      <c r="T222" s="292">
        <v>13175</v>
      </c>
      <c r="U222" s="292">
        <v>13167</v>
      </c>
      <c r="V222" s="292">
        <v>12822</v>
      </c>
      <c r="W222" s="292">
        <v>13150</v>
      </c>
      <c r="X222" s="292">
        <v>13610</v>
      </c>
    </row>
    <row r="223" spans="2:24">
      <c r="B223" s="72" t="s">
        <v>831</v>
      </c>
      <c r="C223" s="72" t="s">
        <v>832</v>
      </c>
      <c r="D223" s="292"/>
      <c r="E223" s="292"/>
      <c r="F223" s="292"/>
      <c r="G223" s="292"/>
      <c r="H223" s="292"/>
      <c r="I223" s="292"/>
      <c r="J223" s="292"/>
      <c r="K223" s="292"/>
      <c r="L223" s="292"/>
      <c r="M223" s="292"/>
      <c r="N223" s="292"/>
      <c r="O223" s="292"/>
      <c r="P223" s="292"/>
      <c r="Q223" s="292"/>
      <c r="R223" s="292"/>
      <c r="S223" s="292"/>
      <c r="T223" s="292"/>
      <c r="U223" s="292"/>
      <c r="V223" s="292"/>
      <c r="W223" s="292"/>
      <c r="X223" s="292"/>
    </row>
    <row r="224" spans="2:24">
      <c r="B224" s="72" t="s">
        <v>833</v>
      </c>
      <c r="C224" s="72" t="s">
        <v>834</v>
      </c>
      <c r="D224" s="292">
        <v>34830</v>
      </c>
      <c r="E224" s="292">
        <v>35650</v>
      </c>
      <c r="F224" s="292">
        <v>36313</v>
      </c>
      <c r="G224" s="292">
        <v>37354</v>
      </c>
      <c r="H224" s="292">
        <v>38484</v>
      </c>
      <c r="I224" s="292">
        <v>38744</v>
      </c>
      <c r="J224" s="292">
        <v>38843</v>
      </c>
      <c r="K224" s="292">
        <v>38843</v>
      </c>
      <c r="L224" s="292">
        <v>38901</v>
      </c>
      <c r="M224" s="292">
        <v>38888</v>
      </c>
      <c r="N224" s="292">
        <v>39052</v>
      </c>
      <c r="O224" s="292">
        <v>39146</v>
      </c>
      <c r="P224" s="292">
        <v>39103</v>
      </c>
      <c r="Q224" s="292">
        <v>38965</v>
      </c>
      <c r="R224" s="292">
        <v>38755</v>
      </c>
      <c r="S224" s="292">
        <v>38789</v>
      </c>
      <c r="T224" s="292">
        <v>38959</v>
      </c>
      <c r="U224" s="292">
        <v>39376</v>
      </c>
      <c r="V224" s="292">
        <v>40621</v>
      </c>
      <c r="W224" s="292">
        <v>41679</v>
      </c>
      <c r="X224" s="292">
        <v>42383</v>
      </c>
    </row>
    <row r="225" spans="2:24">
      <c r="B225" s="72" t="s">
        <v>835</v>
      </c>
      <c r="C225" s="72" t="s">
        <v>836</v>
      </c>
      <c r="D225" s="292">
        <v>8796</v>
      </c>
      <c r="E225" s="292">
        <v>9281</v>
      </c>
      <c r="F225" s="292">
        <v>9465</v>
      </c>
      <c r="G225" s="292">
        <v>9849</v>
      </c>
      <c r="H225" s="292">
        <v>10247</v>
      </c>
      <c r="I225" s="292">
        <v>10288</v>
      </c>
      <c r="J225" s="292">
        <v>10811</v>
      </c>
      <c r="K225" s="292">
        <v>10498</v>
      </c>
      <c r="L225" s="292">
        <v>10887</v>
      </c>
      <c r="M225" s="292">
        <v>11121</v>
      </c>
      <c r="N225" s="292">
        <v>11100</v>
      </c>
      <c r="O225" s="292">
        <v>11040</v>
      </c>
      <c r="P225" s="292">
        <v>10873</v>
      </c>
      <c r="Q225" s="292">
        <v>10869</v>
      </c>
      <c r="R225" s="292">
        <v>12137</v>
      </c>
      <c r="S225" s="292">
        <v>12938</v>
      </c>
      <c r="T225" s="292">
        <v>13942</v>
      </c>
      <c r="U225" s="292">
        <v>14499</v>
      </c>
      <c r="V225" s="292">
        <v>15086</v>
      </c>
      <c r="W225" s="292">
        <v>16077</v>
      </c>
      <c r="X225" s="292">
        <v>17068</v>
      </c>
    </row>
    <row r="226" spans="2:24">
      <c r="B226" s="72" t="s">
        <v>837</v>
      </c>
      <c r="C226" s="72" t="s">
        <v>838</v>
      </c>
      <c r="D226" s="292"/>
      <c r="E226" s="292"/>
      <c r="F226" s="292"/>
      <c r="G226" s="292"/>
      <c r="H226" s="292"/>
      <c r="I226" s="292"/>
      <c r="J226" s="292"/>
      <c r="K226" s="292"/>
      <c r="L226" s="292"/>
      <c r="M226" s="292"/>
      <c r="N226" s="292"/>
      <c r="O226" s="292"/>
      <c r="P226" s="292"/>
      <c r="Q226" s="292"/>
      <c r="R226" s="292"/>
      <c r="S226" s="292"/>
      <c r="T226" s="292"/>
      <c r="U226" s="292"/>
      <c r="V226" s="292"/>
      <c r="W226" s="292"/>
      <c r="X226" s="292"/>
    </row>
    <row r="227" spans="2:24">
      <c r="B227" s="72" t="s">
        <v>839</v>
      </c>
      <c r="C227" s="72" t="s">
        <v>840</v>
      </c>
      <c r="D227" s="292">
        <v>9176</v>
      </c>
      <c r="E227" s="292">
        <v>9626</v>
      </c>
      <c r="F227" s="292">
        <v>9295</v>
      </c>
      <c r="G227" s="292">
        <v>9506</v>
      </c>
      <c r="H227" s="292">
        <v>8801</v>
      </c>
      <c r="I227" s="292">
        <v>9189</v>
      </c>
      <c r="J227" s="292">
        <v>9703</v>
      </c>
      <c r="K227" s="292">
        <v>10220</v>
      </c>
      <c r="L227" s="292">
        <v>9862</v>
      </c>
      <c r="M227" s="292">
        <v>9281</v>
      </c>
      <c r="N227" s="292">
        <v>8926</v>
      </c>
      <c r="O227" s="292">
        <v>9666</v>
      </c>
      <c r="P227" s="292">
        <v>9224</v>
      </c>
      <c r="Q227" s="292">
        <v>9993</v>
      </c>
      <c r="R227" s="292">
        <v>10108</v>
      </c>
      <c r="S227" s="292">
        <v>10407</v>
      </c>
      <c r="T227" s="292">
        <v>10398</v>
      </c>
      <c r="U227" s="292">
        <v>10244</v>
      </c>
      <c r="V227" s="292">
        <v>9534</v>
      </c>
      <c r="W227" s="292">
        <v>9827</v>
      </c>
      <c r="X227" s="292">
        <v>9915</v>
      </c>
    </row>
    <row r="228" spans="2:24">
      <c r="B228" s="72" t="s">
        <v>841</v>
      </c>
      <c r="C228" s="72" t="s">
        <v>842</v>
      </c>
      <c r="D228" s="292"/>
      <c r="E228" s="292"/>
      <c r="F228" s="292"/>
      <c r="G228" s="292"/>
      <c r="H228" s="292"/>
      <c r="I228" s="292"/>
      <c r="J228" s="292"/>
      <c r="K228" s="292"/>
      <c r="L228" s="292"/>
      <c r="M228" s="292"/>
      <c r="N228" s="292"/>
      <c r="O228" s="292"/>
      <c r="P228" s="292"/>
      <c r="Q228" s="292"/>
      <c r="R228" s="292"/>
      <c r="S228" s="292"/>
      <c r="T228" s="292"/>
      <c r="U228" s="292"/>
      <c r="V228" s="292"/>
      <c r="W228" s="292"/>
      <c r="X228" s="292"/>
    </row>
    <row r="229" spans="2:24">
      <c r="B229" s="72" t="s">
        <v>843</v>
      </c>
      <c r="C229" s="72" t="s">
        <v>844</v>
      </c>
      <c r="D229" s="292"/>
      <c r="E229" s="292"/>
      <c r="F229" s="292"/>
      <c r="G229" s="292"/>
      <c r="H229" s="292"/>
      <c r="I229" s="292"/>
      <c r="J229" s="292"/>
      <c r="K229" s="292"/>
      <c r="L229" s="292"/>
      <c r="M229" s="292"/>
      <c r="N229" s="292"/>
      <c r="O229" s="292"/>
      <c r="P229" s="292"/>
      <c r="Q229" s="292"/>
      <c r="R229" s="292"/>
      <c r="S229" s="292"/>
      <c r="T229" s="292"/>
      <c r="U229" s="292"/>
      <c r="V229" s="292"/>
      <c r="W229" s="292"/>
      <c r="X229" s="292"/>
    </row>
    <row r="230" spans="2:24">
      <c r="B230" s="72" t="s">
        <v>845</v>
      </c>
      <c r="C230" s="72" t="s">
        <v>846</v>
      </c>
      <c r="D230" s="292">
        <v>2734</v>
      </c>
      <c r="E230" s="292">
        <v>2592</v>
      </c>
      <c r="F230" s="292">
        <v>2721</v>
      </c>
      <c r="G230" s="292">
        <v>2660</v>
      </c>
      <c r="H230" s="292">
        <v>2636</v>
      </c>
      <c r="I230" s="292">
        <v>2707</v>
      </c>
      <c r="J230" s="292">
        <v>2914</v>
      </c>
      <c r="K230" s="292">
        <v>2956</v>
      </c>
      <c r="L230" s="292">
        <v>2958</v>
      </c>
      <c r="M230" s="292">
        <v>3096</v>
      </c>
      <c r="N230" s="292">
        <v>3194</v>
      </c>
      <c r="O230" s="292">
        <v>3278</v>
      </c>
      <c r="P230" s="292">
        <v>3432</v>
      </c>
      <c r="Q230" s="292">
        <v>3457</v>
      </c>
      <c r="R230" s="292">
        <v>3621</v>
      </c>
      <c r="S230" s="292">
        <v>3850</v>
      </c>
      <c r="T230" s="292">
        <v>4121</v>
      </c>
      <c r="U230" s="292">
        <v>4141</v>
      </c>
      <c r="V230" s="292">
        <v>4212</v>
      </c>
      <c r="W230" s="292">
        <v>4349</v>
      </c>
      <c r="X230" s="292">
        <v>4213</v>
      </c>
    </row>
    <row r="231" spans="2:24">
      <c r="B231" s="72" t="s">
        <v>847</v>
      </c>
      <c r="C231" s="72" t="s">
        <v>848</v>
      </c>
      <c r="D231" s="292"/>
      <c r="E231" s="292"/>
      <c r="F231" s="292"/>
      <c r="G231" s="292"/>
      <c r="H231" s="292"/>
      <c r="I231" s="292"/>
      <c r="J231" s="292"/>
      <c r="K231" s="292"/>
      <c r="L231" s="292"/>
      <c r="M231" s="292"/>
      <c r="N231" s="292"/>
      <c r="O231" s="292"/>
      <c r="P231" s="292"/>
      <c r="Q231" s="292"/>
      <c r="R231" s="292"/>
      <c r="S231" s="292"/>
      <c r="T231" s="292"/>
      <c r="U231" s="292"/>
      <c r="V231" s="292"/>
      <c r="W231" s="292"/>
      <c r="X231" s="292"/>
    </row>
    <row r="232" spans="2:24">
      <c r="B232" s="72" t="s">
        <v>849</v>
      </c>
      <c r="C232" s="72" t="s">
        <v>850</v>
      </c>
      <c r="D232" s="292"/>
      <c r="E232" s="292"/>
      <c r="F232" s="292"/>
      <c r="G232" s="292"/>
      <c r="H232" s="292"/>
      <c r="I232" s="292"/>
      <c r="J232" s="292"/>
      <c r="K232" s="292"/>
      <c r="L232" s="292"/>
      <c r="M232" s="292"/>
      <c r="N232" s="292"/>
      <c r="O232" s="292"/>
      <c r="P232" s="292"/>
      <c r="Q232" s="292"/>
      <c r="R232" s="292"/>
      <c r="S232" s="292"/>
      <c r="T232" s="292"/>
      <c r="U232" s="292"/>
      <c r="V232" s="292"/>
      <c r="W232" s="292"/>
      <c r="X232" s="292"/>
    </row>
    <row r="233" spans="2:24">
      <c r="B233" s="72" t="s">
        <v>851</v>
      </c>
      <c r="C233" s="72" t="s">
        <v>386</v>
      </c>
      <c r="D233" s="292">
        <v>33256</v>
      </c>
      <c r="E233" s="292">
        <v>34386</v>
      </c>
      <c r="F233" s="292">
        <v>35325</v>
      </c>
      <c r="G233" s="292">
        <v>37095</v>
      </c>
      <c r="H233" s="292">
        <v>37942</v>
      </c>
      <c r="I233" s="292">
        <v>38865</v>
      </c>
      <c r="J233" s="292">
        <v>40437</v>
      </c>
      <c r="K233" s="292">
        <v>41439</v>
      </c>
      <c r="L233" s="292">
        <v>42477</v>
      </c>
      <c r="M233" s="292">
        <v>43307</v>
      </c>
      <c r="N233" s="292">
        <v>42950</v>
      </c>
      <c r="O233" s="292">
        <v>43995</v>
      </c>
      <c r="P233" s="292">
        <v>45285</v>
      </c>
      <c r="Q233" s="292">
        <v>47536</v>
      </c>
      <c r="R233" s="292">
        <v>48908</v>
      </c>
      <c r="S233" s="292">
        <v>50161</v>
      </c>
      <c r="T233" s="292">
        <v>50655</v>
      </c>
      <c r="U233" s="292">
        <v>49894</v>
      </c>
      <c r="V233" s="292">
        <v>48280</v>
      </c>
      <c r="W233" s="292">
        <v>50426</v>
      </c>
      <c r="X233" s="292">
        <v>51303</v>
      </c>
    </row>
    <row r="234" spans="2:24">
      <c r="B234" s="72" t="s">
        <v>852</v>
      </c>
      <c r="C234" s="72" t="s">
        <v>853</v>
      </c>
      <c r="D234" s="292">
        <v>35702</v>
      </c>
      <c r="E234" s="292">
        <v>36275</v>
      </c>
      <c r="F234" s="292">
        <v>36515</v>
      </c>
      <c r="G234" s="292">
        <v>37193</v>
      </c>
      <c r="H234" s="292">
        <v>37310</v>
      </c>
      <c r="I234" s="292">
        <v>37542</v>
      </c>
      <c r="J234" s="292">
        <v>38301</v>
      </c>
      <c r="K234" s="292">
        <v>38774</v>
      </c>
      <c r="L234" s="292">
        <v>38969</v>
      </c>
      <c r="M234" s="292">
        <v>39686</v>
      </c>
      <c r="N234" s="292">
        <v>39498</v>
      </c>
      <c r="O234" s="292">
        <v>39391</v>
      </c>
      <c r="P234" s="292">
        <v>39449</v>
      </c>
      <c r="Q234" s="292">
        <v>40337</v>
      </c>
      <c r="R234" s="292">
        <v>41161</v>
      </c>
      <c r="S234" s="292">
        <v>41735</v>
      </c>
      <c r="T234" s="292">
        <v>42160</v>
      </c>
      <c r="U234" s="292">
        <v>42139</v>
      </c>
      <c r="V234" s="292">
        <v>41058</v>
      </c>
      <c r="W234" s="292">
        <v>41988</v>
      </c>
      <c r="X234" s="292">
        <v>41937</v>
      </c>
    </row>
    <row r="235" spans="2:24">
      <c r="B235" s="72" t="s">
        <v>854</v>
      </c>
      <c r="C235" s="72" t="s">
        <v>855</v>
      </c>
      <c r="D235" s="292">
        <v>22894</v>
      </c>
      <c r="E235" s="292">
        <v>24631</v>
      </c>
      <c r="F235" s="292">
        <v>25083</v>
      </c>
      <c r="G235" s="292">
        <v>25158</v>
      </c>
      <c r="H235" s="292">
        <v>25179</v>
      </c>
      <c r="I235" s="292">
        <v>25201</v>
      </c>
      <c r="J235" s="292">
        <v>24250</v>
      </c>
      <c r="K235" s="292">
        <v>24923</v>
      </c>
      <c r="L235" s="292">
        <v>23484</v>
      </c>
      <c r="M235" s="292">
        <v>23477</v>
      </c>
      <c r="N235" s="292">
        <v>23808</v>
      </c>
      <c r="O235" s="292">
        <v>24581</v>
      </c>
      <c r="P235" s="292">
        <v>23503</v>
      </c>
      <c r="Q235" s="292">
        <v>24208</v>
      </c>
      <c r="R235" s="292">
        <v>24761</v>
      </c>
      <c r="S235" s="292">
        <v>25218</v>
      </c>
      <c r="T235" s="292">
        <v>25756</v>
      </c>
      <c r="U235" s="292">
        <v>26029</v>
      </c>
      <c r="V235" s="292">
        <v>26924</v>
      </c>
      <c r="W235" s="292">
        <v>27004</v>
      </c>
      <c r="X235" s="292">
        <v>25838</v>
      </c>
    </row>
    <row r="236" spans="2:24">
      <c r="B236" s="72" t="s">
        <v>856</v>
      </c>
      <c r="C236" s="72" t="s">
        <v>857</v>
      </c>
      <c r="D236" s="292">
        <v>7397</v>
      </c>
      <c r="E236" s="292">
        <v>5186</v>
      </c>
      <c r="F236" s="292">
        <v>4469</v>
      </c>
      <c r="G236" s="292">
        <v>3516</v>
      </c>
      <c r="H236" s="292">
        <v>3311</v>
      </c>
      <c r="I236" s="292">
        <v>2747</v>
      </c>
      <c r="J236" s="292">
        <v>2700</v>
      </c>
      <c r="K236" s="292">
        <v>2836</v>
      </c>
      <c r="L236" s="292">
        <v>3040</v>
      </c>
      <c r="M236" s="292">
        <v>3277</v>
      </c>
      <c r="N236" s="292">
        <v>3426</v>
      </c>
      <c r="O236" s="292">
        <v>3740</v>
      </c>
      <c r="P236" s="292">
        <v>4093</v>
      </c>
      <c r="Q236" s="292">
        <v>4071</v>
      </c>
      <c r="R236" s="292">
        <v>4299</v>
      </c>
      <c r="S236" s="292">
        <v>4532</v>
      </c>
      <c r="T236" s="292">
        <v>4853</v>
      </c>
      <c r="U236" s="292">
        <v>5193</v>
      </c>
      <c r="V236" s="292">
        <v>5273</v>
      </c>
      <c r="W236" s="292">
        <v>4895</v>
      </c>
      <c r="X236" s="292">
        <v>5048</v>
      </c>
    </row>
    <row r="237" spans="2:24">
      <c r="B237" s="72" t="s">
        <v>858</v>
      </c>
      <c r="C237" s="72" t="s">
        <v>859</v>
      </c>
      <c r="D237" s="292">
        <v>1115</v>
      </c>
      <c r="E237" s="292">
        <v>1081</v>
      </c>
      <c r="F237" s="292">
        <v>1056</v>
      </c>
      <c r="G237" s="292">
        <v>1036</v>
      </c>
      <c r="H237" s="292">
        <v>1038</v>
      </c>
      <c r="I237" s="292">
        <v>1053</v>
      </c>
      <c r="J237" s="292">
        <v>1061</v>
      </c>
      <c r="K237" s="292">
        <v>1071</v>
      </c>
      <c r="L237" s="292">
        <v>1080</v>
      </c>
      <c r="M237" s="292">
        <v>1104</v>
      </c>
      <c r="N237" s="292">
        <v>1141</v>
      </c>
      <c r="O237" s="292">
        <v>1191</v>
      </c>
      <c r="P237" s="292">
        <v>1239</v>
      </c>
      <c r="Q237" s="292">
        <v>1301</v>
      </c>
      <c r="R237" s="292">
        <v>1359</v>
      </c>
      <c r="S237" s="292">
        <v>1417</v>
      </c>
      <c r="T237" s="292">
        <v>1474</v>
      </c>
      <c r="U237" s="292">
        <v>1540</v>
      </c>
      <c r="V237" s="292">
        <v>1597</v>
      </c>
      <c r="W237" s="292">
        <v>1652</v>
      </c>
      <c r="X237" s="292">
        <v>1702</v>
      </c>
    </row>
    <row r="238" spans="2:24">
      <c r="B238" s="72" t="s">
        <v>860</v>
      </c>
      <c r="C238" s="72" t="s">
        <v>861</v>
      </c>
      <c r="D238" s="292">
        <v>9501</v>
      </c>
      <c r="E238" s="292">
        <v>9744</v>
      </c>
      <c r="F238" s="292">
        <v>10756</v>
      </c>
      <c r="G238" s="292">
        <v>11736</v>
      </c>
      <c r="H238" s="292">
        <v>12549</v>
      </c>
      <c r="I238" s="292">
        <v>13221</v>
      </c>
      <c r="J238" s="292">
        <v>12814</v>
      </c>
      <c r="K238" s="292">
        <v>12007</v>
      </c>
      <c r="L238" s="292">
        <v>12313</v>
      </c>
      <c r="M238" s="292">
        <v>12638</v>
      </c>
      <c r="N238" s="292">
        <v>12585</v>
      </c>
      <c r="O238" s="292">
        <v>12871</v>
      </c>
      <c r="P238" s="292">
        <v>13472</v>
      </c>
      <c r="Q238" s="292">
        <v>13961</v>
      </c>
      <c r="R238" s="292">
        <v>14385</v>
      </c>
      <c r="S238" s="292">
        <v>14936</v>
      </c>
      <c r="T238" s="292">
        <v>15445</v>
      </c>
      <c r="U238" s="292">
        <v>15501</v>
      </c>
      <c r="V238" s="292">
        <v>14863</v>
      </c>
      <c r="W238" s="292">
        <v>15883</v>
      </c>
      <c r="X238" s="292">
        <v>16311</v>
      </c>
    </row>
    <row r="239" spans="2:24">
      <c r="B239" s="72" t="s">
        <v>862</v>
      </c>
      <c r="C239" s="72" t="s">
        <v>863</v>
      </c>
      <c r="D239" s="292"/>
      <c r="E239" s="292"/>
      <c r="F239" s="292"/>
      <c r="G239" s="292"/>
      <c r="H239" s="292"/>
      <c r="I239" s="292"/>
      <c r="J239" s="292"/>
      <c r="K239" s="292"/>
      <c r="L239" s="292"/>
      <c r="M239" s="292"/>
      <c r="N239" s="292"/>
      <c r="O239" s="292"/>
      <c r="P239" s="292"/>
      <c r="Q239" s="292"/>
      <c r="R239" s="292"/>
      <c r="S239" s="292"/>
      <c r="T239" s="292"/>
      <c r="U239" s="292"/>
      <c r="V239" s="292"/>
      <c r="W239" s="292"/>
      <c r="X239" s="292"/>
    </row>
    <row r="240" spans="2:24">
      <c r="B240" s="72" t="s">
        <v>864</v>
      </c>
      <c r="C240" s="72" t="s">
        <v>865</v>
      </c>
      <c r="D240" s="292"/>
      <c r="E240" s="292"/>
      <c r="F240" s="292"/>
      <c r="G240" s="292"/>
      <c r="H240" s="292"/>
      <c r="I240" s="292"/>
      <c r="J240" s="292"/>
      <c r="K240" s="292"/>
      <c r="L240" s="292"/>
      <c r="M240" s="292"/>
      <c r="N240" s="292"/>
      <c r="O240" s="292"/>
      <c r="P240" s="292"/>
      <c r="Q240" s="292"/>
      <c r="R240" s="292"/>
      <c r="S240" s="292"/>
      <c r="T240" s="292"/>
      <c r="U240" s="292"/>
      <c r="V240" s="292"/>
      <c r="W240" s="292"/>
      <c r="X240" s="292"/>
    </row>
    <row r="241" spans="2:24">
      <c r="B241" s="72" t="s">
        <v>866</v>
      </c>
      <c r="C241" s="72" t="s">
        <v>867</v>
      </c>
      <c r="D241" s="292"/>
      <c r="E241" s="292"/>
      <c r="F241" s="292"/>
      <c r="G241" s="292"/>
      <c r="H241" s="292"/>
      <c r="I241" s="292"/>
      <c r="J241" s="292"/>
      <c r="K241" s="292"/>
      <c r="L241" s="292"/>
      <c r="M241" s="292"/>
      <c r="N241" s="292"/>
      <c r="O241" s="292"/>
      <c r="P241" s="292"/>
      <c r="Q241" s="292"/>
      <c r="R241" s="292"/>
      <c r="S241" s="292"/>
      <c r="T241" s="292"/>
      <c r="U241" s="292"/>
      <c r="V241" s="292"/>
      <c r="W241" s="292"/>
      <c r="X241" s="292"/>
    </row>
    <row r="242" spans="2:24">
      <c r="B242" s="72" t="s">
        <v>868</v>
      </c>
      <c r="C242" s="72" t="s">
        <v>869</v>
      </c>
      <c r="D242" s="292">
        <v>28449</v>
      </c>
      <c r="E242" s="292">
        <v>27643</v>
      </c>
      <c r="F242" s="292">
        <v>27335</v>
      </c>
      <c r="G242" s="292">
        <v>27554</v>
      </c>
      <c r="H242" s="292">
        <v>27588</v>
      </c>
      <c r="I242" s="292">
        <v>28687</v>
      </c>
      <c r="J242" s="292">
        <v>29844</v>
      </c>
      <c r="K242" s="292">
        <v>30954</v>
      </c>
      <c r="L242" s="292">
        <v>32748</v>
      </c>
      <c r="M242" s="292">
        <v>34054</v>
      </c>
      <c r="N242" s="292">
        <v>34714</v>
      </c>
      <c r="O242" s="292">
        <v>36685</v>
      </c>
      <c r="P242" s="292">
        <v>41272</v>
      </c>
      <c r="Q242" s="292">
        <v>42322</v>
      </c>
      <c r="R242" s="292">
        <v>43689</v>
      </c>
      <c r="S242" s="292">
        <v>48944</v>
      </c>
      <c r="T242" s="292">
        <v>51068</v>
      </c>
      <c r="U242" s="292">
        <v>51383</v>
      </c>
      <c r="V242" s="292">
        <v>49936</v>
      </c>
      <c r="W242" s="292">
        <v>49815</v>
      </c>
      <c r="X242" s="292">
        <v>50599</v>
      </c>
    </row>
    <row r="243" spans="2:24">
      <c r="B243" s="72" t="s">
        <v>870</v>
      </c>
      <c r="C243" s="72" t="s">
        <v>871</v>
      </c>
      <c r="D243" s="292">
        <v>11347</v>
      </c>
      <c r="E243" s="292">
        <v>11847</v>
      </c>
      <c r="F243" s="292">
        <v>11724</v>
      </c>
      <c r="G243" s="292">
        <v>11705</v>
      </c>
      <c r="H243" s="292">
        <v>11640</v>
      </c>
      <c r="I243" s="292">
        <v>12112</v>
      </c>
      <c r="J243" s="292">
        <v>12415</v>
      </c>
      <c r="K243" s="292">
        <v>12733</v>
      </c>
      <c r="L243" s="292">
        <v>13213</v>
      </c>
      <c r="M243" s="292">
        <v>13482</v>
      </c>
      <c r="N243" s="292">
        <v>13825</v>
      </c>
      <c r="O243" s="292">
        <v>13756</v>
      </c>
      <c r="P243" s="292">
        <v>14277</v>
      </c>
      <c r="Q243" s="292">
        <v>14850</v>
      </c>
      <c r="R243" s="292">
        <v>15143</v>
      </c>
      <c r="S243" s="292">
        <v>15643</v>
      </c>
      <c r="T243" s="292">
        <v>16313</v>
      </c>
      <c r="U243" s="292">
        <v>16744</v>
      </c>
      <c r="V243" s="292">
        <v>17036</v>
      </c>
      <c r="W243" s="292">
        <v>17339</v>
      </c>
      <c r="X243" s="292">
        <v>17151</v>
      </c>
    </row>
    <row r="244" spans="2:24">
      <c r="B244" s="72" t="s">
        <v>872</v>
      </c>
      <c r="C244" s="72" t="s">
        <v>873</v>
      </c>
      <c r="D244" s="292">
        <v>15576</v>
      </c>
      <c r="E244" s="292">
        <v>16366</v>
      </c>
      <c r="F244" s="292">
        <v>18576</v>
      </c>
      <c r="G244" s="292">
        <v>16273</v>
      </c>
      <c r="H244" s="292">
        <v>16963</v>
      </c>
      <c r="I244" s="292">
        <v>17643</v>
      </c>
      <c r="J244" s="292">
        <v>18961</v>
      </c>
      <c r="K244" s="292">
        <v>19044</v>
      </c>
      <c r="L244" s="292">
        <v>18183</v>
      </c>
      <c r="M244" s="292">
        <v>19826</v>
      </c>
      <c r="N244" s="292">
        <v>18745</v>
      </c>
      <c r="O244" s="292">
        <v>20055</v>
      </c>
      <c r="P244" s="292">
        <v>21313</v>
      </c>
      <c r="Q244" s="292">
        <v>25062</v>
      </c>
      <c r="R244" s="292">
        <v>26593</v>
      </c>
      <c r="S244" s="292">
        <v>27943</v>
      </c>
      <c r="T244" s="292">
        <v>28814</v>
      </c>
      <c r="U244" s="292">
        <v>28394</v>
      </c>
      <c r="V244" s="292">
        <v>26920</v>
      </c>
      <c r="W244" s="292">
        <v>27671</v>
      </c>
      <c r="X244" s="292">
        <v>29274</v>
      </c>
    </row>
    <row r="245" spans="2:24">
      <c r="B245" s="72" t="s">
        <v>874</v>
      </c>
      <c r="C245" s="72" t="s">
        <v>875</v>
      </c>
      <c r="D245" s="292">
        <v>8301</v>
      </c>
      <c r="E245" s="292">
        <v>6827</v>
      </c>
      <c r="F245" s="292">
        <v>6717</v>
      </c>
      <c r="G245" s="292">
        <v>5345</v>
      </c>
      <c r="H245" s="292">
        <v>4814</v>
      </c>
      <c r="I245" s="292">
        <v>5046</v>
      </c>
      <c r="J245" s="292">
        <v>4382</v>
      </c>
      <c r="K245" s="292">
        <v>4634</v>
      </c>
      <c r="L245" s="292">
        <v>5086</v>
      </c>
      <c r="M245" s="292">
        <v>5488</v>
      </c>
      <c r="N245" s="292">
        <v>5612</v>
      </c>
      <c r="O245" s="292">
        <v>5442</v>
      </c>
      <c r="P245" s="292">
        <v>5478</v>
      </c>
      <c r="Q245" s="292">
        <v>5603</v>
      </c>
      <c r="R245" s="292">
        <v>6186</v>
      </c>
      <c r="S245" s="292">
        <v>6700</v>
      </c>
      <c r="T245" s="292">
        <v>7270</v>
      </c>
      <c r="U245" s="292">
        <v>8154</v>
      </c>
      <c r="V245" s="292">
        <v>8341</v>
      </c>
      <c r="W245" s="292">
        <v>8893</v>
      </c>
      <c r="X245" s="292">
        <v>9569</v>
      </c>
    </row>
    <row r="246" spans="2:24">
      <c r="B246" s="72" t="s">
        <v>876</v>
      </c>
      <c r="C246" s="72" t="s">
        <v>877</v>
      </c>
      <c r="D246" s="292"/>
      <c r="E246" s="292"/>
      <c r="F246" s="292"/>
      <c r="G246" s="292"/>
      <c r="H246" s="292"/>
      <c r="I246" s="292"/>
      <c r="J246" s="292"/>
      <c r="K246" s="292"/>
      <c r="L246" s="292"/>
      <c r="M246" s="292"/>
      <c r="N246" s="292"/>
      <c r="O246" s="292"/>
      <c r="P246" s="292"/>
      <c r="Q246" s="292"/>
      <c r="R246" s="292"/>
      <c r="S246" s="292"/>
      <c r="T246" s="292"/>
      <c r="U246" s="292"/>
      <c r="V246" s="292"/>
      <c r="W246" s="292"/>
      <c r="X246" s="292"/>
    </row>
    <row r="247" spans="2:24">
      <c r="B247" s="72" t="s">
        <v>878</v>
      </c>
      <c r="C247" s="72" t="s">
        <v>879</v>
      </c>
      <c r="D247" s="292"/>
      <c r="E247" s="292"/>
      <c r="F247" s="292"/>
      <c r="G247" s="292"/>
      <c r="H247" s="292"/>
      <c r="I247" s="292"/>
      <c r="J247" s="292"/>
      <c r="K247" s="292"/>
      <c r="L247" s="292"/>
      <c r="M247" s="292"/>
      <c r="N247" s="292"/>
      <c r="O247" s="292"/>
      <c r="P247" s="292"/>
      <c r="Q247" s="292"/>
      <c r="R247" s="292"/>
      <c r="S247" s="292"/>
      <c r="T247" s="292"/>
      <c r="U247" s="292"/>
      <c r="V247" s="292"/>
      <c r="W247" s="292"/>
      <c r="X247" s="292"/>
    </row>
    <row r="248" spans="2:24">
      <c r="B248" s="72" t="s">
        <v>880</v>
      </c>
      <c r="C248" s="72" t="s">
        <v>881</v>
      </c>
      <c r="D248" s="292">
        <v>1271</v>
      </c>
      <c r="E248" s="292">
        <v>1266</v>
      </c>
      <c r="F248" s="292">
        <v>1332</v>
      </c>
      <c r="G248" s="292">
        <v>1378</v>
      </c>
      <c r="H248" s="292">
        <v>1492</v>
      </c>
      <c r="I248" s="292">
        <v>1583</v>
      </c>
      <c r="J248" s="292">
        <v>1625</v>
      </c>
      <c r="K248" s="292">
        <v>1641</v>
      </c>
      <c r="L248" s="292">
        <v>1727</v>
      </c>
      <c r="M248" s="292">
        <v>1767</v>
      </c>
      <c r="N248" s="292">
        <v>1805</v>
      </c>
      <c r="O248" s="292">
        <v>1901</v>
      </c>
      <c r="P248" s="292">
        <v>1962</v>
      </c>
      <c r="Q248" s="292">
        <v>2029</v>
      </c>
      <c r="R248" s="292">
        <v>2090</v>
      </c>
      <c r="S248" s="292">
        <v>2242</v>
      </c>
      <c r="T248" s="292">
        <v>2351</v>
      </c>
      <c r="U248" s="292">
        <v>2474</v>
      </c>
      <c r="V248" s="292">
        <v>2565</v>
      </c>
      <c r="W248" s="292">
        <v>2612</v>
      </c>
      <c r="X248" s="292">
        <v>2673</v>
      </c>
    </row>
    <row r="249" spans="2:24">
      <c r="B249" s="72" t="s">
        <v>882</v>
      </c>
      <c r="C249" s="72" t="s">
        <v>883</v>
      </c>
      <c r="D249" s="292">
        <v>11372</v>
      </c>
      <c r="E249" s="292">
        <v>10447</v>
      </c>
      <c r="F249" s="292">
        <v>9172</v>
      </c>
      <c r="G249" s="292">
        <v>7344</v>
      </c>
      <c r="H249" s="292">
        <v>6261</v>
      </c>
      <c r="I249" s="292">
        <v>5752</v>
      </c>
      <c r="J249" s="292">
        <v>5737</v>
      </c>
      <c r="K249" s="292">
        <v>5688</v>
      </c>
      <c r="L249" s="292">
        <v>5815</v>
      </c>
      <c r="M249" s="292">
        <v>6319</v>
      </c>
      <c r="N249" s="292">
        <v>6985</v>
      </c>
      <c r="O249" s="292">
        <v>7227</v>
      </c>
      <c r="P249" s="292">
        <v>7895</v>
      </c>
      <c r="Q249" s="292">
        <v>8853</v>
      </c>
      <c r="R249" s="292">
        <v>8925</v>
      </c>
      <c r="S249" s="292">
        <v>9558</v>
      </c>
      <c r="T249" s="292">
        <v>10231</v>
      </c>
      <c r="U249" s="292">
        <v>10433</v>
      </c>
      <c r="V249" s="292">
        <v>9237</v>
      </c>
      <c r="W249" s="292">
        <v>9593</v>
      </c>
      <c r="X249" s="292">
        <v>10098</v>
      </c>
    </row>
    <row r="250" spans="2:24">
      <c r="B250" s="72" t="s">
        <v>884</v>
      </c>
      <c r="C250" s="72" t="s">
        <v>885</v>
      </c>
      <c r="D250" s="292">
        <v>26744</v>
      </c>
      <c r="E250" s="292">
        <v>25674</v>
      </c>
      <c r="F250" s="292">
        <v>23899</v>
      </c>
      <c r="G250" s="292">
        <v>23980</v>
      </c>
      <c r="H250" s="292">
        <v>23993</v>
      </c>
      <c r="I250" s="292">
        <v>23847</v>
      </c>
      <c r="J250" s="292">
        <v>24432</v>
      </c>
      <c r="K250" s="292">
        <v>23251</v>
      </c>
      <c r="L250" s="292">
        <v>22792</v>
      </c>
      <c r="M250" s="292">
        <v>24178</v>
      </c>
      <c r="N250" s="292">
        <v>23327</v>
      </c>
      <c r="O250" s="292">
        <v>21996</v>
      </c>
      <c r="P250" s="292">
        <v>24002</v>
      </c>
      <c r="Q250" s="292">
        <v>24054</v>
      </c>
      <c r="R250" s="292">
        <v>23077</v>
      </c>
      <c r="S250" s="292">
        <v>21596</v>
      </c>
      <c r="T250" s="292">
        <v>19621</v>
      </c>
      <c r="U250" s="292">
        <v>17860</v>
      </c>
      <c r="V250" s="292">
        <v>15418</v>
      </c>
      <c r="W250" s="292">
        <v>15347</v>
      </c>
      <c r="X250" s="292">
        <v>15332</v>
      </c>
    </row>
    <row r="251" spans="2:24">
      <c r="B251" s="72" t="s">
        <v>886</v>
      </c>
      <c r="C251" s="72" t="s">
        <v>887</v>
      </c>
      <c r="D251" s="292">
        <v>35616</v>
      </c>
      <c r="E251" s="292">
        <v>36477</v>
      </c>
      <c r="F251" s="292">
        <v>37628</v>
      </c>
      <c r="G251" s="292">
        <v>38929</v>
      </c>
      <c r="H251" s="292">
        <v>39631</v>
      </c>
      <c r="I251" s="292">
        <v>40396</v>
      </c>
      <c r="J251" s="292">
        <v>40997</v>
      </c>
      <c r="K251" s="292">
        <v>42046</v>
      </c>
      <c r="L251" s="292">
        <v>42909</v>
      </c>
      <c r="M251" s="292">
        <v>44075</v>
      </c>
      <c r="N251" s="292">
        <v>44790</v>
      </c>
      <c r="O251" s="292">
        <v>45383</v>
      </c>
      <c r="P251" s="292">
        <v>46216</v>
      </c>
      <c r="Q251" s="292">
        <v>47079</v>
      </c>
      <c r="R251" s="292">
        <v>47617</v>
      </c>
      <c r="S251" s="292">
        <v>48520</v>
      </c>
      <c r="T251" s="292">
        <v>49487</v>
      </c>
      <c r="U251" s="292">
        <v>49095</v>
      </c>
      <c r="V251" s="292">
        <v>47449</v>
      </c>
      <c r="W251" s="292">
        <v>47986</v>
      </c>
      <c r="X251" s="292">
        <v>47884</v>
      </c>
    </row>
    <row r="252" spans="2:24">
      <c r="B252" s="72" t="s">
        <v>888</v>
      </c>
      <c r="C252" s="72" t="s">
        <v>889</v>
      </c>
      <c r="D252" s="292">
        <v>48179</v>
      </c>
      <c r="E252" s="292">
        <v>49505</v>
      </c>
      <c r="F252" s="292">
        <v>50193</v>
      </c>
      <c r="G252" s="292">
        <v>51063</v>
      </c>
      <c r="H252" s="292">
        <v>51578</v>
      </c>
      <c r="I252" s="292">
        <v>52723</v>
      </c>
      <c r="J252" s="292">
        <v>53836</v>
      </c>
      <c r="K252" s="292">
        <v>55329</v>
      </c>
      <c r="L252" s="292">
        <v>57074</v>
      </c>
      <c r="M252" s="292">
        <v>58601</v>
      </c>
      <c r="N252" s="292">
        <v>59190</v>
      </c>
      <c r="O252" s="292">
        <v>60424</v>
      </c>
      <c r="P252" s="292">
        <v>61460</v>
      </c>
      <c r="Q252" s="292">
        <v>62911</v>
      </c>
      <c r="R252" s="292">
        <v>63741</v>
      </c>
      <c r="S252" s="292">
        <v>64228</v>
      </c>
      <c r="T252" s="292">
        <v>64740</v>
      </c>
      <c r="U252" s="292">
        <v>64812</v>
      </c>
      <c r="V252" s="292">
        <v>64970</v>
      </c>
      <c r="W252" s="292">
        <v>67319</v>
      </c>
      <c r="X252" s="292">
        <v>68156</v>
      </c>
    </row>
    <row r="253" spans="2:24">
      <c r="B253" s="72" t="s">
        <v>890</v>
      </c>
      <c r="C253" s="72" t="s">
        <v>891</v>
      </c>
      <c r="D253" s="292">
        <v>18448</v>
      </c>
      <c r="E253" s="292">
        <v>19598</v>
      </c>
      <c r="F253" s="292">
        <v>19952</v>
      </c>
      <c r="G253" s="292">
        <v>20837</v>
      </c>
      <c r="H253" s="292">
        <v>20220</v>
      </c>
      <c r="I253" s="292">
        <v>21915</v>
      </c>
      <c r="J253" s="292">
        <v>23069</v>
      </c>
      <c r="K253" s="292">
        <v>25617</v>
      </c>
      <c r="L253" s="292">
        <v>25384</v>
      </c>
      <c r="M253" s="292">
        <v>25358</v>
      </c>
      <c r="N253" s="292">
        <v>24304</v>
      </c>
      <c r="O253" s="292">
        <v>22412</v>
      </c>
      <c r="P253" s="292">
        <v>23039</v>
      </c>
      <c r="Q253" s="292">
        <v>24666</v>
      </c>
      <c r="R253" s="292">
        <v>25436</v>
      </c>
      <c r="S253" s="292">
        <v>21459</v>
      </c>
      <c r="T253" s="292">
        <v>21993</v>
      </c>
      <c r="U253" s="292">
        <v>23039</v>
      </c>
      <c r="V253" s="292">
        <v>22064</v>
      </c>
      <c r="W253" s="292">
        <v>23775</v>
      </c>
      <c r="X253" s="292">
        <v>25016</v>
      </c>
    </row>
    <row r="254" spans="2:24">
      <c r="B254" s="72" t="s">
        <v>892</v>
      </c>
      <c r="C254" s="72" t="s">
        <v>893</v>
      </c>
      <c r="D254" s="292">
        <v>10563</v>
      </c>
      <c r="E254" s="292">
        <v>9377</v>
      </c>
      <c r="F254" s="292">
        <v>9175</v>
      </c>
      <c r="G254" s="292">
        <v>8573</v>
      </c>
      <c r="H254" s="292">
        <v>8426</v>
      </c>
      <c r="I254" s="292">
        <v>8457</v>
      </c>
      <c r="J254" s="292">
        <v>8775</v>
      </c>
      <c r="K254" s="292">
        <v>9027</v>
      </c>
      <c r="L254" s="292">
        <v>9325</v>
      </c>
      <c r="M254" s="292">
        <v>9574</v>
      </c>
      <c r="N254" s="292">
        <v>9809</v>
      </c>
      <c r="O254" s="292">
        <v>9986</v>
      </c>
      <c r="P254" s="292">
        <v>10128</v>
      </c>
      <c r="Q254" s="292">
        <v>10524</v>
      </c>
      <c r="R254" s="292">
        <v>10945</v>
      </c>
      <c r="S254" s="292">
        <v>11462</v>
      </c>
      <c r="T254" s="292">
        <v>12237</v>
      </c>
      <c r="U254" s="292">
        <v>12976</v>
      </c>
      <c r="V254" s="292">
        <v>13664</v>
      </c>
      <c r="W254" s="292">
        <v>14443</v>
      </c>
      <c r="X254" s="292">
        <v>15126</v>
      </c>
    </row>
    <row r="255" spans="2:24">
      <c r="B255" s="72" t="s">
        <v>894</v>
      </c>
      <c r="C255" s="72" t="s">
        <v>895</v>
      </c>
      <c r="D255" s="292"/>
      <c r="E255" s="292"/>
      <c r="F255" s="292"/>
      <c r="G255" s="292"/>
      <c r="H255" s="292"/>
      <c r="I255" s="292"/>
      <c r="J255" s="292"/>
      <c r="K255" s="292"/>
      <c r="L255" s="292"/>
      <c r="M255" s="292"/>
      <c r="N255" s="292"/>
      <c r="O255" s="292"/>
      <c r="P255" s="292"/>
      <c r="Q255" s="292"/>
      <c r="R255" s="292"/>
      <c r="S255" s="292"/>
      <c r="T255" s="292"/>
      <c r="U255" s="292"/>
      <c r="V255" s="292"/>
      <c r="W255" s="292"/>
      <c r="X255" s="292"/>
    </row>
    <row r="256" spans="2:24">
      <c r="B256" s="72" t="s">
        <v>896</v>
      </c>
      <c r="C256" s="72" t="s">
        <v>897</v>
      </c>
      <c r="D256" s="292">
        <v>27694</v>
      </c>
      <c r="E256" s="292">
        <v>28465</v>
      </c>
      <c r="F256" s="292">
        <v>27720</v>
      </c>
      <c r="G256" s="292">
        <v>26115</v>
      </c>
      <c r="H256" s="292">
        <v>26291</v>
      </c>
      <c r="I256" s="292">
        <v>25408</v>
      </c>
      <c r="J256" s="292">
        <v>26440</v>
      </c>
      <c r="K256" s="292">
        <v>25794</v>
      </c>
      <c r="L256" s="292">
        <v>23518</v>
      </c>
      <c r="M256" s="292">
        <v>23653</v>
      </c>
      <c r="N256" s="292">
        <v>23841</v>
      </c>
      <c r="O256" s="292">
        <v>21851</v>
      </c>
      <c r="P256" s="292">
        <v>20003</v>
      </c>
      <c r="Q256" s="292">
        <v>23475</v>
      </c>
      <c r="R256" s="292">
        <v>26468</v>
      </c>
      <c r="S256" s="292">
        <v>28248</v>
      </c>
      <c r="T256" s="292">
        <v>30157</v>
      </c>
      <c r="U256" s="292">
        <v>30831</v>
      </c>
      <c r="V256" s="292">
        <v>28846</v>
      </c>
      <c r="W256" s="292">
        <v>27814</v>
      </c>
      <c r="X256" s="292">
        <v>28015</v>
      </c>
    </row>
    <row r="257" spans="2:54">
      <c r="B257" s="72" t="s">
        <v>898</v>
      </c>
      <c r="C257" s="72" t="s">
        <v>899</v>
      </c>
      <c r="D257" s="292">
        <v>2424</v>
      </c>
      <c r="E257" s="292">
        <v>2567</v>
      </c>
      <c r="F257" s="292">
        <v>2713</v>
      </c>
      <c r="G257" s="292">
        <v>2888</v>
      </c>
      <c r="H257" s="292">
        <v>3094</v>
      </c>
      <c r="I257" s="292">
        <v>3310</v>
      </c>
      <c r="J257" s="292">
        <v>3503</v>
      </c>
      <c r="K257" s="292">
        <v>3628</v>
      </c>
      <c r="L257" s="292">
        <v>3722</v>
      </c>
      <c r="M257" s="292">
        <v>3803</v>
      </c>
      <c r="N257" s="292">
        <v>3970</v>
      </c>
      <c r="O257" s="292">
        <v>4144</v>
      </c>
      <c r="P257" s="292">
        <v>4328</v>
      </c>
      <c r="Q257" s="292">
        <v>4553</v>
      </c>
      <c r="R257" s="292">
        <v>4801</v>
      </c>
      <c r="S257" s="292">
        <v>5054</v>
      </c>
      <c r="T257" s="292">
        <v>5333</v>
      </c>
      <c r="U257" s="292">
        <v>5516</v>
      </c>
      <c r="V257" s="292">
        <v>5654</v>
      </c>
      <c r="W257" s="292">
        <v>5877</v>
      </c>
      <c r="X257" s="292">
        <v>6110</v>
      </c>
    </row>
    <row r="258" spans="2:54">
      <c r="B258" s="72" t="s">
        <v>900</v>
      </c>
      <c r="C258" s="72" t="s">
        <v>901</v>
      </c>
      <c r="D258" s="292"/>
      <c r="E258" s="292"/>
      <c r="F258" s="292"/>
      <c r="G258" s="292"/>
      <c r="H258" s="292"/>
      <c r="I258" s="292"/>
      <c r="J258" s="292"/>
      <c r="K258" s="292"/>
      <c r="L258" s="292"/>
      <c r="M258" s="292"/>
      <c r="N258" s="292"/>
      <c r="O258" s="292"/>
      <c r="P258" s="292"/>
      <c r="Q258" s="292"/>
      <c r="R258" s="292"/>
      <c r="S258" s="292"/>
      <c r="T258" s="292"/>
      <c r="U258" s="292"/>
      <c r="V258" s="292"/>
      <c r="W258" s="292"/>
      <c r="X258" s="292"/>
    </row>
    <row r="259" spans="2:54">
      <c r="B259" s="72" t="s">
        <v>902</v>
      </c>
      <c r="C259" s="72" t="s">
        <v>903</v>
      </c>
      <c r="D259" s="292"/>
      <c r="E259" s="292"/>
      <c r="F259" s="292"/>
      <c r="G259" s="292"/>
      <c r="H259" s="292"/>
      <c r="I259" s="292"/>
      <c r="J259" s="292"/>
      <c r="K259" s="292"/>
      <c r="L259" s="292"/>
      <c r="M259" s="292"/>
      <c r="N259" s="292"/>
      <c r="O259" s="292"/>
      <c r="P259" s="292"/>
      <c r="Q259" s="292"/>
      <c r="R259" s="292"/>
      <c r="S259" s="292"/>
      <c r="T259" s="292"/>
      <c r="U259" s="292"/>
      <c r="V259" s="292"/>
      <c r="W259" s="292"/>
      <c r="X259" s="292"/>
    </row>
    <row r="260" spans="2:54">
      <c r="B260" s="72" t="s">
        <v>904</v>
      </c>
      <c r="C260" s="72" t="s">
        <v>905</v>
      </c>
      <c r="D260" s="292">
        <v>11256</v>
      </c>
      <c r="E260" s="292">
        <v>11455</v>
      </c>
      <c r="F260" s="292">
        <v>11114</v>
      </c>
      <c r="G260" s="292">
        <v>11104</v>
      </c>
      <c r="H260" s="292">
        <v>11195</v>
      </c>
      <c r="I260" s="292">
        <v>11198</v>
      </c>
      <c r="J260" s="292">
        <v>11341</v>
      </c>
      <c r="K260" s="292">
        <v>11627</v>
      </c>
      <c r="L260" s="292">
        <v>11623</v>
      </c>
      <c r="M260" s="292">
        <v>11877</v>
      </c>
      <c r="N260" s="292">
        <v>11824</v>
      </c>
      <c r="O260" s="292">
        <v>11780</v>
      </c>
      <c r="P260" s="292">
        <v>11686</v>
      </c>
      <c r="Q260" s="292">
        <v>11646</v>
      </c>
      <c r="R260" s="292">
        <v>11793</v>
      </c>
      <c r="S260" s="292">
        <v>11648</v>
      </c>
      <c r="T260" s="292">
        <v>11527</v>
      </c>
      <c r="U260" s="292">
        <v>11449</v>
      </c>
      <c r="V260" s="292">
        <v>11406</v>
      </c>
      <c r="W260" s="292">
        <v>11889</v>
      </c>
      <c r="X260" s="292">
        <v>11195</v>
      </c>
    </row>
    <row r="261" spans="2:54">
      <c r="B261" s="72" t="s">
        <v>906</v>
      </c>
      <c r="C261" s="72" t="s">
        <v>907</v>
      </c>
      <c r="D261" s="292">
        <v>2094</v>
      </c>
      <c r="E261" s="292">
        <v>2073</v>
      </c>
      <c r="F261" s="292">
        <v>2020</v>
      </c>
      <c r="G261" s="292">
        <v>1696</v>
      </c>
      <c r="H261" s="292">
        <v>1602</v>
      </c>
      <c r="I261" s="292">
        <v>1669</v>
      </c>
      <c r="J261" s="292">
        <v>1676</v>
      </c>
      <c r="K261" s="292">
        <v>1596</v>
      </c>
      <c r="L261" s="292">
        <v>1589</v>
      </c>
      <c r="M261" s="292">
        <v>1609</v>
      </c>
      <c r="N261" s="292">
        <v>1653</v>
      </c>
      <c r="O261" s="292">
        <v>1675</v>
      </c>
      <c r="P261" s="292">
        <v>1731</v>
      </c>
      <c r="Q261" s="292">
        <v>1793</v>
      </c>
      <c r="R261" s="292">
        <v>1851</v>
      </c>
      <c r="S261" s="292">
        <v>1927</v>
      </c>
      <c r="T261" s="292">
        <v>2001</v>
      </c>
      <c r="U261" s="292">
        <v>2064</v>
      </c>
      <c r="V261" s="292">
        <v>2138</v>
      </c>
      <c r="W261" s="292">
        <v>2233</v>
      </c>
      <c r="X261" s="292">
        <v>2311</v>
      </c>
    </row>
    <row r="262" spans="2:54">
      <c r="B262" s="72" t="s">
        <v>908</v>
      </c>
      <c r="C262" s="72" t="s">
        <v>909</v>
      </c>
      <c r="D262" s="292">
        <v>3438</v>
      </c>
      <c r="E262" s="292">
        <v>3053</v>
      </c>
      <c r="F262" s="292">
        <v>3029</v>
      </c>
      <c r="G262" s="292">
        <v>3116</v>
      </c>
      <c r="H262" s="292">
        <v>3040</v>
      </c>
      <c r="I262" s="292">
        <v>3253</v>
      </c>
      <c r="J262" s="292">
        <v>3212</v>
      </c>
      <c r="K262" s="292">
        <v>3190</v>
      </c>
      <c r="L262" s="292">
        <v>3067</v>
      </c>
      <c r="M262" s="292">
        <v>2810</v>
      </c>
      <c r="N262" s="292">
        <v>2867</v>
      </c>
      <c r="O262" s="292">
        <v>2579</v>
      </c>
      <c r="P262" s="292">
        <v>2152</v>
      </c>
      <c r="Q262" s="292">
        <v>2009</v>
      </c>
      <c r="R262" s="292">
        <v>1974</v>
      </c>
      <c r="S262" s="292">
        <v>1919</v>
      </c>
      <c r="T262" s="292">
        <v>1867</v>
      </c>
      <c r="U262" s="292">
        <v>1559</v>
      </c>
      <c r="V262" s="292">
        <v>1629</v>
      </c>
      <c r="W262" s="292">
        <v>1711</v>
      </c>
      <c r="X262" s="292">
        <v>1707</v>
      </c>
    </row>
    <row r="264" spans="2:54">
      <c r="B264" s="153" t="s">
        <v>1091</v>
      </c>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row>
    <row r="266" spans="2:54">
      <c r="B266" s="286" t="s">
        <v>400</v>
      </c>
      <c r="C266" s="286" t="s">
        <v>401</v>
      </c>
      <c r="D266" s="286" t="s">
        <v>413</v>
      </c>
      <c r="E266" s="286" t="s">
        <v>414</v>
      </c>
      <c r="F266" s="286" t="s">
        <v>415</v>
      </c>
      <c r="G266" s="286" t="s">
        <v>416</v>
      </c>
      <c r="H266" s="286" t="s">
        <v>417</v>
      </c>
      <c r="I266" s="286" t="s">
        <v>418</v>
      </c>
      <c r="J266" s="286" t="s">
        <v>419</v>
      </c>
      <c r="K266" s="286" t="s">
        <v>420</v>
      </c>
      <c r="L266" s="286" t="s">
        <v>421</v>
      </c>
      <c r="M266" s="286" t="s">
        <v>422</v>
      </c>
      <c r="N266" s="286" t="s">
        <v>423</v>
      </c>
      <c r="O266" s="286" t="s">
        <v>424</v>
      </c>
      <c r="P266" s="286" t="s">
        <v>425</v>
      </c>
      <c r="Q266" s="286" t="s">
        <v>426</v>
      </c>
      <c r="R266" s="286" t="s">
        <v>427</v>
      </c>
      <c r="S266" s="286" t="s">
        <v>428</v>
      </c>
      <c r="T266" s="286" t="s">
        <v>429</v>
      </c>
      <c r="U266" s="286" t="s">
        <v>430</v>
      </c>
      <c r="V266" s="286" t="s">
        <v>431</v>
      </c>
      <c r="W266" s="286" t="s">
        <v>432</v>
      </c>
      <c r="X266" s="286" t="s">
        <v>433</v>
      </c>
    </row>
    <row r="267" spans="2:54">
      <c r="B267" s="72" t="s">
        <v>434</v>
      </c>
      <c r="C267" s="72" t="s">
        <v>435</v>
      </c>
      <c r="D267" s="293">
        <f t="shared" ref="D267:D330" si="0">D17/D$251</f>
        <v>0.32250761712760001</v>
      </c>
      <c r="E267" s="293">
        <f t="shared" ref="E267:X280" si="1">E17/E$251</f>
        <v>0.31952424097954862</v>
      </c>
      <c r="F267" s="293">
        <f t="shared" si="1"/>
        <v>0.30442063370068251</v>
      </c>
      <c r="G267" s="293">
        <f t="shared" si="1"/>
        <v>0.29351987671198798</v>
      </c>
      <c r="H267" s="293">
        <f t="shared" si="1"/>
        <v>0.28433241527906988</v>
      </c>
      <c r="I267" s="293">
        <f t="shared" si="1"/>
        <v>0.28174114662486388</v>
      </c>
      <c r="J267" s="293">
        <f t="shared" si="1"/>
        <v>0.27606391607485664</v>
      </c>
      <c r="K267" s="293">
        <f t="shared" si="1"/>
        <v>0.27577718758930786</v>
      </c>
      <c r="L267" s="293">
        <f t="shared" si="1"/>
        <v>0.26779737349587479</v>
      </c>
      <c r="M267" s="293">
        <f t="shared" si="1"/>
        <v>0.2668481094054328</v>
      </c>
      <c r="N267" s="293">
        <f t="shared" si="1"/>
        <v>0.26407841970597939</v>
      </c>
      <c r="O267" s="293">
        <f t="shared" si="1"/>
        <v>0.26031950318259073</v>
      </c>
      <c r="P267" s="293">
        <f t="shared" si="1"/>
        <v>0.25983262524212153</v>
      </c>
      <c r="Q267" s="293">
        <f t="shared" si="1"/>
        <v>0.26182290930013347</v>
      </c>
      <c r="R267" s="293">
        <f t="shared" si="1"/>
        <v>0.26176292530330364</v>
      </c>
      <c r="S267" s="293">
        <f t="shared" si="1"/>
        <v>0.26129197403631971</v>
      </c>
      <c r="T267" s="293">
        <f t="shared" si="1"/>
        <v>0.25996511277321743</v>
      </c>
      <c r="U267" s="293">
        <f t="shared" si="1"/>
        <v>0.26700482013794347</v>
      </c>
      <c r="V267" s="293">
        <f t="shared" si="1"/>
        <v>0.27474757208326744</v>
      </c>
      <c r="W267" s="293">
        <f t="shared" si="1"/>
        <v>0.27698198598045259</v>
      </c>
      <c r="X267" s="293">
        <f t="shared" si="1"/>
        <v>0.27941783342298598</v>
      </c>
    </row>
    <row r="268" spans="2:54">
      <c r="B268" s="72" t="s">
        <v>436</v>
      </c>
      <c r="C268" s="72" t="s">
        <v>437</v>
      </c>
      <c r="D268" s="293">
        <f t="shared" si="0"/>
        <v>0</v>
      </c>
      <c r="E268" s="293">
        <f t="shared" ref="E268:S268" si="2">E18/E$251</f>
        <v>0</v>
      </c>
      <c r="F268" s="293">
        <f t="shared" si="2"/>
        <v>0</v>
      </c>
      <c r="G268" s="293">
        <f t="shared" si="2"/>
        <v>0</v>
      </c>
      <c r="H268" s="293">
        <f t="shared" si="2"/>
        <v>0</v>
      </c>
      <c r="I268" s="293">
        <f t="shared" si="2"/>
        <v>0</v>
      </c>
      <c r="J268" s="293">
        <f t="shared" si="2"/>
        <v>0</v>
      </c>
      <c r="K268" s="293">
        <f t="shared" si="2"/>
        <v>0</v>
      </c>
      <c r="L268" s="293">
        <f t="shared" si="2"/>
        <v>0</v>
      </c>
      <c r="M268" s="293">
        <f t="shared" si="2"/>
        <v>0</v>
      </c>
      <c r="N268" s="293">
        <f t="shared" si="2"/>
        <v>0</v>
      </c>
      <c r="O268" s="293">
        <f t="shared" si="2"/>
        <v>0</v>
      </c>
      <c r="P268" s="293">
        <f t="shared" si="2"/>
        <v>0</v>
      </c>
      <c r="Q268" s="293">
        <f t="shared" si="2"/>
        <v>0</v>
      </c>
      <c r="R268" s="293">
        <f t="shared" si="2"/>
        <v>0</v>
      </c>
      <c r="S268" s="293">
        <f t="shared" si="2"/>
        <v>0</v>
      </c>
      <c r="T268" s="293">
        <f t="shared" si="1"/>
        <v>0</v>
      </c>
      <c r="U268" s="293">
        <f t="shared" si="1"/>
        <v>0</v>
      </c>
      <c r="V268" s="293">
        <f t="shared" si="1"/>
        <v>0</v>
      </c>
      <c r="W268" s="293">
        <f t="shared" si="1"/>
        <v>0</v>
      </c>
      <c r="X268" s="293">
        <f t="shared" si="1"/>
        <v>0</v>
      </c>
    </row>
    <row r="269" spans="2:54">
      <c r="B269" s="72" t="s">
        <v>438</v>
      </c>
      <c r="C269" s="72" t="s">
        <v>439</v>
      </c>
      <c r="D269" s="293">
        <f t="shared" si="0"/>
        <v>0.18687894445610764</v>
      </c>
      <c r="E269" s="293">
        <f t="shared" si="1"/>
        <v>0.18788626910222073</v>
      </c>
      <c r="F269" s="293">
        <f t="shared" si="1"/>
        <v>0.18918459354423864</v>
      </c>
      <c r="G269" s="293">
        <f t="shared" si="1"/>
        <v>0.19104966860142586</v>
      </c>
      <c r="H269" s="293">
        <f t="shared" si="1"/>
        <v>0.20137667473544005</v>
      </c>
      <c r="I269" s="293">
        <f t="shared" si="1"/>
        <v>0.20135699649245767</v>
      </c>
      <c r="J269" s="293">
        <f t="shared" si="1"/>
        <v>0.20396133588987564</v>
      </c>
      <c r="K269" s="293">
        <f t="shared" si="1"/>
        <v>0.19255348977115441</v>
      </c>
      <c r="L269" s="293">
        <f t="shared" si="1"/>
        <v>0.19377393866042392</v>
      </c>
      <c r="M269" s="293">
        <f t="shared" si="1"/>
        <v>0.19780498403789148</v>
      </c>
      <c r="N269" s="293">
        <f t="shared" si="1"/>
        <v>0.20203058480391725</v>
      </c>
      <c r="O269" s="293">
        <f t="shared" si="1"/>
        <v>0.21063722003839799</v>
      </c>
      <c r="P269" s="293">
        <f t="shared" si="1"/>
        <v>0.22142781799860842</v>
      </c>
      <c r="Q269" s="293">
        <f t="shared" si="1"/>
        <v>0.2294070563775405</v>
      </c>
      <c r="R269" s="293">
        <f t="shared" si="1"/>
        <v>0.23941789992100798</v>
      </c>
      <c r="S269" s="293">
        <f t="shared" si="1"/>
        <v>0.25117187006772385</v>
      </c>
      <c r="T269" s="293">
        <f t="shared" si="1"/>
        <v>0.26594833054187655</v>
      </c>
      <c r="U269" s="293">
        <f t="shared" si="1"/>
        <v>0.2816874859062044</v>
      </c>
      <c r="V269" s="293">
        <f t="shared" si="1"/>
        <v>0.30160468841418192</v>
      </c>
      <c r="W269" s="293">
        <f t="shared" si="1"/>
        <v>0.3204794386611417</v>
      </c>
      <c r="X269" s="293">
        <f t="shared" si="1"/>
        <v>0.33962300904654591</v>
      </c>
    </row>
    <row r="270" spans="2:54">
      <c r="B270" s="72" t="s">
        <v>440</v>
      </c>
      <c r="C270" s="72" t="s">
        <v>441</v>
      </c>
      <c r="D270" s="293">
        <f t="shared" si="0"/>
        <v>9.7361407331068392E-2</v>
      </c>
      <c r="E270" s="293">
        <f t="shared" si="1"/>
        <v>0.10115078213376</v>
      </c>
      <c r="F270" s="293">
        <f t="shared" si="1"/>
        <v>0.10548045322646027</v>
      </c>
      <c r="G270" s="293">
        <f t="shared" si="1"/>
        <v>0.10979916273857815</v>
      </c>
      <c r="H270" s="293">
        <f t="shared" si="1"/>
        <v>0.12082833479675559</v>
      </c>
      <c r="I270" s="293">
        <f t="shared" si="1"/>
        <v>0.12075657333017979</v>
      </c>
      <c r="J270" s="293">
        <f t="shared" si="1"/>
        <v>0.12341676212203805</v>
      </c>
      <c r="K270" s="293">
        <f t="shared" si="1"/>
        <v>0.11536943399151646</v>
      </c>
      <c r="L270" s="293">
        <f t="shared" si="1"/>
        <v>0.11755496288885538</v>
      </c>
      <c r="M270" s="293">
        <f t="shared" si="1"/>
        <v>0.12204331117108348</v>
      </c>
      <c r="N270" s="293">
        <f t="shared" si="1"/>
        <v>0.1279377103512013</v>
      </c>
      <c r="O270" s="293">
        <f t="shared" si="1"/>
        <v>0.13738744014775053</v>
      </c>
      <c r="P270" s="293">
        <f t="shared" si="1"/>
        <v>0.14987368072988164</v>
      </c>
      <c r="Q270" s="293">
        <f t="shared" si="1"/>
        <v>0.15868292747747612</v>
      </c>
      <c r="R270" s="293">
        <f t="shared" si="1"/>
        <v>0.16988482630822296</v>
      </c>
      <c r="S270" s="293">
        <f t="shared" si="1"/>
        <v>0.18335145772032727</v>
      </c>
      <c r="T270" s="293">
        <f t="shared" si="1"/>
        <v>0.19943863561835781</v>
      </c>
      <c r="U270" s="293">
        <f t="shared" si="1"/>
        <v>0.21622713772264002</v>
      </c>
      <c r="V270" s="293">
        <f t="shared" si="1"/>
        <v>0.23842696073130507</v>
      </c>
      <c r="W270" s="293">
        <f t="shared" si="1"/>
        <v>0.25615324225107572</v>
      </c>
      <c r="X270" s="293">
        <f t="shared" si="1"/>
        <v>0.27642673202233958</v>
      </c>
    </row>
    <row r="271" spans="2:54">
      <c r="B271" s="72" t="s">
        <v>442</v>
      </c>
      <c r="C271" s="72" t="s">
        <v>443</v>
      </c>
      <c r="D271" s="293">
        <f t="shared" si="0"/>
        <v>1.0379989881108926</v>
      </c>
      <c r="E271" s="293">
        <f t="shared" si="1"/>
        <v>1.0365054998237173</v>
      </c>
      <c r="F271" s="293">
        <f t="shared" si="1"/>
        <v>1.0137693494416995</v>
      </c>
      <c r="G271" s="293">
        <f t="shared" si="1"/>
        <v>1.0056605250882997</v>
      </c>
      <c r="H271" s="293">
        <f t="shared" si="1"/>
        <v>1.0075035592134851</v>
      </c>
      <c r="I271" s="293">
        <f t="shared" si="1"/>
        <v>0.99745615182751657</v>
      </c>
      <c r="J271" s="293">
        <f t="shared" si="1"/>
        <v>0.99958093907038392</v>
      </c>
      <c r="K271" s="293">
        <f t="shared" si="1"/>
        <v>0.98394481324578176</v>
      </c>
      <c r="L271" s="293">
        <f t="shared" si="1"/>
        <v>0.97351513474485563</v>
      </c>
      <c r="M271" s="293">
        <f t="shared" si="1"/>
        <v>0.96224552204313618</v>
      </c>
      <c r="N271" s="293">
        <f t="shared" si="1"/>
        <v>0.95234223441892518</v>
      </c>
      <c r="O271" s="293">
        <f t="shared" si="1"/>
        <v>0.94309000371327301</v>
      </c>
      <c r="P271" s="293">
        <f t="shared" si="1"/>
        <v>0.92978942908613871</v>
      </c>
      <c r="Q271" s="293">
        <f t="shared" si="1"/>
        <v>0.92640467192840203</v>
      </c>
      <c r="R271" s="293">
        <f t="shared" si="1"/>
        <v>0.92201884392592737</v>
      </c>
      <c r="S271" s="293">
        <f t="shared" si="1"/>
        <v>0.91863799571653559</v>
      </c>
      <c r="T271" s="293">
        <f t="shared" si="1"/>
        <v>0.91120070319618962</v>
      </c>
      <c r="U271" s="293">
        <f t="shared" si="1"/>
        <v>0.91502097910613667</v>
      </c>
      <c r="V271" s="293">
        <f t="shared" si="1"/>
        <v>0.92358490701397034</v>
      </c>
      <c r="W271" s="293">
        <f t="shared" si="1"/>
        <v>0.93461922287027777</v>
      </c>
      <c r="X271" s="293">
        <f t="shared" si="1"/>
        <v>0.94893490288260363</v>
      </c>
    </row>
    <row r="272" spans="2:54">
      <c r="B272" s="72" t="s">
        <v>444</v>
      </c>
      <c r="C272" s="72" t="s">
        <v>445</v>
      </c>
      <c r="D272" s="293">
        <f t="shared" si="0"/>
        <v>0.67983085254822473</v>
      </c>
      <c r="E272" s="293">
        <f t="shared" si="1"/>
        <v>0.65517924656144544</v>
      </c>
      <c r="F272" s="293">
        <f t="shared" si="1"/>
        <v>0.63682141471019438</v>
      </c>
      <c r="G272" s="293">
        <f t="shared" si="1"/>
        <v>0.61778526411577406</v>
      </c>
      <c r="H272" s="293">
        <f t="shared" si="1"/>
        <v>0.61755031982866337</v>
      </c>
      <c r="I272" s="293">
        <f t="shared" si="1"/>
        <v>0.61329912613444448</v>
      </c>
      <c r="J272" s="293">
        <f t="shared" si="1"/>
        <v>0.62216991432465429</v>
      </c>
      <c r="K272" s="293">
        <f t="shared" si="1"/>
        <v>0.61782588049805232</v>
      </c>
      <c r="L272" s="293">
        <f t="shared" si="1"/>
        <v>0.61416396210602786</v>
      </c>
      <c r="M272" s="293">
        <f t="shared" si="1"/>
        <v>0.61755412959036504</v>
      </c>
      <c r="N272" s="293">
        <f t="shared" si="1"/>
        <v>0.61767664401973776</v>
      </c>
      <c r="O272" s="293">
        <f t="shared" si="1"/>
        <v>0.62057373330804766</v>
      </c>
      <c r="P272" s="293">
        <f t="shared" si="1"/>
        <v>0.62368899701440528</v>
      </c>
      <c r="Q272" s="293">
        <f t="shared" si="1"/>
        <v>0.63347763591402906</v>
      </c>
      <c r="R272" s="293">
        <f t="shared" si="1"/>
        <v>0.63840551159951442</v>
      </c>
      <c r="S272" s="293">
        <f t="shared" si="1"/>
        <v>0.64515761301024266</v>
      </c>
      <c r="T272" s="293">
        <f t="shared" si="1"/>
        <v>0.64766647858737436</v>
      </c>
      <c r="U272" s="293">
        <f t="shared" si="1"/>
        <v>0.6559140281213478</v>
      </c>
      <c r="V272" s="293">
        <f t="shared" si="1"/>
        <v>0.65746091544967544</v>
      </c>
      <c r="W272" s="293">
        <f t="shared" si="1"/>
        <v>0.66491054299891228</v>
      </c>
      <c r="X272" s="293">
        <f t="shared" si="1"/>
        <v>0.67804464784115637</v>
      </c>
    </row>
    <row r="273" spans="2:24">
      <c r="B273" s="72" t="s">
        <v>446</v>
      </c>
      <c r="C273" s="72" t="s">
        <v>447</v>
      </c>
      <c r="D273" s="293">
        <f t="shared" si="0"/>
        <v>0.36681498736904339</v>
      </c>
      <c r="E273" s="293">
        <f t="shared" si="1"/>
        <v>0.32518918056786916</v>
      </c>
      <c r="F273" s="293">
        <f t="shared" si="1"/>
        <v>0.30146912074882204</v>
      </c>
      <c r="G273" s="293">
        <f t="shared" si="1"/>
        <v>0.26158388526472565</v>
      </c>
      <c r="H273" s="293">
        <f t="shared" si="1"/>
        <v>0.25403452295412648</v>
      </c>
      <c r="I273" s="293">
        <f t="shared" si="1"/>
        <v>0.24791575652746003</v>
      </c>
      <c r="J273" s="293">
        <f t="shared" si="1"/>
        <v>0.25386342804396289</v>
      </c>
      <c r="K273" s="293">
        <f t="shared" si="1"/>
        <v>0.24700357586024371</v>
      </c>
      <c r="L273" s="293">
        <f t="shared" si="1"/>
        <v>0.2493432652971429</v>
      </c>
      <c r="M273" s="293">
        <f t="shared" si="1"/>
        <v>0.26213582874454988</v>
      </c>
      <c r="N273" s="293">
        <f t="shared" si="1"/>
        <v>0.26532276998917331</v>
      </c>
      <c r="O273" s="293">
        <f t="shared" si="1"/>
        <v>0.27689371563151133</v>
      </c>
      <c r="P273" s="293">
        <f t="shared" si="1"/>
        <v>0.28909700630482948</v>
      </c>
      <c r="Q273" s="293">
        <f t="shared" si="1"/>
        <v>0.31004354660730549</v>
      </c>
      <c r="R273" s="293">
        <f t="shared" si="1"/>
        <v>0.32465336608249162</v>
      </c>
      <c r="S273" s="293">
        <f t="shared" si="1"/>
        <v>0.34128980110029733</v>
      </c>
      <c r="T273" s="293">
        <f t="shared" si="1"/>
        <v>0.35600701452837846</v>
      </c>
      <c r="U273" s="293">
        <f t="shared" si="1"/>
        <v>0.37088892330017631</v>
      </c>
      <c r="V273" s="293">
        <f t="shared" si="1"/>
        <v>0.366058101872277</v>
      </c>
      <c r="W273" s="293">
        <f t="shared" si="1"/>
        <v>0.37604035178323414</v>
      </c>
      <c r="X273" s="293">
        <f t="shared" si="1"/>
        <v>0.39494129237403025</v>
      </c>
    </row>
    <row r="274" spans="2:24">
      <c r="B274" s="72" t="s">
        <v>448</v>
      </c>
      <c r="C274" s="72" t="s">
        <v>449</v>
      </c>
      <c r="D274" s="293">
        <f t="shared" si="0"/>
        <v>0.88262763251113407</v>
      </c>
      <c r="E274" s="293">
        <f t="shared" si="1"/>
        <v>0.87925608649543541</v>
      </c>
      <c r="F274" s="293">
        <f t="shared" si="1"/>
        <v>0.86449045270815794</v>
      </c>
      <c r="G274" s="293">
        <f t="shared" si="1"/>
        <v>0.86075911794684812</v>
      </c>
      <c r="H274" s="293">
        <f t="shared" si="1"/>
        <v>0.86442646661501243</v>
      </c>
      <c r="I274" s="293">
        <f t="shared" si="1"/>
        <v>0.85774394872554638</v>
      </c>
      <c r="J274" s="293">
        <f t="shared" si="1"/>
        <v>0.85948265619243103</v>
      </c>
      <c r="K274" s="293">
        <f t="shared" si="1"/>
        <v>0.85141325488940134</v>
      </c>
      <c r="L274" s="293">
        <f t="shared" si="1"/>
        <v>0.85051234818906241</v>
      </c>
      <c r="M274" s="293">
        <f t="shared" si="1"/>
        <v>0.84895811355385786</v>
      </c>
      <c r="N274" s="293">
        <f t="shared" si="1"/>
        <v>0.8470885253533178</v>
      </c>
      <c r="O274" s="293">
        <f t="shared" si="1"/>
        <v>0.84902625277349231</v>
      </c>
      <c r="P274" s="293">
        <f t="shared" si="1"/>
        <v>0.84256712455015703</v>
      </c>
      <c r="Q274" s="293">
        <f t="shared" si="1"/>
        <v>0.84441760693431478</v>
      </c>
      <c r="R274" s="293">
        <f t="shared" si="1"/>
        <v>0.84423708120811081</v>
      </c>
      <c r="S274" s="293">
        <f t="shared" si="1"/>
        <v>0.84291906682662177</v>
      </c>
      <c r="T274" s="293">
        <f t="shared" si="1"/>
        <v>0.8375294152973719</v>
      </c>
      <c r="U274" s="293">
        <f t="shared" si="1"/>
        <v>0.8412615663176416</v>
      </c>
      <c r="V274" s="293">
        <f t="shared" si="1"/>
        <v>0.84798918285767899</v>
      </c>
      <c r="W274" s="293">
        <f t="shared" si="1"/>
        <v>0.85847549345516139</v>
      </c>
      <c r="X274" s="293">
        <f t="shared" si="1"/>
        <v>0.87067226804198772</v>
      </c>
    </row>
    <row r="275" spans="2:24">
      <c r="B275" s="72" t="s">
        <v>450</v>
      </c>
      <c r="C275" s="72" t="s">
        <v>451</v>
      </c>
      <c r="D275" s="293">
        <f t="shared" si="0"/>
        <v>5.3888513411597262E-2</v>
      </c>
      <c r="E275" s="293">
        <f t="shared" si="1"/>
        <v>4.9748320449792119E-2</v>
      </c>
      <c r="F275" s="293">
        <f t="shared" si="1"/>
        <v>4.8682932347557897E-2</v>
      </c>
      <c r="G275" s="293">
        <f t="shared" si="1"/>
        <v>4.6256793695190562E-2</v>
      </c>
      <c r="H275" s="293">
        <f t="shared" si="1"/>
        <v>4.601409350181504E-2</v>
      </c>
      <c r="I275" s="293">
        <f t="shared" si="1"/>
        <v>4.700360995423359E-2</v>
      </c>
      <c r="J275" s="293">
        <f t="shared" si="1"/>
        <v>4.730156768255097E-2</v>
      </c>
      <c r="K275" s="293">
        <f t="shared" si="1"/>
        <v>4.6474316880766822E-2</v>
      </c>
      <c r="L275" s="293">
        <f t="shared" si="1"/>
        <v>4.6063560591706361E-2</v>
      </c>
      <c r="M275" s="293">
        <f t="shared" si="1"/>
        <v>4.4595517337278776E-2</v>
      </c>
      <c r="N275" s="293">
        <f t="shared" si="1"/>
        <v>4.4857606969182742E-2</v>
      </c>
      <c r="O275" s="293">
        <f t="shared" si="1"/>
        <v>4.4505289878897882E-2</v>
      </c>
      <c r="P275" s="293">
        <f t="shared" si="1"/>
        <v>4.409972855121462E-2</v>
      </c>
      <c r="Q275" s="293">
        <f t="shared" si="1"/>
        <v>4.4467142277217236E-2</v>
      </c>
      <c r="R275" s="293">
        <f t="shared" si="1"/>
        <v>4.553752279677846E-2</v>
      </c>
      <c r="S275" s="293">
        <f t="shared" si="1"/>
        <v>4.6350509126581091E-2</v>
      </c>
      <c r="T275" s="293">
        <f t="shared" si="1"/>
        <v>4.7200897680625742E-2</v>
      </c>
      <c r="U275" s="293">
        <f t="shared" si="1"/>
        <v>4.9262333718933883E-2</v>
      </c>
      <c r="V275" s="293">
        <f t="shared" si="1"/>
        <v>5.1854823120797727E-2</v>
      </c>
      <c r="W275" s="293">
        <f t="shared" si="1"/>
        <v>5.2791776635911787E-2</v>
      </c>
      <c r="X275" s="293">
        <f t="shared" si="1"/>
        <v>5.4093793467409834E-2</v>
      </c>
    </row>
    <row r="276" spans="2:24">
      <c r="B276" s="72" t="s">
        <v>452</v>
      </c>
      <c r="C276" s="72" t="s">
        <v>453</v>
      </c>
      <c r="D276" s="293">
        <f t="shared" si="0"/>
        <v>1.056088586225159</v>
      </c>
      <c r="E276" s="293">
        <f t="shared" si="1"/>
        <v>1.0555639845923857</v>
      </c>
      <c r="F276" s="293">
        <f t="shared" si="1"/>
        <v>1.0377597853411367</v>
      </c>
      <c r="G276" s="293">
        <f t="shared" si="1"/>
        <v>1.0264405447664338</v>
      </c>
      <c r="H276" s="293">
        <f t="shared" si="1"/>
        <v>1.0247783557131538</v>
      </c>
      <c r="I276" s="293">
        <f t="shared" si="1"/>
        <v>1.0244820885657993</v>
      </c>
      <c r="J276" s="293">
        <f t="shared" si="1"/>
        <v>1.0300079877764978</v>
      </c>
      <c r="K276" s="293">
        <f t="shared" si="1"/>
        <v>1.0220476566183663</v>
      </c>
      <c r="L276" s="293">
        <f t="shared" si="1"/>
        <v>1.0266169452500598</v>
      </c>
      <c r="M276" s="293">
        <f t="shared" si="1"/>
        <v>1.0253343220910951</v>
      </c>
      <c r="N276" s="293">
        <f t="shared" si="1"/>
        <v>1.0174644593136346</v>
      </c>
      <c r="O276" s="293">
        <f t="shared" si="1"/>
        <v>1.0183217030535647</v>
      </c>
      <c r="P276" s="293">
        <f t="shared" si="1"/>
        <v>1.0140666788238564</v>
      </c>
      <c r="Q276" s="293">
        <f t="shared" si="1"/>
        <v>1.0162343380097323</v>
      </c>
      <c r="R276" s="293">
        <f t="shared" si="1"/>
        <v>1.0165343911188538</v>
      </c>
      <c r="S276" s="293">
        <f t="shared" si="1"/>
        <v>1.0096166162746163</v>
      </c>
      <c r="T276" s="293">
        <f t="shared" si="1"/>
        <v>0.99938562094403516</v>
      </c>
      <c r="U276" s="293">
        <f t="shared" si="1"/>
        <v>1.003109862122044</v>
      </c>
      <c r="V276" s="293">
        <f t="shared" si="1"/>
        <v>1.0194061729275743</v>
      </c>
      <c r="W276" s="293">
        <f t="shared" si="1"/>
        <v>1.0385173450116771</v>
      </c>
      <c r="X276" s="293">
        <f t="shared" si="1"/>
        <v>1.0523304635205097</v>
      </c>
    </row>
    <row r="277" spans="2:24">
      <c r="B277" s="72" t="s">
        <v>454</v>
      </c>
      <c r="C277" s="72" t="s">
        <v>455</v>
      </c>
      <c r="D277" s="293">
        <f t="shared" si="0"/>
        <v>0</v>
      </c>
      <c r="E277" s="293">
        <f t="shared" si="1"/>
        <v>0</v>
      </c>
      <c r="F277" s="293">
        <f t="shared" si="1"/>
        <v>0</v>
      </c>
      <c r="G277" s="293">
        <f t="shared" si="1"/>
        <v>0</v>
      </c>
      <c r="H277" s="293">
        <f t="shared" si="1"/>
        <v>0</v>
      </c>
      <c r="I277" s="293">
        <f t="shared" si="1"/>
        <v>0</v>
      </c>
      <c r="J277" s="293">
        <f t="shared" si="1"/>
        <v>0</v>
      </c>
      <c r="K277" s="293">
        <f t="shared" si="1"/>
        <v>0</v>
      </c>
      <c r="L277" s="293">
        <f t="shared" si="1"/>
        <v>0</v>
      </c>
      <c r="M277" s="293">
        <f t="shared" si="1"/>
        <v>0</v>
      </c>
      <c r="N277" s="293">
        <f t="shared" si="1"/>
        <v>0</v>
      </c>
      <c r="O277" s="293">
        <f t="shared" si="1"/>
        <v>0</v>
      </c>
      <c r="P277" s="293">
        <f t="shared" si="1"/>
        <v>0</v>
      </c>
      <c r="Q277" s="293">
        <f t="shared" si="1"/>
        <v>0</v>
      </c>
      <c r="R277" s="293">
        <f t="shared" si="1"/>
        <v>0</v>
      </c>
      <c r="S277" s="293">
        <f t="shared" si="1"/>
        <v>0</v>
      </c>
      <c r="T277" s="293">
        <f t="shared" si="1"/>
        <v>0</v>
      </c>
      <c r="U277" s="293">
        <f t="shared" si="1"/>
        <v>0</v>
      </c>
      <c r="V277" s="293">
        <f t="shared" si="1"/>
        <v>0</v>
      </c>
      <c r="W277" s="293">
        <f t="shared" si="1"/>
        <v>0</v>
      </c>
      <c r="X277" s="293">
        <f t="shared" si="1"/>
        <v>0</v>
      </c>
    </row>
    <row r="278" spans="2:24">
      <c r="B278" s="72" t="s">
        <v>456</v>
      </c>
      <c r="C278" s="72" t="s">
        <v>457</v>
      </c>
      <c r="D278" s="293">
        <f t="shared" si="0"/>
        <v>1.0660790690807171</v>
      </c>
      <c r="E278" s="293">
        <f t="shared" si="1"/>
        <v>1.0643651343285394</v>
      </c>
      <c r="F278" s="293">
        <f>F28/F$251</f>
        <v>1.0474859400254175</v>
      </c>
      <c r="G278" s="293">
        <f t="shared" si="1"/>
        <v>1.0366613939352771</v>
      </c>
      <c r="H278" s="293">
        <f t="shared" si="1"/>
        <v>1.0364083056412914</v>
      </c>
      <c r="I278" s="293">
        <f t="shared" si="1"/>
        <v>1.0367356202975413</v>
      </c>
      <c r="J278" s="293">
        <f t="shared" si="1"/>
        <v>1.0422803858709553</v>
      </c>
      <c r="K278" s="293">
        <f t="shared" si="1"/>
        <v>1.0350855076105505</v>
      </c>
      <c r="L278" s="293">
        <f t="shared" si="1"/>
        <v>1.0403540379265761</v>
      </c>
      <c r="M278" s="293">
        <f t="shared" si="1"/>
        <v>1.0389264126086744</v>
      </c>
      <c r="N278" s="293">
        <f t="shared" si="1"/>
        <v>1.0321331681538612</v>
      </c>
      <c r="O278" s="293">
        <f t="shared" si="1"/>
        <v>1.0340497391875989</v>
      </c>
      <c r="P278" s="293">
        <f t="shared" si="1"/>
        <v>1.0298122237054774</v>
      </c>
      <c r="Q278" s="293">
        <f t="shared" si="1"/>
        <v>1.0325811163001519</v>
      </c>
      <c r="R278" s="293">
        <f t="shared" si="1"/>
        <v>1.0333265355953507</v>
      </c>
      <c r="S278" s="293">
        <f t="shared" si="1"/>
        <v>1.0270534028871812</v>
      </c>
      <c r="T278" s="293">
        <f t="shared" si="1"/>
        <v>1.017918639724755</v>
      </c>
      <c r="U278" s="293">
        <f t="shared" si="1"/>
        <v>1.0232396691319472</v>
      </c>
      <c r="V278" s="293">
        <f t="shared" si="1"/>
        <v>1.0424085115910651</v>
      </c>
      <c r="W278" s="293">
        <f t="shared" si="1"/>
        <v>1.0630441506706996</v>
      </c>
      <c r="X278" s="293">
        <f t="shared" si="1"/>
        <v>1.0769979680936865</v>
      </c>
    </row>
    <row r="279" spans="2:24">
      <c r="B279" s="72" t="s">
        <v>458</v>
      </c>
      <c r="C279" s="72" t="s">
        <v>459</v>
      </c>
      <c r="D279" s="293">
        <f t="shared" si="0"/>
        <v>0.39006917043341094</v>
      </c>
      <c r="E279" s="293">
        <f t="shared" si="1"/>
        <v>0.38518259239024394</v>
      </c>
      <c r="F279" s="293">
        <f t="shared" si="1"/>
        <v>0.3816443913542355</v>
      </c>
      <c r="G279" s="293">
        <f t="shared" si="1"/>
        <v>0.37869871766529084</v>
      </c>
      <c r="H279" s="293">
        <f t="shared" si="1"/>
        <v>0.37385138373181431</v>
      </c>
      <c r="I279" s="293">
        <f t="shared" si="1"/>
        <v>0.37688875365827834</v>
      </c>
      <c r="J279" s="293">
        <f t="shared" si="1"/>
        <v>0.38411721155345041</v>
      </c>
      <c r="K279" s="293">
        <f t="shared" si="1"/>
        <v>0.3774966646184294</v>
      </c>
      <c r="L279" s="293">
        <f t="shared" si="1"/>
        <v>0.36284124234052162</v>
      </c>
      <c r="M279" s="293">
        <f t="shared" si="1"/>
        <v>0.35633203899364091</v>
      </c>
      <c r="N279" s="293">
        <f t="shared" si="1"/>
        <v>0.34762295254079495</v>
      </c>
      <c r="O279" s="293">
        <f t="shared" si="1"/>
        <v>0.33933621760850186</v>
      </c>
      <c r="P279" s="293">
        <f t="shared" si="1"/>
        <v>0.33291592834275874</v>
      </c>
      <c r="Q279" s="293">
        <f t="shared" si="1"/>
        <v>0.33484962052363287</v>
      </c>
      <c r="R279" s="293">
        <f t="shared" si="1"/>
        <v>0.33912993499492566</v>
      </c>
      <c r="S279" s="293">
        <f t="shared" si="1"/>
        <v>0.34131918983161696</v>
      </c>
      <c r="T279" s="293">
        <f t="shared" si="1"/>
        <v>0.34825943913502344</v>
      </c>
      <c r="U279" s="293">
        <f t="shared" si="1"/>
        <v>0.35603914099657885</v>
      </c>
      <c r="V279" s="293">
        <f t="shared" si="1"/>
        <v>0.35902261452162887</v>
      </c>
      <c r="W279" s="293">
        <f t="shared" si="1"/>
        <v>0.36762700956388722</v>
      </c>
      <c r="X279" s="293">
        <f t="shared" si="1"/>
        <v>0.37425210920207619</v>
      </c>
    </row>
    <row r="280" spans="2:24">
      <c r="B280" s="72" t="s">
        <v>460</v>
      </c>
      <c r="C280" s="72" t="s">
        <v>461</v>
      </c>
      <c r="D280" s="293">
        <f t="shared" si="0"/>
        <v>0.38892373019918014</v>
      </c>
      <c r="E280" s="293">
        <f t="shared" si="1"/>
        <v>0.38417853913790545</v>
      </c>
      <c r="F280" s="293">
        <f t="shared" si="1"/>
        <v>0.38070963947805775</v>
      </c>
      <c r="G280" s="293">
        <f t="shared" si="1"/>
        <v>0.37780413503595689</v>
      </c>
      <c r="H280" s="293">
        <f t="shared" si="1"/>
        <v>0.37295368200870244</v>
      </c>
      <c r="I280" s="293">
        <f t="shared" si="1"/>
        <v>0.37594702487601239</v>
      </c>
      <c r="J280" s="293">
        <f t="shared" si="1"/>
        <v>0.38315097400432613</v>
      </c>
      <c r="K280" s="293">
        <f t="shared" si="1"/>
        <v>0.37647586458850707</v>
      </c>
      <c r="L280" s="293">
        <f t="shared" si="1"/>
        <v>0.36170209566992872</v>
      </c>
      <c r="M280" s="293">
        <f t="shared" si="1"/>
        <v>0.35514154222499072</v>
      </c>
      <c r="N280" s="293">
        <f t="shared" si="1"/>
        <v>0.34640613356127298</v>
      </c>
      <c r="O280" s="293">
        <f t="shared" ref="E280:X293" si="3">O30/O$251</f>
        <v>0.33799738703092097</v>
      </c>
      <c r="P280" s="293">
        <f t="shared" si="3"/>
        <v>0.3312960812785265</v>
      </c>
      <c r="Q280" s="293">
        <f t="shared" si="3"/>
        <v>0.33318838722170274</v>
      </c>
      <c r="R280" s="293">
        <f t="shared" si="3"/>
        <v>0.33741668232271882</v>
      </c>
      <c r="S280" s="293">
        <f t="shared" si="3"/>
        <v>0.33933441449159157</v>
      </c>
      <c r="T280" s="293">
        <f t="shared" si="3"/>
        <v>0.34625007784524475</v>
      </c>
      <c r="U280" s="293">
        <f t="shared" si="3"/>
        <v>0.3540292569258523</v>
      </c>
      <c r="V280" s="293">
        <f t="shared" si="3"/>
        <v>0.35700886021665651</v>
      </c>
      <c r="W280" s="293">
        <f t="shared" si="3"/>
        <v>0.36570624207794272</v>
      </c>
      <c r="X280" s="293">
        <f t="shared" si="3"/>
        <v>0.37234569708279885</v>
      </c>
    </row>
    <row r="281" spans="2:24">
      <c r="B281" s="72" t="s">
        <v>462</v>
      </c>
      <c r="C281" s="72" t="s">
        <v>463</v>
      </c>
      <c r="D281" s="293">
        <f t="shared" si="0"/>
        <v>5.404645205049536E-2</v>
      </c>
      <c r="E281" s="293">
        <f t="shared" si="3"/>
        <v>5.2287370802950803E-2</v>
      </c>
      <c r="F281" s="293">
        <f t="shared" si="3"/>
        <v>5.1351691404439695E-2</v>
      </c>
      <c r="G281" s="293">
        <f t="shared" si="3"/>
        <v>5.0167202945291048E-2</v>
      </c>
      <c r="H281" s="293">
        <f t="shared" si="3"/>
        <v>5.0285242247322046E-2</v>
      </c>
      <c r="I281" s="293">
        <f t="shared" si="3"/>
        <v>5.1510527718557318E-2</v>
      </c>
      <c r="J281" s="293">
        <f t="shared" si="3"/>
        <v>5.2260384304109994E-2</v>
      </c>
      <c r="K281" s="293">
        <f t="shared" si="3"/>
        <v>5.1898763150919652E-2</v>
      </c>
      <c r="L281" s="293">
        <f t="shared" si="3"/>
        <v>5.2372701757819579E-2</v>
      </c>
      <c r="M281" s="293">
        <f t="shared" si="3"/>
        <v>5.2764728763415009E-2</v>
      </c>
      <c r="N281" s="293">
        <f t="shared" si="3"/>
        <v>5.3170137305127214E-2</v>
      </c>
      <c r="O281" s="293">
        <f t="shared" si="3"/>
        <v>5.3430670579676862E-2</v>
      </c>
      <c r="P281" s="293">
        <f t="shared" si="3"/>
        <v>5.3691737984902003E-2</v>
      </c>
      <c r="Q281" s="293">
        <f t="shared" si="3"/>
        <v>5.4914717792323486E-2</v>
      </c>
      <c r="R281" s="293">
        <f t="shared" si="3"/>
        <v>5.6922952081625233E-2</v>
      </c>
      <c r="S281" s="293">
        <f t="shared" si="3"/>
        <v>5.8969003932723953E-2</v>
      </c>
      <c r="T281" s="293">
        <f t="shared" si="3"/>
        <v>6.094297871192722E-2</v>
      </c>
      <c r="U281" s="293">
        <f t="shared" si="3"/>
        <v>6.4068500317121663E-2</v>
      </c>
      <c r="V281" s="293">
        <f t="shared" si="3"/>
        <v>6.8185777409541723E-2</v>
      </c>
      <c r="W281" s="293">
        <f t="shared" si="3"/>
        <v>7.0300223390414238E-2</v>
      </c>
      <c r="X281" s="293">
        <f t="shared" si="3"/>
        <v>7.1998465779698428E-2</v>
      </c>
    </row>
    <row r="282" spans="2:24">
      <c r="B282" s="72" t="s">
        <v>464</v>
      </c>
      <c r="C282" s="72" t="s">
        <v>465</v>
      </c>
      <c r="D282" s="293">
        <f t="shared" si="0"/>
        <v>0.15227146502302413</v>
      </c>
      <c r="E282" s="293">
        <f t="shared" si="3"/>
        <v>0.15010125330668037</v>
      </c>
      <c r="F282" s="293">
        <f t="shared" si="3"/>
        <v>0.14847365018517428</v>
      </c>
      <c r="G282" s="293">
        <f t="shared" si="3"/>
        <v>0.14608067960175022</v>
      </c>
      <c r="H282" s="293">
        <f t="shared" si="3"/>
        <v>0.15053652591005096</v>
      </c>
      <c r="I282" s="293">
        <f t="shared" si="3"/>
        <v>0.15097429358003245</v>
      </c>
      <c r="J282" s="293">
        <f t="shared" si="3"/>
        <v>0.15346071443320075</v>
      </c>
      <c r="K282" s="293">
        <f t="shared" si="3"/>
        <v>0.14879088188009884</v>
      </c>
      <c r="L282" s="293">
        <f t="shared" si="3"/>
        <v>0.14910888619891691</v>
      </c>
      <c r="M282" s="293">
        <f t="shared" si="3"/>
        <v>0.15115563424195139</v>
      </c>
      <c r="N282" s="293">
        <f t="shared" si="3"/>
        <v>0.15333944194298629</v>
      </c>
      <c r="O282" s="293">
        <f t="shared" si="3"/>
        <v>0.15769732452205129</v>
      </c>
      <c r="P282" s="293">
        <f t="shared" si="3"/>
        <v>0.1639869411315355</v>
      </c>
      <c r="Q282" s="293">
        <f t="shared" si="3"/>
        <v>0.17069136324059486</v>
      </c>
      <c r="R282" s="293">
        <f t="shared" si="3"/>
        <v>0.17896873078815936</v>
      </c>
      <c r="S282" s="293">
        <f t="shared" si="3"/>
        <v>0.187704922673746</v>
      </c>
      <c r="T282" s="293">
        <f t="shared" si="3"/>
        <v>0.19840182503615036</v>
      </c>
      <c r="U282" s="293">
        <f t="shared" si="3"/>
        <v>0.20979954381759888</v>
      </c>
      <c r="V282" s="293">
        <f t="shared" si="3"/>
        <v>0.22288036035008704</v>
      </c>
      <c r="W282" s="293">
        <f t="shared" si="3"/>
        <v>0.23424395966990602</v>
      </c>
      <c r="X282" s="293">
        <f t="shared" si="3"/>
        <v>0.24697263019925725</v>
      </c>
    </row>
    <row r="283" spans="2:24">
      <c r="B283" s="72" t="s">
        <v>466</v>
      </c>
      <c r="C283" s="72" t="s">
        <v>467</v>
      </c>
      <c r="D283" s="293">
        <f t="shared" si="0"/>
        <v>5.446385272961865E-2</v>
      </c>
      <c r="E283" s="293">
        <f t="shared" si="3"/>
        <v>5.1159134177821974E-2</v>
      </c>
      <c r="F283" s="293">
        <f t="shared" si="3"/>
        <v>4.9890405218378384E-2</v>
      </c>
      <c r="G283" s="293">
        <f t="shared" si="3"/>
        <v>4.8333825617355171E-2</v>
      </c>
      <c r="H283" s="293">
        <f t="shared" si="3"/>
        <v>4.8146094839301289E-2</v>
      </c>
      <c r="I283" s="293">
        <f t="shared" si="3"/>
        <v>4.9260051471177305E-2</v>
      </c>
      <c r="J283" s="293">
        <f t="shared" si="3"/>
        <v>4.9707461496124775E-2</v>
      </c>
      <c r="K283" s="293">
        <f t="shared" si="3"/>
        <v>4.9238200527190572E-2</v>
      </c>
      <c r="L283" s="293">
        <f t="shared" si="3"/>
        <v>4.9628144624713086E-2</v>
      </c>
      <c r="M283" s="293">
        <f t="shared" si="3"/>
        <v>4.975793931369224E-2</v>
      </c>
      <c r="N283" s="293">
        <f t="shared" si="3"/>
        <v>5.0225180786922154E-2</v>
      </c>
      <c r="O283" s="293">
        <f t="shared" si="3"/>
        <v>5.0154183324633603E-2</v>
      </c>
      <c r="P283" s="293">
        <f t="shared" si="3"/>
        <v>5.0121498183757114E-2</v>
      </c>
      <c r="Q283" s="293">
        <f t="shared" si="3"/>
        <v>5.1245563492682673E-2</v>
      </c>
      <c r="R283" s="293">
        <f t="shared" si="3"/>
        <v>5.3044453580726493E-2</v>
      </c>
      <c r="S283" s="293">
        <f t="shared" si="3"/>
        <v>5.4970687733398041E-2</v>
      </c>
      <c r="T283" s="293">
        <f t="shared" si="3"/>
        <v>5.6790619638734038E-2</v>
      </c>
      <c r="U283" s="293">
        <f t="shared" si="3"/>
        <v>5.9698713375505308E-2</v>
      </c>
      <c r="V283" s="293">
        <f t="shared" si="3"/>
        <v>6.3647458438560969E-2</v>
      </c>
      <c r="W283" s="293">
        <f t="shared" si="3"/>
        <v>6.5434911608341778E-2</v>
      </c>
      <c r="X283" s="293">
        <f t="shared" si="3"/>
        <v>6.7694223675330401E-2</v>
      </c>
    </row>
    <row r="284" spans="2:24">
      <c r="B284" s="72" t="s">
        <v>468</v>
      </c>
      <c r="C284" s="72" t="s">
        <v>469</v>
      </c>
      <c r="D284" s="293">
        <f t="shared" si="0"/>
        <v>0.13682416418303114</v>
      </c>
      <c r="E284" s="293">
        <f t="shared" si="3"/>
        <v>0.13409556771800155</v>
      </c>
      <c r="F284" s="293">
        <f t="shared" si="3"/>
        <v>0.13163016584723319</v>
      </c>
      <c r="G284" s="293">
        <f t="shared" si="3"/>
        <v>0.12918310854145088</v>
      </c>
      <c r="H284" s="293">
        <f t="shared" si="3"/>
        <v>0.13206718345723403</v>
      </c>
      <c r="I284" s="293">
        <f t="shared" si="3"/>
        <v>0.13425579002154076</v>
      </c>
      <c r="J284" s="293">
        <f t="shared" si="3"/>
        <v>0.13550477849089484</v>
      </c>
      <c r="K284" s="293">
        <f t="shared" si="3"/>
        <v>0.13172607616761531</v>
      </c>
      <c r="L284" s="293">
        <f t="shared" si="3"/>
        <v>0.13248783910320833</v>
      </c>
      <c r="M284" s="293">
        <f t="shared" si="3"/>
        <v>0.13250994501535276</v>
      </c>
      <c r="N284" s="293">
        <f t="shared" si="3"/>
        <v>0.13366432400062703</v>
      </c>
      <c r="O284" s="293">
        <f t="shared" si="3"/>
        <v>0.13480772139206851</v>
      </c>
      <c r="P284" s="293">
        <f t="shared" si="3"/>
        <v>0.13776786661999066</v>
      </c>
      <c r="Q284" s="293">
        <f t="shared" si="3"/>
        <v>0.14141194179843597</v>
      </c>
      <c r="R284" s="293">
        <f t="shared" si="3"/>
        <v>0.14735061840370905</v>
      </c>
      <c r="S284" s="293">
        <f t="shared" si="3"/>
        <v>0.15199665702356246</v>
      </c>
      <c r="T284" s="293">
        <f t="shared" si="3"/>
        <v>0.15681051508801344</v>
      </c>
      <c r="U284" s="293">
        <f t="shared" si="3"/>
        <v>0.16420238666097478</v>
      </c>
      <c r="V284" s="293">
        <f t="shared" si="3"/>
        <v>0.17532410748383362</v>
      </c>
      <c r="W284" s="293">
        <f t="shared" si="3"/>
        <v>0.18156738928491015</v>
      </c>
      <c r="X284" s="293">
        <f t="shared" si="3"/>
        <v>0.18920856641764772</v>
      </c>
    </row>
    <row r="285" spans="2:24">
      <c r="B285" s="72" t="s">
        <v>470</v>
      </c>
      <c r="C285" s="72" t="s">
        <v>471</v>
      </c>
      <c r="D285" s="293">
        <f t="shared" si="0"/>
        <v>0.37945543824581329</v>
      </c>
      <c r="E285" s="293">
        <f t="shared" si="3"/>
        <v>0.37786964192948119</v>
      </c>
      <c r="F285" s="293">
        <f t="shared" si="3"/>
        <v>0.35860369780421963</v>
      </c>
      <c r="G285" s="293">
        <f t="shared" si="3"/>
        <v>0.3455958900403025</v>
      </c>
      <c r="H285" s="293">
        <f t="shared" si="3"/>
        <v>0.336958964662817</v>
      </c>
      <c r="I285" s="293">
        <f t="shared" si="3"/>
        <v>0.33547284470674099</v>
      </c>
      <c r="J285" s="293">
        <f t="shared" si="3"/>
        <v>0.32806168510429229</v>
      </c>
      <c r="K285" s="293">
        <f t="shared" si="3"/>
        <v>0.32445901424419904</v>
      </c>
      <c r="L285" s="293">
        <f t="shared" si="3"/>
        <v>0.31381834700120848</v>
      </c>
      <c r="M285" s="293">
        <f t="shared" si="3"/>
        <v>0.31266430381320409</v>
      </c>
      <c r="N285" s="293">
        <f t="shared" si="3"/>
        <v>0.30749125752231493</v>
      </c>
      <c r="O285" s="293">
        <f t="shared" si="3"/>
        <v>0.30393393020496789</v>
      </c>
      <c r="P285" s="293">
        <f t="shared" si="3"/>
        <v>0.30301256249711783</v>
      </c>
      <c r="Q285" s="293">
        <f t="shared" si="3"/>
        <v>0.30338651170893211</v>
      </c>
      <c r="R285" s="293">
        <f t="shared" si="3"/>
        <v>0.30235713698932309</v>
      </c>
      <c r="S285" s="293">
        <f t="shared" si="3"/>
        <v>0.30312999513648003</v>
      </c>
      <c r="T285" s="293">
        <f t="shared" si="3"/>
        <v>0.30559238649919102</v>
      </c>
      <c r="U285" s="293">
        <f t="shared" si="3"/>
        <v>0.3121027627711529</v>
      </c>
      <c r="V285" s="293">
        <f t="shared" si="3"/>
        <v>0.32009353536369428</v>
      </c>
      <c r="W285" s="293">
        <f t="shared" si="3"/>
        <v>0.32194906804142193</v>
      </c>
      <c r="X285" s="293">
        <f t="shared" si="3"/>
        <v>0.32584984762282226</v>
      </c>
    </row>
    <row r="286" spans="2:24">
      <c r="B286" s="72" t="s">
        <v>472</v>
      </c>
      <c r="C286" s="72" t="s">
        <v>473</v>
      </c>
      <c r="D286" s="293">
        <f t="shared" si="0"/>
        <v>0.30593290240560261</v>
      </c>
      <c r="E286" s="293">
        <f t="shared" si="3"/>
        <v>0.30226838085659369</v>
      </c>
      <c r="F286" s="293">
        <f t="shared" si="3"/>
        <v>0.28754326949131659</v>
      </c>
      <c r="G286" s="293">
        <f t="shared" si="3"/>
        <v>0.27726293810537139</v>
      </c>
      <c r="H286" s="293">
        <f t="shared" si="3"/>
        <v>0.2705248582223897</v>
      </c>
      <c r="I286" s="293">
        <f t="shared" si="3"/>
        <v>0.27207868794495832</v>
      </c>
      <c r="J286" s="293">
        <f t="shared" si="3"/>
        <v>0.26567169521465994</v>
      </c>
      <c r="K286" s="293">
        <f t="shared" si="3"/>
        <v>0.26559204244128809</v>
      </c>
      <c r="L286" s="293">
        <f t="shared" si="3"/>
        <v>0.25825222216552057</v>
      </c>
      <c r="M286" s="293">
        <f t="shared" si="3"/>
        <v>0.25512400386606243</v>
      </c>
      <c r="N286" s="293">
        <f t="shared" si="3"/>
        <v>0.25394047263956027</v>
      </c>
      <c r="O286" s="293">
        <f t="shared" si="3"/>
        <v>0.25496967671386506</v>
      </c>
      <c r="P286" s="293">
        <f t="shared" si="3"/>
        <v>0.25260568973975744</v>
      </c>
      <c r="Q286" s="293">
        <f t="shared" si="3"/>
        <v>0.25382634020817729</v>
      </c>
      <c r="R286" s="293">
        <f t="shared" si="3"/>
        <v>0.25300294402758233</v>
      </c>
      <c r="S286" s="293">
        <f t="shared" si="3"/>
        <v>0.25570717255831055</v>
      </c>
      <c r="T286" s="293">
        <f t="shared" si="3"/>
        <v>0.26205512950119197</v>
      </c>
      <c r="U286" s="293">
        <f t="shared" si="3"/>
        <v>0.26837744938254215</v>
      </c>
      <c r="V286" s="293">
        <f t="shared" si="3"/>
        <v>0.27910658525277166</v>
      </c>
      <c r="W286" s="293">
        <f t="shared" si="3"/>
        <v>0.28081938794792272</v>
      </c>
      <c r="X286" s="293">
        <f t="shared" si="3"/>
        <v>0.28122713410186012</v>
      </c>
    </row>
    <row r="287" spans="2:24">
      <c r="B287" s="72" t="s">
        <v>474</v>
      </c>
      <c r="C287" s="72" t="s">
        <v>475</v>
      </c>
      <c r="D287" s="293">
        <f t="shared" si="0"/>
        <v>0.16223694034332353</v>
      </c>
      <c r="E287" s="293">
        <f t="shared" si="3"/>
        <v>0.16020666358202562</v>
      </c>
      <c r="F287" s="293">
        <f t="shared" si="3"/>
        <v>0.15868784576394199</v>
      </c>
      <c r="G287" s="293">
        <f t="shared" si="3"/>
        <v>0.15632933186888195</v>
      </c>
      <c r="H287" s="293">
        <f t="shared" si="3"/>
        <v>0.16140358580683012</v>
      </c>
      <c r="I287" s="293">
        <f t="shared" si="3"/>
        <v>0.16187749027670822</v>
      </c>
      <c r="J287" s="293">
        <f t="shared" si="3"/>
        <v>0.16467529412119022</v>
      </c>
      <c r="K287" s="293">
        <f t="shared" si="3"/>
        <v>0.15968742898930779</v>
      </c>
      <c r="L287" s="293">
        <f t="shared" si="3"/>
        <v>0.16005290942596451</v>
      </c>
      <c r="M287" s="293">
        <f t="shared" si="3"/>
        <v>0.16243523821507763</v>
      </c>
      <c r="N287" s="293">
        <f t="shared" si="3"/>
        <v>0.16495177926168081</v>
      </c>
      <c r="O287" s="293">
        <f t="shared" si="3"/>
        <v>0.16994354338333056</v>
      </c>
      <c r="P287" s="293">
        <f t="shared" si="3"/>
        <v>0.17706975696274679</v>
      </c>
      <c r="Q287" s="293">
        <f t="shared" si="3"/>
        <v>0.18453301698252844</v>
      </c>
      <c r="R287" s="293">
        <f t="shared" si="3"/>
        <v>0.19368224228493441</v>
      </c>
      <c r="S287" s="293">
        <f t="shared" si="3"/>
        <v>0.2033808338699028</v>
      </c>
      <c r="T287" s="293">
        <f t="shared" si="3"/>
        <v>0.21526714497681407</v>
      </c>
      <c r="U287" s="293">
        <f t="shared" si="3"/>
        <v>0.22796026097343494</v>
      </c>
      <c r="V287" s="293">
        <f t="shared" si="3"/>
        <v>0.24246163151912084</v>
      </c>
      <c r="W287" s="293">
        <f t="shared" si="3"/>
        <v>0.25525989129018356</v>
      </c>
      <c r="X287" s="293">
        <f t="shared" si="3"/>
        <v>0.26956980239214701</v>
      </c>
    </row>
    <row r="288" spans="2:24">
      <c r="B288" s="72" t="s">
        <v>335</v>
      </c>
      <c r="C288" s="72" t="s">
        <v>476</v>
      </c>
      <c r="D288" s="293">
        <f t="shared" si="0"/>
        <v>1.3290004194645573</v>
      </c>
      <c r="E288" s="293">
        <f t="shared" si="3"/>
        <v>1.3328363616046208</v>
      </c>
      <c r="F288" s="293">
        <f t="shared" si="3"/>
        <v>1.310783755637541</v>
      </c>
      <c r="G288" s="293">
        <f t="shared" si="3"/>
        <v>1.2901043957908562</v>
      </c>
      <c r="H288" s="293">
        <f t="shared" si="3"/>
        <v>1.280133924175701</v>
      </c>
      <c r="I288" s="293">
        <f t="shared" si="3"/>
        <v>1.2824128198758902</v>
      </c>
      <c r="J288" s="293">
        <f t="shared" si="3"/>
        <v>1.2902212112443114</v>
      </c>
      <c r="K288" s="293">
        <f t="shared" si="3"/>
        <v>1.291660193588092</v>
      </c>
      <c r="L288" s="293">
        <f t="shared" si="3"/>
        <v>1.3051853753288114</v>
      </c>
      <c r="M288" s="293">
        <f t="shared" si="3"/>
        <v>1.3044755494689557</v>
      </c>
      <c r="N288" s="293">
        <f t="shared" si="3"/>
        <v>1.2958666035776918</v>
      </c>
      <c r="O288" s="293">
        <f t="shared" si="3"/>
        <v>1.3033253320509355</v>
      </c>
      <c r="P288" s="293">
        <f t="shared" si="3"/>
        <v>1.2988809780586432</v>
      </c>
      <c r="Q288" s="293">
        <f t="shared" si="3"/>
        <v>1.3041251274484809</v>
      </c>
      <c r="R288" s="293">
        <f t="shared" si="3"/>
        <v>1.3069234468343083</v>
      </c>
      <c r="S288" s="293">
        <f t="shared" si="3"/>
        <v>1.2927099033103111</v>
      </c>
      <c r="T288" s="293">
        <f t="shared" si="3"/>
        <v>1.2760758777303438</v>
      </c>
      <c r="U288" s="293">
        <f t="shared" si="3"/>
        <v>1.2859902304440516</v>
      </c>
      <c r="V288" s="293">
        <f t="shared" si="3"/>
        <v>1.3315615950389237</v>
      </c>
      <c r="W288" s="293">
        <f t="shared" si="3"/>
        <v>1.3615939887197321</v>
      </c>
      <c r="X288" s="293">
        <f t="shared" si="3"/>
        <v>1.3806889116040484</v>
      </c>
    </row>
    <row r="289" spans="2:24">
      <c r="B289" s="72" t="s">
        <v>477</v>
      </c>
      <c r="C289" s="72" t="s">
        <v>478</v>
      </c>
      <c r="D289" s="293">
        <f t="shared" si="0"/>
        <v>0</v>
      </c>
      <c r="E289" s="293">
        <f t="shared" si="3"/>
        <v>0</v>
      </c>
      <c r="F289" s="293">
        <f t="shared" si="3"/>
        <v>0</v>
      </c>
      <c r="G289" s="293">
        <f t="shared" si="3"/>
        <v>0</v>
      </c>
      <c r="H289" s="293">
        <f t="shared" si="3"/>
        <v>0</v>
      </c>
      <c r="I289" s="293">
        <f t="shared" si="3"/>
        <v>0</v>
      </c>
      <c r="J289" s="293">
        <f t="shared" si="3"/>
        <v>0</v>
      </c>
      <c r="K289" s="293">
        <f t="shared" si="3"/>
        <v>0</v>
      </c>
      <c r="L289" s="293">
        <f t="shared" si="3"/>
        <v>0</v>
      </c>
      <c r="M289" s="293">
        <f t="shared" si="3"/>
        <v>0</v>
      </c>
      <c r="N289" s="293">
        <f t="shared" si="3"/>
        <v>0</v>
      </c>
      <c r="O289" s="293">
        <f t="shared" si="3"/>
        <v>0</v>
      </c>
      <c r="P289" s="293">
        <f t="shared" si="3"/>
        <v>0</v>
      </c>
      <c r="Q289" s="293">
        <f t="shared" si="3"/>
        <v>0</v>
      </c>
      <c r="R289" s="293">
        <f t="shared" si="3"/>
        <v>0</v>
      </c>
      <c r="S289" s="293">
        <f t="shared" si="3"/>
        <v>0</v>
      </c>
      <c r="T289" s="293">
        <f t="shared" si="3"/>
        <v>0</v>
      </c>
      <c r="U289" s="293">
        <f t="shared" si="3"/>
        <v>0</v>
      </c>
      <c r="V289" s="293">
        <f t="shared" si="3"/>
        <v>0</v>
      </c>
      <c r="W289" s="293">
        <f t="shared" si="3"/>
        <v>0</v>
      </c>
      <c r="X289" s="293">
        <f t="shared" si="3"/>
        <v>0</v>
      </c>
    </row>
    <row r="290" spans="2:24">
      <c r="B290" s="72" t="s">
        <v>479</v>
      </c>
      <c r="C290" s="72" t="s">
        <v>480</v>
      </c>
      <c r="D290" s="293">
        <f t="shared" si="0"/>
        <v>0.9987370816449892</v>
      </c>
      <c r="E290" s="293">
        <f t="shared" si="3"/>
        <v>0.9959669161910033</v>
      </c>
      <c r="F290" s="293">
        <f t="shared" si="3"/>
        <v>0.98153834129961304</v>
      </c>
      <c r="G290" s="293">
        <f t="shared" si="3"/>
        <v>0.96703675044329973</v>
      </c>
      <c r="H290" s="293">
        <f t="shared" si="3"/>
        <v>0.96615913813926468</v>
      </c>
      <c r="I290" s="293">
        <f t="shared" si="3"/>
        <v>0.96512832227575041</v>
      </c>
      <c r="J290" s="293">
        <f t="shared" si="3"/>
        <v>0.96951577439321024</v>
      </c>
      <c r="K290" s="293">
        <f t="shared" si="3"/>
        <v>0.96157124913913472</v>
      </c>
      <c r="L290" s="293">
        <f t="shared" si="3"/>
        <v>0.96446898854255025</v>
      </c>
      <c r="M290" s="293">
        <f t="shared" si="3"/>
        <v>0.96535083149196499</v>
      </c>
      <c r="N290" s="293">
        <f t="shared" si="3"/>
        <v>0.957320608032184</v>
      </c>
      <c r="O290" s="293">
        <f t="shared" si="3"/>
        <v>0.95841566073229412</v>
      </c>
      <c r="P290" s="293">
        <f t="shared" si="3"/>
        <v>0.9551392915555672</v>
      </c>
      <c r="Q290" s="293">
        <f t="shared" si="3"/>
        <v>0.95932523721449148</v>
      </c>
      <c r="R290" s="293">
        <f t="shared" si="3"/>
        <v>0.96106876613794712</v>
      </c>
      <c r="S290" s="293">
        <f t="shared" si="3"/>
        <v>0.95471311387275171</v>
      </c>
      <c r="T290" s="293">
        <f t="shared" si="3"/>
        <v>0.946809325356328</v>
      </c>
      <c r="U290" s="293">
        <f t="shared" si="3"/>
        <v>0.95033084017402025</v>
      </c>
      <c r="V290" s="293">
        <f t="shared" si="3"/>
        <v>0.96564745977890676</v>
      </c>
      <c r="W290" s="293">
        <f t="shared" si="3"/>
        <v>0.98212018924866973</v>
      </c>
      <c r="X290" s="293">
        <f t="shared" si="3"/>
        <v>0.99446086677244838</v>
      </c>
    </row>
    <row r="291" spans="2:24">
      <c r="B291" s="72" t="s">
        <v>481</v>
      </c>
      <c r="C291" s="72" t="s">
        <v>482</v>
      </c>
      <c r="D291" s="293">
        <f t="shared" si="0"/>
        <v>0</v>
      </c>
      <c r="E291" s="293">
        <f t="shared" si="3"/>
        <v>0</v>
      </c>
      <c r="F291" s="293">
        <f t="shared" si="3"/>
        <v>0</v>
      </c>
      <c r="G291" s="293">
        <f t="shared" si="3"/>
        <v>0</v>
      </c>
      <c r="H291" s="293">
        <f t="shared" si="3"/>
        <v>0</v>
      </c>
      <c r="I291" s="293">
        <f t="shared" si="3"/>
        <v>0</v>
      </c>
      <c r="J291" s="293">
        <f t="shared" si="3"/>
        <v>0</v>
      </c>
      <c r="K291" s="293">
        <f t="shared" si="3"/>
        <v>0</v>
      </c>
      <c r="L291" s="293">
        <f t="shared" si="3"/>
        <v>0</v>
      </c>
      <c r="M291" s="293">
        <f t="shared" si="3"/>
        <v>0</v>
      </c>
      <c r="N291" s="293">
        <f t="shared" si="3"/>
        <v>0</v>
      </c>
      <c r="O291" s="293">
        <f t="shared" si="3"/>
        <v>0</v>
      </c>
      <c r="P291" s="293">
        <f t="shared" si="3"/>
        <v>0</v>
      </c>
      <c r="Q291" s="293">
        <f t="shared" si="3"/>
        <v>0</v>
      </c>
      <c r="R291" s="293">
        <f t="shared" si="3"/>
        <v>0</v>
      </c>
      <c r="S291" s="293">
        <f t="shared" si="3"/>
        <v>0</v>
      </c>
      <c r="T291" s="293">
        <f t="shared" si="3"/>
        <v>0</v>
      </c>
      <c r="U291" s="293">
        <f t="shared" si="3"/>
        <v>0</v>
      </c>
      <c r="V291" s="293">
        <f t="shared" si="3"/>
        <v>0</v>
      </c>
      <c r="W291" s="293">
        <f t="shared" si="3"/>
        <v>0</v>
      </c>
      <c r="X291" s="293">
        <f t="shared" si="3"/>
        <v>0</v>
      </c>
    </row>
    <row r="292" spans="2:24">
      <c r="B292" s="72" t="s">
        <v>483</v>
      </c>
      <c r="C292" s="72" t="s">
        <v>484</v>
      </c>
      <c r="D292" s="293">
        <f t="shared" si="0"/>
        <v>0</v>
      </c>
      <c r="E292" s="293">
        <f t="shared" si="3"/>
        <v>0</v>
      </c>
      <c r="F292" s="293">
        <f t="shared" si="3"/>
        <v>0</v>
      </c>
      <c r="G292" s="293">
        <f t="shared" si="3"/>
        <v>0</v>
      </c>
      <c r="H292" s="293">
        <f t="shared" si="3"/>
        <v>0</v>
      </c>
      <c r="I292" s="293">
        <f t="shared" si="3"/>
        <v>0</v>
      </c>
      <c r="J292" s="293">
        <f t="shared" si="3"/>
        <v>0</v>
      </c>
      <c r="K292" s="293">
        <f t="shared" si="3"/>
        <v>0</v>
      </c>
      <c r="L292" s="293">
        <f t="shared" si="3"/>
        <v>0</v>
      </c>
      <c r="M292" s="293">
        <f t="shared" si="3"/>
        <v>0</v>
      </c>
      <c r="N292" s="293">
        <f t="shared" si="3"/>
        <v>0</v>
      </c>
      <c r="O292" s="293">
        <f t="shared" si="3"/>
        <v>0</v>
      </c>
      <c r="P292" s="293">
        <f t="shared" si="3"/>
        <v>0</v>
      </c>
      <c r="Q292" s="293">
        <f t="shared" si="3"/>
        <v>0</v>
      </c>
      <c r="R292" s="293">
        <f t="shared" si="3"/>
        <v>0</v>
      </c>
      <c r="S292" s="293">
        <f t="shared" si="3"/>
        <v>0</v>
      </c>
      <c r="T292" s="293">
        <f t="shared" si="3"/>
        <v>0</v>
      </c>
      <c r="U292" s="293">
        <f t="shared" si="3"/>
        <v>0</v>
      </c>
      <c r="V292" s="293">
        <f t="shared" si="3"/>
        <v>0</v>
      </c>
      <c r="W292" s="293">
        <f t="shared" si="3"/>
        <v>0</v>
      </c>
      <c r="X292" s="293">
        <f t="shared" si="3"/>
        <v>0</v>
      </c>
    </row>
    <row r="293" spans="2:24">
      <c r="B293" s="72" t="s">
        <v>485</v>
      </c>
      <c r="C293" s="72" t="s">
        <v>486</v>
      </c>
      <c r="D293" s="293">
        <f t="shared" si="0"/>
        <v>0</v>
      </c>
      <c r="E293" s="293">
        <f t="shared" si="3"/>
        <v>0</v>
      </c>
      <c r="F293" s="293">
        <f t="shared" si="3"/>
        <v>0</v>
      </c>
      <c r="G293" s="293">
        <f t="shared" si="3"/>
        <v>0</v>
      </c>
      <c r="H293" s="293">
        <f t="shared" si="3"/>
        <v>0</v>
      </c>
      <c r="I293" s="293">
        <f t="shared" si="3"/>
        <v>0</v>
      </c>
      <c r="J293" s="293">
        <f t="shared" ref="E293:X305" si="4">J43/J$251</f>
        <v>0</v>
      </c>
      <c r="K293" s="293">
        <f t="shared" si="4"/>
        <v>0</v>
      </c>
      <c r="L293" s="293">
        <f t="shared" si="4"/>
        <v>0</v>
      </c>
      <c r="M293" s="293">
        <f t="shared" si="4"/>
        <v>0</v>
      </c>
      <c r="N293" s="293">
        <f t="shared" si="4"/>
        <v>0</v>
      </c>
      <c r="O293" s="293">
        <f t="shared" si="4"/>
        <v>0</v>
      </c>
      <c r="P293" s="293">
        <f t="shared" si="4"/>
        <v>0</v>
      </c>
      <c r="Q293" s="293">
        <f t="shared" si="4"/>
        <v>0</v>
      </c>
      <c r="R293" s="293">
        <f t="shared" si="4"/>
        <v>0</v>
      </c>
      <c r="S293" s="293">
        <f t="shared" si="4"/>
        <v>0</v>
      </c>
      <c r="T293" s="293">
        <f t="shared" si="4"/>
        <v>0</v>
      </c>
      <c r="U293" s="293">
        <f t="shared" si="4"/>
        <v>0</v>
      </c>
      <c r="V293" s="293">
        <f t="shared" si="4"/>
        <v>0</v>
      </c>
      <c r="W293" s="293">
        <f t="shared" si="4"/>
        <v>0</v>
      </c>
      <c r="X293" s="293">
        <f t="shared" si="4"/>
        <v>0</v>
      </c>
    </row>
    <row r="294" spans="2:24">
      <c r="B294" s="72" t="s">
        <v>487</v>
      </c>
      <c r="C294" s="72" t="s">
        <v>488</v>
      </c>
      <c r="D294" s="293">
        <f t="shared" si="0"/>
        <v>0.10223946203618968</v>
      </c>
      <c r="E294" s="293">
        <f t="shared" si="4"/>
        <v>0.10295669425230677</v>
      </c>
      <c r="F294" s="293">
        <f t="shared" si="4"/>
        <v>0.10250293560252116</v>
      </c>
      <c r="G294" s="293">
        <f t="shared" si="4"/>
        <v>0.10321120624189782</v>
      </c>
      <c r="H294" s="293">
        <f t="shared" si="4"/>
        <v>0.1067105096126489</v>
      </c>
      <c r="I294" s="293">
        <f t="shared" si="4"/>
        <v>0.11077025390440239</v>
      </c>
      <c r="J294" s="293">
        <f t="shared" si="4"/>
        <v>0.11152592716817734</v>
      </c>
      <c r="K294" s="293">
        <f t="shared" si="4"/>
        <v>0.11326287344371015</v>
      </c>
      <c r="L294" s="293">
        <f t="shared" si="4"/>
        <v>0.1159269592428978</v>
      </c>
      <c r="M294" s="293">
        <f t="shared" si="4"/>
        <v>0.11584899600690141</v>
      </c>
      <c r="N294" s="293">
        <f t="shared" si="4"/>
        <v>0.11688528398303158</v>
      </c>
      <c r="O294" s="293">
        <f t="shared" si="4"/>
        <v>0.11671549279174114</v>
      </c>
      <c r="P294" s="293">
        <f t="shared" si="4"/>
        <v>0.12006134560748809</v>
      </c>
      <c r="Q294" s="293">
        <f t="shared" si="4"/>
        <v>0.12306459602719128</v>
      </c>
      <c r="R294" s="293">
        <f t="shared" si="4"/>
        <v>0.13003483876833674</v>
      </c>
      <c r="S294" s="293">
        <f t="shared" si="4"/>
        <v>0.13489319323207619</v>
      </c>
      <c r="T294" s="293">
        <f t="shared" si="4"/>
        <v>0.14044605695762813</v>
      </c>
      <c r="U294" s="293">
        <f t="shared" si="4"/>
        <v>0.14762792151469545</v>
      </c>
      <c r="V294" s="293">
        <f t="shared" si="4"/>
        <v>0.16050445132173191</v>
      </c>
      <c r="W294" s="293">
        <f t="shared" si="4"/>
        <v>0.16751570685294326</v>
      </c>
      <c r="X294" s="293">
        <f t="shared" si="4"/>
        <v>0.17555510933930749</v>
      </c>
    </row>
    <row r="295" spans="2:24">
      <c r="B295" s="72" t="s">
        <v>489</v>
      </c>
      <c r="C295" s="72" t="s">
        <v>490</v>
      </c>
      <c r="D295" s="293">
        <f t="shared" si="0"/>
        <v>7.8857455041031962E-2</v>
      </c>
      <c r="E295" s="293">
        <f t="shared" si="4"/>
        <v>7.3180429316786519E-2</v>
      </c>
      <c r="F295" s="293">
        <f t="shared" si="4"/>
        <v>6.9985551797034432E-2</v>
      </c>
      <c r="G295" s="293">
        <f t="shared" si="4"/>
        <v>6.7570216958701607E-2</v>
      </c>
      <c r="H295" s="293">
        <f t="shared" si="4"/>
        <v>6.6785139846175096E-2</v>
      </c>
      <c r="I295" s="293">
        <f t="shared" si="4"/>
        <v>6.6757746318964056E-2</v>
      </c>
      <c r="J295" s="293">
        <f t="shared" si="4"/>
        <v>6.5893533264325274E-2</v>
      </c>
      <c r="K295" s="293">
        <f t="shared" si="4"/>
        <v>6.3645139279311827E-2</v>
      </c>
      <c r="L295" s="293">
        <f t="shared" si="4"/>
        <v>6.2221484216424879E-2</v>
      </c>
      <c r="M295" s="293">
        <f t="shared" si="4"/>
        <v>6.0498627315645051E-2</v>
      </c>
      <c r="N295" s="293">
        <f t="shared" si="4"/>
        <v>6.0438831779760158E-2</v>
      </c>
      <c r="O295" s="293">
        <f t="shared" si="4"/>
        <v>6.1922225087462902E-2</v>
      </c>
      <c r="P295" s="293">
        <f t="shared" si="4"/>
        <v>6.198146012094282E-2</v>
      </c>
      <c r="Q295" s="293">
        <f t="shared" si="4"/>
        <v>6.3768522576960238E-2</v>
      </c>
      <c r="R295" s="293">
        <f t="shared" si="4"/>
        <v>6.5002364356143677E-2</v>
      </c>
      <c r="S295" s="293">
        <f t="shared" si="4"/>
        <v>6.6307073374944542E-2</v>
      </c>
      <c r="T295" s="293">
        <f t="shared" si="4"/>
        <v>6.7967261122085051E-2</v>
      </c>
      <c r="U295" s="293">
        <f t="shared" si="4"/>
        <v>7.0272764402549703E-2</v>
      </c>
      <c r="V295" s="293">
        <f t="shared" si="4"/>
        <v>7.3097395766419895E-2</v>
      </c>
      <c r="W295" s="293">
        <f t="shared" si="4"/>
        <v>7.4362071041436426E-2</v>
      </c>
      <c r="X295" s="293">
        <f t="shared" si="4"/>
        <v>7.6625412175065272E-2</v>
      </c>
    </row>
    <row r="296" spans="2:24">
      <c r="B296" s="72" t="s">
        <v>491</v>
      </c>
      <c r="C296" s="72" t="s">
        <v>492</v>
      </c>
      <c r="D296" s="293">
        <f t="shared" si="0"/>
        <v>7.8857455041031962E-2</v>
      </c>
      <c r="E296" s="293">
        <f t="shared" si="4"/>
        <v>7.3180429316786519E-2</v>
      </c>
      <c r="F296" s="293">
        <f t="shared" si="4"/>
        <v>6.9985551797034432E-2</v>
      </c>
      <c r="G296" s="293">
        <f t="shared" si="4"/>
        <v>6.7570216958701607E-2</v>
      </c>
      <c r="H296" s="293">
        <f t="shared" si="4"/>
        <v>6.6785139846175096E-2</v>
      </c>
      <c r="I296" s="293">
        <f t="shared" si="4"/>
        <v>6.6757746318964056E-2</v>
      </c>
      <c r="J296" s="293">
        <f t="shared" si="4"/>
        <v>6.5893533264325274E-2</v>
      </c>
      <c r="K296" s="293">
        <f t="shared" si="4"/>
        <v>6.3645139279311827E-2</v>
      </c>
      <c r="L296" s="293">
        <f t="shared" si="4"/>
        <v>6.2221484216424879E-2</v>
      </c>
      <c r="M296" s="293">
        <f t="shared" si="4"/>
        <v>6.0498627315645051E-2</v>
      </c>
      <c r="N296" s="293">
        <f t="shared" si="4"/>
        <v>6.0438831779760158E-2</v>
      </c>
      <c r="O296" s="293">
        <f t="shared" si="4"/>
        <v>6.1922225087462902E-2</v>
      </c>
      <c r="P296" s="293">
        <f t="shared" si="4"/>
        <v>6.198146012094282E-2</v>
      </c>
      <c r="Q296" s="293">
        <f t="shared" si="4"/>
        <v>6.3768522576960238E-2</v>
      </c>
      <c r="R296" s="293">
        <f t="shared" si="4"/>
        <v>6.5002364356143677E-2</v>
      </c>
      <c r="S296" s="293">
        <f t="shared" si="4"/>
        <v>6.6307073374944542E-2</v>
      </c>
      <c r="T296" s="293">
        <f t="shared" si="4"/>
        <v>6.7967261122085051E-2</v>
      </c>
      <c r="U296" s="293">
        <f t="shared" si="4"/>
        <v>7.0272764402549703E-2</v>
      </c>
      <c r="V296" s="293">
        <f t="shared" si="4"/>
        <v>7.3097395766419895E-2</v>
      </c>
      <c r="W296" s="293">
        <f t="shared" si="4"/>
        <v>7.4362071041436426E-2</v>
      </c>
      <c r="X296" s="293">
        <f t="shared" si="4"/>
        <v>7.6625412175065272E-2</v>
      </c>
    </row>
    <row r="297" spans="2:24">
      <c r="B297" s="72" t="s">
        <v>493</v>
      </c>
      <c r="C297" s="72" t="s">
        <v>494</v>
      </c>
      <c r="D297" s="293">
        <f t="shared" si="0"/>
        <v>0.17871697586320193</v>
      </c>
      <c r="E297" s="293">
        <f t="shared" si="4"/>
        <v>0.17706610963710967</v>
      </c>
      <c r="F297" s="293">
        <f t="shared" si="4"/>
        <v>0.17639941235838238</v>
      </c>
      <c r="G297" s="293">
        <f t="shared" si="4"/>
        <v>0.1744477387217796</v>
      </c>
      <c r="H297" s="293">
        <f t="shared" si="4"/>
        <v>0.1811436939899812</v>
      </c>
      <c r="I297" s="293">
        <f t="shared" si="4"/>
        <v>0.18072819868943515</v>
      </c>
      <c r="J297" s="293">
        <f t="shared" si="4"/>
        <v>0.18470011880162901</v>
      </c>
      <c r="K297" s="293">
        <f t="shared" si="4"/>
        <v>0.17909966376724709</v>
      </c>
      <c r="L297" s="293">
        <f t="shared" si="4"/>
        <v>0.17926085109256884</v>
      </c>
      <c r="M297" s="293">
        <f t="shared" si="4"/>
        <v>0.18333678895114658</v>
      </c>
      <c r="N297" s="293">
        <f t="shared" si="4"/>
        <v>0.18702708583954938</v>
      </c>
      <c r="O297" s="293">
        <f t="shared" si="4"/>
        <v>0.19491908340598851</v>
      </c>
      <c r="P297" s="293">
        <f t="shared" si="4"/>
        <v>0.20539575538275451</v>
      </c>
      <c r="Q297" s="293">
        <f t="shared" si="4"/>
        <v>0.21574569259520321</v>
      </c>
      <c r="R297" s="293">
        <f t="shared" si="4"/>
        <v>0.2274417388983761</v>
      </c>
      <c r="S297" s="293">
        <f t="shared" si="4"/>
        <v>0.24087876460137822</v>
      </c>
      <c r="T297" s="293">
        <f t="shared" si="4"/>
        <v>0.2579175668089464</v>
      </c>
      <c r="U297" s="293">
        <f t="shared" si="4"/>
        <v>0.2747823994587289</v>
      </c>
      <c r="V297" s="293">
        <f t="shared" si="4"/>
        <v>0.29209435746632556</v>
      </c>
      <c r="W297" s="293">
        <f t="shared" si="4"/>
        <v>0.30959919654359741</v>
      </c>
      <c r="X297" s="293">
        <f t="shared" si="4"/>
        <v>0.3293322010538336</v>
      </c>
    </row>
    <row r="298" spans="2:24">
      <c r="B298" s="72" t="s">
        <v>495</v>
      </c>
      <c r="C298" s="72" t="s">
        <v>496</v>
      </c>
      <c r="D298" s="293">
        <f t="shared" si="0"/>
        <v>0.33258010392160231</v>
      </c>
      <c r="E298" s="293">
        <f t="shared" si="4"/>
        <v>0.32657245388304812</v>
      </c>
      <c r="F298" s="293">
        <f t="shared" si="4"/>
        <v>0.31971466630122264</v>
      </c>
      <c r="G298" s="293">
        <f t="shared" si="4"/>
        <v>0.31446446247364146</v>
      </c>
      <c r="H298" s="293">
        <f t="shared" si="4"/>
        <v>0.31777861169234922</v>
      </c>
      <c r="I298" s="293">
        <f t="shared" si="4"/>
        <v>0.31709693167525743</v>
      </c>
      <c r="J298" s="293">
        <f t="shared" si="4"/>
        <v>0.31976649644908789</v>
      </c>
      <c r="K298" s="293">
        <f t="shared" si="4"/>
        <v>0.31375352598558759</v>
      </c>
      <c r="L298" s="293">
        <f t="shared" si="4"/>
        <v>0.31379311002384169</v>
      </c>
      <c r="M298" s="293">
        <f t="shared" si="4"/>
        <v>0.31476932348764086</v>
      </c>
      <c r="N298" s="293">
        <f t="shared" si="4"/>
        <v>0.31353429122550092</v>
      </c>
      <c r="O298" s="293">
        <f t="shared" si="4"/>
        <v>0.31511281652883999</v>
      </c>
      <c r="P298" s="293">
        <f t="shared" si="4"/>
        <v>0.3180046745855678</v>
      </c>
      <c r="Q298" s="293">
        <f t="shared" si="4"/>
        <v>0.32279747897842898</v>
      </c>
      <c r="R298" s="293">
        <f t="shared" si="4"/>
        <v>0.3289600192898457</v>
      </c>
      <c r="S298" s="293">
        <f t="shared" si="4"/>
        <v>0.33507692561128566</v>
      </c>
      <c r="T298" s="293">
        <f t="shared" si="4"/>
        <v>0.34202601794539667</v>
      </c>
      <c r="U298" s="293">
        <f t="shared" si="4"/>
        <v>0.35174304706592052</v>
      </c>
      <c r="V298" s="293">
        <f t="shared" si="4"/>
        <v>0.36226599260282194</v>
      </c>
      <c r="W298" s="293">
        <f t="shared" si="4"/>
        <v>0.3734024225390537</v>
      </c>
      <c r="X298" s="293">
        <f t="shared" si="4"/>
        <v>0.38553686728696895</v>
      </c>
    </row>
    <row r="299" spans="2:24">
      <c r="B299" s="72" t="s">
        <v>497</v>
      </c>
      <c r="C299" s="72" t="s">
        <v>498</v>
      </c>
      <c r="D299" s="293">
        <f t="shared" si="0"/>
        <v>0</v>
      </c>
      <c r="E299" s="293">
        <f t="shared" si="4"/>
        <v>0</v>
      </c>
      <c r="F299" s="293">
        <f t="shared" si="4"/>
        <v>0</v>
      </c>
      <c r="G299" s="293">
        <f t="shared" si="4"/>
        <v>0</v>
      </c>
      <c r="H299" s="293">
        <f t="shared" si="4"/>
        <v>0</v>
      </c>
      <c r="I299" s="293">
        <f t="shared" si="4"/>
        <v>0</v>
      </c>
      <c r="J299" s="293">
        <f t="shared" si="4"/>
        <v>0</v>
      </c>
      <c r="K299" s="293">
        <f t="shared" si="4"/>
        <v>0</v>
      </c>
      <c r="L299" s="293">
        <f t="shared" si="4"/>
        <v>0</v>
      </c>
      <c r="M299" s="293">
        <f t="shared" si="4"/>
        <v>0</v>
      </c>
      <c r="N299" s="293">
        <f t="shared" si="4"/>
        <v>0</v>
      </c>
      <c r="O299" s="293">
        <f t="shared" si="4"/>
        <v>0</v>
      </c>
      <c r="P299" s="293">
        <f t="shared" si="4"/>
        <v>0</v>
      </c>
      <c r="Q299" s="293">
        <f t="shared" si="4"/>
        <v>0</v>
      </c>
      <c r="R299" s="293">
        <f t="shared" si="4"/>
        <v>0</v>
      </c>
      <c r="S299" s="293">
        <f t="shared" si="4"/>
        <v>0</v>
      </c>
      <c r="T299" s="293">
        <f t="shared" si="4"/>
        <v>0</v>
      </c>
      <c r="U299" s="293">
        <f t="shared" si="4"/>
        <v>0</v>
      </c>
      <c r="V299" s="293">
        <f t="shared" si="4"/>
        <v>0</v>
      </c>
      <c r="W299" s="293">
        <f t="shared" si="4"/>
        <v>0</v>
      </c>
      <c r="X299" s="293">
        <f t="shared" si="4"/>
        <v>0</v>
      </c>
    </row>
    <row r="300" spans="2:24">
      <c r="B300" s="72" t="s">
        <v>499</v>
      </c>
      <c r="C300" s="72" t="s">
        <v>330</v>
      </c>
      <c r="D300" s="293">
        <f t="shared" si="0"/>
        <v>0.14122866127583109</v>
      </c>
      <c r="E300" s="293">
        <f t="shared" si="4"/>
        <v>0.13021904213614058</v>
      </c>
      <c r="F300" s="293">
        <f t="shared" si="4"/>
        <v>0.1383278409694908</v>
      </c>
      <c r="G300" s="293">
        <f t="shared" si="4"/>
        <v>0.1453672069665288</v>
      </c>
      <c r="H300" s="293">
        <f t="shared" si="4"/>
        <v>0.16229719159244027</v>
      </c>
      <c r="I300" s="293">
        <f t="shared" si="4"/>
        <v>0.1772205168828597</v>
      </c>
      <c r="J300" s="293">
        <f t="shared" si="4"/>
        <v>0.15876771471083251</v>
      </c>
      <c r="K300" s="293">
        <f t="shared" si="4"/>
        <v>0.17012319840175047</v>
      </c>
      <c r="L300" s="293">
        <f t="shared" si="4"/>
        <v>0.19303642592463119</v>
      </c>
      <c r="M300" s="293">
        <f t="shared" si="4"/>
        <v>0.20422007941009643</v>
      </c>
      <c r="N300" s="293">
        <f t="shared" si="4"/>
        <v>0.21857557490511276</v>
      </c>
      <c r="O300" s="293">
        <f t="shared" si="4"/>
        <v>0.22433510345283475</v>
      </c>
      <c r="P300" s="293">
        <f t="shared" si="4"/>
        <v>0.22630690669897871</v>
      </c>
      <c r="Q300" s="293">
        <f t="shared" si="4"/>
        <v>0.22891310350687144</v>
      </c>
      <c r="R300" s="293">
        <f t="shared" si="4"/>
        <v>0.2331520255370981</v>
      </c>
      <c r="S300" s="293">
        <f t="shared" si="4"/>
        <v>0.23342951360263808</v>
      </c>
      <c r="T300" s="293">
        <f t="shared" si="4"/>
        <v>0.23493038575787581</v>
      </c>
      <c r="U300" s="293">
        <f t="shared" si="4"/>
        <v>0.27198289031469602</v>
      </c>
      <c r="V300" s="293">
        <f t="shared" si="4"/>
        <v>0.31492760648274992</v>
      </c>
      <c r="W300" s="293">
        <f t="shared" si="4"/>
        <v>0.31609219355645396</v>
      </c>
      <c r="X300" s="293">
        <f t="shared" si="4"/>
        <v>0.3200233898588255</v>
      </c>
    </row>
    <row r="301" spans="2:24">
      <c r="B301" s="72" t="s">
        <v>500</v>
      </c>
      <c r="C301" s="72" t="s">
        <v>501</v>
      </c>
      <c r="D301" s="293">
        <f t="shared" si="0"/>
        <v>0.27835804132973946</v>
      </c>
      <c r="E301" s="293">
        <f t="shared" si="4"/>
        <v>0.26268607615757877</v>
      </c>
      <c r="F301" s="293">
        <f t="shared" si="4"/>
        <v>0.23719039013500584</v>
      </c>
      <c r="G301" s="293">
        <f t="shared" si="4"/>
        <v>0.21662513807187445</v>
      </c>
      <c r="H301" s="293">
        <f t="shared" si="4"/>
        <v>0.21076934722817997</v>
      </c>
      <c r="I301" s="293">
        <f t="shared" si="4"/>
        <v>0.20477274977720566</v>
      </c>
      <c r="J301" s="293">
        <f t="shared" si="4"/>
        <v>0.19506305339415078</v>
      </c>
      <c r="K301" s="293">
        <f t="shared" si="4"/>
        <v>0.19200399562384055</v>
      </c>
      <c r="L301" s="293">
        <f t="shared" si="4"/>
        <v>0.18627793702952761</v>
      </c>
      <c r="M301" s="293">
        <f t="shared" si="4"/>
        <v>0.17792399319342031</v>
      </c>
      <c r="N301" s="293">
        <f t="shared" si="4"/>
        <v>0.17260549229738781</v>
      </c>
      <c r="O301" s="293">
        <f t="shared" si="4"/>
        <v>0.1720027323006412</v>
      </c>
      <c r="P301" s="293">
        <f t="shared" si="4"/>
        <v>0.17496105244936819</v>
      </c>
      <c r="Q301" s="293">
        <f t="shared" si="4"/>
        <v>0.17462138108286071</v>
      </c>
      <c r="R301" s="293">
        <f t="shared" si="4"/>
        <v>0.17586156204716802</v>
      </c>
      <c r="S301" s="293">
        <f t="shared" si="4"/>
        <v>0.17017724649629018</v>
      </c>
      <c r="T301" s="293">
        <f t="shared" si="4"/>
        <v>0.16658920524582213</v>
      </c>
      <c r="U301" s="293">
        <f t="shared" si="4"/>
        <v>0.16718606782768103</v>
      </c>
      <c r="V301" s="293">
        <f t="shared" si="4"/>
        <v>0.17277497945162174</v>
      </c>
      <c r="W301" s="293">
        <f t="shared" si="4"/>
        <v>0.17273788188221564</v>
      </c>
      <c r="X301" s="293">
        <f t="shared" si="4"/>
        <v>0.17488096232562025</v>
      </c>
    </row>
    <row r="302" spans="2:24">
      <c r="B302" s="72" t="s">
        <v>502</v>
      </c>
      <c r="C302" s="72" t="s">
        <v>503</v>
      </c>
      <c r="D302" s="293">
        <f t="shared" si="0"/>
        <v>0</v>
      </c>
      <c r="E302" s="293">
        <f t="shared" si="4"/>
        <v>0</v>
      </c>
      <c r="F302" s="293">
        <f t="shared" si="4"/>
        <v>0</v>
      </c>
      <c r="G302" s="293">
        <f t="shared" si="4"/>
        <v>0</v>
      </c>
      <c r="H302" s="293">
        <f t="shared" si="4"/>
        <v>0</v>
      </c>
      <c r="I302" s="293">
        <f t="shared" si="4"/>
        <v>0</v>
      </c>
      <c r="J302" s="293">
        <f t="shared" si="4"/>
        <v>0</v>
      </c>
      <c r="K302" s="293">
        <f t="shared" si="4"/>
        <v>0</v>
      </c>
      <c r="L302" s="293">
        <f t="shared" si="4"/>
        <v>0</v>
      </c>
      <c r="M302" s="293">
        <f t="shared" si="4"/>
        <v>0</v>
      </c>
      <c r="N302" s="293">
        <f t="shared" si="4"/>
        <v>0</v>
      </c>
      <c r="O302" s="293">
        <f t="shared" si="4"/>
        <v>0</v>
      </c>
      <c r="P302" s="293">
        <f t="shared" si="4"/>
        <v>0</v>
      </c>
      <c r="Q302" s="293">
        <f t="shared" si="4"/>
        <v>0</v>
      </c>
      <c r="R302" s="293">
        <f t="shared" si="4"/>
        <v>0</v>
      </c>
      <c r="S302" s="293">
        <f t="shared" si="4"/>
        <v>0</v>
      </c>
      <c r="T302" s="293">
        <f t="shared" si="4"/>
        <v>0</v>
      </c>
      <c r="U302" s="293">
        <f t="shared" si="4"/>
        <v>0</v>
      </c>
      <c r="V302" s="293">
        <f t="shared" si="4"/>
        <v>0</v>
      </c>
      <c r="W302" s="293">
        <f t="shared" si="4"/>
        <v>0</v>
      </c>
      <c r="X302" s="293">
        <f t="shared" si="4"/>
        <v>0</v>
      </c>
    </row>
    <row r="303" spans="2:24">
      <c r="B303" s="72" t="s">
        <v>504</v>
      </c>
      <c r="C303" s="72" t="s">
        <v>505</v>
      </c>
      <c r="D303" s="293">
        <f t="shared" si="0"/>
        <v>0</v>
      </c>
      <c r="E303" s="293">
        <f t="shared" si="4"/>
        <v>0</v>
      </c>
      <c r="F303" s="293">
        <f t="shared" si="4"/>
        <v>0</v>
      </c>
      <c r="G303" s="293">
        <f t="shared" si="4"/>
        <v>0</v>
      </c>
      <c r="H303" s="293">
        <f t="shared" si="4"/>
        <v>0</v>
      </c>
      <c r="I303" s="293">
        <f t="shared" si="4"/>
        <v>0</v>
      </c>
      <c r="J303" s="293">
        <f t="shared" si="4"/>
        <v>0</v>
      </c>
      <c r="K303" s="293">
        <f t="shared" si="4"/>
        <v>0</v>
      </c>
      <c r="L303" s="293">
        <f t="shared" si="4"/>
        <v>0</v>
      </c>
      <c r="M303" s="293">
        <f t="shared" si="4"/>
        <v>0</v>
      </c>
      <c r="N303" s="293">
        <f t="shared" si="4"/>
        <v>0</v>
      </c>
      <c r="O303" s="293">
        <f t="shared" si="4"/>
        <v>0</v>
      </c>
      <c r="P303" s="293">
        <f t="shared" si="4"/>
        <v>0</v>
      </c>
      <c r="Q303" s="293">
        <f t="shared" si="4"/>
        <v>0</v>
      </c>
      <c r="R303" s="293">
        <f t="shared" si="4"/>
        <v>0</v>
      </c>
      <c r="S303" s="293">
        <f t="shared" si="4"/>
        <v>0</v>
      </c>
      <c r="T303" s="293">
        <f t="shared" si="4"/>
        <v>0</v>
      </c>
      <c r="U303" s="293">
        <f t="shared" si="4"/>
        <v>0</v>
      </c>
      <c r="V303" s="293">
        <f t="shared" si="4"/>
        <v>0</v>
      </c>
      <c r="W303" s="293">
        <f t="shared" si="4"/>
        <v>0</v>
      </c>
      <c r="X303" s="293">
        <f t="shared" si="4"/>
        <v>0</v>
      </c>
    </row>
    <row r="304" spans="2:24">
      <c r="B304" s="72" t="s">
        <v>506</v>
      </c>
      <c r="C304" s="72" t="s">
        <v>507</v>
      </c>
      <c r="D304" s="293">
        <f t="shared" si="0"/>
        <v>4.4642857142857144E-2</v>
      </c>
      <c r="E304" s="293">
        <f t="shared" si="4"/>
        <v>3.9614003344573295E-2</v>
      </c>
      <c r="F304" s="293">
        <f t="shared" si="4"/>
        <v>2.806420750504943E-2</v>
      </c>
      <c r="G304" s="293">
        <f t="shared" si="4"/>
        <v>2.6612551054483805E-2</v>
      </c>
      <c r="H304" s="293">
        <f t="shared" si="4"/>
        <v>2.9219550351997175E-2</v>
      </c>
      <c r="I304" s="293">
        <f t="shared" si="4"/>
        <v>3.3468660263392416E-2</v>
      </c>
      <c r="J304" s="293">
        <f t="shared" si="4"/>
        <v>3.3904919872185767E-2</v>
      </c>
      <c r="K304" s="293">
        <f t="shared" si="4"/>
        <v>3.2179042001617274E-2</v>
      </c>
      <c r="L304" s="293">
        <f t="shared" si="4"/>
        <v>3.1671677270502692E-2</v>
      </c>
      <c r="M304" s="293">
        <f t="shared" si="4"/>
        <v>3.0811117413499716E-2</v>
      </c>
      <c r="N304" s="293">
        <f t="shared" si="4"/>
        <v>3.0252288457244921E-2</v>
      </c>
      <c r="O304" s="293">
        <f t="shared" si="4"/>
        <v>3.3140162615957515E-2</v>
      </c>
      <c r="P304" s="293">
        <f t="shared" si="4"/>
        <v>3.247792972130864E-2</v>
      </c>
      <c r="Q304" s="293">
        <f t="shared" si="4"/>
        <v>3.4282801248964503E-2</v>
      </c>
      <c r="R304" s="293">
        <f t="shared" si="4"/>
        <v>3.9649704937312305E-2</v>
      </c>
      <c r="S304" s="293">
        <f t="shared" si="4"/>
        <v>4.5589447650453419E-2</v>
      </c>
      <c r="T304" s="293">
        <f t="shared" si="4"/>
        <v>5.3226099783781601E-2</v>
      </c>
      <c r="U304" s="293">
        <f t="shared" si="4"/>
        <v>5.9232101028617985E-2</v>
      </c>
      <c r="V304" s="293">
        <f t="shared" si="4"/>
        <v>6.0633522308162449E-2</v>
      </c>
      <c r="W304" s="293">
        <f t="shared" si="4"/>
        <v>5.9934147459675742E-2</v>
      </c>
      <c r="X304" s="293">
        <f t="shared" si="4"/>
        <v>6.0103583660512903E-2</v>
      </c>
    </row>
    <row r="305" spans="2:24">
      <c r="B305" s="72" t="s">
        <v>508</v>
      </c>
      <c r="C305" s="72" t="s">
        <v>509</v>
      </c>
      <c r="D305" s="293">
        <f t="shared" si="0"/>
        <v>0</v>
      </c>
      <c r="E305" s="293">
        <f t="shared" si="4"/>
        <v>0</v>
      </c>
      <c r="F305" s="293">
        <f t="shared" si="4"/>
        <v>0</v>
      </c>
      <c r="G305" s="293">
        <f t="shared" si="4"/>
        <v>0</v>
      </c>
      <c r="H305" s="293">
        <f t="shared" si="4"/>
        <v>0</v>
      </c>
      <c r="I305" s="293">
        <f t="shared" si="4"/>
        <v>0</v>
      </c>
      <c r="J305" s="293">
        <f t="shared" si="4"/>
        <v>0</v>
      </c>
      <c r="K305" s="293">
        <f t="shared" si="4"/>
        <v>0</v>
      </c>
      <c r="L305" s="293">
        <f t="shared" si="4"/>
        <v>0</v>
      </c>
      <c r="M305" s="293">
        <f t="shared" si="4"/>
        <v>0</v>
      </c>
      <c r="N305" s="293">
        <f t="shared" si="4"/>
        <v>0</v>
      </c>
      <c r="O305" s="293">
        <f t="shared" si="4"/>
        <v>0</v>
      </c>
      <c r="P305" s="293">
        <f t="shared" si="4"/>
        <v>0</v>
      </c>
      <c r="Q305" s="293">
        <f t="shared" si="4"/>
        <v>0</v>
      </c>
      <c r="R305" s="293">
        <f t="shared" si="4"/>
        <v>0</v>
      </c>
      <c r="S305" s="293">
        <f t="shared" si="4"/>
        <v>0</v>
      </c>
      <c r="T305" s="293">
        <f t="shared" si="4"/>
        <v>0</v>
      </c>
      <c r="U305" s="293">
        <f t="shared" si="4"/>
        <v>0</v>
      </c>
      <c r="V305" s="293">
        <f t="shared" si="4"/>
        <v>0</v>
      </c>
      <c r="W305" s="293">
        <f t="shared" si="4"/>
        <v>0</v>
      </c>
      <c r="X305" s="293">
        <f t="shared" si="4"/>
        <v>0</v>
      </c>
    </row>
    <row r="306" spans="2:24">
      <c r="B306" s="72" t="s">
        <v>510</v>
      </c>
      <c r="C306" s="72" t="s">
        <v>511</v>
      </c>
      <c r="D306" s="293">
        <f t="shared" si="0"/>
        <v>0.52535377358490565</v>
      </c>
      <c r="E306" s="293">
        <f t="shared" ref="E306:X318" si="5">E56/E$251</f>
        <v>0.54927762699783422</v>
      </c>
      <c r="F306" s="293">
        <f t="shared" si="5"/>
        <v>0.56758265121717866</v>
      </c>
      <c r="G306" s="293">
        <f t="shared" si="5"/>
        <v>0.58424310925017342</v>
      </c>
      <c r="H306" s="293">
        <f t="shared" si="5"/>
        <v>0.54268123438722216</v>
      </c>
      <c r="I306" s="293">
        <f t="shared" si="5"/>
        <v>0.55703535003465687</v>
      </c>
      <c r="J306" s="293">
        <f t="shared" si="5"/>
        <v>0.59601922091860382</v>
      </c>
      <c r="K306" s="293">
        <f t="shared" si="5"/>
        <v>0.60888074965513961</v>
      </c>
      <c r="L306" s="293">
        <f t="shared" si="5"/>
        <v>0.57640588221585221</v>
      </c>
      <c r="M306" s="293">
        <f t="shared" si="5"/>
        <v>0.55140102098695409</v>
      </c>
      <c r="N306" s="293">
        <f t="shared" si="5"/>
        <v>0.51044876088412594</v>
      </c>
      <c r="O306" s="293">
        <f t="shared" si="5"/>
        <v>0.50426371108124191</v>
      </c>
      <c r="P306" s="293">
        <f t="shared" si="5"/>
        <v>0.50248831573481045</v>
      </c>
      <c r="Q306" s="293">
        <f t="shared" si="5"/>
        <v>0.49576244185305551</v>
      </c>
      <c r="R306" s="293">
        <f t="shared" si="5"/>
        <v>0.49599932797110274</v>
      </c>
      <c r="S306" s="293">
        <f t="shared" si="5"/>
        <v>0.50346248969497109</v>
      </c>
      <c r="T306" s="293">
        <f t="shared" si="5"/>
        <v>0.52874492290904684</v>
      </c>
      <c r="U306" s="293">
        <f t="shared" si="5"/>
        <v>0.54170485792850598</v>
      </c>
      <c r="V306" s="293">
        <f t="shared" si="5"/>
        <v>0.55156062298467834</v>
      </c>
      <c r="W306" s="293">
        <f t="shared" si="5"/>
        <v>0.58081523777768518</v>
      </c>
      <c r="X306" s="293">
        <f t="shared" si="5"/>
        <v>0.5933505972767521</v>
      </c>
    </row>
    <row r="307" spans="2:24">
      <c r="B307" s="72" t="s">
        <v>512</v>
      </c>
      <c r="C307" s="72" t="s">
        <v>513</v>
      </c>
      <c r="D307" s="293">
        <f t="shared" si="0"/>
        <v>0.29034703504043125</v>
      </c>
      <c r="E307" s="293">
        <f t="shared" si="5"/>
        <v>0.17992159442936645</v>
      </c>
      <c r="F307" s="293">
        <f t="shared" si="5"/>
        <v>0.16532901031147018</v>
      </c>
      <c r="G307" s="293">
        <f t="shared" si="5"/>
        <v>0.17475403940507078</v>
      </c>
      <c r="H307" s="293">
        <f t="shared" si="5"/>
        <v>0.18488052282304257</v>
      </c>
      <c r="I307" s="293">
        <f t="shared" si="5"/>
        <v>0.19747004653926131</v>
      </c>
      <c r="J307" s="293">
        <f t="shared" si="5"/>
        <v>0.21030807132229187</v>
      </c>
      <c r="K307" s="293">
        <f t="shared" si="5"/>
        <v>0.2258716643675974</v>
      </c>
      <c r="L307" s="293">
        <f t="shared" si="5"/>
        <v>0.2354051597566944</v>
      </c>
      <c r="M307" s="293">
        <f t="shared" si="5"/>
        <v>0.2466023823028928</v>
      </c>
      <c r="N307" s="293">
        <f t="shared" si="5"/>
        <v>0.26854208528689438</v>
      </c>
      <c r="O307" s="293">
        <f t="shared" si="5"/>
        <v>0.34858867858008508</v>
      </c>
      <c r="P307" s="293">
        <f t="shared" si="5"/>
        <v>0.3899515319369915</v>
      </c>
      <c r="Q307" s="293">
        <f t="shared" si="5"/>
        <v>0.43299560313515578</v>
      </c>
      <c r="R307" s="293">
        <f t="shared" si="5"/>
        <v>0.48033265430413508</v>
      </c>
      <c r="S307" s="293">
        <f t="shared" si="5"/>
        <v>0.53623248145094804</v>
      </c>
      <c r="T307" s="293">
        <f t="shared" si="5"/>
        <v>0.59308505264008726</v>
      </c>
      <c r="U307" s="293">
        <f t="shared" si="5"/>
        <v>0.63016600468479478</v>
      </c>
      <c r="V307" s="293">
        <f t="shared" si="5"/>
        <v>0.57425867773820316</v>
      </c>
      <c r="W307" s="293">
        <f t="shared" si="5"/>
        <v>0.57231275788771729</v>
      </c>
      <c r="X307" s="293">
        <f t="shared" si="5"/>
        <v>0.59523013950380088</v>
      </c>
    </row>
    <row r="308" spans="2:24">
      <c r="B308" s="72" t="s">
        <v>514</v>
      </c>
      <c r="C308" s="72" t="s">
        <v>515</v>
      </c>
      <c r="D308" s="293">
        <f t="shared" si="0"/>
        <v>0</v>
      </c>
      <c r="E308" s="293">
        <f t="shared" si="5"/>
        <v>0</v>
      </c>
      <c r="F308" s="293">
        <f t="shared" si="5"/>
        <v>0</v>
      </c>
      <c r="G308" s="293">
        <f t="shared" si="5"/>
        <v>0</v>
      </c>
      <c r="H308" s="293">
        <f t="shared" si="5"/>
        <v>0</v>
      </c>
      <c r="I308" s="293">
        <f t="shared" si="5"/>
        <v>0</v>
      </c>
      <c r="J308" s="293">
        <f t="shared" si="5"/>
        <v>0</v>
      </c>
      <c r="K308" s="293">
        <f t="shared" si="5"/>
        <v>0</v>
      </c>
      <c r="L308" s="293">
        <f t="shared" si="5"/>
        <v>0</v>
      </c>
      <c r="M308" s="293">
        <f t="shared" si="5"/>
        <v>0</v>
      </c>
      <c r="N308" s="293">
        <f t="shared" si="5"/>
        <v>0</v>
      </c>
      <c r="O308" s="293">
        <f t="shared" si="5"/>
        <v>0</v>
      </c>
      <c r="P308" s="293">
        <f t="shared" si="5"/>
        <v>0</v>
      </c>
      <c r="Q308" s="293">
        <f t="shared" si="5"/>
        <v>0</v>
      </c>
      <c r="R308" s="293">
        <f t="shared" si="5"/>
        <v>0</v>
      </c>
      <c r="S308" s="293">
        <f t="shared" si="5"/>
        <v>0</v>
      </c>
      <c r="T308" s="293">
        <f t="shared" si="5"/>
        <v>0</v>
      </c>
      <c r="U308" s="293">
        <f t="shared" si="5"/>
        <v>0</v>
      </c>
      <c r="V308" s="293">
        <f t="shared" si="5"/>
        <v>0</v>
      </c>
      <c r="W308" s="293">
        <f t="shared" si="5"/>
        <v>0</v>
      </c>
      <c r="X308" s="293">
        <f t="shared" si="5"/>
        <v>0</v>
      </c>
    </row>
    <row r="309" spans="2:24">
      <c r="B309" s="72" t="s">
        <v>516</v>
      </c>
      <c r="C309" s="72" t="s">
        <v>331</v>
      </c>
      <c r="D309" s="293">
        <f t="shared" si="0"/>
        <v>1.0610961365678346</v>
      </c>
      <c r="E309" s="293">
        <f t="shared" si="5"/>
        <v>1.0677961455163527</v>
      </c>
      <c r="F309" s="293">
        <f t="shared" si="5"/>
        <v>1.0545870096736474</v>
      </c>
      <c r="G309" s="293">
        <f t="shared" si="5"/>
        <v>1.0278455650029541</v>
      </c>
      <c r="H309" s="293">
        <f t="shared" si="5"/>
        <v>1.0138023264616083</v>
      </c>
      <c r="I309" s="293">
        <f t="shared" si="5"/>
        <v>1.0290127735419348</v>
      </c>
      <c r="J309" s="293">
        <f t="shared" si="5"/>
        <v>1.041637192965339</v>
      </c>
      <c r="K309" s="293">
        <f t="shared" si="5"/>
        <v>1.0474004661561147</v>
      </c>
      <c r="L309" s="293">
        <f t="shared" si="5"/>
        <v>1.0459810296208254</v>
      </c>
      <c r="M309" s="293">
        <f t="shared" si="5"/>
        <v>1.0312875779920589</v>
      </c>
      <c r="N309" s="293">
        <f t="shared" si="5"/>
        <v>1.0277294038847957</v>
      </c>
      <c r="O309" s="293">
        <f t="shared" si="5"/>
        <v>1.0280281162549854</v>
      </c>
      <c r="P309" s="293">
        <f t="shared" si="5"/>
        <v>1.0264843344296348</v>
      </c>
      <c r="Q309" s="293">
        <f t="shared" si="5"/>
        <v>1.0181822043798721</v>
      </c>
      <c r="R309" s="293">
        <f t="shared" si="5"/>
        <v>1.0069933007119307</v>
      </c>
      <c r="S309" s="293">
        <f t="shared" si="5"/>
        <v>0.98594394064303381</v>
      </c>
      <c r="T309" s="293">
        <f t="shared" si="5"/>
        <v>0.98514761452502675</v>
      </c>
      <c r="U309" s="293">
        <f t="shared" si="5"/>
        <v>1.0070882981973723</v>
      </c>
      <c r="V309" s="293">
        <f t="shared" si="5"/>
        <v>1.048662774768699</v>
      </c>
      <c r="W309" s="293">
        <f t="shared" si="5"/>
        <v>1.0369065977576792</v>
      </c>
      <c r="X309" s="293">
        <f t="shared" si="5"/>
        <v>1.0420599782808453</v>
      </c>
    </row>
    <row r="310" spans="2:24">
      <c r="B310" s="72" t="s">
        <v>517</v>
      </c>
      <c r="C310" s="72" t="s">
        <v>518</v>
      </c>
      <c r="D310" s="293">
        <f t="shared" si="0"/>
        <v>1.042705525606469</v>
      </c>
      <c r="E310" s="293">
        <f t="shared" si="5"/>
        <v>1.0314170573237931</v>
      </c>
      <c r="F310" s="293">
        <f t="shared" si="5"/>
        <v>1.0082916976719465</v>
      </c>
      <c r="G310" s="293">
        <f t="shared" si="5"/>
        <v>0.99583857792391273</v>
      </c>
      <c r="H310" s="293">
        <f t="shared" si="5"/>
        <v>1.0315661981781938</v>
      </c>
      <c r="I310" s="293">
        <f t="shared" si="5"/>
        <v>1.0315377760174276</v>
      </c>
      <c r="J310" s="293">
        <f t="shared" si="5"/>
        <v>1.0319779496060688</v>
      </c>
      <c r="K310" s="293">
        <f t="shared" si="5"/>
        <v>1.0336060505161013</v>
      </c>
      <c r="L310" s="293">
        <f t="shared" si="5"/>
        <v>1.0304598102962081</v>
      </c>
      <c r="M310" s="293">
        <f t="shared" si="5"/>
        <v>1.0269313669880884</v>
      </c>
      <c r="N310" s="293">
        <f t="shared" si="5"/>
        <v>1.0124804643893726</v>
      </c>
      <c r="O310" s="293">
        <f t="shared" si="5"/>
        <v>1.0171870524205098</v>
      </c>
      <c r="P310" s="293">
        <f t="shared" si="5"/>
        <v>1.0010818764064393</v>
      </c>
      <c r="Q310" s="293">
        <f t="shared" si="5"/>
        <v>1.0020178848318784</v>
      </c>
      <c r="R310" s="293">
        <f t="shared" si="5"/>
        <v>1.0026251128798538</v>
      </c>
      <c r="S310" s="293">
        <f t="shared" si="5"/>
        <v>1.0031121187139325</v>
      </c>
      <c r="T310" s="293">
        <f t="shared" si="5"/>
        <v>1.0018994887546224</v>
      </c>
      <c r="U310" s="293">
        <f t="shared" si="5"/>
        <v>1.0041959466340769</v>
      </c>
      <c r="V310" s="293">
        <f t="shared" si="5"/>
        <v>1.0075238677316698</v>
      </c>
      <c r="W310" s="293">
        <f t="shared" si="5"/>
        <v>1.0104405451590046</v>
      </c>
      <c r="X310" s="293">
        <f t="shared" si="5"/>
        <v>1.0279007601704118</v>
      </c>
    </row>
    <row r="311" spans="2:24">
      <c r="B311" s="72" t="s">
        <v>519</v>
      </c>
      <c r="C311" s="72" t="s">
        <v>520</v>
      </c>
      <c r="D311" s="293">
        <f t="shared" si="0"/>
        <v>0.24949460916442048</v>
      </c>
      <c r="E311" s="293">
        <f t="shared" si="5"/>
        <v>0.18905063464648958</v>
      </c>
      <c r="F311" s="293">
        <f t="shared" si="5"/>
        <v>0.14119804400977995</v>
      </c>
      <c r="G311" s="293">
        <f t="shared" si="5"/>
        <v>0.11217858152020345</v>
      </c>
      <c r="H311" s="293">
        <f t="shared" si="5"/>
        <v>9.7676061668895559E-2</v>
      </c>
      <c r="I311" s="293">
        <f t="shared" si="5"/>
        <v>9.508367165065848E-2</v>
      </c>
      <c r="J311" s="293">
        <f t="shared" si="5"/>
        <v>9.8934068346464371E-2</v>
      </c>
      <c r="K311" s="293">
        <f t="shared" si="5"/>
        <v>0.10586024829948153</v>
      </c>
      <c r="L311" s="293">
        <f t="shared" si="5"/>
        <v>0.11135193083036193</v>
      </c>
      <c r="M311" s="293">
        <f t="shared" si="5"/>
        <v>0.12031764038570618</v>
      </c>
      <c r="N311" s="293">
        <f t="shared" si="5"/>
        <v>0.12964947532931459</v>
      </c>
      <c r="O311" s="293">
        <f t="shared" si="5"/>
        <v>0.14106603794372341</v>
      </c>
      <c r="P311" s="293">
        <f t="shared" si="5"/>
        <v>0.15315042409555132</v>
      </c>
      <c r="Q311" s="293">
        <f t="shared" si="5"/>
        <v>0.16289640816499926</v>
      </c>
      <c r="R311" s="293">
        <f t="shared" si="5"/>
        <v>0.20057962492387171</v>
      </c>
      <c r="S311" s="293">
        <f t="shared" si="5"/>
        <v>0.25570898598516079</v>
      </c>
      <c r="T311" s="293">
        <f t="shared" si="5"/>
        <v>0.30975811829369332</v>
      </c>
      <c r="U311" s="293">
        <f t="shared" si="5"/>
        <v>0.34103269172013445</v>
      </c>
      <c r="V311" s="293">
        <f t="shared" si="5"/>
        <v>0.38504499567957173</v>
      </c>
      <c r="W311" s="293">
        <f t="shared" si="5"/>
        <v>0.37961071979327304</v>
      </c>
      <c r="X311" s="293">
        <f t="shared" si="5"/>
        <v>0.37555342076685322</v>
      </c>
    </row>
    <row r="312" spans="2:24">
      <c r="B312" s="72" t="s">
        <v>521</v>
      </c>
      <c r="C312" s="72" t="s">
        <v>522</v>
      </c>
      <c r="D312" s="293">
        <f t="shared" si="0"/>
        <v>0</v>
      </c>
      <c r="E312" s="293">
        <f t="shared" si="5"/>
        <v>0</v>
      </c>
      <c r="F312" s="293">
        <f t="shared" si="5"/>
        <v>0</v>
      </c>
      <c r="G312" s="293">
        <f t="shared" si="5"/>
        <v>0</v>
      </c>
      <c r="H312" s="293">
        <f t="shared" si="5"/>
        <v>0</v>
      </c>
      <c r="I312" s="293">
        <f t="shared" si="5"/>
        <v>0</v>
      </c>
      <c r="J312" s="293">
        <f t="shared" si="5"/>
        <v>0</v>
      </c>
      <c r="K312" s="293">
        <f t="shared" si="5"/>
        <v>0</v>
      </c>
      <c r="L312" s="293">
        <f t="shared" si="5"/>
        <v>0</v>
      </c>
      <c r="M312" s="293">
        <f t="shared" si="5"/>
        <v>0</v>
      </c>
      <c r="N312" s="293">
        <f t="shared" si="5"/>
        <v>0</v>
      </c>
      <c r="O312" s="293">
        <f t="shared" si="5"/>
        <v>0</v>
      </c>
      <c r="P312" s="293">
        <f t="shared" si="5"/>
        <v>0</v>
      </c>
      <c r="Q312" s="293">
        <f t="shared" si="5"/>
        <v>0</v>
      </c>
      <c r="R312" s="293">
        <f t="shared" si="5"/>
        <v>0</v>
      </c>
      <c r="S312" s="293">
        <f t="shared" si="5"/>
        <v>0</v>
      </c>
      <c r="T312" s="293">
        <f t="shared" si="5"/>
        <v>0</v>
      </c>
      <c r="U312" s="293">
        <f t="shared" si="5"/>
        <v>0</v>
      </c>
      <c r="V312" s="293">
        <f t="shared" si="5"/>
        <v>0</v>
      </c>
      <c r="W312" s="293">
        <f t="shared" si="5"/>
        <v>0</v>
      </c>
      <c r="X312" s="293">
        <f t="shared" si="5"/>
        <v>0</v>
      </c>
    </row>
    <row r="313" spans="2:24">
      <c r="B313" s="72" t="s">
        <v>523</v>
      </c>
      <c r="C313" s="72" t="s">
        <v>524</v>
      </c>
      <c r="D313" s="293">
        <f t="shared" si="0"/>
        <v>0.26162398921832886</v>
      </c>
      <c r="E313" s="293">
        <f t="shared" si="5"/>
        <v>0.26337143953724262</v>
      </c>
      <c r="F313" s="293">
        <f t="shared" si="5"/>
        <v>0.279074093759966</v>
      </c>
      <c r="G313" s="293">
        <f t="shared" si="5"/>
        <v>0.26014025533663848</v>
      </c>
      <c r="H313" s="293">
        <f t="shared" si="5"/>
        <v>0.25712194998864524</v>
      </c>
      <c r="I313" s="293">
        <f t="shared" si="5"/>
        <v>0.25381225863946927</v>
      </c>
      <c r="J313" s="293">
        <f t="shared" si="5"/>
        <v>0.24855477230041223</v>
      </c>
      <c r="K313" s="293">
        <f t="shared" si="5"/>
        <v>0.24516006278837463</v>
      </c>
      <c r="L313" s="293">
        <f t="shared" si="5"/>
        <v>0.24335221049197139</v>
      </c>
      <c r="M313" s="293">
        <f t="shared" si="5"/>
        <v>0.24440158820192853</v>
      </c>
      <c r="N313" s="293">
        <f t="shared" si="5"/>
        <v>0.2497209198481804</v>
      </c>
      <c r="O313" s="293">
        <f t="shared" si="5"/>
        <v>0.26166185576096779</v>
      </c>
      <c r="P313" s="293">
        <f t="shared" si="5"/>
        <v>0.27514280768564997</v>
      </c>
      <c r="Q313" s="293">
        <f t="shared" si="5"/>
        <v>0.27385883302534036</v>
      </c>
      <c r="R313" s="293">
        <f t="shared" si="5"/>
        <v>0.26755150471470274</v>
      </c>
      <c r="S313" s="293">
        <f t="shared" si="5"/>
        <v>0.24478565539983513</v>
      </c>
      <c r="T313" s="293">
        <f t="shared" si="5"/>
        <v>0.22316972134095822</v>
      </c>
      <c r="U313" s="293">
        <f t="shared" si="5"/>
        <v>0.20643650066198188</v>
      </c>
      <c r="V313" s="293">
        <f t="shared" si="5"/>
        <v>0.1955362599844043</v>
      </c>
      <c r="W313" s="293">
        <f t="shared" si="5"/>
        <v>0.19453590630600592</v>
      </c>
      <c r="X313" s="293">
        <f t="shared" si="5"/>
        <v>0.19160888814635368</v>
      </c>
    </row>
    <row r="314" spans="2:24">
      <c r="B314" s="72" t="s">
        <v>525</v>
      </c>
      <c r="C314" s="72" t="s">
        <v>526</v>
      </c>
      <c r="D314" s="293">
        <f t="shared" si="0"/>
        <v>5.8513027852650494E-2</v>
      </c>
      <c r="E314" s="293">
        <f t="shared" si="5"/>
        <v>5.9270225073333883E-2</v>
      </c>
      <c r="F314" s="293">
        <f t="shared" si="5"/>
        <v>5.9344105453385775E-2</v>
      </c>
      <c r="G314" s="293">
        <f t="shared" si="5"/>
        <v>5.9004854992422105E-2</v>
      </c>
      <c r="H314" s="293">
        <f t="shared" si="5"/>
        <v>6.0053998132774851E-2</v>
      </c>
      <c r="I314" s="293">
        <f t="shared" si="5"/>
        <v>6.0897118526586788E-2</v>
      </c>
      <c r="J314" s="293">
        <f t="shared" si="5"/>
        <v>6.2467985462350904E-2</v>
      </c>
      <c r="K314" s="293">
        <f t="shared" si="5"/>
        <v>6.3311611092612852E-2</v>
      </c>
      <c r="L314" s="293">
        <f t="shared" si="5"/>
        <v>6.4275559905847254E-2</v>
      </c>
      <c r="M314" s="293">
        <f t="shared" si="5"/>
        <v>6.5479296653431648E-2</v>
      </c>
      <c r="N314" s="293">
        <f t="shared" si="5"/>
        <v>6.4992185755749055E-2</v>
      </c>
      <c r="O314" s="293">
        <f t="shared" si="5"/>
        <v>6.4164995703236902E-2</v>
      </c>
      <c r="P314" s="293">
        <f t="shared" si="5"/>
        <v>6.354942011424615E-2</v>
      </c>
      <c r="Q314" s="293">
        <f t="shared" si="5"/>
        <v>6.4848446228679454E-2</v>
      </c>
      <c r="R314" s="293">
        <f t="shared" si="5"/>
        <v>6.6446857214860239E-2</v>
      </c>
      <c r="S314" s="293">
        <f t="shared" si="5"/>
        <v>6.8013190436933227E-2</v>
      </c>
      <c r="T314" s="293">
        <f t="shared" si="5"/>
        <v>6.9432376179602726E-2</v>
      </c>
      <c r="U314" s="293">
        <f t="shared" si="5"/>
        <v>7.2695793869029426E-2</v>
      </c>
      <c r="V314" s="293">
        <f t="shared" si="5"/>
        <v>7.7894160045522562E-2</v>
      </c>
      <c r="W314" s="293">
        <f t="shared" si="5"/>
        <v>7.9689909556954111E-2</v>
      </c>
      <c r="X314" s="293">
        <f t="shared" si="5"/>
        <v>8.2950463620415998E-2</v>
      </c>
    </row>
    <row r="315" spans="2:24">
      <c r="B315" s="72" t="s">
        <v>527</v>
      </c>
      <c r="C315" s="72" t="s">
        <v>528</v>
      </c>
      <c r="D315" s="293">
        <f t="shared" si="0"/>
        <v>0.56884546271338721</v>
      </c>
      <c r="E315" s="293">
        <f t="shared" si="5"/>
        <v>0.5440140362420155</v>
      </c>
      <c r="F315" s="293">
        <f t="shared" si="5"/>
        <v>0.53555862655469333</v>
      </c>
      <c r="G315" s="293">
        <f t="shared" si="5"/>
        <v>0.48960928870507847</v>
      </c>
      <c r="H315" s="293">
        <f t="shared" si="5"/>
        <v>0.4727359895031667</v>
      </c>
      <c r="I315" s="293">
        <f t="shared" si="5"/>
        <v>0.45425289632636895</v>
      </c>
      <c r="J315" s="293">
        <f t="shared" si="5"/>
        <v>0.46047271751591579</v>
      </c>
      <c r="K315" s="293">
        <f t="shared" si="5"/>
        <v>0.46125671883175567</v>
      </c>
      <c r="L315" s="293">
        <f t="shared" si="5"/>
        <v>0.44151576592323288</v>
      </c>
      <c r="M315" s="293">
        <f t="shared" si="5"/>
        <v>0.42668179239931936</v>
      </c>
      <c r="N315" s="293">
        <f t="shared" si="5"/>
        <v>0.39464166108506366</v>
      </c>
      <c r="O315" s="293">
        <f t="shared" si="5"/>
        <v>0.39920234449022762</v>
      </c>
      <c r="P315" s="293">
        <f t="shared" si="5"/>
        <v>0.39685390341007443</v>
      </c>
      <c r="Q315" s="293">
        <f t="shared" si="5"/>
        <v>0.40056075957433251</v>
      </c>
      <c r="R315" s="293">
        <f t="shared" si="5"/>
        <v>0.40748052166243148</v>
      </c>
      <c r="S315" s="293">
        <f t="shared" si="5"/>
        <v>0.40935696619950535</v>
      </c>
      <c r="T315" s="293">
        <f t="shared" si="5"/>
        <v>0.41129993735728576</v>
      </c>
      <c r="U315" s="293">
        <f t="shared" si="5"/>
        <v>0.41340258682146858</v>
      </c>
      <c r="V315" s="293">
        <f t="shared" si="5"/>
        <v>0.40875466290122026</v>
      </c>
      <c r="W315" s="293">
        <f t="shared" si="5"/>
        <v>0.40376359771600051</v>
      </c>
      <c r="X315" s="293">
        <f t="shared" si="5"/>
        <v>0.41063820900509562</v>
      </c>
    </row>
    <row r="316" spans="2:24">
      <c r="B316" s="72" t="s">
        <v>529</v>
      </c>
      <c r="C316" s="72" t="s">
        <v>530</v>
      </c>
      <c r="D316" s="293">
        <f t="shared" si="0"/>
        <v>0.40459344115004492</v>
      </c>
      <c r="E316" s="293">
        <f t="shared" si="5"/>
        <v>0.35987060339391946</v>
      </c>
      <c r="F316" s="293">
        <f t="shared" si="5"/>
        <v>0.33071117253109389</v>
      </c>
      <c r="G316" s="293">
        <f t="shared" si="5"/>
        <v>0.29173623776618973</v>
      </c>
      <c r="H316" s="293">
        <f t="shared" si="5"/>
        <v>0.27357371754434662</v>
      </c>
      <c r="I316" s="293">
        <f t="shared" si="5"/>
        <v>0.27866620457471036</v>
      </c>
      <c r="J316" s="293">
        <f t="shared" si="5"/>
        <v>0.30558333536600241</v>
      </c>
      <c r="K316" s="293">
        <f t="shared" si="5"/>
        <v>0.31972125767017079</v>
      </c>
      <c r="L316" s="293">
        <f t="shared" si="5"/>
        <v>0.32224008949171501</v>
      </c>
      <c r="M316" s="293">
        <f t="shared" si="5"/>
        <v>0.33193420306296084</v>
      </c>
      <c r="N316" s="293">
        <f t="shared" si="5"/>
        <v>0.3438937262781871</v>
      </c>
      <c r="O316" s="293">
        <f t="shared" si="5"/>
        <v>0.35938567304937974</v>
      </c>
      <c r="P316" s="293">
        <f t="shared" si="5"/>
        <v>0.38120997057296174</v>
      </c>
      <c r="Q316" s="293">
        <f t="shared" si="5"/>
        <v>0.41921026359948171</v>
      </c>
      <c r="R316" s="293">
        <f t="shared" si="5"/>
        <v>0.45011235483125772</v>
      </c>
      <c r="S316" s="293">
        <f t="shared" si="5"/>
        <v>0.48013190436933223</v>
      </c>
      <c r="T316" s="293">
        <f t="shared" si="5"/>
        <v>0.49944429850263705</v>
      </c>
      <c r="U316" s="293">
        <f t="shared" si="5"/>
        <v>0.54425094205112534</v>
      </c>
      <c r="V316" s="293">
        <f t="shared" si="5"/>
        <v>0.56009610318447178</v>
      </c>
      <c r="W316" s="293">
        <f t="shared" si="5"/>
        <v>0.59534030758971368</v>
      </c>
      <c r="X316" s="293">
        <f t="shared" si="5"/>
        <v>0.62716147356110596</v>
      </c>
    </row>
    <row r="317" spans="2:24">
      <c r="B317" s="72" t="s">
        <v>531</v>
      </c>
      <c r="C317" s="72" t="s">
        <v>532</v>
      </c>
      <c r="D317" s="293">
        <f t="shared" si="0"/>
        <v>1.2705806379155435</v>
      </c>
      <c r="E317" s="293">
        <f t="shared" si="5"/>
        <v>1.2612056912575047</v>
      </c>
      <c r="F317" s="293">
        <f t="shared" si="5"/>
        <v>1.2187732539598171</v>
      </c>
      <c r="G317" s="293">
        <f t="shared" si="5"/>
        <v>1.2211718770068587</v>
      </c>
      <c r="H317" s="293">
        <f t="shared" si="5"/>
        <v>1.2088011909868537</v>
      </c>
      <c r="I317" s="293">
        <f t="shared" si="5"/>
        <v>1.19969798989999</v>
      </c>
      <c r="J317" s="293">
        <f t="shared" si="5"/>
        <v>1.2177964241285948</v>
      </c>
      <c r="K317" s="293">
        <f t="shared" si="5"/>
        <v>1.1896256480997003</v>
      </c>
      <c r="L317" s="293">
        <f t="shared" si="5"/>
        <v>1.1904961663054372</v>
      </c>
      <c r="M317" s="293">
        <f t="shared" si="5"/>
        <v>1.1778786159954622</v>
      </c>
      <c r="N317" s="293">
        <f t="shared" si="5"/>
        <v>1.1527573118999777</v>
      </c>
      <c r="O317" s="293">
        <f t="shared" si="5"/>
        <v>1.1548156798801312</v>
      </c>
      <c r="P317" s="293">
        <f t="shared" si="5"/>
        <v>1.14425740003462</v>
      </c>
      <c r="Q317" s="293">
        <f t="shared" si="5"/>
        <v>1.1478578559442638</v>
      </c>
      <c r="R317" s="293">
        <f t="shared" si="5"/>
        <v>1.1382909465107001</v>
      </c>
      <c r="S317" s="293">
        <f t="shared" si="5"/>
        <v>1.1345218466611706</v>
      </c>
      <c r="T317" s="293">
        <f t="shared" si="5"/>
        <v>1.1260735142562692</v>
      </c>
      <c r="U317" s="293">
        <f t="shared" si="5"/>
        <v>1.1256339749465323</v>
      </c>
      <c r="V317" s="293">
        <f t="shared" si="5"/>
        <v>1.1336382220910872</v>
      </c>
      <c r="W317" s="293">
        <f t="shared" si="5"/>
        <v>1.1368940941107823</v>
      </c>
      <c r="X317" s="293">
        <f t="shared" si="5"/>
        <v>1.1505304485840782</v>
      </c>
    </row>
    <row r="318" spans="2:24">
      <c r="B318" s="72" t="s">
        <v>533</v>
      </c>
      <c r="C318" s="72" t="s">
        <v>534</v>
      </c>
      <c r="D318" s="293">
        <f t="shared" si="0"/>
        <v>0</v>
      </c>
      <c r="E318" s="293">
        <f t="shared" si="5"/>
        <v>0</v>
      </c>
      <c r="F318" s="293">
        <f t="shared" si="5"/>
        <v>0</v>
      </c>
      <c r="G318" s="293">
        <f t="shared" si="5"/>
        <v>0</v>
      </c>
      <c r="H318" s="293">
        <f t="shared" si="5"/>
        <v>0</v>
      </c>
      <c r="I318" s="293">
        <f t="shared" si="5"/>
        <v>0</v>
      </c>
      <c r="J318" s="293">
        <f t="shared" si="5"/>
        <v>0</v>
      </c>
      <c r="K318" s="293">
        <f t="shared" si="5"/>
        <v>0</v>
      </c>
      <c r="L318" s="293">
        <f t="shared" si="5"/>
        <v>0</v>
      </c>
      <c r="M318" s="293">
        <f t="shared" si="5"/>
        <v>0</v>
      </c>
      <c r="N318" s="293">
        <f t="shared" si="5"/>
        <v>0</v>
      </c>
      <c r="O318" s="293">
        <f t="shared" si="5"/>
        <v>0</v>
      </c>
      <c r="P318" s="293">
        <f t="shared" si="5"/>
        <v>0</v>
      </c>
      <c r="Q318" s="293">
        <f t="shared" si="5"/>
        <v>0</v>
      </c>
      <c r="R318" s="293">
        <f t="shared" si="5"/>
        <v>0</v>
      </c>
      <c r="S318" s="293">
        <f t="shared" si="5"/>
        <v>0</v>
      </c>
      <c r="T318" s="293">
        <f t="shared" ref="E318:X331" si="6">T68/T$251</f>
        <v>0</v>
      </c>
      <c r="U318" s="293">
        <f t="shared" si="6"/>
        <v>0</v>
      </c>
      <c r="V318" s="293">
        <f t="shared" si="6"/>
        <v>0</v>
      </c>
      <c r="W318" s="293">
        <f t="shared" si="6"/>
        <v>0</v>
      </c>
      <c r="X318" s="293">
        <f t="shared" si="6"/>
        <v>0</v>
      </c>
    </row>
    <row r="319" spans="2:24">
      <c r="B319" s="72" t="s">
        <v>535</v>
      </c>
      <c r="C319" s="72" t="s">
        <v>536</v>
      </c>
      <c r="D319" s="293">
        <f t="shared" si="0"/>
        <v>0</v>
      </c>
      <c r="E319" s="293">
        <f t="shared" si="6"/>
        <v>0</v>
      </c>
      <c r="F319" s="293">
        <f t="shared" si="6"/>
        <v>0</v>
      </c>
      <c r="G319" s="293">
        <f t="shared" si="6"/>
        <v>0</v>
      </c>
      <c r="H319" s="293">
        <f t="shared" si="6"/>
        <v>0</v>
      </c>
      <c r="I319" s="293">
        <f t="shared" si="6"/>
        <v>0</v>
      </c>
      <c r="J319" s="293">
        <f t="shared" si="6"/>
        <v>0</v>
      </c>
      <c r="K319" s="293">
        <f t="shared" si="6"/>
        <v>0</v>
      </c>
      <c r="L319" s="293">
        <f t="shared" si="6"/>
        <v>0</v>
      </c>
      <c r="M319" s="293">
        <f t="shared" si="6"/>
        <v>0</v>
      </c>
      <c r="N319" s="293">
        <f t="shared" si="6"/>
        <v>0</v>
      </c>
      <c r="O319" s="293">
        <f t="shared" si="6"/>
        <v>0</v>
      </c>
      <c r="P319" s="293">
        <f t="shared" si="6"/>
        <v>0</v>
      </c>
      <c r="Q319" s="293">
        <f t="shared" si="6"/>
        <v>0</v>
      </c>
      <c r="R319" s="293">
        <f t="shared" si="6"/>
        <v>0</v>
      </c>
      <c r="S319" s="293">
        <f t="shared" si="6"/>
        <v>0</v>
      </c>
      <c r="T319" s="293">
        <f t="shared" si="6"/>
        <v>0</v>
      </c>
      <c r="U319" s="293">
        <f t="shared" si="6"/>
        <v>0</v>
      </c>
      <c r="V319" s="293">
        <f t="shared" si="6"/>
        <v>0</v>
      </c>
      <c r="W319" s="293">
        <f t="shared" si="6"/>
        <v>0</v>
      </c>
      <c r="X319" s="293">
        <f t="shared" si="6"/>
        <v>0</v>
      </c>
    </row>
    <row r="320" spans="2:24">
      <c r="B320" s="72" t="s">
        <v>537</v>
      </c>
      <c r="C320" s="72" t="s">
        <v>538</v>
      </c>
      <c r="D320" s="293">
        <f t="shared" si="0"/>
        <v>0</v>
      </c>
      <c r="E320" s="293">
        <f t="shared" si="6"/>
        <v>0</v>
      </c>
      <c r="F320" s="293">
        <f t="shared" si="6"/>
        <v>0</v>
      </c>
      <c r="G320" s="293">
        <f t="shared" si="6"/>
        <v>0</v>
      </c>
      <c r="H320" s="293">
        <f t="shared" si="6"/>
        <v>0</v>
      </c>
      <c r="I320" s="293">
        <f t="shared" si="6"/>
        <v>0</v>
      </c>
      <c r="J320" s="293">
        <f t="shared" si="6"/>
        <v>0</v>
      </c>
      <c r="K320" s="293">
        <f t="shared" si="6"/>
        <v>0</v>
      </c>
      <c r="L320" s="293">
        <f t="shared" si="6"/>
        <v>0</v>
      </c>
      <c r="M320" s="293">
        <f t="shared" si="6"/>
        <v>0</v>
      </c>
      <c r="N320" s="293">
        <f t="shared" si="6"/>
        <v>0</v>
      </c>
      <c r="O320" s="293">
        <f t="shared" si="6"/>
        <v>0</v>
      </c>
      <c r="P320" s="293">
        <f t="shared" si="6"/>
        <v>0</v>
      </c>
      <c r="Q320" s="293">
        <f t="shared" si="6"/>
        <v>0</v>
      </c>
      <c r="R320" s="293">
        <f t="shared" si="6"/>
        <v>0</v>
      </c>
      <c r="S320" s="293">
        <f t="shared" si="6"/>
        <v>0</v>
      </c>
      <c r="T320" s="293">
        <f t="shared" si="6"/>
        <v>0</v>
      </c>
      <c r="U320" s="293">
        <f t="shared" si="6"/>
        <v>0</v>
      </c>
      <c r="V320" s="293">
        <f t="shared" si="6"/>
        <v>0</v>
      </c>
      <c r="W320" s="293">
        <f t="shared" si="6"/>
        <v>0</v>
      </c>
      <c r="X320" s="293">
        <f t="shared" si="6"/>
        <v>0</v>
      </c>
    </row>
    <row r="321" spans="2:24">
      <c r="B321" s="72" t="s">
        <v>539</v>
      </c>
      <c r="C321" s="72" t="s">
        <v>540</v>
      </c>
      <c r="D321" s="293">
        <f t="shared" si="0"/>
        <v>0</v>
      </c>
      <c r="E321" s="293">
        <f t="shared" si="6"/>
        <v>0</v>
      </c>
      <c r="F321" s="293">
        <f t="shared" si="6"/>
        <v>0</v>
      </c>
      <c r="G321" s="293">
        <f t="shared" si="6"/>
        <v>0</v>
      </c>
      <c r="H321" s="293">
        <f t="shared" si="6"/>
        <v>0</v>
      </c>
      <c r="I321" s="293">
        <f t="shared" si="6"/>
        <v>0</v>
      </c>
      <c r="J321" s="293">
        <f t="shared" si="6"/>
        <v>0</v>
      </c>
      <c r="K321" s="293">
        <f t="shared" si="6"/>
        <v>0</v>
      </c>
      <c r="L321" s="293">
        <f t="shared" si="6"/>
        <v>0</v>
      </c>
      <c r="M321" s="293">
        <f t="shared" si="6"/>
        <v>0</v>
      </c>
      <c r="N321" s="293">
        <f t="shared" si="6"/>
        <v>0</v>
      </c>
      <c r="O321" s="293">
        <f t="shared" si="6"/>
        <v>0</v>
      </c>
      <c r="P321" s="293">
        <f t="shared" si="6"/>
        <v>0</v>
      </c>
      <c r="Q321" s="293">
        <f t="shared" si="6"/>
        <v>0</v>
      </c>
      <c r="R321" s="293">
        <f t="shared" si="6"/>
        <v>0</v>
      </c>
      <c r="S321" s="293">
        <f t="shared" si="6"/>
        <v>0</v>
      </c>
      <c r="T321" s="293">
        <f t="shared" si="6"/>
        <v>0</v>
      </c>
      <c r="U321" s="293">
        <f t="shared" si="6"/>
        <v>0</v>
      </c>
      <c r="V321" s="293">
        <f t="shared" si="6"/>
        <v>0</v>
      </c>
      <c r="W321" s="293">
        <f t="shared" si="6"/>
        <v>0</v>
      </c>
      <c r="X321" s="293">
        <f t="shared" si="6"/>
        <v>0</v>
      </c>
    </row>
    <row r="322" spans="2:24">
      <c r="B322" s="72" t="s">
        <v>541</v>
      </c>
      <c r="C322" s="72" t="s">
        <v>542</v>
      </c>
      <c r="D322" s="293">
        <f t="shared" si="0"/>
        <v>0.18640498652291104</v>
      </c>
      <c r="E322" s="293">
        <f t="shared" si="6"/>
        <v>0.18225182992022371</v>
      </c>
      <c r="F322" s="293">
        <f t="shared" si="6"/>
        <v>0.17997236100776018</v>
      </c>
      <c r="G322" s="293">
        <f t="shared" si="6"/>
        <v>0.18084204577564283</v>
      </c>
      <c r="H322" s="293">
        <f t="shared" si="6"/>
        <v>0.18112083974666296</v>
      </c>
      <c r="I322" s="293">
        <f t="shared" si="6"/>
        <v>0.18172591345677791</v>
      </c>
      <c r="J322" s="293">
        <f t="shared" si="6"/>
        <v>0.17945215503573433</v>
      </c>
      <c r="K322" s="293">
        <f t="shared" si="6"/>
        <v>0.17749607572658516</v>
      </c>
      <c r="L322" s="293">
        <f t="shared" si="6"/>
        <v>0.16886900184110559</v>
      </c>
      <c r="M322" s="293">
        <f t="shared" si="6"/>
        <v>0.16319909245604083</v>
      </c>
      <c r="N322" s="293">
        <f t="shared" si="6"/>
        <v>0.16108506363027461</v>
      </c>
      <c r="O322" s="293">
        <f t="shared" si="6"/>
        <v>0.16327699799484388</v>
      </c>
      <c r="P322" s="293">
        <f t="shared" si="6"/>
        <v>0.15178725982343777</v>
      </c>
      <c r="Q322" s="293">
        <f t="shared" si="6"/>
        <v>0.15136260328384205</v>
      </c>
      <c r="R322" s="293">
        <f t="shared" si="6"/>
        <v>0.15259256148014363</v>
      </c>
      <c r="S322" s="293">
        <f t="shared" si="6"/>
        <v>0.15302967848309976</v>
      </c>
      <c r="T322" s="293">
        <f t="shared" si="6"/>
        <v>0.15256532018509911</v>
      </c>
      <c r="U322" s="293">
        <f t="shared" si="6"/>
        <v>0.15920154801914654</v>
      </c>
      <c r="V322" s="293">
        <f t="shared" si="6"/>
        <v>0.16634702522708592</v>
      </c>
      <c r="W322" s="293">
        <f t="shared" si="6"/>
        <v>0.16734047430500562</v>
      </c>
      <c r="X322" s="293">
        <f t="shared" si="6"/>
        <v>0.17216606799766102</v>
      </c>
    </row>
    <row r="323" spans="2:24">
      <c r="B323" s="72" t="s">
        <v>543</v>
      </c>
      <c r="C323" s="72" t="s">
        <v>544</v>
      </c>
      <c r="D323" s="293">
        <f t="shared" si="0"/>
        <v>0.36236522911051211</v>
      </c>
      <c r="E323" s="293">
        <f t="shared" si="6"/>
        <v>0.27474847163966337</v>
      </c>
      <c r="F323" s="293">
        <f t="shared" si="6"/>
        <v>0.19828319336664185</v>
      </c>
      <c r="G323" s="293">
        <f t="shared" si="6"/>
        <v>0.20699221659945027</v>
      </c>
      <c r="H323" s="293">
        <f t="shared" si="6"/>
        <v>0.21258610683555804</v>
      </c>
      <c r="I323" s="293">
        <f t="shared" si="6"/>
        <v>0.30255470838696902</v>
      </c>
      <c r="J323" s="293">
        <f t="shared" si="6"/>
        <v>0.39644364221772327</v>
      </c>
      <c r="K323" s="293">
        <f t="shared" si="6"/>
        <v>0.4349521952147648</v>
      </c>
      <c r="L323" s="293">
        <f t="shared" si="6"/>
        <v>0.4529119765084248</v>
      </c>
      <c r="M323" s="293">
        <f t="shared" si="6"/>
        <v>0.45547362450368689</v>
      </c>
      <c r="N323" s="293">
        <f t="shared" si="6"/>
        <v>0.45402991739227505</v>
      </c>
      <c r="O323" s="293">
        <f t="shared" si="6"/>
        <v>0.48855298239428863</v>
      </c>
      <c r="P323" s="293">
        <f t="shared" si="6"/>
        <v>0.50629652068547693</v>
      </c>
      <c r="Q323" s="293">
        <f t="shared" si="6"/>
        <v>0.53452707151808665</v>
      </c>
      <c r="R323" s="293">
        <f t="shared" si="6"/>
        <v>0.54629649074910225</v>
      </c>
      <c r="S323" s="293">
        <f t="shared" si="6"/>
        <v>0.56605523495465793</v>
      </c>
      <c r="T323" s="293">
        <f t="shared" si="6"/>
        <v>0.56230929334976865</v>
      </c>
      <c r="U323" s="293">
        <f t="shared" si="6"/>
        <v>0.57223749872695795</v>
      </c>
      <c r="V323" s="293">
        <f t="shared" si="6"/>
        <v>0.59539716327003733</v>
      </c>
      <c r="W323" s="293">
        <f t="shared" si="6"/>
        <v>0.59038052765389903</v>
      </c>
      <c r="X323" s="293">
        <f t="shared" si="6"/>
        <v>0.60366719572299721</v>
      </c>
    </row>
    <row r="324" spans="2:24">
      <c r="B324" s="72" t="s">
        <v>545</v>
      </c>
      <c r="C324" s="72" t="s">
        <v>546</v>
      </c>
      <c r="D324" s="293">
        <f t="shared" si="0"/>
        <v>0</v>
      </c>
      <c r="E324" s="293">
        <f t="shared" si="6"/>
        <v>0</v>
      </c>
      <c r="F324" s="293">
        <f t="shared" si="6"/>
        <v>0</v>
      </c>
      <c r="G324" s="293">
        <f t="shared" si="6"/>
        <v>0</v>
      </c>
      <c r="H324" s="293">
        <f t="shared" si="6"/>
        <v>0</v>
      </c>
      <c r="I324" s="293">
        <f t="shared" si="6"/>
        <v>0</v>
      </c>
      <c r="J324" s="293">
        <f t="shared" si="6"/>
        <v>0</v>
      </c>
      <c r="K324" s="293">
        <f t="shared" si="6"/>
        <v>0</v>
      </c>
      <c r="L324" s="293">
        <f t="shared" si="6"/>
        <v>0</v>
      </c>
      <c r="M324" s="293">
        <f t="shared" si="6"/>
        <v>0</v>
      </c>
      <c r="N324" s="293">
        <f t="shared" si="6"/>
        <v>0</v>
      </c>
      <c r="O324" s="293">
        <f t="shared" si="6"/>
        <v>0</v>
      </c>
      <c r="P324" s="293">
        <f t="shared" si="6"/>
        <v>0</v>
      </c>
      <c r="Q324" s="293">
        <f t="shared" si="6"/>
        <v>0</v>
      </c>
      <c r="R324" s="293">
        <f t="shared" si="6"/>
        <v>0</v>
      </c>
      <c r="S324" s="293">
        <f t="shared" si="6"/>
        <v>0</v>
      </c>
      <c r="T324" s="293">
        <f t="shared" si="6"/>
        <v>0</v>
      </c>
      <c r="U324" s="293">
        <f t="shared" si="6"/>
        <v>0</v>
      </c>
      <c r="V324" s="293">
        <f t="shared" si="6"/>
        <v>0</v>
      </c>
      <c r="W324" s="293">
        <f t="shared" si="6"/>
        <v>0</v>
      </c>
      <c r="X324" s="293">
        <f t="shared" si="6"/>
        <v>0</v>
      </c>
    </row>
    <row r="325" spans="2:24">
      <c r="B325" s="72" t="s">
        <v>547</v>
      </c>
      <c r="C325" s="72" t="s">
        <v>548</v>
      </c>
      <c r="D325" s="293">
        <f t="shared" si="0"/>
        <v>0.29486747529200358</v>
      </c>
      <c r="E325" s="293">
        <f t="shared" si="6"/>
        <v>0.28527565315130082</v>
      </c>
      <c r="F325" s="293">
        <f t="shared" si="6"/>
        <v>0.28832252577867545</v>
      </c>
      <c r="G325" s="293">
        <f t="shared" si="6"/>
        <v>0.29119679416373395</v>
      </c>
      <c r="H325" s="293">
        <f t="shared" si="6"/>
        <v>0.29411319421664861</v>
      </c>
      <c r="I325" s="293">
        <f t="shared" si="6"/>
        <v>0.30196059015744131</v>
      </c>
      <c r="J325" s="293">
        <f t="shared" si="6"/>
        <v>0.30572968753811253</v>
      </c>
      <c r="K325" s="293">
        <f t="shared" si="6"/>
        <v>0.2950577938448366</v>
      </c>
      <c r="L325" s="293">
        <f t="shared" si="6"/>
        <v>0.28588408026288192</v>
      </c>
      <c r="M325" s="293">
        <f t="shared" si="6"/>
        <v>0.27453204764605788</v>
      </c>
      <c r="N325" s="293">
        <f t="shared" si="6"/>
        <v>0.27173476222371062</v>
      </c>
      <c r="O325" s="293">
        <f t="shared" si="6"/>
        <v>0.26538571711874492</v>
      </c>
      <c r="P325" s="293">
        <f t="shared" si="6"/>
        <v>0.25984507529859791</v>
      </c>
      <c r="Q325" s="293">
        <f t="shared" si="6"/>
        <v>0.25601648293294249</v>
      </c>
      <c r="R325" s="293">
        <f t="shared" si="6"/>
        <v>0.25383791503034631</v>
      </c>
      <c r="S325" s="293">
        <f t="shared" si="6"/>
        <v>0.25350370981038745</v>
      </c>
      <c r="T325" s="293">
        <f t="shared" si="6"/>
        <v>0.2602501667104492</v>
      </c>
      <c r="U325" s="293">
        <f t="shared" si="6"/>
        <v>0.26674814135859048</v>
      </c>
      <c r="V325" s="293">
        <f t="shared" si="6"/>
        <v>0.27345149528967944</v>
      </c>
      <c r="W325" s="293">
        <f t="shared" si="6"/>
        <v>0.28133205518276166</v>
      </c>
      <c r="X325" s="293">
        <f t="shared" si="6"/>
        <v>0.28589925653663018</v>
      </c>
    </row>
    <row r="326" spans="2:24">
      <c r="B326" s="72" t="s">
        <v>549</v>
      </c>
      <c r="C326" s="72" t="s">
        <v>550</v>
      </c>
      <c r="D326" s="293">
        <f t="shared" si="0"/>
        <v>0</v>
      </c>
      <c r="E326" s="293">
        <f t="shared" si="6"/>
        <v>0</v>
      </c>
      <c r="F326" s="293">
        <f t="shared" si="6"/>
        <v>0</v>
      </c>
      <c r="G326" s="293">
        <f t="shared" si="6"/>
        <v>0</v>
      </c>
      <c r="H326" s="293">
        <f t="shared" si="6"/>
        <v>0</v>
      </c>
      <c r="I326" s="293">
        <f t="shared" si="6"/>
        <v>0</v>
      </c>
      <c r="J326" s="293">
        <f t="shared" si="6"/>
        <v>0</v>
      </c>
      <c r="K326" s="293">
        <f t="shared" si="6"/>
        <v>0</v>
      </c>
      <c r="L326" s="293">
        <f t="shared" si="6"/>
        <v>0</v>
      </c>
      <c r="M326" s="293">
        <f t="shared" si="6"/>
        <v>0</v>
      </c>
      <c r="N326" s="293">
        <f t="shared" si="6"/>
        <v>0</v>
      </c>
      <c r="O326" s="293">
        <f t="shared" si="6"/>
        <v>0</v>
      </c>
      <c r="P326" s="293">
        <f t="shared" si="6"/>
        <v>0</v>
      </c>
      <c r="Q326" s="293">
        <f t="shared" si="6"/>
        <v>0</v>
      </c>
      <c r="R326" s="293">
        <f t="shared" si="6"/>
        <v>0</v>
      </c>
      <c r="S326" s="293">
        <f t="shared" si="6"/>
        <v>0</v>
      </c>
      <c r="T326" s="293">
        <f t="shared" si="6"/>
        <v>0</v>
      </c>
      <c r="U326" s="293">
        <f t="shared" si="6"/>
        <v>0</v>
      </c>
      <c r="V326" s="293">
        <f t="shared" si="6"/>
        <v>0</v>
      </c>
      <c r="W326" s="293">
        <f t="shared" si="6"/>
        <v>0</v>
      </c>
      <c r="X326" s="293">
        <f t="shared" si="6"/>
        <v>0</v>
      </c>
    </row>
    <row r="327" spans="2:24">
      <c r="B327" s="72" t="s">
        <v>551</v>
      </c>
      <c r="C327" s="72" t="s">
        <v>552</v>
      </c>
      <c r="D327" s="293">
        <f t="shared" si="0"/>
        <v>0.33507412398921832</v>
      </c>
      <c r="E327" s="293">
        <f t="shared" si="6"/>
        <v>0.33037256353318528</v>
      </c>
      <c r="F327" s="293">
        <f t="shared" si="6"/>
        <v>0.32061230998192836</v>
      </c>
      <c r="G327" s="293">
        <f t="shared" si="6"/>
        <v>0.31357085977035115</v>
      </c>
      <c r="H327" s="293">
        <f t="shared" si="6"/>
        <v>0.31291160959854658</v>
      </c>
      <c r="I327" s="293">
        <f t="shared" si="6"/>
        <v>0.2707198732547777</v>
      </c>
      <c r="J327" s="293">
        <f t="shared" si="6"/>
        <v>0.25987267361026417</v>
      </c>
      <c r="K327" s="293">
        <f t="shared" si="6"/>
        <v>0.26627978880273984</v>
      </c>
      <c r="L327" s="293">
        <f t="shared" si="6"/>
        <v>0.28481204409331373</v>
      </c>
      <c r="M327" s="293">
        <f t="shared" si="6"/>
        <v>0.30028360748723765</v>
      </c>
      <c r="N327" s="293">
        <f t="shared" si="6"/>
        <v>0.31011386470194241</v>
      </c>
      <c r="O327" s="293">
        <f t="shared" si="6"/>
        <v>0.31954696692594142</v>
      </c>
      <c r="P327" s="293">
        <f t="shared" si="6"/>
        <v>0.32155530552189721</v>
      </c>
      <c r="Q327" s="293">
        <f t="shared" si="6"/>
        <v>0.32844792795089106</v>
      </c>
      <c r="R327" s="293">
        <f t="shared" si="6"/>
        <v>0.33630846126383435</v>
      </c>
      <c r="S327" s="293">
        <f t="shared" si="6"/>
        <v>0.34016900247320692</v>
      </c>
      <c r="T327" s="293">
        <f t="shared" si="6"/>
        <v>0.34411057449431165</v>
      </c>
      <c r="U327" s="293">
        <f t="shared" si="6"/>
        <v>0.35883491190548938</v>
      </c>
      <c r="V327" s="293">
        <f t="shared" si="6"/>
        <v>0.36040801702880987</v>
      </c>
      <c r="W327" s="293">
        <f t="shared" si="6"/>
        <v>0.37921477097486767</v>
      </c>
      <c r="X327" s="293">
        <f t="shared" si="6"/>
        <v>0.4009272408320107</v>
      </c>
    </row>
    <row r="328" spans="2:24">
      <c r="B328" s="72" t="s">
        <v>553</v>
      </c>
      <c r="C328" s="72" t="s">
        <v>554</v>
      </c>
      <c r="D328" s="293">
        <f t="shared" si="0"/>
        <v>4.9107142857142856E-2</v>
      </c>
      <c r="E328" s="293">
        <f t="shared" si="6"/>
        <v>4.6632124352331605E-2</v>
      </c>
      <c r="F328" s="293">
        <f t="shared" si="6"/>
        <v>4.5418305517168064E-2</v>
      </c>
      <c r="G328" s="293">
        <f t="shared" si="6"/>
        <v>4.3104112615273964E-2</v>
      </c>
      <c r="H328" s="293">
        <f t="shared" si="6"/>
        <v>4.3501299487774724E-2</v>
      </c>
      <c r="I328" s="293">
        <f t="shared" si="6"/>
        <v>4.6019407862164574E-2</v>
      </c>
      <c r="J328" s="293">
        <f t="shared" si="6"/>
        <v>4.6759518989194331E-2</v>
      </c>
      <c r="K328" s="293">
        <f t="shared" si="6"/>
        <v>4.7471816581838938E-2</v>
      </c>
      <c r="L328" s="293">
        <f t="shared" si="6"/>
        <v>4.7985271155235501E-2</v>
      </c>
      <c r="M328" s="293">
        <f t="shared" si="6"/>
        <v>4.6534316505955756E-2</v>
      </c>
      <c r="N328" s="293">
        <f t="shared" si="6"/>
        <v>4.7331993748604598E-2</v>
      </c>
      <c r="O328" s="293">
        <f t="shared" si="6"/>
        <v>4.7220324791221381E-2</v>
      </c>
      <c r="P328" s="293">
        <f t="shared" si="6"/>
        <v>4.8403150424095549E-2</v>
      </c>
      <c r="Q328" s="293">
        <f t="shared" si="6"/>
        <v>4.8110622570572865E-2</v>
      </c>
      <c r="R328" s="293">
        <f t="shared" si="6"/>
        <v>5.0024151038494655E-2</v>
      </c>
      <c r="S328" s="293">
        <f t="shared" si="6"/>
        <v>5.0185490519373453E-2</v>
      </c>
      <c r="T328" s="293">
        <f t="shared" si="6"/>
        <v>4.9366500293006245E-2</v>
      </c>
      <c r="U328" s="293">
        <f t="shared" si="6"/>
        <v>5.0758733068540583E-2</v>
      </c>
      <c r="V328" s="293">
        <f t="shared" si="6"/>
        <v>5.2350945225399903E-2</v>
      </c>
      <c r="W328" s="293">
        <f t="shared" si="6"/>
        <v>5.3974075772100193E-2</v>
      </c>
      <c r="X328" s="293">
        <f t="shared" si="6"/>
        <v>5.481998162225378E-2</v>
      </c>
    </row>
    <row r="329" spans="2:24">
      <c r="B329" s="72" t="s">
        <v>555</v>
      </c>
      <c r="C329" s="72" t="s">
        <v>556</v>
      </c>
      <c r="D329" s="293">
        <f t="shared" si="0"/>
        <v>0</v>
      </c>
      <c r="E329" s="293">
        <f t="shared" si="6"/>
        <v>0</v>
      </c>
      <c r="F329" s="293">
        <f t="shared" si="6"/>
        <v>0</v>
      </c>
      <c r="G329" s="293">
        <f t="shared" si="6"/>
        <v>0</v>
      </c>
      <c r="H329" s="293">
        <f t="shared" si="6"/>
        <v>0</v>
      </c>
      <c r="I329" s="293">
        <f t="shared" si="6"/>
        <v>0</v>
      </c>
      <c r="J329" s="293">
        <f t="shared" si="6"/>
        <v>0</v>
      </c>
      <c r="K329" s="293">
        <f t="shared" si="6"/>
        <v>0</v>
      </c>
      <c r="L329" s="293">
        <f t="shared" si="6"/>
        <v>0</v>
      </c>
      <c r="M329" s="293">
        <f t="shared" si="6"/>
        <v>0</v>
      </c>
      <c r="N329" s="293">
        <f t="shared" si="6"/>
        <v>0</v>
      </c>
      <c r="O329" s="293">
        <f t="shared" si="6"/>
        <v>0</v>
      </c>
      <c r="P329" s="293">
        <f t="shared" si="6"/>
        <v>0</v>
      </c>
      <c r="Q329" s="293">
        <f t="shared" si="6"/>
        <v>0</v>
      </c>
      <c r="R329" s="293">
        <f t="shared" si="6"/>
        <v>0</v>
      </c>
      <c r="S329" s="293">
        <f t="shared" si="6"/>
        <v>0</v>
      </c>
      <c r="T329" s="293">
        <f t="shared" si="6"/>
        <v>0</v>
      </c>
      <c r="U329" s="293">
        <f t="shared" si="6"/>
        <v>0</v>
      </c>
      <c r="V329" s="293">
        <f t="shared" si="6"/>
        <v>0</v>
      </c>
      <c r="W329" s="293">
        <f t="shared" si="6"/>
        <v>0</v>
      </c>
      <c r="X329" s="293">
        <f t="shared" si="6"/>
        <v>0</v>
      </c>
    </row>
    <row r="330" spans="2:24">
      <c r="B330" s="72" t="s">
        <v>557</v>
      </c>
      <c r="C330" s="72" t="s">
        <v>558</v>
      </c>
      <c r="D330" s="293">
        <f t="shared" si="0"/>
        <v>6.7216981132075471E-2</v>
      </c>
      <c r="E330" s="293">
        <f t="shared" si="6"/>
        <v>6.8070290868218336E-2</v>
      </c>
      <c r="F330" s="293">
        <f t="shared" si="6"/>
        <v>6.6546189008185389E-2</v>
      </c>
      <c r="G330" s="293">
        <f t="shared" si="6"/>
        <v>7.0204731691027256E-2</v>
      </c>
      <c r="H330" s="293">
        <f t="shared" si="6"/>
        <v>5.8741893971890689E-2</v>
      </c>
      <c r="I330" s="293">
        <f t="shared" si="6"/>
        <v>6.7184869789088025E-2</v>
      </c>
      <c r="J330" s="293">
        <f t="shared" si="6"/>
        <v>7.0371002756299247E-2</v>
      </c>
      <c r="K330" s="293">
        <f t="shared" si="6"/>
        <v>6.4976454359511007E-2</v>
      </c>
      <c r="L330" s="293">
        <f t="shared" si="6"/>
        <v>6.3739541821063186E-2</v>
      </c>
      <c r="M330" s="293">
        <f t="shared" si="6"/>
        <v>7.0402722631877482E-2</v>
      </c>
      <c r="N330" s="293">
        <f t="shared" si="6"/>
        <v>6.3027461486939051E-2</v>
      </c>
      <c r="O330" s="293">
        <f t="shared" si="6"/>
        <v>6.4936209593900798E-2</v>
      </c>
      <c r="P330" s="293">
        <f t="shared" si="6"/>
        <v>6.3722520339276445E-2</v>
      </c>
      <c r="Q330" s="293">
        <f t="shared" si="6"/>
        <v>6.3977569617026706E-2</v>
      </c>
      <c r="R330" s="293">
        <f t="shared" si="6"/>
        <v>7.0206018858810934E-2</v>
      </c>
      <c r="S330" s="293">
        <f t="shared" si="6"/>
        <v>8.637675185490519E-2</v>
      </c>
      <c r="T330" s="293">
        <f t="shared" si="6"/>
        <v>9.2549558469901191E-2</v>
      </c>
      <c r="U330" s="293">
        <f t="shared" si="6"/>
        <v>9.7830736327528256E-2</v>
      </c>
      <c r="V330" s="293">
        <f t="shared" si="6"/>
        <v>0.10029716116251133</v>
      </c>
      <c r="W330" s="293">
        <f t="shared" si="6"/>
        <v>0.10380110865669154</v>
      </c>
      <c r="X330" s="293">
        <f t="shared" si="6"/>
        <v>0.10859577311836939</v>
      </c>
    </row>
    <row r="331" spans="2:24">
      <c r="B331" s="72" t="s">
        <v>559</v>
      </c>
      <c r="C331" s="72" t="s">
        <v>560</v>
      </c>
      <c r="D331" s="293">
        <f t="shared" ref="D331:D394" si="7">D81/D$251</f>
        <v>8.659029649595687E-2</v>
      </c>
      <c r="E331" s="293">
        <f t="shared" si="6"/>
        <v>7.9310250294706258E-2</v>
      </c>
      <c r="F331" s="293">
        <f t="shared" si="6"/>
        <v>7.2047411502072931E-2</v>
      </c>
      <c r="G331" s="293">
        <f t="shared" si="6"/>
        <v>6.5735056127822447E-2</v>
      </c>
      <c r="H331" s="293">
        <f t="shared" si="6"/>
        <v>6.4747293785168178E-2</v>
      </c>
      <c r="I331" s="293">
        <f t="shared" si="6"/>
        <v>6.4635112387365079E-2</v>
      </c>
      <c r="J331" s="293">
        <f t="shared" si="6"/>
        <v>6.4980364416908548E-2</v>
      </c>
      <c r="K331" s="293">
        <f t="shared" si="6"/>
        <v>6.4643485706131376E-2</v>
      </c>
      <c r="L331" s="293">
        <f t="shared" si="6"/>
        <v>6.4135729101120975E-2</v>
      </c>
      <c r="M331" s="293">
        <f t="shared" si="6"/>
        <v>6.3119682359614293E-2</v>
      </c>
      <c r="N331" s="293">
        <f t="shared" si="6"/>
        <v>6.3139093547666891E-2</v>
      </c>
      <c r="O331" s="293">
        <f t="shared" ref="O331:X332" si="8">O81/O$251</f>
        <v>6.2975122843355436E-2</v>
      </c>
      <c r="P331" s="293">
        <f t="shared" si="8"/>
        <v>6.2554093820321968E-2</v>
      </c>
      <c r="Q331" s="293">
        <f t="shared" si="8"/>
        <v>6.2023407464049787E-2</v>
      </c>
      <c r="R331" s="293">
        <f t="shared" si="8"/>
        <v>6.0923619715647775E-2</v>
      </c>
      <c r="S331" s="293">
        <f t="shared" si="8"/>
        <v>6.0037098103874691E-2</v>
      </c>
      <c r="T331" s="293">
        <f t="shared" si="8"/>
        <v>5.9207468628124559E-2</v>
      </c>
      <c r="U331" s="293">
        <f t="shared" si="8"/>
        <v>5.9578368469294228E-2</v>
      </c>
      <c r="V331" s="293">
        <f t="shared" si="8"/>
        <v>6.1181479061729438E-2</v>
      </c>
      <c r="W331" s="293">
        <f t="shared" si="8"/>
        <v>6.0934439211436667E-2</v>
      </c>
      <c r="X331" s="293">
        <f t="shared" si="8"/>
        <v>6.1899590677470556E-2</v>
      </c>
    </row>
    <row r="332" spans="2:24">
      <c r="B332" s="72" t="s">
        <v>561</v>
      </c>
      <c r="C332" s="72" t="s">
        <v>336</v>
      </c>
      <c r="D332" s="293">
        <f t="shared" si="7"/>
        <v>1.1145833333333333</v>
      </c>
      <c r="E332" s="293">
        <f t="shared" ref="E332:S332" si="9">E82/E$251</f>
        <v>1.108835704690627</v>
      </c>
      <c r="F332" s="293">
        <f t="shared" si="9"/>
        <v>1.0948495800999256</v>
      </c>
      <c r="G332" s="293">
        <f t="shared" si="9"/>
        <v>1.08679904441419</v>
      </c>
      <c r="H332" s="293">
        <f t="shared" si="9"/>
        <v>1.0783477580681788</v>
      </c>
      <c r="I332" s="293">
        <f t="shared" si="9"/>
        <v>1.0655757995841173</v>
      </c>
      <c r="J332" s="293">
        <f t="shared" si="9"/>
        <v>1.0716637802766056</v>
      </c>
      <c r="K332" s="293">
        <f t="shared" si="9"/>
        <v>1.0616943347761976</v>
      </c>
      <c r="L332" s="293">
        <f t="shared" si="9"/>
        <v>1.0709408282644666</v>
      </c>
      <c r="M332" s="293">
        <f t="shared" si="9"/>
        <v>1.0708791832104367</v>
      </c>
      <c r="N332" s="293">
        <f t="shared" si="9"/>
        <v>1.059924090198705</v>
      </c>
      <c r="O332" s="293">
        <f t="shared" si="9"/>
        <v>1.0515611572615295</v>
      </c>
      <c r="P332" s="293">
        <f t="shared" si="9"/>
        <v>1.0275229357798166</v>
      </c>
      <c r="Q332" s="293">
        <f t="shared" si="9"/>
        <v>1.0233012595849529</v>
      </c>
      <c r="R332" s="293">
        <f t="shared" si="9"/>
        <v>1.0289812461935863</v>
      </c>
      <c r="S332" s="293">
        <f t="shared" si="9"/>
        <v>1.0202184666117065</v>
      </c>
      <c r="T332" s="293">
        <f t="shared" si="8"/>
        <v>0.99828237718996904</v>
      </c>
      <c r="U332" s="293">
        <f t="shared" si="8"/>
        <v>0.99645585090131383</v>
      </c>
      <c r="V332" s="293">
        <f t="shared" si="8"/>
        <v>1.0187148306602878</v>
      </c>
      <c r="W332" s="293">
        <f t="shared" si="8"/>
        <v>1.025840870253824</v>
      </c>
      <c r="X332" s="293">
        <f t="shared" si="8"/>
        <v>1.0345835769776961</v>
      </c>
    </row>
    <row r="333" spans="2:24">
      <c r="B333" s="72" t="s">
        <v>562</v>
      </c>
      <c r="C333" s="72" t="s">
        <v>563</v>
      </c>
      <c r="D333" s="293">
        <f t="shared" si="7"/>
        <v>0</v>
      </c>
      <c r="E333" s="293">
        <f t="shared" ref="E333:X345" si="10">E83/E$251</f>
        <v>0</v>
      </c>
      <c r="F333" s="293">
        <f t="shared" si="10"/>
        <v>0</v>
      </c>
      <c r="G333" s="293">
        <f t="shared" si="10"/>
        <v>0</v>
      </c>
      <c r="H333" s="293">
        <f t="shared" si="10"/>
        <v>0</v>
      </c>
      <c r="I333" s="293">
        <f t="shared" si="10"/>
        <v>0</v>
      </c>
      <c r="J333" s="293">
        <f t="shared" si="10"/>
        <v>0</v>
      </c>
      <c r="K333" s="293">
        <f t="shared" si="10"/>
        <v>0</v>
      </c>
      <c r="L333" s="293">
        <f t="shared" si="10"/>
        <v>0</v>
      </c>
      <c r="M333" s="293">
        <f t="shared" si="10"/>
        <v>0</v>
      </c>
      <c r="N333" s="293">
        <f t="shared" si="10"/>
        <v>0</v>
      </c>
      <c r="O333" s="293">
        <f t="shared" si="10"/>
        <v>0</v>
      </c>
      <c r="P333" s="293">
        <f t="shared" si="10"/>
        <v>0</v>
      </c>
      <c r="Q333" s="293">
        <f t="shared" si="10"/>
        <v>0</v>
      </c>
      <c r="R333" s="293">
        <f t="shared" si="10"/>
        <v>0</v>
      </c>
      <c r="S333" s="293">
        <f t="shared" si="10"/>
        <v>0</v>
      </c>
      <c r="T333" s="293">
        <f t="shared" si="10"/>
        <v>0</v>
      </c>
      <c r="U333" s="293">
        <f t="shared" si="10"/>
        <v>0</v>
      </c>
      <c r="V333" s="293">
        <f t="shared" si="10"/>
        <v>0</v>
      </c>
      <c r="W333" s="293">
        <f t="shared" si="10"/>
        <v>0</v>
      </c>
      <c r="X333" s="293">
        <f t="shared" si="10"/>
        <v>0</v>
      </c>
    </row>
    <row r="334" spans="2:24">
      <c r="B334" s="72" t="s">
        <v>564</v>
      </c>
      <c r="C334" s="72" t="s">
        <v>565</v>
      </c>
      <c r="D334" s="293">
        <f t="shared" si="7"/>
        <v>0</v>
      </c>
      <c r="E334" s="293">
        <f t="shared" si="10"/>
        <v>0</v>
      </c>
      <c r="F334" s="293">
        <f t="shared" si="10"/>
        <v>0</v>
      </c>
      <c r="G334" s="293">
        <f t="shared" si="10"/>
        <v>0</v>
      </c>
      <c r="H334" s="293">
        <f t="shared" si="10"/>
        <v>0</v>
      </c>
      <c r="I334" s="293">
        <f t="shared" si="10"/>
        <v>0</v>
      </c>
      <c r="J334" s="293">
        <f t="shared" si="10"/>
        <v>0</v>
      </c>
      <c r="K334" s="293">
        <f t="shared" si="10"/>
        <v>0</v>
      </c>
      <c r="L334" s="293">
        <f t="shared" si="10"/>
        <v>0</v>
      </c>
      <c r="M334" s="293">
        <f t="shared" si="10"/>
        <v>0</v>
      </c>
      <c r="N334" s="293">
        <f t="shared" si="10"/>
        <v>0</v>
      </c>
      <c r="O334" s="293">
        <f t="shared" si="10"/>
        <v>0</v>
      </c>
      <c r="P334" s="293">
        <f t="shared" si="10"/>
        <v>0</v>
      </c>
      <c r="Q334" s="293">
        <f t="shared" si="10"/>
        <v>0</v>
      </c>
      <c r="R334" s="293">
        <f t="shared" si="10"/>
        <v>0</v>
      </c>
      <c r="S334" s="293">
        <f t="shared" si="10"/>
        <v>0</v>
      </c>
      <c r="T334" s="293">
        <f t="shared" si="10"/>
        <v>0</v>
      </c>
      <c r="U334" s="293">
        <f t="shared" si="10"/>
        <v>0</v>
      </c>
      <c r="V334" s="293">
        <f t="shared" si="10"/>
        <v>0</v>
      </c>
      <c r="W334" s="293">
        <f t="shared" si="10"/>
        <v>0</v>
      </c>
      <c r="X334" s="293">
        <f t="shared" si="10"/>
        <v>0</v>
      </c>
    </row>
    <row r="335" spans="2:24">
      <c r="B335" s="72" t="s">
        <v>566</v>
      </c>
      <c r="C335" s="72" t="s">
        <v>567</v>
      </c>
      <c r="D335" s="293">
        <f t="shared" si="7"/>
        <v>0</v>
      </c>
      <c r="E335" s="293">
        <f t="shared" si="10"/>
        <v>0</v>
      </c>
      <c r="F335" s="293">
        <f t="shared" si="10"/>
        <v>0</v>
      </c>
      <c r="G335" s="293">
        <f t="shared" si="10"/>
        <v>0</v>
      </c>
      <c r="H335" s="293">
        <f t="shared" si="10"/>
        <v>0</v>
      </c>
      <c r="I335" s="293">
        <f t="shared" si="10"/>
        <v>0</v>
      </c>
      <c r="J335" s="293">
        <f t="shared" si="10"/>
        <v>0</v>
      </c>
      <c r="K335" s="293">
        <f t="shared" si="10"/>
        <v>0</v>
      </c>
      <c r="L335" s="293">
        <f t="shared" si="10"/>
        <v>0</v>
      </c>
      <c r="M335" s="293">
        <f t="shared" si="10"/>
        <v>0</v>
      </c>
      <c r="N335" s="293">
        <f t="shared" si="10"/>
        <v>0</v>
      </c>
      <c r="O335" s="293">
        <f t="shared" si="10"/>
        <v>0</v>
      </c>
      <c r="P335" s="293">
        <f t="shared" si="10"/>
        <v>0</v>
      </c>
      <c r="Q335" s="293">
        <f t="shared" si="10"/>
        <v>0</v>
      </c>
      <c r="R335" s="293">
        <f t="shared" si="10"/>
        <v>0</v>
      </c>
      <c r="S335" s="293">
        <f t="shared" si="10"/>
        <v>0</v>
      </c>
      <c r="T335" s="293">
        <f t="shared" si="10"/>
        <v>0</v>
      </c>
      <c r="U335" s="293">
        <f t="shared" si="10"/>
        <v>0</v>
      </c>
      <c r="V335" s="293">
        <f t="shared" si="10"/>
        <v>0</v>
      </c>
      <c r="W335" s="293">
        <f t="shared" si="10"/>
        <v>0</v>
      </c>
      <c r="X335" s="293">
        <f t="shared" si="10"/>
        <v>0</v>
      </c>
    </row>
    <row r="336" spans="2:24">
      <c r="B336" s="72" t="s">
        <v>568</v>
      </c>
      <c r="C336" s="72" t="s">
        <v>569</v>
      </c>
      <c r="D336" s="293">
        <f t="shared" si="7"/>
        <v>0</v>
      </c>
      <c r="E336" s="293">
        <f t="shared" si="10"/>
        <v>0</v>
      </c>
      <c r="F336" s="293">
        <f t="shared" si="10"/>
        <v>0</v>
      </c>
      <c r="G336" s="293">
        <f t="shared" si="10"/>
        <v>0</v>
      </c>
      <c r="H336" s="293">
        <f t="shared" si="10"/>
        <v>0</v>
      </c>
      <c r="I336" s="293">
        <f t="shared" si="10"/>
        <v>0</v>
      </c>
      <c r="J336" s="293">
        <f t="shared" si="10"/>
        <v>0</v>
      </c>
      <c r="K336" s="293">
        <f t="shared" si="10"/>
        <v>0</v>
      </c>
      <c r="L336" s="293">
        <f t="shared" si="10"/>
        <v>0</v>
      </c>
      <c r="M336" s="293">
        <f t="shared" si="10"/>
        <v>0</v>
      </c>
      <c r="N336" s="293">
        <f t="shared" si="10"/>
        <v>0</v>
      </c>
      <c r="O336" s="293">
        <f t="shared" si="10"/>
        <v>0</v>
      </c>
      <c r="P336" s="293">
        <f t="shared" si="10"/>
        <v>0</v>
      </c>
      <c r="Q336" s="293">
        <f t="shared" si="10"/>
        <v>0</v>
      </c>
      <c r="R336" s="293">
        <f t="shared" si="10"/>
        <v>0</v>
      </c>
      <c r="S336" s="293">
        <f t="shared" si="10"/>
        <v>0</v>
      </c>
      <c r="T336" s="293">
        <f t="shared" si="10"/>
        <v>0</v>
      </c>
      <c r="U336" s="293">
        <f t="shared" si="10"/>
        <v>0</v>
      </c>
      <c r="V336" s="293">
        <f t="shared" si="10"/>
        <v>0</v>
      </c>
      <c r="W336" s="293">
        <f t="shared" si="10"/>
        <v>0</v>
      </c>
      <c r="X336" s="293">
        <f t="shared" si="10"/>
        <v>0</v>
      </c>
    </row>
    <row r="337" spans="2:24">
      <c r="B337" s="72" t="s">
        <v>570</v>
      </c>
      <c r="C337" s="72" t="s">
        <v>384</v>
      </c>
      <c r="D337" s="293">
        <f t="shared" si="7"/>
        <v>0</v>
      </c>
      <c r="E337" s="293">
        <f t="shared" si="10"/>
        <v>0</v>
      </c>
      <c r="F337" s="293">
        <f t="shared" si="10"/>
        <v>0</v>
      </c>
      <c r="G337" s="293">
        <f t="shared" si="10"/>
        <v>0</v>
      </c>
      <c r="H337" s="293">
        <f t="shared" si="10"/>
        <v>0</v>
      </c>
      <c r="I337" s="293">
        <f t="shared" si="10"/>
        <v>0</v>
      </c>
      <c r="J337" s="293">
        <f t="shared" si="10"/>
        <v>0</v>
      </c>
      <c r="K337" s="293">
        <f t="shared" si="10"/>
        <v>0</v>
      </c>
      <c r="L337" s="293">
        <f t="shared" si="10"/>
        <v>0</v>
      </c>
      <c r="M337" s="293">
        <f t="shared" si="10"/>
        <v>0</v>
      </c>
      <c r="N337" s="293">
        <f t="shared" si="10"/>
        <v>0</v>
      </c>
      <c r="O337" s="293">
        <f t="shared" si="10"/>
        <v>0</v>
      </c>
      <c r="P337" s="293">
        <f t="shared" si="10"/>
        <v>0</v>
      </c>
      <c r="Q337" s="293">
        <f t="shared" si="10"/>
        <v>0</v>
      </c>
      <c r="R337" s="293">
        <f t="shared" si="10"/>
        <v>0</v>
      </c>
      <c r="S337" s="293">
        <f t="shared" si="10"/>
        <v>0</v>
      </c>
      <c r="T337" s="293">
        <f t="shared" si="10"/>
        <v>0</v>
      </c>
      <c r="U337" s="293">
        <f t="shared" si="10"/>
        <v>0</v>
      </c>
      <c r="V337" s="293">
        <f t="shared" si="10"/>
        <v>0</v>
      </c>
      <c r="W337" s="293">
        <f t="shared" si="10"/>
        <v>0</v>
      </c>
      <c r="X337" s="293">
        <f t="shared" si="10"/>
        <v>0</v>
      </c>
    </row>
    <row r="338" spans="2:24">
      <c r="B338" s="72" t="s">
        <v>571</v>
      </c>
      <c r="C338" s="72" t="s">
        <v>572</v>
      </c>
      <c r="D338" s="293">
        <f t="shared" si="7"/>
        <v>0.55623876909254266</v>
      </c>
      <c r="E338" s="293">
        <f t="shared" si="10"/>
        <v>0.59133152397401101</v>
      </c>
      <c r="F338" s="293">
        <f t="shared" si="10"/>
        <v>0.60178590411395771</v>
      </c>
      <c r="G338" s="293">
        <f t="shared" si="10"/>
        <v>0.60397133242569812</v>
      </c>
      <c r="H338" s="293">
        <f t="shared" si="10"/>
        <v>0.64822992102142263</v>
      </c>
      <c r="I338" s="293">
        <f t="shared" si="10"/>
        <v>0.66816021388256264</v>
      </c>
      <c r="J338" s="293">
        <f t="shared" si="10"/>
        <v>0.68997731541332297</v>
      </c>
      <c r="K338" s="293">
        <f t="shared" si="10"/>
        <v>0.68241925510155543</v>
      </c>
      <c r="L338" s="293">
        <f t="shared" si="10"/>
        <v>0.65158824489034939</v>
      </c>
      <c r="M338" s="293">
        <f t="shared" si="10"/>
        <v>0.65236528644356206</v>
      </c>
      <c r="N338" s="293">
        <f t="shared" si="10"/>
        <v>0.63375753516409916</v>
      </c>
      <c r="O338" s="293">
        <f t="shared" si="10"/>
        <v>0.62756979485710507</v>
      </c>
      <c r="P338" s="293">
        <f t="shared" si="10"/>
        <v>0.62223039639951527</v>
      </c>
      <c r="Q338" s="293">
        <f t="shared" si="10"/>
        <v>0.63491153168079184</v>
      </c>
      <c r="R338" s="293">
        <f t="shared" si="10"/>
        <v>0.63981351198101521</v>
      </c>
      <c r="S338" s="293">
        <f t="shared" si="10"/>
        <v>0.60488458367683429</v>
      </c>
      <c r="T338" s="293">
        <f t="shared" si="10"/>
        <v>0.61668721078262978</v>
      </c>
      <c r="U338" s="293">
        <f t="shared" si="10"/>
        <v>0.62566452795600369</v>
      </c>
      <c r="V338" s="293">
        <f t="shared" si="10"/>
        <v>0.65025606440599382</v>
      </c>
      <c r="W338" s="293">
        <f t="shared" si="10"/>
        <v>0.66898678781311216</v>
      </c>
      <c r="X338" s="293">
        <f t="shared" si="10"/>
        <v>0.70712555342076688</v>
      </c>
    </row>
    <row r="339" spans="2:24">
      <c r="B339" s="72" t="s">
        <v>573</v>
      </c>
      <c r="C339" s="72" t="s">
        <v>574</v>
      </c>
      <c r="D339" s="293">
        <f t="shared" si="7"/>
        <v>7.5555929919137468E-2</v>
      </c>
      <c r="E339" s="293">
        <f t="shared" si="10"/>
        <v>8.0077857279929818E-2</v>
      </c>
      <c r="F339" s="293">
        <f t="shared" si="10"/>
        <v>8.4298926331455304E-2</v>
      </c>
      <c r="G339" s="293">
        <f t="shared" si="10"/>
        <v>8.8751316499267902E-2</v>
      </c>
      <c r="H339" s="293">
        <f t="shared" si="10"/>
        <v>9.944235573162423E-2</v>
      </c>
      <c r="I339" s="293">
        <f t="shared" si="10"/>
        <v>9.8475096544212298E-2</v>
      </c>
      <c r="J339" s="293">
        <f t="shared" si="10"/>
        <v>0.1008610386125814</v>
      </c>
      <c r="K339" s="293">
        <f t="shared" si="10"/>
        <v>9.7440898064025117E-2</v>
      </c>
      <c r="L339" s="293">
        <f t="shared" si="10"/>
        <v>0.10063156913468037</v>
      </c>
      <c r="M339" s="293">
        <f t="shared" si="10"/>
        <v>0.10572887124220079</v>
      </c>
      <c r="N339" s="293">
        <f t="shared" si="10"/>
        <v>0.11386470194239785</v>
      </c>
      <c r="O339" s="293">
        <f t="shared" si="10"/>
        <v>0.12548751735231253</v>
      </c>
      <c r="P339" s="293">
        <f t="shared" si="10"/>
        <v>0.14101177081530206</v>
      </c>
      <c r="Q339" s="293">
        <f t="shared" si="10"/>
        <v>0.15132012149790777</v>
      </c>
      <c r="R339" s="293">
        <f t="shared" si="10"/>
        <v>0.16433206627885</v>
      </c>
      <c r="S339" s="293">
        <f t="shared" si="10"/>
        <v>0.18095630667765869</v>
      </c>
      <c r="T339" s="293">
        <f t="shared" si="10"/>
        <v>0.20168933255198335</v>
      </c>
      <c r="U339" s="293">
        <f t="shared" si="10"/>
        <v>0.22210001018433648</v>
      </c>
      <c r="V339" s="293">
        <f t="shared" si="10"/>
        <v>0.25010010748382472</v>
      </c>
      <c r="W339" s="293">
        <f t="shared" si="10"/>
        <v>0.27185012295252781</v>
      </c>
      <c r="X339" s="293">
        <f t="shared" si="10"/>
        <v>0.29646646061314846</v>
      </c>
    </row>
    <row r="340" spans="2:24">
      <c r="B340" s="72" t="s">
        <v>575</v>
      </c>
      <c r="C340" s="72" t="s">
        <v>576</v>
      </c>
      <c r="D340" s="293">
        <f t="shared" si="7"/>
        <v>0.3807277628032345</v>
      </c>
      <c r="E340" s="293">
        <f t="shared" si="10"/>
        <v>0.3877511856786468</v>
      </c>
      <c r="F340" s="293">
        <f t="shared" si="10"/>
        <v>0.37559795896672693</v>
      </c>
      <c r="G340" s="293">
        <f t="shared" si="10"/>
        <v>0.35901256132960002</v>
      </c>
      <c r="H340" s="293">
        <f t="shared" si="10"/>
        <v>0.39012389291211425</v>
      </c>
      <c r="I340" s="293">
        <f t="shared" si="10"/>
        <v>0.37627487870086146</v>
      </c>
      <c r="J340" s="293">
        <f t="shared" si="10"/>
        <v>0.3901504988169866</v>
      </c>
      <c r="K340" s="293">
        <f t="shared" si="10"/>
        <v>0.37825239023926177</v>
      </c>
      <c r="L340" s="293">
        <f t="shared" si="10"/>
        <v>0.34566174928336713</v>
      </c>
      <c r="M340" s="293">
        <f t="shared" si="10"/>
        <v>0.33536018150879182</v>
      </c>
      <c r="N340" s="293">
        <f t="shared" si="10"/>
        <v>0.32143335565974546</v>
      </c>
      <c r="O340" s="293">
        <f t="shared" si="10"/>
        <v>0.32617940638565102</v>
      </c>
      <c r="P340" s="293">
        <f t="shared" si="10"/>
        <v>0.31367924528301888</v>
      </c>
      <c r="Q340" s="293">
        <f t="shared" si="10"/>
        <v>0.31850719004226935</v>
      </c>
      <c r="R340" s="293">
        <f t="shared" si="10"/>
        <v>0.31726064220761491</v>
      </c>
      <c r="S340" s="293">
        <f t="shared" si="10"/>
        <v>0.34163231657048637</v>
      </c>
      <c r="T340" s="293">
        <f t="shared" si="10"/>
        <v>0.34978883343100209</v>
      </c>
      <c r="U340" s="293">
        <f t="shared" si="10"/>
        <v>0.35494449536612688</v>
      </c>
      <c r="V340" s="293">
        <f t="shared" si="10"/>
        <v>0.3623680161857995</v>
      </c>
      <c r="W340" s="293">
        <f t="shared" si="10"/>
        <v>0.36710707289626143</v>
      </c>
      <c r="X340" s="293">
        <f t="shared" si="10"/>
        <v>0.37931250522095061</v>
      </c>
    </row>
    <row r="341" spans="2:24">
      <c r="B341" s="72" t="s">
        <v>577</v>
      </c>
      <c r="C341" s="72" t="s">
        <v>578</v>
      </c>
      <c r="D341" s="293">
        <f t="shared" si="7"/>
        <v>0</v>
      </c>
      <c r="E341" s="293">
        <f t="shared" si="10"/>
        <v>0</v>
      </c>
      <c r="F341" s="293">
        <f t="shared" si="10"/>
        <v>0</v>
      </c>
      <c r="G341" s="293">
        <f t="shared" si="10"/>
        <v>0</v>
      </c>
      <c r="H341" s="293">
        <f t="shared" si="10"/>
        <v>0</v>
      </c>
      <c r="I341" s="293">
        <f t="shared" si="10"/>
        <v>0</v>
      </c>
      <c r="J341" s="293">
        <f t="shared" si="10"/>
        <v>0</v>
      </c>
      <c r="K341" s="293">
        <f t="shared" si="10"/>
        <v>0</v>
      </c>
      <c r="L341" s="293">
        <f t="shared" si="10"/>
        <v>0</v>
      </c>
      <c r="M341" s="293">
        <f t="shared" si="10"/>
        <v>0</v>
      </c>
      <c r="N341" s="293">
        <f t="shared" si="10"/>
        <v>0</v>
      </c>
      <c r="O341" s="293">
        <f t="shared" si="10"/>
        <v>0</v>
      </c>
      <c r="P341" s="293">
        <f t="shared" si="10"/>
        <v>0</v>
      </c>
      <c r="Q341" s="293">
        <f t="shared" si="10"/>
        <v>0</v>
      </c>
      <c r="R341" s="293">
        <f t="shared" si="10"/>
        <v>0</v>
      </c>
      <c r="S341" s="293">
        <f t="shared" si="10"/>
        <v>0</v>
      </c>
      <c r="T341" s="293">
        <f t="shared" si="10"/>
        <v>0</v>
      </c>
      <c r="U341" s="293">
        <f t="shared" si="10"/>
        <v>0</v>
      </c>
      <c r="V341" s="293">
        <f t="shared" si="10"/>
        <v>0</v>
      </c>
      <c r="W341" s="293">
        <f t="shared" si="10"/>
        <v>0</v>
      </c>
      <c r="X341" s="293">
        <f t="shared" si="10"/>
        <v>0</v>
      </c>
    </row>
    <row r="342" spans="2:24">
      <c r="B342" s="72" t="s">
        <v>579</v>
      </c>
      <c r="C342" s="72" t="s">
        <v>580</v>
      </c>
      <c r="D342" s="293">
        <f t="shared" si="7"/>
        <v>3.7202380952380952E-2</v>
      </c>
      <c r="E342" s="293">
        <f t="shared" si="10"/>
        <v>3.1197741042300629E-2</v>
      </c>
      <c r="F342" s="293">
        <f t="shared" si="10"/>
        <v>2.5061124694376529E-2</v>
      </c>
      <c r="G342" s="293">
        <f t="shared" si="10"/>
        <v>2.2425441187803437E-2</v>
      </c>
      <c r="H342" s="293">
        <f t="shared" si="10"/>
        <v>2.1523554792965104E-2</v>
      </c>
      <c r="I342" s="293">
        <f t="shared" si="10"/>
        <v>2.0348549361322903E-2</v>
      </c>
      <c r="J342" s="293">
        <f t="shared" si="10"/>
        <v>1.8489157743249506E-2</v>
      </c>
      <c r="K342" s="293">
        <f t="shared" si="10"/>
        <v>1.7314369975740856E-2</v>
      </c>
      <c r="L342" s="293">
        <f t="shared" si="10"/>
        <v>1.5870796336432916E-2</v>
      </c>
      <c r="M342" s="293">
        <f t="shared" si="10"/>
        <v>1.3953488372093023E-2</v>
      </c>
      <c r="N342" s="293">
        <f t="shared" si="10"/>
        <v>1.3060951105157401E-2</v>
      </c>
      <c r="O342" s="293">
        <f t="shared" si="10"/>
        <v>1.2934358680563206E-2</v>
      </c>
      <c r="P342" s="293">
        <f t="shared" si="10"/>
        <v>1.3025791933529514E-2</v>
      </c>
      <c r="Q342" s="293">
        <f t="shared" si="10"/>
        <v>1.3211835425561291E-2</v>
      </c>
      <c r="R342" s="293">
        <f t="shared" si="10"/>
        <v>1.3629586072201105E-2</v>
      </c>
      <c r="S342" s="293">
        <f t="shared" si="10"/>
        <v>1.3685078318219291E-2</v>
      </c>
      <c r="T342" s="293">
        <f t="shared" si="10"/>
        <v>1.380160446177784E-2</v>
      </c>
      <c r="U342" s="293">
        <f t="shared" si="10"/>
        <v>1.4298808432630613E-2</v>
      </c>
      <c r="V342" s="293">
        <f t="shared" si="10"/>
        <v>1.4668380787793209E-2</v>
      </c>
      <c r="W342" s="293">
        <f t="shared" si="10"/>
        <v>1.5025215687908973E-2</v>
      </c>
      <c r="X342" s="293">
        <f t="shared" si="10"/>
        <v>1.5495781471890402E-2</v>
      </c>
    </row>
    <row r="343" spans="2:24">
      <c r="B343" s="72" t="s">
        <v>581</v>
      </c>
      <c r="C343" s="72" t="s">
        <v>582</v>
      </c>
      <c r="D343" s="293">
        <f t="shared" si="7"/>
        <v>0</v>
      </c>
      <c r="E343" s="293">
        <f t="shared" si="10"/>
        <v>0</v>
      </c>
      <c r="F343" s="293">
        <f t="shared" si="10"/>
        <v>0</v>
      </c>
      <c r="G343" s="293">
        <f t="shared" si="10"/>
        <v>0</v>
      </c>
      <c r="H343" s="293">
        <f t="shared" si="10"/>
        <v>0</v>
      </c>
      <c r="I343" s="293">
        <f t="shared" si="10"/>
        <v>0</v>
      </c>
      <c r="J343" s="293">
        <f t="shared" si="10"/>
        <v>0</v>
      </c>
      <c r="K343" s="293">
        <f t="shared" si="10"/>
        <v>0</v>
      </c>
      <c r="L343" s="293">
        <f t="shared" si="10"/>
        <v>0</v>
      </c>
      <c r="M343" s="293">
        <f t="shared" si="10"/>
        <v>0</v>
      </c>
      <c r="N343" s="293">
        <f t="shared" si="10"/>
        <v>0</v>
      </c>
      <c r="O343" s="293">
        <f t="shared" si="10"/>
        <v>0</v>
      </c>
      <c r="P343" s="293">
        <f t="shared" si="10"/>
        <v>0</v>
      </c>
      <c r="Q343" s="293">
        <f t="shared" si="10"/>
        <v>0</v>
      </c>
      <c r="R343" s="293">
        <f t="shared" si="10"/>
        <v>0</v>
      </c>
      <c r="S343" s="293">
        <f t="shared" si="10"/>
        <v>0</v>
      </c>
      <c r="T343" s="293">
        <f t="shared" si="10"/>
        <v>0</v>
      </c>
      <c r="U343" s="293">
        <f t="shared" si="10"/>
        <v>0</v>
      </c>
      <c r="V343" s="293">
        <f t="shared" si="10"/>
        <v>0</v>
      </c>
      <c r="W343" s="293">
        <f t="shared" si="10"/>
        <v>0</v>
      </c>
      <c r="X343" s="293">
        <f t="shared" si="10"/>
        <v>0</v>
      </c>
    </row>
    <row r="344" spans="2:24">
      <c r="B344" s="72" t="s">
        <v>583</v>
      </c>
      <c r="C344" s="72" t="s">
        <v>257</v>
      </c>
      <c r="D344" s="293">
        <f t="shared" si="7"/>
        <v>0.39249213836477986</v>
      </c>
      <c r="E344" s="293">
        <f t="shared" si="10"/>
        <v>0.40302108177755847</v>
      </c>
      <c r="F344" s="293">
        <f t="shared" si="10"/>
        <v>0.40249282449239926</v>
      </c>
      <c r="G344" s="293">
        <f t="shared" si="10"/>
        <v>0.39125073852397957</v>
      </c>
      <c r="H344" s="293">
        <f t="shared" si="10"/>
        <v>0.38734828795639775</v>
      </c>
      <c r="I344" s="293">
        <f t="shared" si="10"/>
        <v>0.37186850183186454</v>
      </c>
      <c r="J344" s="293">
        <f t="shared" si="10"/>
        <v>0.36829524111520356</v>
      </c>
      <c r="K344" s="293">
        <f t="shared" si="10"/>
        <v>0.37199733625077297</v>
      </c>
      <c r="L344" s="293">
        <f t="shared" si="10"/>
        <v>0.38099233261087417</v>
      </c>
      <c r="M344" s="293">
        <f t="shared" si="10"/>
        <v>0.35421440726035169</v>
      </c>
      <c r="N344" s="293">
        <f t="shared" si="10"/>
        <v>0.34643893726278185</v>
      </c>
      <c r="O344" s="293">
        <f t="shared" si="10"/>
        <v>0.34345459753652247</v>
      </c>
      <c r="P344" s="293">
        <f t="shared" si="10"/>
        <v>0.34801800242340314</v>
      </c>
      <c r="Q344" s="293">
        <f t="shared" si="10"/>
        <v>0.3532360500435438</v>
      </c>
      <c r="R344" s="293">
        <f t="shared" si="10"/>
        <v>0.3466199046559002</v>
      </c>
      <c r="S344" s="293">
        <f t="shared" si="10"/>
        <v>0.35931574608408906</v>
      </c>
      <c r="T344" s="293">
        <f t="shared" si="10"/>
        <v>0.36138783923050499</v>
      </c>
      <c r="U344" s="293">
        <f t="shared" si="10"/>
        <v>0.36840818820653837</v>
      </c>
      <c r="V344" s="293">
        <f t="shared" si="10"/>
        <v>0.3733693017766444</v>
      </c>
      <c r="W344" s="293">
        <f t="shared" si="10"/>
        <v>0.3775267786437711</v>
      </c>
      <c r="X344" s="293">
        <f t="shared" si="10"/>
        <v>0.38672625511653164</v>
      </c>
    </row>
    <row r="345" spans="2:24">
      <c r="B345" s="72" t="s">
        <v>584</v>
      </c>
      <c r="C345" s="72" t="s">
        <v>585</v>
      </c>
      <c r="D345" s="293">
        <f t="shared" si="7"/>
        <v>9.579964061096137E-2</v>
      </c>
      <c r="E345" s="293">
        <f t="shared" si="10"/>
        <v>8.9755188200784056E-2</v>
      </c>
      <c r="F345" s="293">
        <f t="shared" si="10"/>
        <v>9.4636972467311578E-2</v>
      </c>
      <c r="G345" s="293">
        <f t="shared" si="10"/>
        <v>8.8340311849777794E-2</v>
      </c>
      <c r="H345" s="293">
        <f t="shared" si="10"/>
        <v>8.8516565315031159E-2</v>
      </c>
      <c r="I345" s="293">
        <f t="shared" si="10"/>
        <v>9.0900089117734423E-2</v>
      </c>
      <c r="J345" s="293">
        <f t="shared" si="10"/>
        <v>9.1957948142547014E-2</v>
      </c>
      <c r="K345" s="293">
        <f t="shared" si="10"/>
        <v>9.1043143224087908E-2</v>
      </c>
      <c r="L345" s="293">
        <f t="shared" si="10"/>
        <v>8.8303153184646571E-2</v>
      </c>
      <c r="M345" s="293">
        <f t="shared" si="10"/>
        <v>7.9863868406125915E-2</v>
      </c>
      <c r="N345" s="293">
        <f t="shared" si="10"/>
        <v>7.7070774726501451E-2</v>
      </c>
      <c r="O345" s="293">
        <f t="shared" si="10"/>
        <v>7.3485666438974945E-2</v>
      </c>
      <c r="P345" s="293">
        <f t="shared" si="10"/>
        <v>6.9867578327851829E-2</v>
      </c>
      <c r="Q345" s="293">
        <f t="shared" si="10"/>
        <v>6.8608084283863294E-2</v>
      </c>
      <c r="R345" s="293">
        <f t="shared" si="10"/>
        <v>6.7979923136694875E-2</v>
      </c>
      <c r="S345" s="293">
        <f t="shared" si="10"/>
        <v>6.5890354492992576E-2</v>
      </c>
      <c r="T345" s="293">
        <f t="shared" ref="E345:X358" si="11">T95/T$251</f>
        <v>6.4340129731040474E-2</v>
      </c>
      <c r="U345" s="293">
        <f t="shared" si="11"/>
        <v>6.4996435482228332E-2</v>
      </c>
      <c r="V345" s="293">
        <f t="shared" si="11"/>
        <v>6.8009863221564201E-2</v>
      </c>
      <c r="W345" s="293">
        <f t="shared" si="11"/>
        <v>6.7061226190972364E-2</v>
      </c>
      <c r="X345" s="293">
        <f t="shared" si="11"/>
        <v>6.160721744215187E-2</v>
      </c>
    </row>
    <row r="346" spans="2:24">
      <c r="B346" s="72" t="s">
        <v>586</v>
      </c>
      <c r="C346" s="72" t="s">
        <v>587</v>
      </c>
      <c r="D346" s="293">
        <f t="shared" si="7"/>
        <v>0.50839510332434856</v>
      </c>
      <c r="E346" s="293">
        <f t="shared" si="11"/>
        <v>0.49332456068207364</v>
      </c>
      <c r="F346" s="293">
        <f t="shared" si="11"/>
        <v>0.39021473370894016</v>
      </c>
      <c r="G346" s="293">
        <f t="shared" si="11"/>
        <v>0.40206529836368776</v>
      </c>
      <c r="H346" s="293">
        <f t="shared" si="11"/>
        <v>0.42767025813126086</v>
      </c>
      <c r="I346" s="293">
        <f t="shared" si="11"/>
        <v>0.40929795029210814</v>
      </c>
      <c r="J346" s="293">
        <f t="shared" si="11"/>
        <v>0.41642071371075934</v>
      </c>
      <c r="K346" s="293">
        <f t="shared" si="11"/>
        <v>0.42669932930599819</v>
      </c>
      <c r="L346" s="293">
        <f t="shared" si="11"/>
        <v>0.42790556759654153</v>
      </c>
      <c r="M346" s="293">
        <f t="shared" si="11"/>
        <v>0.41574588769143506</v>
      </c>
      <c r="N346" s="293">
        <f t="shared" si="11"/>
        <v>0.44838133511944628</v>
      </c>
      <c r="O346" s="293">
        <f t="shared" si="11"/>
        <v>0.44556331666042348</v>
      </c>
      <c r="P346" s="293">
        <f t="shared" si="11"/>
        <v>0.45832612082395707</v>
      </c>
      <c r="Q346" s="293">
        <f t="shared" si="11"/>
        <v>0.46069372756430682</v>
      </c>
      <c r="R346" s="293">
        <f t="shared" si="11"/>
        <v>0.47136526870655437</v>
      </c>
      <c r="S346" s="293">
        <f t="shared" si="11"/>
        <v>0.48831409727947239</v>
      </c>
      <c r="T346" s="293">
        <f t="shared" si="11"/>
        <v>0.48616808454745691</v>
      </c>
      <c r="U346" s="293">
        <f t="shared" si="11"/>
        <v>0.49536612689683268</v>
      </c>
      <c r="V346" s="293">
        <f t="shared" si="11"/>
        <v>0.49090602541676326</v>
      </c>
      <c r="W346" s="293">
        <f t="shared" si="11"/>
        <v>0.49954153294710957</v>
      </c>
      <c r="X346" s="293">
        <f t="shared" si="11"/>
        <v>0.52478907359452009</v>
      </c>
    </row>
    <row r="347" spans="2:24">
      <c r="B347" s="72" t="s">
        <v>588</v>
      </c>
      <c r="C347" s="72" t="s">
        <v>589</v>
      </c>
      <c r="D347" s="293">
        <f t="shared" si="7"/>
        <v>0</v>
      </c>
      <c r="E347" s="293">
        <f t="shared" si="11"/>
        <v>0</v>
      </c>
      <c r="F347" s="293">
        <f t="shared" si="11"/>
        <v>0</v>
      </c>
      <c r="G347" s="293">
        <f t="shared" si="11"/>
        <v>0</v>
      </c>
      <c r="H347" s="293">
        <f t="shared" si="11"/>
        <v>0</v>
      </c>
      <c r="I347" s="293">
        <f t="shared" si="11"/>
        <v>0</v>
      </c>
      <c r="J347" s="293">
        <f t="shared" si="11"/>
        <v>0</v>
      </c>
      <c r="K347" s="293">
        <f t="shared" si="11"/>
        <v>0</v>
      </c>
      <c r="L347" s="293">
        <f t="shared" si="11"/>
        <v>0</v>
      </c>
      <c r="M347" s="293">
        <f t="shared" si="11"/>
        <v>0</v>
      </c>
      <c r="N347" s="293">
        <f t="shared" si="11"/>
        <v>0</v>
      </c>
      <c r="O347" s="293">
        <f t="shared" si="11"/>
        <v>0</v>
      </c>
      <c r="P347" s="293">
        <f t="shared" si="11"/>
        <v>0</v>
      </c>
      <c r="Q347" s="293">
        <f t="shared" si="11"/>
        <v>0</v>
      </c>
      <c r="R347" s="293">
        <f t="shared" si="11"/>
        <v>0</v>
      </c>
      <c r="S347" s="293">
        <f t="shared" si="11"/>
        <v>0</v>
      </c>
      <c r="T347" s="293">
        <f t="shared" si="11"/>
        <v>0</v>
      </c>
      <c r="U347" s="293">
        <f t="shared" si="11"/>
        <v>0</v>
      </c>
      <c r="V347" s="293">
        <f t="shared" si="11"/>
        <v>0</v>
      </c>
      <c r="W347" s="293">
        <f t="shared" si="11"/>
        <v>0</v>
      </c>
      <c r="X347" s="293">
        <f t="shared" si="11"/>
        <v>0</v>
      </c>
    </row>
    <row r="348" spans="2:24">
      <c r="B348" s="72" t="s">
        <v>590</v>
      </c>
      <c r="C348" s="72" t="s">
        <v>591</v>
      </c>
      <c r="D348" s="293">
        <f t="shared" si="7"/>
        <v>0</v>
      </c>
      <c r="E348" s="293">
        <f t="shared" si="11"/>
        <v>0</v>
      </c>
      <c r="F348" s="293">
        <f t="shared" si="11"/>
        <v>0</v>
      </c>
      <c r="G348" s="293">
        <f t="shared" si="11"/>
        <v>0</v>
      </c>
      <c r="H348" s="293">
        <f t="shared" si="11"/>
        <v>0</v>
      </c>
      <c r="I348" s="293">
        <f t="shared" si="11"/>
        <v>0</v>
      </c>
      <c r="J348" s="293">
        <f t="shared" si="11"/>
        <v>0</v>
      </c>
      <c r="K348" s="293">
        <f t="shared" si="11"/>
        <v>0</v>
      </c>
      <c r="L348" s="293">
        <f t="shared" si="11"/>
        <v>0</v>
      </c>
      <c r="M348" s="293">
        <f t="shared" si="11"/>
        <v>0</v>
      </c>
      <c r="N348" s="293">
        <f t="shared" si="11"/>
        <v>0</v>
      </c>
      <c r="O348" s="293">
        <f t="shared" si="11"/>
        <v>0</v>
      </c>
      <c r="P348" s="293">
        <f t="shared" si="11"/>
        <v>0</v>
      </c>
      <c r="Q348" s="293">
        <f t="shared" si="11"/>
        <v>0</v>
      </c>
      <c r="R348" s="293">
        <f t="shared" si="11"/>
        <v>0</v>
      </c>
      <c r="S348" s="293">
        <f t="shared" si="11"/>
        <v>0</v>
      </c>
      <c r="T348" s="293">
        <f t="shared" si="11"/>
        <v>0</v>
      </c>
      <c r="U348" s="293">
        <f t="shared" si="11"/>
        <v>0</v>
      </c>
      <c r="V348" s="293">
        <f t="shared" si="11"/>
        <v>0</v>
      </c>
      <c r="W348" s="293">
        <f t="shared" si="11"/>
        <v>0</v>
      </c>
      <c r="X348" s="293">
        <f t="shared" si="11"/>
        <v>0</v>
      </c>
    </row>
    <row r="349" spans="2:24">
      <c r="B349" s="72" t="s">
        <v>592</v>
      </c>
      <c r="C349" s="72" t="s">
        <v>593</v>
      </c>
      <c r="D349" s="293">
        <f t="shared" si="7"/>
        <v>0.69401392632524705</v>
      </c>
      <c r="E349" s="293">
        <f t="shared" si="11"/>
        <v>0.66641993584998771</v>
      </c>
      <c r="F349" s="293">
        <f t="shared" si="11"/>
        <v>0.62341873073243326</v>
      </c>
      <c r="G349" s="293">
        <f t="shared" si="11"/>
        <v>0.58945773074057906</v>
      </c>
      <c r="H349" s="293">
        <f t="shared" si="11"/>
        <v>0.56869622265398301</v>
      </c>
      <c r="I349" s="293">
        <f t="shared" si="11"/>
        <v>0.56500643628081992</v>
      </c>
      <c r="J349" s="293">
        <f t="shared" si="11"/>
        <v>0.56626094592287246</v>
      </c>
      <c r="K349" s="293">
        <f t="shared" si="11"/>
        <v>0.57063692146696476</v>
      </c>
      <c r="L349" s="293">
        <f t="shared" si="11"/>
        <v>0.57554359225337337</v>
      </c>
      <c r="M349" s="293">
        <f t="shared" si="11"/>
        <v>0.57867271695972777</v>
      </c>
      <c r="N349" s="293">
        <f t="shared" si="11"/>
        <v>0.57981692342040636</v>
      </c>
      <c r="O349" s="293">
        <f t="shared" si="11"/>
        <v>0.57250512306370227</v>
      </c>
      <c r="P349" s="293">
        <f t="shared" si="11"/>
        <v>0.55184351739657267</v>
      </c>
      <c r="Q349" s="293">
        <f t="shared" si="11"/>
        <v>0.54406423246033264</v>
      </c>
      <c r="R349" s="293">
        <f t="shared" si="11"/>
        <v>0.53930319003717164</v>
      </c>
      <c r="S349" s="293">
        <f t="shared" si="11"/>
        <v>0.54165292662819453</v>
      </c>
      <c r="T349" s="293">
        <f t="shared" si="11"/>
        <v>0.54058641663467177</v>
      </c>
      <c r="U349" s="293">
        <f t="shared" si="11"/>
        <v>0.54889499949078313</v>
      </c>
      <c r="V349" s="293">
        <f t="shared" si="11"/>
        <v>0.56121309195135827</v>
      </c>
      <c r="W349" s="293">
        <f t="shared" si="11"/>
        <v>0.56285166506897844</v>
      </c>
      <c r="X349" s="293">
        <f t="shared" si="11"/>
        <v>0.57138083702280507</v>
      </c>
    </row>
    <row r="350" spans="2:24">
      <c r="B350" s="72" t="s">
        <v>594</v>
      </c>
      <c r="C350" s="72" t="s">
        <v>595</v>
      </c>
      <c r="D350" s="293">
        <f t="shared" si="7"/>
        <v>0.45956873315363883</v>
      </c>
      <c r="E350" s="293">
        <f t="shared" si="11"/>
        <v>0.44041450777202074</v>
      </c>
      <c r="F350" s="293">
        <f t="shared" si="11"/>
        <v>0.42803231636015732</v>
      </c>
      <c r="G350" s="293">
        <f t="shared" si="11"/>
        <v>0.41832566980913971</v>
      </c>
      <c r="H350" s="293">
        <f t="shared" si="11"/>
        <v>0.43218692437738132</v>
      </c>
      <c r="I350" s="293">
        <f t="shared" si="11"/>
        <v>0.44093474601445687</v>
      </c>
      <c r="J350" s="293">
        <f t="shared" si="11"/>
        <v>0.43386101422055273</v>
      </c>
      <c r="K350" s="293">
        <f t="shared" si="11"/>
        <v>0.42962469676069065</v>
      </c>
      <c r="L350" s="293">
        <f t="shared" si="11"/>
        <v>0.43760050339089701</v>
      </c>
      <c r="M350" s="293">
        <f t="shared" si="11"/>
        <v>0.4474872376630743</v>
      </c>
      <c r="N350" s="293">
        <f t="shared" si="11"/>
        <v>0.45534717570886357</v>
      </c>
      <c r="O350" s="293">
        <f t="shared" si="11"/>
        <v>0.45618403366899501</v>
      </c>
      <c r="P350" s="293">
        <f t="shared" si="11"/>
        <v>0.46858230915700189</v>
      </c>
      <c r="Q350" s="293">
        <f t="shared" si="11"/>
        <v>0.4833365194672784</v>
      </c>
      <c r="R350" s="293">
        <f t="shared" si="11"/>
        <v>0.49971648780897576</v>
      </c>
      <c r="S350" s="293">
        <f t="shared" si="11"/>
        <v>0.51795136026380872</v>
      </c>
      <c r="T350" s="293">
        <f t="shared" si="11"/>
        <v>0.52581486046840586</v>
      </c>
      <c r="U350" s="293">
        <f t="shared" si="11"/>
        <v>0.53410734290660966</v>
      </c>
      <c r="V350" s="293">
        <f t="shared" si="11"/>
        <v>0.5330986954414213</v>
      </c>
      <c r="W350" s="293">
        <f t="shared" si="11"/>
        <v>0.55084816404784731</v>
      </c>
      <c r="X350" s="293">
        <f t="shared" si="11"/>
        <v>0.55768106256787231</v>
      </c>
    </row>
    <row r="351" spans="2:24">
      <c r="B351" s="72" t="s">
        <v>596</v>
      </c>
      <c r="C351" s="72" t="s">
        <v>597</v>
      </c>
      <c r="D351" s="293">
        <f t="shared" si="7"/>
        <v>1.0263084007187782</v>
      </c>
      <c r="E351" s="293">
        <f t="shared" si="11"/>
        <v>1.0332538311812922</v>
      </c>
      <c r="F351" s="293">
        <f t="shared" si="11"/>
        <v>1.0156000850430531</v>
      </c>
      <c r="G351" s="293">
        <f t="shared" si="11"/>
        <v>1.019188779573069</v>
      </c>
      <c r="H351" s="293">
        <f t="shared" si="11"/>
        <v>1.0239711337084605</v>
      </c>
      <c r="I351" s="293">
        <f t="shared" si="11"/>
        <v>1.0236904644024161</v>
      </c>
      <c r="J351" s="293">
        <f t="shared" si="11"/>
        <v>1.0269775837256385</v>
      </c>
      <c r="K351" s="293">
        <f t="shared" si="11"/>
        <v>1.0083479998097322</v>
      </c>
      <c r="L351" s="293">
        <f t="shared" si="11"/>
        <v>1.0048707730312989</v>
      </c>
      <c r="M351" s="293">
        <f t="shared" si="11"/>
        <v>1.0076687464549063</v>
      </c>
      <c r="N351" s="293">
        <f t="shared" si="11"/>
        <v>0.98961821835231079</v>
      </c>
      <c r="O351" s="293">
        <f t="shared" si="11"/>
        <v>0.98087389551153514</v>
      </c>
      <c r="P351" s="293">
        <f t="shared" si="11"/>
        <v>0.97741042063354677</v>
      </c>
      <c r="Q351" s="293">
        <f t="shared" si="11"/>
        <v>0.98763780029312431</v>
      </c>
      <c r="R351" s="293">
        <f t="shared" si="11"/>
        <v>0.99021357918390496</v>
      </c>
      <c r="S351" s="293">
        <f t="shared" si="11"/>
        <v>0.98415086562242371</v>
      </c>
      <c r="T351" s="293">
        <f t="shared" si="11"/>
        <v>0.9538666720552873</v>
      </c>
      <c r="U351" s="293">
        <f t="shared" si="11"/>
        <v>0.93492208982584779</v>
      </c>
      <c r="V351" s="293">
        <f t="shared" si="11"/>
        <v>0.94777550633311558</v>
      </c>
      <c r="W351" s="293">
        <f t="shared" si="11"/>
        <v>0.97505522444046178</v>
      </c>
      <c r="X351" s="293">
        <f t="shared" si="11"/>
        <v>0.99177178180603121</v>
      </c>
    </row>
    <row r="352" spans="2:24">
      <c r="B352" s="72" t="s">
        <v>598</v>
      </c>
      <c r="C352" s="72" t="s">
        <v>599</v>
      </c>
      <c r="D352" s="293">
        <f t="shared" si="7"/>
        <v>0</v>
      </c>
      <c r="E352" s="293">
        <f t="shared" si="11"/>
        <v>0</v>
      </c>
      <c r="F352" s="293">
        <f t="shared" si="11"/>
        <v>0</v>
      </c>
      <c r="G352" s="293">
        <f t="shared" si="11"/>
        <v>0</v>
      </c>
      <c r="H352" s="293">
        <f t="shared" si="11"/>
        <v>0</v>
      </c>
      <c r="I352" s="293">
        <f t="shared" si="11"/>
        <v>0</v>
      </c>
      <c r="J352" s="293">
        <f t="shared" si="11"/>
        <v>0</v>
      </c>
      <c r="K352" s="293">
        <f t="shared" si="11"/>
        <v>0</v>
      </c>
      <c r="L352" s="293">
        <f t="shared" si="11"/>
        <v>0</v>
      </c>
      <c r="M352" s="293">
        <f t="shared" si="11"/>
        <v>0</v>
      </c>
      <c r="N352" s="293">
        <f t="shared" si="11"/>
        <v>0</v>
      </c>
      <c r="O352" s="293">
        <f t="shared" si="11"/>
        <v>0</v>
      </c>
      <c r="P352" s="293">
        <f t="shared" si="11"/>
        <v>0</v>
      </c>
      <c r="Q352" s="293">
        <f t="shared" si="11"/>
        <v>0</v>
      </c>
      <c r="R352" s="293">
        <f t="shared" si="11"/>
        <v>0</v>
      </c>
      <c r="S352" s="293">
        <f t="shared" si="11"/>
        <v>0</v>
      </c>
      <c r="T352" s="293">
        <f t="shared" si="11"/>
        <v>0</v>
      </c>
      <c r="U352" s="293">
        <f t="shared" si="11"/>
        <v>0</v>
      </c>
      <c r="V352" s="293">
        <f t="shared" si="11"/>
        <v>0</v>
      </c>
      <c r="W352" s="293">
        <f t="shared" si="11"/>
        <v>0</v>
      </c>
      <c r="X352" s="293">
        <f t="shared" si="11"/>
        <v>0</v>
      </c>
    </row>
    <row r="353" spans="2:24">
      <c r="B353" s="72" t="s">
        <v>600</v>
      </c>
      <c r="C353" s="72" t="s">
        <v>601</v>
      </c>
      <c r="D353" s="293">
        <f t="shared" si="7"/>
        <v>0</v>
      </c>
      <c r="E353" s="293">
        <f t="shared" si="11"/>
        <v>0</v>
      </c>
      <c r="F353" s="293">
        <f t="shared" si="11"/>
        <v>0</v>
      </c>
      <c r="G353" s="293">
        <f t="shared" si="11"/>
        <v>0</v>
      </c>
      <c r="H353" s="293">
        <f t="shared" si="11"/>
        <v>0</v>
      </c>
      <c r="I353" s="293">
        <f t="shared" si="11"/>
        <v>0</v>
      </c>
      <c r="J353" s="293">
        <f t="shared" si="11"/>
        <v>0</v>
      </c>
      <c r="K353" s="293">
        <f t="shared" si="11"/>
        <v>0</v>
      </c>
      <c r="L353" s="293">
        <f t="shared" si="11"/>
        <v>0</v>
      </c>
      <c r="M353" s="293">
        <f t="shared" si="11"/>
        <v>0</v>
      </c>
      <c r="N353" s="293">
        <f t="shared" si="11"/>
        <v>0</v>
      </c>
      <c r="O353" s="293">
        <f t="shared" si="11"/>
        <v>0</v>
      </c>
      <c r="P353" s="293">
        <f t="shared" si="11"/>
        <v>0</v>
      </c>
      <c r="Q353" s="293">
        <f t="shared" si="11"/>
        <v>0</v>
      </c>
      <c r="R353" s="293">
        <f t="shared" si="11"/>
        <v>0</v>
      </c>
      <c r="S353" s="293">
        <f t="shared" si="11"/>
        <v>0</v>
      </c>
      <c r="T353" s="293">
        <f t="shared" si="11"/>
        <v>0</v>
      </c>
      <c r="U353" s="293">
        <f t="shared" si="11"/>
        <v>0</v>
      </c>
      <c r="V353" s="293">
        <f t="shared" si="11"/>
        <v>0</v>
      </c>
      <c r="W353" s="293">
        <f t="shared" si="11"/>
        <v>0</v>
      </c>
      <c r="X353" s="293">
        <f t="shared" si="11"/>
        <v>0</v>
      </c>
    </row>
    <row r="354" spans="2:24">
      <c r="B354" s="72" t="s">
        <v>602</v>
      </c>
      <c r="C354" s="72" t="s">
        <v>603</v>
      </c>
      <c r="D354" s="293">
        <f t="shared" si="7"/>
        <v>0.22032232704402516</v>
      </c>
      <c r="E354" s="293">
        <f t="shared" si="11"/>
        <v>0.22244153850371468</v>
      </c>
      <c r="F354" s="293">
        <f t="shared" si="11"/>
        <v>0.230227490166897</v>
      </c>
      <c r="G354" s="293">
        <f t="shared" si="11"/>
        <v>0.22918646767191553</v>
      </c>
      <c r="H354" s="293">
        <f t="shared" si="11"/>
        <v>0.23749085312003229</v>
      </c>
      <c r="I354" s="293">
        <f t="shared" si="11"/>
        <v>0.24249925735221309</v>
      </c>
      <c r="J354" s="293">
        <f t="shared" si="11"/>
        <v>0.24045661877698368</v>
      </c>
      <c r="K354" s="293">
        <f t="shared" si="11"/>
        <v>0.23031917423773962</v>
      </c>
      <c r="L354" s="293">
        <f t="shared" si="11"/>
        <v>0.23351744389288961</v>
      </c>
      <c r="M354" s="293">
        <f t="shared" si="11"/>
        <v>0.23534883720930233</v>
      </c>
      <c r="N354" s="293">
        <f t="shared" si="11"/>
        <v>0.23887028354543424</v>
      </c>
      <c r="O354" s="293">
        <f t="shared" si="11"/>
        <v>0.2410594275389463</v>
      </c>
      <c r="P354" s="293">
        <f t="shared" si="11"/>
        <v>0.23706075817898564</v>
      </c>
      <c r="Q354" s="293">
        <f t="shared" si="11"/>
        <v>0.22698018224686164</v>
      </c>
      <c r="R354" s="293">
        <f t="shared" si="11"/>
        <v>0.24025033076422286</v>
      </c>
      <c r="S354" s="293">
        <f t="shared" si="11"/>
        <v>0.24657873042044517</v>
      </c>
      <c r="T354" s="293">
        <f t="shared" si="11"/>
        <v>0.25626932325661284</v>
      </c>
      <c r="U354" s="293">
        <f t="shared" si="11"/>
        <v>0.26422242590895201</v>
      </c>
      <c r="V354" s="293">
        <f t="shared" si="11"/>
        <v>0.27794052561697824</v>
      </c>
      <c r="W354" s="293">
        <f t="shared" si="11"/>
        <v>0.29043887800608509</v>
      </c>
      <c r="X354" s="293">
        <f t="shared" si="11"/>
        <v>0.29845042185281095</v>
      </c>
    </row>
    <row r="355" spans="2:24">
      <c r="B355" s="72" t="s">
        <v>604</v>
      </c>
      <c r="C355" s="72" t="s">
        <v>605</v>
      </c>
      <c r="D355" s="293">
        <f t="shared" si="7"/>
        <v>0.35270664869721474</v>
      </c>
      <c r="E355" s="293">
        <f t="shared" si="11"/>
        <v>0.33799380431504783</v>
      </c>
      <c r="F355" s="293">
        <f t="shared" si="11"/>
        <v>0.31768895503348571</v>
      </c>
      <c r="G355" s="293">
        <f t="shared" si="11"/>
        <v>0.30776541909630351</v>
      </c>
      <c r="H355" s="293">
        <f t="shared" si="11"/>
        <v>0.29504680679266232</v>
      </c>
      <c r="I355" s="293">
        <f t="shared" si="11"/>
        <v>0.29866818496880881</v>
      </c>
      <c r="J355" s="293">
        <f t="shared" si="11"/>
        <v>0.29260677610556868</v>
      </c>
      <c r="K355" s="293">
        <f t="shared" si="11"/>
        <v>0.28992056319269371</v>
      </c>
      <c r="L355" s="293">
        <f t="shared" si="11"/>
        <v>0.27322939243515348</v>
      </c>
      <c r="M355" s="293">
        <f t="shared" si="11"/>
        <v>0.26688598979013045</v>
      </c>
      <c r="N355" s="293">
        <f t="shared" si="11"/>
        <v>0.25733422638981918</v>
      </c>
      <c r="O355" s="293">
        <f t="shared" si="11"/>
        <v>0.25121741621311944</v>
      </c>
      <c r="P355" s="293">
        <f t="shared" si="11"/>
        <v>0.25188246494720445</v>
      </c>
      <c r="Q355" s="293">
        <f t="shared" si="11"/>
        <v>0.24624567216805796</v>
      </c>
      <c r="R355" s="293">
        <f t="shared" si="11"/>
        <v>0.25524497553394798</v>
      </c>
      <c r="S355" s="293">
        <f t="shared" si="11"/>
        <v>0.25329760923330585</v>
      </c>
      <c r="T355" s="293">
        <f t="shared" si="11"/>
        <v>0.25333926081597186</v>
      </c>
      <c r="U355" s="293">
        <f t="shared" si="11"/>
        <v>0.27181994093084838</v>
      </c>
      <c r="V355" s="293">
        <f t="shared" si="11"/>
        <v>0.27583299964172059</v>
      </c>
      <c r="W355" s="293">
        <f t="shared" si="11"/>
        <v>0.27668486641937234</v>
      </c>
      <c r="X355" s="293">
        <f t="shared" si="11"/>
        <v>0.28729847130565533</v>
      </c>
    </row>
    <row r="356" spans="2:24">
      <c r="B356" s="72" t="s">
        <v>606</v>
      </c>
      <c r="C356" s="72" t="s">
        <v>607</v>
      </c>
      <c r="D356" s="293">
        <f t="shared" si="7"/>
        <v>0.23649483378256964</v>
      </c>
      <c r="E356" s="293">
        <f t="shared" si="11"/>
        <v>0.22641664610576528</v>
      </c>
      <c r="F356" s="293">
        <f t="shared" si="11"/>
        <v>0.22121824173487828</v>
      </c>
      <c r="G356" s="293">
        <f t="shared" si="11"/>
        <v>0.21821778108864856</v>
      </c>
      <c r="H356" s="293">
        <f t="shared" si="11"/>
        <v>0.21929802427392697</v>
      </c>
      <c r="I356" s="293">
        <f t="shared" si="11"/>
        <v>0.22088820675314388</v>
      </c>
      <c r="J356" s="293">
        <f t="shared" si="11"/>
        <v>0.22562626533648802</v>
      </c>
      <c r="K356" s="293">
        <f t="shared" si="11"/>
        <v>0.23103267849498169</v>
      </c>
      <c r="L356" s="293">
        <f t="shared" si="11"/>
        <v>0.23440303898948939</v>
      </c>
      <c r="M356" s="293">
        <f t="shared" si="11"/>
        <v>0.23498581962563811</v>
      </c>
      <c r="N356" s="293">
        <f t="shared" si="11"/>
        <v>0.23373520875195355</v>
      </c>
      <c r="O356" s="293">
        <f t="shared" si="11"/>
        <v>0.23228962386796817</v>
      </c>
      <c r="P356" s="293">
        <f t="shared" si="11"/>
        <v>0.22976891119958456</v>
      </c>
      <c r="Q356" s="293">
        <f t="shared" si="11"/>
        <v>0.22893434439983856</v>
      </c>
      <c r="R356" s="293">
        <f t="shared" si="11"/>
        <v>0.23138794968183632</v>
      </c>
      <c r="S356" s="293">
        <f t="shared" si="11"/>
        <v>0.2363149216817807</v>
      </c>
      <c r="T356" s="293">
        <f t="shared" si="11"/>
        <v>0.24400347566027442</v>
      </c>
      <c r="U356" s="293">
        <f t="shared" si="11"/>
        <v>0.25784703126591302</v>
      </c>
      <c r="V356" s="293">
        <f t="shared" si="11"/>
        <v>0.26774009989673125</v>
      </c>
      <c r="W356" s="293">
        <f t="shared" si="11"/>
        <v>0.27243362647438835</v>
      </c>
      <c r="X356" s="293">
        <f t="shared" si="11"/>
        <v>0.27107175674546824</v>
      </c>
    </row>
    <row r="357" spans="2:24">
      <c r="B357" s="72" t="s">
        <v>608</v>
      </c>
      <c r="C357" s="72" t="s">
        <v>609</v>
      </c>
      <c r="D357" s="293">
        <f t="shared" si="7"/>
        <v>0</v>
      </c>
      <c r="E357" s="293">
        <f t="shared" si="11"/>
        <v>0</v>
      </c>
      <c r="F357" s="293">
        <f t="shared" si="11"/>
        <v>0</v>
      </c>
      <c r="G357" s="293">
        <f t="shared" si="11"/>
        <v>0</v>
      </c>
      <c r="H357" s="293">
        <f t="shared" si="11"/>
        <v>0</v>
      </c>
      <c r="I357" s="293">
        <f t="shared" si="11"/>
        <v>0</v>
      </c>
      <c r="J357" s="293">
        <f t="shared" si="11"/>
        <v>0</v>
      </c>
      <c r="K357" s="293">
        <f t="shared" si="11"/>
        <v>0</v>
      </c>
      <c r="L357" s="293">
        <f t="shared" si="11"/>
        <v>0</v>
      </c>
      <c r="M357" s="293">
        <f t="shared" si="11"/>
        <v>0</v>
      </c>
      <c r="N357" s="293">
        <f t="shared" si="11"/>
        <v>0</v>
      </c>
      <c r="O357" s="293">
        <f t="shared" si="11"/>
        <v>0</v>
      </c>
      <c r="P357" s="293">
        <f t="shared" si="11"/>
        <v>0</v>
      </c>
      <c r="Q357" s="293">
        <f t="shared" si="11"/>
        <v>0</v>
      </c>
      <c r="R357" s="293">
        <f t="shared" si="11"/>
        <v>0</v>
      </c>
      <c r="S357" s="293">
        <f t="shared" si="11"/>
        <v>0</v>
      </c>
      <c r="T357" s="293">
        <f t="shared" si="11"/>
        <v>0</v>
      </c>
      <c r="U357" s="293">
        <f t="shared" si="11"/>
        <v>0</v>
      </c>
      <c r="V357" s="293">
        <f t="shared" si="11"/>
        <v>0</v>
      </c>
      <c r="W357" s="293">
        <f t="shared" si="11"/>
        <v>0</v>
      </c>
      <c r="X357" s="293">
        <f t="shared" si="11"/>
        <v>0</v>
      </c>
    </row>
    <row r="358" spans="2:24">
      <c r="B358" s="72" t="s">
        <v>610</v>
      </c>
      <c r="C358" s="72" t="s">
        <v>611</v>
      </c>
      <c r="D358" s="293">
        <f t="shared" si="7"/>
        <v>0</v>
      </c>
      <c r="E358" s="293">
        <f t="shared" si="11"/>
        <v>0</v>
      </c>
      <c r="F358" s="293">
        <f t="shared" si="11"/>
        <v>0</v>
      </c>
      <c r="G358" s="293">
        <f t="shared" si="11"/>
        <v>0</v>
      </c>
      <c r="H358" s="293">
        <f t="shared" si="11"/>
        <v>0</v>
      </c>
      <c r="I358" s="293">
        <f t="shared" si="11"/>
        <v>0</v>
      </c>
      <c r="J358" s="293">
        <f t="shared" si="11"/>
        <v>0</v>
      </c>
      <c r="K358" s="293">
        <f t="shared" si="11"/>
        <v>0</v>
      </c>
      <c r="L358" s="293">
        <f t="shared" si="11"/>
        <v>0</v>
      </c>
      <c r="M358" s="293">
        <f t="shared" si="11"/>
        <v>0</v>
      </c>
      <c r="N358" s="293">
        <f t="shared" si="11"/>
        <v>0</v>
      </c>
      <c r="O358" s="293">
        <f t="shared" ref="E358:X371" si="12">O108/O$251</f>
        <v>0</v>
      </c>
      <c r="P358" s="293">
        <f t="shared" si="12"/>
        <v>0</v>
      </c>
      <c r="Q358" s="293">
        <f t="shared" si="12"/>
        <v>0</v>
      </c>
      <c r="R358" s="293">
        <f t="shared" si="12"/>
        <v>0</v>
      </c>
      <c r="S358" s="293">
        <f t="shared" si="12"/>
        <v>0</v>
      </c>
      <c r="T358" s="293">
        <f t="shared" si="12"/>
        <v>0</v>
      </c>
      <c r="U358" s="293">
        <f t="shared" si="12"/>
        <v>0</v>
      </c>
      <c r="V358" s="293">
        <f t="shared" si="12"/>
        <v>0</v>
      </c>
      <c r="W358" s="293">
        <f t="shared" si="12"/>
        <v>0</v>
      </c>
      <c r="X358" s="293">
        <f t="shared" si="12"/>
        <v>0</v>
      </c>
    </row>
    <row r="359" spans="2:24">
      <c r="B359" s="72" t="s">
        <v>612</v>
      </c>
      <c r="C359" s="72" t="s">
        <v>613</v>
      </c>
      <c r="D359" s="293">
        <f t="shared" si="7"/>
        <v>0</v>
      </c>
      <c r="E359" s="293">
        <f t="shared" si="12"/>
        <v>0</v>
      </c>
      <c r="F359" s="293">
        <f t="shared" si="12"/>
        <v>0</v>
      </c>
      <c r="G359" s="293">
        <f t="shared" si="12"/>
        <v>0</v>
      </c>
      <c r="H359" s="293">
        <f t="shared" si="12"/>
        <v>0</v>
      </c>
      <c r="I359" s="293">
        <f t="shared" si="12"/>
        <v>0</v>
      </c>
      <c r="J359" s="293">
        <f t="shared" si="12"/>
        <v>0</v>
      </c>
      <c r="K359" s="293">
        <f t="shared" si="12"/>
        <v>0</v>
      </c>
      <c r="L359" s="293">
        <f t="shared" si="12"/>
        <v>0</v>
      </c>
      <c r="M359" s="293">
        <f t="shared" si="12"/>
        <v>0</v>
      </c>
      <c r="N359" s="293">
        <f t="shared" si="12"/>
        <v>0</v>
      </c>
      <c r="O359" s="293">
        <f t="shared" si="12"/>
        <v>0</v>
      </c>
      <c r="P359" s="293">
        <f t="shared" si="12"/>
        <v>0</v>
      </c>
      <c r="Q359" s="293">
        <f t="shared" si="12"/>
        <v>0</v>
      </c>
      <c r="R359" s="293">
        <f t="shared" si="12"/>
        <v>0</v>
      </c>
      <c r="S359" s="293">
        <f t="shared" si="12"/>
        <v>0</v>
      </c>
      <c r="T359" s="293">
        <f t="shared" si="12"/>
        <v>0</v>
      </c>
      <c r="U359" s="293">
        <f t="shared" si="12"/>
        <v>0</v>
      </c>
      <c r="V359" s="293">
        <f t="shared" si="12"/>
        <v>0</v>
      </c>
      <c r="W359" s="293">
        <f t="shared" si="12"/>
        <v>0</v>
      </c>
      <c r="X359" s="293">
        <f t="shared" si="12"/>
        <v>0</v>
      </c>
    </row>
    <row r="360" spans="2:24">
      <c r="B360" s="72" t="s">
        <v>614</v>
      </c>
      <c r="C360" s="72" t="s">
        <v>615</v>
      </c>
      <c r="D360" s="293">
        <f t="shared" si="7"/>
        <v>0.53155884995507641</v>
      </c>
      <c r="E360" s="293">
        <f t="shared" si="12"/>
        <v>0.47407955698111137</v>
      </c>
      <c r="F360" s="293">
        <f t="shared" si="12"/>
        <v>0.45681407462527907</v>
      </c>
      <c r="G360" s="293">
        <f t="shared" si="12"/>
        <v>0.44933083305504895</v>
      </c>
      <c r="H360" s="293">
        <f t="shared" si="12"/>
        <v>0.48366177991975978</v>
      </c>
      <c r="I360" s="293">
        <f t="shared" si="12"/>
        <v>0.5135904545004456</v>
      </c>
      <c r="J360" s="293">
        <f t="shared" si="12"/>
        <v>0.56518769666073132</v>
      </c>
      <c r="K360" s="293">
        <f t="shared" si="12"/>
        <v>0.59936735955857867</v>
      </c>
      <c r="L360" s="293">
        <f t="shared" si="12"/>
        <v>0.61290172224941153</v>
      </c>
      <c r="M360" s="293">
        <f t="shared" si="12"/>
        <v>0.69052750992626211</v>
      </c>
      <c r="N360" s="293">
        <f t="shared" si="12"/>
        <v>0.7163206072784104</v>
      </c>
      <c r="O360" s="293">
        <f t="shared" si="12"/>
        <v>0.74314170504373889</v>
      </c>
      <c r="P360" s="293">
        <f t="shared" si="12"/>
        <v>0.7756621083607409</v>
      </c>
      <c r="Q360" s="293">
        <f t="shared" si="12"/>
        <v>0.80989400794409394</v>
      </c>
      <c r="R360" s="293">
        <f t="shared" si="12"/>
        <v>0.85446374194090347</v>
      </c>
      <c r="S360" s="293">
        <f t="shared" si="12"/>
        <v>0.87609233305853251</v>
      </c>
      <c r="T360" s="293">
        <f t="shared" si="12"/>
        <v>0.91599814092589971</v>
      </c>
      <c r="U360" s="293">
        <f t="shared" si="12"/>
        <v>0.88791119258580309</v>
      </c>
      <c r="V360" s="293">
        <f t="shared" si="12"/>
        <v>0.87540306434276804</v>
      </c>
      <c r="W360" s="293">
        <f t="shared" si="12"/>
        <v>0.92954194973533943</v>
      </c>
      <c r="X360" s="293">
        <f t="shared" si="12"/>
        <v>0.94981622253779974</v>
      </c>
    </row>
    <row r="361" spans="2:24">
      <c r="B361" s="72" t="s">
        <v>616</v>
      </c>
      <c r="C361" s="72" t="s">
        <v>617</v>
      </c>
      <c r="D361" s="293">
        <f t="shared" si="7"/>
        <v>3.2878481581311771E-2</v>
      </c>
      <c r="E361" s="293">
        <f t="shared" si="12"/>
        <v>2.8346629382898812E-2</v>
      </c>
      <c r="F361" s="293">
        <f t="shared" si="12"/>
        <v>3.0349739555650047E-2</v>
      </c>
      <c r="G361" s="293">
        <f t="shared" si="12"/>
        <v>2.9566646972693879E-2</v>
      </c>
      <c r="H361" s="293">
        <f t="shared" si="12"/>
        <v>3.0001766294062728E-2</v>
      </c>
      <c r="I361" s="293">
        <f t="shared" si="12"/>
        <v>3.2478463214179625E-2</v>
      </c>
      <c r="J361" s="293">
        <f t="shared" si="12"/>
        <v>3.2221869892918996E-2</v>
      </c>
      <c r="K361" s="293">
        <f t="shared" si="12"/>
        <v>2.9277458022166199E-2</v>
      </c>
      <c r="L361" s="293">
        <f t="shared" si="12"/>
        <v>2.9620825467850567E-2</v>
      </c>
      <c r="M361" s="293">
        <f t="shared" si="12"/>
        <v>2.9404424276800907E-2</v>
      </c>
      <c r="N361" s="293">
        <f t="shared" si="12"/>
        <v>2.9917392275061398E-2</v>
      </c>
      <c r="O361" s="293">
        <f t="shared" si="12"/>
        <v>2.888746887601084E-2</v>
      </c>
      <c r="P361" s="293">
        <f t="shared" si="12"/>
        <v>2.6722347239051411E-2</v>
      </c>
      <c r="Q361" s="293">
        <f t="shared" si="12"/>
        <v>2.822914675332951E-2</v>
      </c>
      <c r="R361" s="293">
        <f t="shared" si="12"/>
        <v>3.0262301278954996E-2</v>
      </c>
      <c r="S361" s="293">
        <f t="shared" si="12"/>
        <v>3.2089859851607581E-2</v>
      </c>
      <c r="T361" s="293">
        <f t="shared" si="12"/>
        <v>3.4109968274496333E-2</v>
      </c>
      <c r="U361" s="293">
        <f t="shared" si="12"/>
        <v>3.7030247479376721E-2</v>
      </c>
      <c r="V361" s="293">
        <f t="shared" si="12"/>
        <v>4.0232670867668442E-2</v>
      </c>
      <c r="W361" s="293">
        <f t="shared" si="12"/>
        <v>4.1699662401533784E-2</v>
      </c>
      <c r="X361" s="293">
        <f t="shared" si="12"/>
        <v>4.3584495865007102E-2</v>
      </c>
    </row>
    <row r="362" spans="2:24">
      <c r="B362" s="72" t="s">
        <v>618</v>
      </c>
      <c r="C362" s="72" t="s">
        <v>619</v>
      </c>
      <c r="D362" s="293">
        <f t="shared" si="7"/>
        <v>0</v>
      </c>
      <c r="E362" s="293">
        <f t="shared" si="12"/>
        <v>0</v>
      </c>
      <c r="F362" s="293">
        <f t="shared" si="12"/>
        <v>0</v>
      </c>
      <c r="G362" s="293">
        <f t="shared" si="12"/>
        <v>0</v>
      </c>
      <c r="H362" s="293">
        <f t="shared" si="12"/>
        <v>0</v>
      </c>
      <c r="I362" s="293">
        <f t="shared" si="12"/>
        <v>0</v>
      </c>
      <c r="J362" s="293">
        <f t="shared" si="12"/>
        <v>0</v>
      </c>
      <c r="K362" s="293">
        <f t="shared" si="12"/>
        <v>0</v>
      </c>
      <c r="L362" s="293">
        <f t="shared" si="12"/>
        <v>0</v>
      </c>
      <c r="M362" s="293">
        <f t="shared" si="12"/>
        <v>0</v>
      </c>
      <c r="N362" s="293">
        <f t="shared" si="12"/>
        <v>0</v>
      </c>
      <c r="O362" s="293">
        <f t="shared" si="12"/>
        <v>0</v>
      </c>
      <c r="P362" s="293">
        <f t="shared" si="12"/>
        <v>0</v>
      </c>
      <c r="Q362" s="293">
        <f t="shared" si="12"/>
        <v>0</v>
      </c>
      <c r="R362" s="293">
        <f t="shared" si="12"/>
        <v>0</v>
      </c>
      <c r="S362" s="293">
        <f t="shared" si="12"/>
        <v>0</v>
      </c>
      <c r="T362" s="293">
        <f t="shared" si="12"/>
        <v>0</v>
      </c>
      <c r="U362" s="293">
        <f t="shared" si="12"/>
        <v>0</v>
      </c>
      <c r="V362" s="293">
        <f t="shared" si="12"/>
        <v>0</v>
      </c>
      <c r="W362" s="293">
        <f t="shared" si="12"/>
        <v>0</v>
      </c>
      <c r="X362" s="293">
        <f t="shared" si="12"/>
        <v>0</v>
      </c>
    </row>
    <row r="363" spans="2:24">
      <c r="B363" s="72" t="s">
        <v>620</v>
      </c>
      <c r="C363" s="72" t="s">
        <v>621</v>
      </c>
      <c r="D363" s="293">
        <f t="shared" si="7"/>
        <v>0</v>
      </c>
      <c r="E363" s="293">
        <f t="shared" si="12"/>
        <v>0</v>
      </c>
      <c r="F363" s="293">
        <f t="shared" si="12"/>
        <v>0</v>
      </c>
      <c r="G363" s="293">
        <f t="shared" si="12"/>
        <v>0</v>
      </c>
      <c r="H363" s="293">
        <f t="shared" si="12"/>
        <v>0</v>
      </c>
      <c r="I363" s="293">
        <f t="shared" si="12"/>
        <v>0</v>
      </c>
      <c r="J363" s="293">
        <f t="shared" si="12"/>
        <v>0</v>
      </c>
      <c r="K363" s="293">
        <f t="shared" si="12"/>
        <v>0</v>
      </c>
      <c r="L363" s="293">
        <f t="shared" si="12"/>
        <v>0</v>
      </c>
      <c r="M363" s="293">
        <f t="shared" si="12"/>
        <v>0</v>
      </c>
      <c r="N363" s="293">
        <f t="shared" si="12"/>
        <v>0</v>
      </c>
      <c r="O363" s="293">
        <f t="shared" si="12"/>
        <v>0</v>
      </c>
      <c r="P363" s="293">
        <f t="shared" si="12"/>
        <v>0</v>
      </c>
      <c r="Q363" s="293">
        <f t="shared" si="12"/>
        <v>0</v>
      </c>
      <c r="R363" s="293">
        <f t="shared" si="12"/>
        <v>0</v>
      </c>
      <c r="S363" s="293">
        <f t="shared" si="12"/>
        <v>0</v>
      </c>
      <c r="T363" s="293">
        <f t="shared" si="12"/>
        <v>0</v>
      </c>
      <c r="U363" s="293">
        <f t="shared" si="12"/>
        <v>0</v>
      </c>
      <c r="V363" s="293">
        <f t="shared" si="12"/>
        <v>0</v>
      </c>
      <c r="W363" s="293">
        <f t="shared" si="12"/>
        <v>0</v>
      </c>
      <c r="X363" s="293">
        <f t="shared" si="12"/>
        <v>0</v>
      </c>
    </row>
    <row r="364" spans="2:24">
      <c r="B364" s="72" t="s">
        <v>622</v>
      </c>
      <c r="C364" s="72" t="s">
        <v>385</v>
      </c>
      <c r="D364" s="293">
        <f t="shared" si="7"/>
        <v>0.94830974842767291</v>
      </c>
      <c r="E364" s="293">
        <f t="shared" si="12"/>
        <v>0.96142774899251582</v>
      </c>
      <c r="F364" s="293">
        <f t="shared" si="12"/>
        <v>0.98320399702349315</v>
      </c>
      <c r="G364" s="293">
        <f t="shared" si="12"/>
        <v>0.99899817616686792</v>
      </c>
      <c r="H364" s="293">
        <f t="shared" si="12"/>
        <v>1.0025485100047942</v>
      </c>
      <c r="I364" s="293">
        <f t="shared" si="12"/>
        <v>1.0044311317952272</v>
      </c>
      <c r="J364" s="293">
        <f t="shared" si="12"/>
        <v>1.0163914432763372</v>
      </c>
      <c r="K364" s="293">
        <f t="shared" si="12"/>
        <v>1.0219997145982971</v>
      </c>
      <c r="L364" s="293">
        <f t="shared" si="12"/>
        <v>1.0153580833857698</v>
      </c>
      <c r="M364" s="293">
        <f t="shared" si="12"/>
        <v>1.0201474758933635</v>
      </c>
      <c r="N364" s="293">
        <f t="shared" si="12"/>
        <v>1.0131725831658853</v>
      </c>
      <c r="O364" s="293">
        <f t="shared" si="12"/>
        <v>1.0087257343057974</v>
      </c>
      <c r="P364" s="293">
        <f t="shared" si="12"/>
        <v>1.0098883503548555</v>
      </c>
      <c r="Q364" s="293">
        <f t="shared" si="12"/>
        <v>1.0281866649673952</v>
      </c>
      <c r="R364" s="293">
        <f t="shared" si="12"/>
        <v>1.0320683789402945</v>
      </c>
      <c r="S364" s="293">
        <f t="shared" si="12"/>
        <v>1.0384171475680133</v>
      </c>
      <c r="T364" s="293">
        <f t="shared" si="12"/>
        <v>1.0496291955463051</v>
      </c>
      <c r="U364" s="293">
        <f t="shared" si="12"/>
        <v>1.0415520928811488</v>
      </c>
      <c r="V364" s="293">
        <f t="shared" si="12"/>
        <v>1.0249531075470506</v>
      </c>
      <c r="W364" s="293">
        <f t="shared" si="12"/>
        <v>1.0654774309173509</v>
      </c>
      <c r="X364" s="293">
        <f t="shared" si="12"/>
        <v>1.0892782557848133</v>
      </c>
    </row>
    <row r="365" spans="2:24">
      <c r="B365" s="72" t="s">
        <v>623</v>
      </c>
      <c r="C365" s="72" t="s">
        <v>328</v>
      </c>
      <c r="D365" s="293">
        <f t="shared" si="7"/>
        <v>1.2330132524707997</v>
      </c>
      <c r="E365" s="293">
        <f t="shared" si="12"/>
        <v>1.2302272664966964</v>
      </c>
      <c r="F365" s="293">
        <f t="shared" si="12"/>
        <v>1.1986552567237163</v>
      </c>
      <c r="G365" s="293">
        <f t="shared" si="12"/>
        <v>1.1797117829895452</v>
      </c>
      <c r="H365" s="293">
        <f t="shared" si="12"/>
        <v>1.1716837828972269</v>
      </c>
      <c r="I365" s="293">
        <f t="shared" si="12"/>
        <v>1.1553866719477175</v>
      </c>
      <c r="J365" s="293">
        <f t="shared" si="12"/>
        <v>1.1556455350391492</v>
      </c>
      <c r="K365" s="293">
        <f t="shared" si="12"/>
        <v>1.1453408172002093</v>
      </c>
      <c r="L365" s="293">
        <f t="shared" si="12"/>
        <v>1.1332354517700249</v>
      </c>
      <c r="M365" s="293">
        <f t="shared" si="12"/>
        <v>1.1147135564378901</v>
      </c>
      <c r="N365" s="293">
        <f t="shared" si="12"/>
        <v>1.1003348961821835</v>
      </c>
      <c r="O365" s="293">
        <f t="shared" si="12"/>
        <v>1.0901438864773152</v>
      </c>
      <c r="P365" s="293">
        <f t="shared" si="12"/>
        <v>1.0787389648606542</v>
      </c>
      <c r="Q365" s="293">
        <f t="shared" si="12"/>
        <v>1.0848361265107584</v>
      </c>
      <c r="R365" s="293">
        <f t="shared" si="12"/>
        <v>1.0846966419556041</v>
      </c>
      <c r="S365" s="293">
        <f t="shared" si="12"/>
        <v>1.0789159109645508</v>
      </c>
      <c r="T365" s="293">
        <f t="shared" si="12"/>
        <v>1.0668660456281447</v>
      </c>
      <c r="U365" s="293">
        <f t="shared" si="12"/>
        <v>1.0690701700784193</v>
      </c>
      <c r="V365" s="293">
        <f t="shared" si="12"/>
        <v>1.088621467259584</v>
      </c>
      <c r="W365" s="293">
        <f t="shared" si="12"/>
        <v>1.0905472429458591</v>
      </c>
      <c r="X365" s="293">
        <f t="shared" si="12"/>
        <v>1.1039386851557931</v>
      </c>
    </row>
    <row r="366" spans="2:24">
      <c r="B366" s="72" t="s">
        <v>624</v>
      </c>
      <c r="C366" s="72" t="s">
        <v>625</v>
      </c>
      <c r="D366" s="293">
        <f t="shared" si="7"/>
        <v>0</v>
      </c>
      <c r="E366" s="293">
        <f t="shared" si="12"/>
        <v>0</v>
      </c>
      <c r="F366" s="293">
        <f t="shared" si="12"/>
        <v>0</v>
      </c>
      <c r="G366" s="293">
        <f t="shared" si="12"/>
        <v>0</v>
      </c>
      <c r="H366" s="293">
        <f t="shared" si="12"/>
        <v>0</v>
      </c>
      <c r="I366" s="293">
        <f t="shared" si="12"/>
        <v>0</v>
      </c>
      <c r="J366" s="293">
        <f t="shared" si="12"/>
        <v>0</v>
      </c>
      <c r="K366" s="293">
        <f t="shared" si="12"/>
        <v>0</v>
      </c>
      <c r="L366" s="293">
        <f t="shared" si="12"/>
        <v>0</v>
      </c>
      <c r="M366" s="293">
        <f t="shared" si="12"/>
        <v>0</v>
      </c>
      <c r="N366" s="293">
        <f t="shared" si="12"/>
        <v>0</v>
      </c>
      <c r="O366" s="293">
        <f t="shared" si="12"/>
        <v>0</v>
      </c>
      <c r="P366" s="293">
        <f t="shared" si="12"/>
        <v>0</v>
      </c>
      <c r="Q366" s="293">
        <f t="shared" si="12"/>
        <v>0</v>
      </c>
      <c r="R366" s="293">
        <f t="shared" si="12"/>
        <v>0</v>
      </c>
      <c r="S366" s="293">
        <f t="shared" si="12"/>
        <v>0</v>
      </c>
      <c r="T366" s="293">
        <f t="shared" si="12"/>
        <v>0</v>
      </c>
      <c r="U366" s="293">
        <f t="shared" si="12"/>
        <v>0</v>
      </c>
      <c r="V366" s="293">
        <f t="shared" si="12"/>
        <v>0</v>
      </c>
      <c r="W366" s="293">
        <f t="shared" si="12"/>
        <v>0</v>
      </c>
      <c r="X366" s="293">
        <f t="shared" si="12"/>
        <v>0</v>
      </c>
    </row>
    <row r="367" spans="2:24">
      <c r="B367" s="72" t="s">
        <v>626</v>
      </c>
      <c r="C367" s="72" t="s">
        <v>627</v>
      </c>
      <c r="D367" s="293">
        <f t="shared" si="7"/>
        <v>0</v>
      </c>
      <c r="E367" s="293">
        <f t="shared" si="12"/>
        <v>0</v>
      </c>
      <c r="F367" s="293">
        <f t="shared" si="12"/>
        <v>0</v>
      </c>
      <c r="G367" s="293">
        <f t="shared" si="12"/>
        <v>0</v>
      </c>
      <c r="H367" s="293">
        <f t="shared" si="12"/>
        <v>0</v>
      </c>
      <c r="I367" s="293">
        <f t="shared" si="12"/>
        <v>0</v>
      </c>
      <c r="J367" s="293">
        <f t="shared" si="12"/>
        <v>0</v>
      </c>
      <c r="K367" s="293">
        <f t="shared" si="12"/>
        <v>0</v>
      </c>
      <c r="L367" s="293">
        <f t="shared" si="12"/>
        <v>0</v>
      </c>
      <c r="M367" s="293">
        <f t="shared" si="12"/>
        <v>0</v>
      </c>
      <c r="N367" s="293">
        <f t="shared" si="12"/>
        <v>0</v>
      </c>
      <c r="O367" s="293">
        <f t="shared" si="12"/>
        <v>0</v>
      </c>
      <c r="P367" s="293">
        <f t="shared" si="12"/>
        <v>0</v>
      </c>
      <c r="Q367" s="293">
        <f t="shared" si="12"/>
        <v>0</v>
      </c>
      <c r="R367" s="293">
        <f t="shared" si="12"/>
        <v>0</v>
      </c>
      <c r="S367" s="293">
        <f t="shared" si="12"/>
        <v>0</v>
      </c>
      <c r="T367" s="293">
        <f t="shared" si="12"/>
        <v>0</v>
      </c>
      <c r="U367" s="293">
        <f t="shared" si="12"/>
        <v>0</v>
      </c>
      <c r="V367" s="293">
        <f t="shared" si="12"/>
        <v>0</v>
      </c>
      <c r="W367" s="293">
        <f t="shared" si="12"/>
        <v>0</v>
      </c>
      <c r="X367" s="293">
        <f t="shared" si="12"/>
        <v>0</v>
      </c>
    </row>
    <row r="368" spans="2:24">
      <c r="B368" s="72" t="s">
        <v>628</v>
      </c>
      <c r="C368" s="72" t="s">
        <v>629</v>
      </c>
      <c r="D368" s="293">
        <f t="shared" si="7"/>
        <v>0</v>
      </c>
      <c r="E368" s="293">
        <f t="shared" si="12"/>
        <v>0</v>
      </c>
      <c r="F368" s="293">
        <f t="shared" si="12"/>
        <v>0</v>
      </c>
      <c r="G368" s="293">
        <f t="shared" si="12"/>
        <v>0</v>
      </c>
      <c r="H368" s="293">
        <f t="shared" si="12"/>
        <v>0</v>
      </c>
      <c r="I368" s="293">
        <f t="shared" si="12"/>
        <v>0</v>
      </c>
      <c r="J368" s="293">
        <f t="shared" si="12"/>
        <v>0</v>
      </c>
      <c r="K368" s="293">
        <f t="shared" si="12"/>
        <v>0</v>
      </c>
      <c r="L368" s="293">
        <f t="shared" si="12"/>
        <v>0</v>
      </c>
      <c r="M368" s="293">
        <f t="shared" si="12"/>
        <v>0</v>
      </c>
      <c r="N368" s="293">
        <f t="shared" si="12"/>
        <v>0</v>
      </c>
      <c r="O368" s="293">
        <f t="shared" si="12"/>
        <v>0</v>
      </c>
      <c r="P368" s="293">
        <f t="shared" si="12"/>
        <v>0</v>
      </c>
      <c r="Q368" s="293">
        <f t="shared" si="12"/>
        <v>0</v>
      </c>
      <c r="R368" s="293">
        <f t="shared" si="12"/>
        <v>0</v>
      </c>
      <c r="S368" s="293">
        <f t="shared" si="12"/>
        <v>0</v>
      </c>
      <c r="T368" s="293">
        <f t="shared" si="12"/>
        <v>0</v>
      </c>
      <c r="U368" s="293">
        <f t="shared" si="12"/>
        <v>0</v>
      </c>
      <c r="V368" s="293">
        <f t="shared" si="12"/>
        <v>0</v>
      </c>
      <c r="W368" s="293">
        <f t="shared" si="12"/>
        <v>0</v>
      </c>
      <c r="X368" s="293">
        <f t="shared" si="12"/>
        <v>0</v>
      </c>
    </row>
    <row r="369" spans="2:24">
      <c r="B369" s="72" t="s">
        <v>630</v>
      </c>
      <c r="C369" s="72" t="s">
        <v>631</v>
      </c>
      <c r="D369" s="293">
        <f t="shared" si="7"/>
        <v>0.35062893081761004</v>
      </c>
      <c r="E369" s="293">
        <f t="shared" si="12"/>
        <v>0.23941113578419279</v>
      </c>
      <c r="F369" s="293">
        <f t="shared" si="12"/>
        <v>0.1815403422982885</v>
      </c>
      <c r="G369" s="293">
        <f t="shared" si="12"/>
        <v>0.16111382260011817</v>
      </c>
      <c r="H369" s="293">
        <f t="shared" si="12"/>
        <v>0.16431581337841589</v>
      </c>
      <c r="I369" s="293">
        <f t="shared" si="12"/>
        <v>0.17469551440736705</v>
      </c>
      <c r="J369" s="293">
        <f t="shared" si="12"/>
        <v>0.18984315925555528</v>
      </c>
      <c r="K369" s="293">
        <f t="shared" si="12"/>
        <v>0.20368168196736908</v>
      </c>
      <c r="L369" s="293">
        <f t="shared" si="12"/>
        <v>0.20946654547996924</v>
      </c>
      <c r="M369" s="293">
        <f t="shared" si="12"/>
        <v>0.19151446398184913</v>
      </c>
      <c r="N369" s="293">
        <f t="shared" si="12"/>
        <v>0.1932574235320384</v>
      </c>
      <c r="O369" s="293">
        <f t="shared" si="12"/>
        <v>0.20538527642509311</v>
      </c>
      <c r="P369" s="293">
        <f t="shared" si="12"/>
        <v>0.22699930759909989</v>
      </c>
      <c r="Q369" s="293">
        <f t="shared" si="12"/>
        <v>0.24008581320758723</v>
      </c>
      <c r="R369" s="293">
        <f t="shared" si="12"/>
        <v>0.26591343427767394</v>
      </c>
      <c r="S369" s="293">
        <f t="shared" si="12"/>
        <v>0.28499587798845838</v>
      </c>
      <c r="T369" s="293">
        <f t="shared" si="12"/>
        <v>0.32182189261826338</v>
      </c>
      <c r="U369" s="293">
        <f t="shared" si="12"/>
        <v>0.35311131479784091</v>
      </c>
      <c r="V369" s="293">
        <f t="shared" si="12"/>
        <v>0.34007039136757361</v>
      </c>
      <c r="W369" s="293">
        <f t="shared" si="12"/>
        <v>0.3565623306797816</v>
      </c>
      <c r="X369" s="293">
        <f t="shared" si="12"/>
        <v>0.37672291370812799</v>
      </c>
    </row>
    <row r="370" spans="2:24">
      <c r="B370" s="72" t="s">
        <v>632</v>
      </c>
      <c r="C370" s="72" t="s">
        <v>633</v>
      </c>
      <c r="D370" s="293">
        <f t="shared" si="7"/>
        <v>0.98989218328840967</v>
      </c>
      <c r="E370" s="293">
        <f t="shared" si="12"/>
        <v>0.99865668777585881</v>
      </c>
      <c r="F370" s="293">
        <f t="shared" si="12"/>
        <v>0.970819602423727</v>
      </c>
      <c r="G370" s="293">
        <f t="shared" si="12"/>
        <v>0.96226463561869047</v>
      </c>
      <c r="H370" s="293">
        <f t="shared" si="12"/>
        <v>0.95763417526683658</v>
      </c>
      <c r="I370" s="293">
        <f t="shared" si="12"/>
        <v>0.94769284087533423</v>
      </c>
      <c r="J370" s="293">
        <f t="shared" si="12"/>
        <v>0.95143547088811375</v>
      </c>
      <c r="K370" s="293">
        <f t="shared" si="12"/>
        <v>0.93426247443276411</v>
      </c>
      <c r="L370" s="293">
        <f t="shared" si="12"/>
        <v>0.91880491272227272</v>
      </c>
      <c r="M370" s="293">
        <f t="shared" si="12"/>
        <v>0.90638684061259223</v>
      </c>
      <c r="N370" s="293">
        <f t="shared" si="12"/>
        <v>0.90305871846394281</v>
      </c>
      <c r="O370" s="293">
        <f t="shared" si="12"/>
        <v>0.89652513055549432</v>
      </c>
      <c r="P370" s="293">
        <f t="shared" si="12"/>
        <v>0.88469361260169643</v>
      </c>
      <c r="Q370" s="293">
        <f t="shared" si="12"/>
        <v>0.87595318507190045</v>
      </c>
      <c r="R370" s="293">
        <f t="shared" si="12"/>
        <v>0.87328055106369573</v>
      </c>
      <c r="S370" s="293">
        <f t="shared" si="12"/>
        <v>0.88384171475680129</v>
      </c>
      <c r="T370" s="293">
        <f t="shared" si="12"/>
        <v>0.87996847656960409</v>
      </c>
      <c r="U370" s="293">
        <f t="shared" si="12"/>
        <v>0.88575211324982173</v>
      </c>
      <c r="V370" s="293">
        <f t="shared" si="12"/>
        <v>0.86912263693650027</v>
      </c>
      <c r="W370" s="293">
        <f t="shared" si="12"/>
        <v>0.88692535322802479</v>
      </c>
      <c r="X370" s="293">
        <f t="shared" si="12"/>
        <v>0.9037674379751065</v>
      </c>
    </row>
    <row r="371" spans="2:24">
      <c r="B371" s="72" t="s">
        <v>634</v>
      </c>
      <c r="C371" s="72" t="s">
        <v>635</v>
      </c>
      <c r="D371" s="293">
        <f t="shared" si="7"/>
        <v>7.8981356693620844E-2</v>
      </c>
      <c r="E371" s="293">
        <f t="shared" si="12"/>
        <v>7.7665378183512893E-2</v>
      </c>
      <c r="F371" s="293">
        <f t="shared" si="12"/>
        <v>7.5847772935048366E-2</v>
      </c>
      <c r="G371" s="293">
        <f t="shared" si="12"/>
        <v>7.3030388656271678E-2</v>
      </c>
      <c r="H371" s="293">
        <f t="shared" si="12"/>
        <v>7.1938633897706342E-2</v>
      </c>
      <c r="I371" s="293">
        <f t="shared" si="12"/>
        <v>7.1170412912169523E-2</v>
      </c>
      <c r="J371" s="293">
        <f t="shared" ref="E371:X383" si="13">J121/J$251</f>
        <v>7.1249115788960163E-2</v>
      </c>
      <c r="K371" s="293">
        <f t="shared" si="13"/>
        <v>7.0518004090757744E-2</v>
      </c>
      <c r="L371" s="293">
        <f t="shared" si="13"/>
        <v>6.9892097229019554E-2</v>
      </c>
      <c r="M371" s="293">
        <f t="shared" si="13"/>
        <v>6.847419171866137E-2</v>
      </c>
      <c r="N371" s="293">
        <f t="shared" si="13"/>
        <v>6.8385800401875418E-2</v>
      </c>
      <c r="O371" s="293">
        <f t="shared" si="13"/>
        <v>6.8616001586497152E-2</v>
      </c>
      <c r="P371" s="293">
        <f t="shared" si="13"/>
        <v>6.8785701921412493E-2</v>
      </c>
      <c r="Q371" s="293">
        <f t="shared" si="13"/>
        <v>6.9181588393976076E-2</v>
      </c>
      <c r="R371" s="293">
        <f t="shared" si="13"/>
        <v>7.0479030598315728E-2</v>
      </c>
      <c r="S371" s="293">
        <f t="shared" si="13"/>
        <v>7.1372629843363566E-2</v>
      </c>
      <c r="T371" s="293">
        <f t="shared" si="13"/>
        <v>7.254430456483521E-2</v>
      </c>
      <c r="U371" s="293">
        <f t="shared" si="13"/>
        <v>7.7136164578877689E-2</v>
      </c>
      <c r="V371" s="293">
        <f t="shared" si="13"/>
        <v>8.0549642774347188E-2</v>
      </c>
      <c r="W371" s="293">
        <f t="shared" si="13"/>
        <v>8.3649397741007797E-2</v>
      </c>
      <c r="X371" s="293">
        <f t="shared" si="13"/>
        <v>9.289115362125136E-2</v>
      </c>
    </row>
    <row r="372" spans="2:24">
      <c r="B372" s="72" t="s">
        <v>636</v>
      </c>
      <c r="C372" s="72" t="s">
        <v>637</v>
      </c>
      <c r="D372" s="293">
        <f t="shared" si="7"/>
        <v>0.74646226415094341</v>
      </c>
      <c r="E372" s="293">
        <f t="shared" si="13"/>
        <v>0.72352441264358358</v>
      </c>
      <c r="F372" s="293">
        <f t="shared" si="13"/>
        <v>0.68449027320080791</v>
      </c>
      <c r="G372" s="293">
        <f t="shared" si="13"/>
        <v>0.66246243160625751</v>
      </c>
      <c r="H372" s="293">
        <f t="shared" si="13"/>
        <v>0.65847442658524891</v>
      </c>
      <c r="I372" s="293">
        <f t="shared" si="13"/>
        <v>0.66375383701356572</v>
      </c>
      <c r="J372" s="293">
        <f t="shared" si="13"/>
        <v>0.68122057711539874</v>
      </c>
      <c r="K372" s="293">
        <f t="shared" si="13"/>
        <v>0.66688864576891971</v>
      </c>
      <c r="L372" s="293">
        <f t="shared" si="13"/>
        <v>0.67356498636649653</v>
      </c>
      <c r="M372" s="293">
        <f t="shared" si="13"/>
        <v>0.68186046511627907</v>
      </c>
      <c r="N372" s="293">
        <f t="shared" si="13"/>
        <v>0.69825853985264563</v>
      </c>
      <c r="O372" s="293">
        <f t="shared" si="13"/>
        <v>0.69713328779498929</v>
      </c>
      <c r="P372" s="293">
        <f t="shared" si="13"/>
        <v>0.71678639432231261</v>
      </c>
      <c r="Q372" s="293">
        <f t="shared" si="13"/>
        <v>0.71707130567769073</v>
      </c>
      <c r="R372" s="293">
        <f t="shared" si="13"/>
        <v>0.70399227166768175</v>
      </c>
      <c r="S372" s="293">
        <f t="shared" si="13"/>
        <v>0.71599340478153339</v>
      </c>
      <c r="T372" s="293">
        <f t="shared" si="13"/>
        <v>0.7118435144583426</v>
      </c>
      <c r="U372" s="293">
        <f t="shared" si="13"/>
        <v>0.71102963641918726</v>
      </c>
      <c r="V372" s="293">
        <f t="shared" si="13"/>
        <v>0.71350291892347573</v>
      </c>
      <c r="W372" s="293">
        <f t="shared" si="13"/>
        <v>0.69382736631517528</v>
      </c>
      <c r="X372" s="293">
        <f t="shared" si="13"/>
        <v>0.69680895497452178</v>
      </c>
    </row>
    <row r="373" spans="2:24">
      <c r="B373" s="72" t="s">
        <v>638</v>
      </c>
      <c r="C373" s="72" t="s">
        <v>639</v>
      </c>
      <c r="D373" s="293">
        <f t="shared" si="7"/>
        <v>0</v>
      </c>
      <c r="E373" s="293">
        <f t="shared" si="13"/>
        <v>0</v>
      </c>
      <c r="F373" s="293">
        <f t="shared" si="13"/>
        <v>0</v>
      </c>
      <c r="G373" s="293">
        <f t="shared" si="13"/>
        <v>0</v>
      </c>
      <c r="H373" s="293">
        <f t="shared" si="13"/>
        <v>0</v>
      </c>
      <c r="I373" s="293">
        <f t="shared" si="13"/>
        <v>0</v>
      </c>
      <c r="J373" s="293">
        <f t="shared" si="13"/>
        <v>0</v>
      </c>
      <c r="K373" s="293">
        <f t="shared" si="13"/>
        <v>0</v>
      </c>
      <c r="L373" s="293">
        <f t="shared" si="13"/>
        <v>0</v>
      </c>
      <c r="M373" s="293">
        <f t="shared" si="13"/>
        <v>0</v>
      </c>
      <c r="N373" s="293">
        <f t="shared" si="13"/>
        <v>0</v>
      </c>
      <c r="O373" s="293">
        <f t="shared" si="13"/>
        <v>0</v>
      </c>
      <c r="P373" s="293">
        <f t="shared" si="13"/>
        <v>0</v>
      </c>
      <c r="Q373" s="293">
        <f t="shared" si="13"/>
        <v>0</v>
      </c>
      <c r="R373" s="293">
        <f t="shared" si="13"/>
        <v>0</v>
      </c>
      <c r="S373" s="293">
        <f t="shared" si="13"/>
        <v>0</v>
      </c>
      <c r="T373" s="293">
        <f t="shared" si="13"/>
        <v>0</v>
      </c>
      <c r="U373" s="293">
        <f t="shared" si="13"/>
        <v>0</v>
      </c>
      <c r="V373" s="293">
        <f t="shared" si="13"/>
        <v>0</v>
      </c>
      <c r="W373" s="293">
        <f t="shared" si="13"/>
        <v>0</v>
      </c>
      <c r="X373" s="293">
        <f t="shared" si="13"/>
        <v>0</v>
      </c>
    </row>
    <row r="374" spans="2:24">
      <c r="B374" s="72" t="s">
        <v>640</v>
      </c>
      <c r="C374" s="72" t="s">
        <v>641</v>
      </c>
      <c r="D374" s="293">
        <f t="shared" si="7"/>
        <v>0</v>
      </c>
      <c r="E374" s="293">
        <f t="shared" si="13"/>
        <v>0</v>
      </c>
      <c r="F374" s="293">
        <f t="shared" si="13"/>
        <v>0</v>
      </c>
      <c r="G374" s="293">
        <f t="shared" si="13"/>
        <v>0</v>
      </c>
      <c r="H374" s="293">
        <f t="shared" si="13"/>
        <v>0</v>
      </c>
      <c r="I374" s="293">
        <f t="shared" si="13"/>
        <v>0</v>
      </c>
      <c r="J374" s="293">
        <f t="shared" si="13"/>
        <v>0</v>
      </c>
      <c r="K374" s="293">
        <f t="shared" si="13"/>
        <v>0</v>
      </c>
      <c r="L374" s="293">
        <f t="shared" si="13"/>
        <v>0</v>
      </c>
      <c r="M374" s="293">
        <f t="shared" si="13"/>
        <v>0</v>
      </c>
      <c r="N374" s="293">
        <f t="shared" si="13"/>
        <v>0</v>
      </c>
      <c r="O374" s="293">
        <f t="shared" si="13"/>
        <v>0</v>
      </c>
      <c r="P374" s="293">
        <f t="shared" si="13"/>
        <v>0</v>
      </c>
      <c r="Q374" s="293">
        <f t="shared" si="13"/>
        <v>0</v>
      </c>
      <c r="R374" s="293">
        <f t="shared" si="13"/>
        <v>0</v>
      </c>
      <c r="S374" s="293">
        <f t="shared" si="13"/>
        <v>0</v>
      </c>
      <c r="T374" s="293">
        <f t="shared" si="13"/>
        <v>0</v>
      </c>
      <c r="U374" s="293">
        <f t="shared" si="13"/>
        <v>0</v>
      </c>
      <c r="V374" s="293">
        <f t="shared" si="13"/>
        <v>0</v>
      </c>
      <c r="W374" s="293">
        <f t="shared" si="13"/>
        <v>0</v>
      </c>
      <c r="X374" s="293">
        <f t="shared" si="13"/>
        <v>0</v>
      </c>
    </row>
    <row r="375" spans="2:24">
      <c r="B375" s="72" t="s">
        <v>642</v>
      </c>
      <c r="C375" s="72" t="s">
        <v>643</v>
      </c>
      <c r="D375" s="293">
        <f t="shared" si="7"/>
        <v>0</v>
      </c>
      <c r="E375" s="293">
        <f t="shared" si="13"/>
        <v>0</v>
      </c>
      <c r="F375" s="293">
        <f t="shared" si="13"/>
        <v>0</v>
      </c>
      <c r="G375" s="293">
        <f t="shared" si="13"/>
        <v>0</v>
      </c>
      <c r="H375" s="293">
        <f t="shared" si="13"/>
        <v>0</v>
      </c>
      <c r="I375" s="293">
        <f t="shared" si="13"/>
        <v>0</v>
      </c>
      <c r="J375" s="293">
        <f t="shared" si="13"/>
        <v>0</v>
      </c>
      <c r="K375" s="293">
        <f t="shared" si="13"/>
        <v>0</v>
      </c>
      <c r="L375" s="293">
        <f t="shared" si="13"/>
        <v>0</v>
      </c>
      <c r="M375" s="293">
        <f t="shared" si="13"/>
        <v>0</v>
      </c>
      <c r="N375" s="293">
        <f t="shared" si="13"/>
        <v>0</v>
      </c>
      <c r="O375" s="293">
        <f t="shared" si="13"/>
        <v>0</v>
      </c>
      <c r="P375" s="293">
        <f t="shared" si="13"/>
        <v>0</v>
      </c>
      <c r="Q375" s="293">
        <f t="shared" si="13"/>
        <v>0</v>
      </c>
      <c r="R375" s="293">
        <f t="shared" si="13"/>
        <v>0</v>
      </c>
      <c r="S375" s="293">
        <f t="shared" si="13"/>
        <v>0</v>
      </c>
      <c r="T375" s="293">
        <f t="shared" si="13"/>
        <v>0</v>
      </c>
      <c r="U375" s="293">
        <f t="shared" si="13"/>
        <v>0</v>
      </c>
      <c r="V375" s="293">
        <f t="shared" si="13"/>
        <v>0</v>
      </c>
      <c r="W375" s="293">
        <f t="shared" si="13"/>
        <v>0</v>
      </c>
      <c r="X375" s="293">
        <f t="shared" si="13"/>
        <v>0</v>
      </c>
    </row>
    <row r="376" spans="2:24">
      <c r="B376" s="72" t="s">
        <v>644</v>
      </c>
      <c r="C376" s="72" t="s">
        <v>645</v>
      </c>
      <c r="D376" s="293">
        <f t="shared" si="7"/>
        <v>0.33058176100628933</v>
      </c>
      <c r="E376" s="293">
        <f t="shared" si="13"/>
        <v>0.32672643035337334</v>
      </c>
      <c r="F376" s="293">
        <f t="shared" si="13"/>
        <v>0.31952269586478155</v>
      </c>
      <c r="G376" s="293">
        <f t="shared" si="13"/>
        <v>0.3060700249171569</v>
      </c>
      <c r="H376" s="293">
        <f t="shared" si="13"/>
        <v>0.30821831394615329</v>
      </c>
      <c r="I376" s="293">
        <f t="shared" si="13"/>
        <v>0.30658976136251115</v>
      </c>
      <c r="J376" s="293">
        <f t="shared" si="13"/>
        <v>0.30599799985364784</v>
      </c>
      <c r="K376" s="293">
        <f t="shared" si="13"/>
        <v>0.30021880797222089</v>
      </c>
      <c r="L376" s="293">
        <f t="shared" si="13"/>
        <v>0.29681418816565291</v>
      </c>
      <c r="M376" s="293">
        <f t="shared" si="13"/>
        <v>0.29086783891094725</v>
      </c>
      <c r="N376" s="293">
        <f t="shared" si="13"/>
        <v>0.28345612860013397</v>
      </c>
      <c r="O376" s="293">
        <f t="shared" si="13"/>
        <v>0.27920146310292399</v>
      </c>
      <c r="P376" s="293">
        <f t="shared" si="13"/>
        <v>0.27289250476025617</v>
      </c>
      <c r="Q376" s="293">
        <f t="shared" si="13"/>
        <v>0.27972131948427109</v>
      </c>
      <c r="R376" s="293">
        <f t="shared" si="13"/>
        <v>0.27616187496062333</v>
      </c>
      <c r="S376" s="293">
        <f t="shared" si="13"/>
        <v>0.27619538334707339</v>
      </c>
      <c r="T376" s="293">
        <f t="shared" si="13"/>
        <v>0.27762846808252672</v>
      </c>
      <c r="U376" s="293">
        <f t="shared" si="13"/>
        <v>0.2890722069457175</v>
      </c>
      <c r="V376" s="293">
        <f t="shared" si="13"/>
        <v>0.29191342283293642</v>
      </c>
      <c r="W376" s="293">
        <f t="shared" si="13"/>
        <v>0.28745884216229733</v>
      </c>
      <c r="X376" s="293">
        <f t="shared" si="13"/>
        <v>0.28738200651574641</v>
      </c>
    </row>
    <row r="377" spans="2:24">
      <c r="B377" s="72" t="s">
        <v>646</v>
      </c>
      <c r="C377" s="72" t="s">
        <v>647</v>
      </c>
      <c r="D377" s="293">
        <f t="shared" si="7"/>
        <v>0</v>
      </c>
      <c r="E377" s="293">
        <f t="shared" si="13"/>
        <v>0</v>
      </c>
      <c r="F377" s="293">
        <f t="shared" si="13"/>
        <v>0</v>
      </c>
      <c r="G377" s="293">
        <f t="shared" si="13"/>
        <v>0</v>
      </c>
      <c r="H377" s="293">
        <f t="shared" si="13"/>
        <v>0</v>
      </c>
      <c r="I377" s="293">
        <f t="shared" si="13"/>
        <v>0</v>
      </c>
      <c r="J377" s="293">
        <f t="shared" si="13"/>
        <v>0</v>
      </c>
      <c r="K377" s="293">
        <f t="shared" si="13"/>
        <v>0</v>
      </c>
      <c r="L377" s="293">
        <f t="shared" si="13"/>
        <v>0</v>
      </c>
      <c r="M377" s="293">
        <f t="shared" si="13"/>
        <v>0</v>
      </c>
      <c r="N377" s="293">
        <f t="shared" si="13"/>
        <v>0</v>
      </c>
      <c r="O377" s="293">
        <f t="shared" si="13"/>
        <v>0</v>
      </c>
      <c r="P377" s="293">
        <f t="shared" si="13"/>
        <v>0</v>
      </c>
      <c r="Q377" s="293">
        <f t="shared" si="13"/>
        <v>0</v>
      </c>
      <c r="R377" s="293">
        <f t="shared" si="13"/>
        <v>0</v>
      </c>
      <c r="S377" s="293">
        <f t="shared" si="13"/>
        <v>0</v>
      </c>
      <c r="T377" s="293">
        <f t="shared" si="13"/>
        <v>0</v>
      </c>
      <c r="U377" s="293">
        <f t="shared" si="13"/>
        <v>0</v>
      </c>
      <c r="V377" s="293">
        <f t="shared" si="13"/>
        <v>0</v>
      </c>
      <c r="W377" s="293">
        <f t="shared" si="13"/>
        <v>0</v>
      </c>
      <c r="X377" s="293">
        <f t="shared" si="13"/>
        <v>0</v>
      </c>
    </row>
    <row r="378" spans="2:24">
      <c r="B378" s="72" t="s">
        <v>648</v>
      </c>
      <c r="C378" s="72" t="s">
        <v>649</v>
      </c>
      <c r="D378" s="293">
        <f t="shared" si="7"/>
        <v>0</v>
      </c>
      <c r="E378" s="293">
        <f t="shared" si="13"/>
        <v>0</v>
      </c>
      <c r="F378" s="293">
        <f t="shared" si="13"/>
        <v>0</v>
      </c>
      <c r="G378" s="293">
        <f t="shared" si="13"/>
        <v>0</v>
      </c>
      <c r="H378" s="293">
        <f t="shared" si="13"/>
        <v>0</v>
      </c>
      <c r="I378" s="293">
        <f t="shared" si="13"/>
        <v>0</v>
      </c>
      <c r="J378" s="293">
        <f t="shared" si="13"/>
        <v>0</v>
      </c>
      <c r="K378" s="293">
        <f t="shared" si="13"/>
        <v>0</v>
      </c>
      <c r="L378" s="293">
        <f t="shared" si="13"/>
        <v>0</v>
      </c>
      <c r="M378" s="293">
        <f t="shared" si="13"/>
        <v>0</v>
      </c>
      <c r="N378" s="293">
        <f t="shared" si="13"/>
        <v>0</v>
      </c>
      <c r="O378" s="293">
        <f t="shared" si="13"/>
        <v>0</v>
      </c>
      <c r="P378" s="293">
        <f t="shared" si="13"/>
        <v>0</v>
      </c>
      <c r="Q378" s="293">
        <f t="shared" si="13"/>
        <v>0</v>
      </c>
      <c r="R378" s="293">
        <f t="shared" si="13"/>
        <v>0</v>
      </c>
      <c r="S378" s="293">
        <f t="shared" si="13"/>
        <v>0</v>
      </c>
      <c r="T378" s="293">
        <f t="shared" si="13"/>
        <v>0</v>
      </c>
      <c r="U378" s="293">
        <f t="shared" si="13"/>
        <v>0</v>
      </c>
      <c r="V378" s="293">
        <f t="shared" si="13"/>
        <v>0</v>
      </c>
      <c r="W378" s="293">
        <f t="shared" si="13"/>
        <v>0</v>
      </c>
      <c r="X378" s="293">
        <f t="shared" si="13"/>
        <v>0</v>
      </c>
    </row>
    <row r="379" spans="2:24">
      <c r="B379" s="72" t="s">
        <v>650</v>
      </c>
      <c r="C379" s="72" t="s">
        <v>651</v>
      </c>
      <c r="D379" s="293">
        <f t="shared" si="7"/>
        <v>0</v>
      </c>
      <c r="E379" s="293">
        <f t="shared" si="13"/>
        <v>0</v>
      </c>
      <c r="F379" s="293">
        <f t="shared" si="13"/>
        <v>0</v>
      </c>
      <c r="G379" s="293">
        <f t="shared" si="13"/>
        <v>0</v>
      </c>
      <c r="H379" s="293">
        <f t="shared" si="13"/>
        <v>0</v>
      </c>
      <c r="I379" s="293">
        <f t="shared" si="13"/>
        <v>0</v>
      </c>
      <c r="J379" s="293">
        <f t="shared" si="13"/>
        <v>0</v>
      </c>
      <c r="K379" s="293">
        <f t="shared" si="13"/>
        <v>0</v>
      </c>
      <c r="L379" s="293">
        <f t="shared" si="13"/>
        <v>0</v>
      </c>
      <c r="M379" s="293">
        <f t="shared" si="13"/>
        <v>0</v>
      </c>
      <c r="N379" s="293">
        <f t="shared" si="13"/>
        <v>0</v>
      </c>
      <c r="O379" s="293">
        <f t="shared" si="13"/>
        <v>0</v>
      </c>
      <c r="P379" s="293">
        <f t="shared" si="13"/>
        <v>0</v>
      </c>
      <c r="Q379" s="293">
        <f t="shared" si="13"/>
        <v>0</v>
      </c>
      <c r="R379" s="293">
        <f t="shared" si="13"/>
        <v>0</v>
      </c>
      <c r="S379" s="293">
        <f t="shared" si="13"/>
        <v>0</v>
      </c>
      <c r="T379" s="293">
        <f t="shared" si="13"/>
        <v>0</v>
      </c>
      <c r="U379" s="293">
        <f t="shared" si="13"/>
        <v>0</v>
      </c>
      <c r="V379" s="293">
        <f t="shared" si="13"/>
        <v>0</v>
      </c>
      <c r="W379" s="293">
        <f t="shared" si="13"/>
        <v>0</v>
      </c>
      <c r="X379" s="293">
        <f t="shared" si="13"/>
        <v>0</v>
      </c>
    </row>
    <row r="380" spans="2:24">
      <c r="B380" s="72" t="s">
        <v>652</v>
      </c>
      <c r="C380" s="72" t="s">
        <v>653</v>
      </c>
      <c r="D380" s="293">
        <f t="shared" si="7"/>
        <v>0</v>
      </c>
      <c r="E380" s="293">
        <f t="shared" si="13"/>
        <v>0</v>
      </c>
      <c r="F380" s="293">
        <f t="shared" si="13"/>
        <v>0</v>
      </c>
      <c r="G380" s="293">
        <f t="shared" si="13"/>
        <v>0</v>
      </c>
      <c r="H380" s="293">
        <f t="shared" si="13"/>
        <v>0</v>
      </c>
      <c r="I380" s="293">
        <f t="shared" si="13"/>
        <v>0</v>
      </c>
      <c r="J380" s="293">
        <f t="shared" si="13"/>
        <v>0</v>
      </c>
      <c r="K380" s="293">
        <f t="shared" si="13"/>
        <v>0</v>
      </c>
      <c r="L380" s="293">
        <f t="shared" si="13"/>
        <v>0</v>
      </c>
      <c r="M380" s="293">
        <f t="shared" si="13"/>
        <v>0</v>
      </c>
      <c r="N380" s="293">
        <f t="shared" si="13"/>
        <v>0</v>
      </c>
      <c r="O380" s="293">
        <f t="shared" si="13"/>
        <v>0</v>
      </c>
      <c r="P380" s="293">
        <f t="shared" si="13"/>
        <v>0</v>
      </c>
      <c r="Q380" s="293">
        <f t="shared" si="13"/>
        <v>0</v>
      </c>
      <c r="R380" s="293">
        <f t="shared" si="13"/>
        <v>0</v>
      </c>
      <c r="S380" s="293">
        <f t="shared" si="13"/>
        <v>0</v>
      </c>
      <c r="T380" s="293">
        <f t="shared" si="13"/>
        <v>0</v>
      </c>
      <c r="U380" s="293">
        <f t="shared" si="13"/>
        <v>0</v>
      </c>
      <c r="V380" s="293">
        <f t="shared" si="13"/>
        <v>0</v>
      </c>
      <c r="W380" s="293">
        <f t="shared" si="13"/>
        <v>0</v>
      </c>
      <c r="X380" s="293">
        <f t="shared" si="13"/>
        <v>0</v>
      </c>
    </row>
    <row r="381" spans="2:24">
      <c r="B381" s="72" t="s">
        <v>654</v>
      </c>
      <c r="C381" s="72" t="s">
        <v>338</v>
      </c>
      <c r="D381" s="293">
        <f t="shared" si="7"/>
        <v>0</v>
      </c>
      <c r="E381" s="293">
        <f t="shared" si="13"/>
        <v>0</v>
      </c>
      <c r="F381" s="293">
        <f t="shared" si="13"/>
        <v>0</v>
      </c>
      <c r="G381" s="293">
        <f t="shared" si="13"/>
        <v>0</v>
      </c>
      <c r="H381" s="293">
        <f t="shared" si="13"/>
        <v>0</v>
      </c>
      <c r="I381" s="293">
        <f t="shared" si="13"/>
        <v>0</v>
      </c>
      <c r="J381" s="293">
        <f t="shared" si="13"/>
        <v>0</v>
      </c>
      <c r="K381" s="293">
        <f t="shared" si="13"/>
        <v>0</v>
      </c>
      <c r="L381" s="293">
        <f t="shared" si="13"/>
        <v>0</v>
      </c>
      <c r="M381" s="293">
        <f t="shared" si="13"/>
        <v>0</v>
      </c>
      <c r="N381" s="293">
        <f t="shared" si="13"/>
        <v>0</v>
      </c>
      <c r="O381" s="293">
        <f t="shared" si="13"/>
        <v>0</v>
      </c>
      <c r="P381" s="293">
        <f t="shared" si="13"/>
        <v>0</v>
      </c>
      <c r="Q381" s="293">
        <f t="shared" si="13"/>
        <v>0</v>
      </c>
      <c r="R381" s="293">
        <f t="shared" si="13"/>
        <v>0</v>
      </c>
      <c r="S381" s="293">
        <f t="shared" si="13"/>
        <v>0</v>
      </c>
      <c r="T381" s="293">
        <f t="shared" si="13"/>
        <v>0</v>
      </c>
      <c r="U381" s="293">
        <f t="shared" si="13"/>
        <v>0</v>
      </c>
      <c r="V381" s="293">
        <f t="shared" si="13"/>
        <v>0</v>
      </c>
      <c r="W381" s="293">
        <f t="shared" si="13"/>
        <v>0</v>
      </c>
      <c r="X381" s="293">
        <f t="shared" si="13"/>
        <v>0</v>
      </c>
    </row>
    <row r="382" spans="2:24">
      <c r="B382" s="72" t="s">
        <v>655</v>
      </c>
      <c r="C382" s="72" t="s">
        <v>337</v>
      </c>
      <c r="D382" s="293">
        <f t="shared" si="7"/>
        <v>1.075247079964061</v>
      </c>
      <c r="E382" s="293">
        <f t="shared" si="13"/>
        <v>1.1204868821449132</v>
      </c>
      <c r="F382" s="293">
        <f t="shared" si="13"/>
        <v>1.1256776868289571</v>
      </c>
      <c r="G382" s="293">
        <f t="shared" si="13"/>
        <v>1.1241490919366026</v>
      </c>
      <c r="H382" s="293">
        <f t="shared" si="13"/>
        <v>1.1170800635865863</v>
      </c>
      <c r="I382" s="293">
        <f t="shared" si="13"/>
        <v>1.0794385582730963</v>
      </c>
      <c r="J382" s="293">
        <f t="shared" si="13"/>
        <v>1.0859575090860307</v>
      </c>
      <c r="K382" s="293">
        <f t="shared" si="13"/>
        <v>1.0086096180373876</v>
      </c>
      <c r="L382" s="293">
        <f t="shared" si="13"/>
        <v>1.0172457992495747</v>
      </c>
      <c r="M382" s="293">
        <f t="shared" si="13"/>
        <v>1.0377992058990357</v>
      </c>
      <c r="N382" s="293">
        <f t="shared" si="13"/>
        <v>1.0119669569100245</v>
      </c>
      <c r="O382" s="293">
        <f t="shared" si="13"/>
        <v>1.0276094572857677</v>
      </c>
      <c r="P382" s="293">
        <f t="shared" si="13"/>
        <v>1.0484247879522244</v>
      </c>
      <c r="Q382" s="293">
        <f t="shared" si="13"/>
        <v>1.0884045965292382</v>
      </c>
      <c r="R382" s="293">
        <f t="shared" si="13"/>
        <v>1.1307096205136822</v>
      </c>
      <c r="S382" s="293">
        <f t="shared" si="13"/>
        <v>1.1649216817807091</v>
      </c>
      <c r="T382" s="293">
        <f t="shared" si="13"/>
        <v>1.1863115565704125</v>
      </c>
      <c r="U382" s="293">
        <f t="shared" si="13"/>
        <v>1.2111212954476016</v>
      </c>
      <c r="V382" s="293">
        <f t="shared" si="13"/>
        <v>1.2329659213049802</v>
      </c>
      <c r="W382" s="293">
        <f t="shared" si="13"/>
        <v>1.3006918684616346</v>
      </c>
      <c r="X382" s="293">
        <f t="shared" si="13"/>
        <v>1.3741124383927825</v>
      </c>
    </row>
    <row r="383" spans="2:24">
      <c r="B383" s="72" t="s">
        <v>656</v>
      </c>
      <c r="C383" s="72" t="s">
        <v>657</v>
      </c>
      <c r="D383" s="293">
        <f t="shared" si="7"/>
        <v>0.33190139263252472</v>
      </c>
      <c r="E383" s="293">
        <f t="shared" si="13"/>
        <v>0.34668421196918608</v>
      </c>
      <c r="F383" s="293">
        <f t="shared" si="13"/>
        <v>0.36010417773998088</v>
      </c>
      <c r="G383" s="293">
        <f t="shared" si="13"/>
        <v>0.37021243802820519</v>
      </c>
      <c r="H383" s="293">
        <f t="shared" si="13"/>
        <v>0.37251141782947694</v>
      </c>
      <c r="I383" s="293">
        <f t="shared" si="13"/>
        <v>0.36563026042182395</v>
      </c>
      <c r="J383" s="293">
        <f t="shared" si="13"/>
        <v>0.37190526136058738</v>
      </c>
      <c r="K383" s="293">
        <f t="shared" si="13"/>
        <v>0.37090329638966846</v>
      </c>
      <c r="L383" s="293">
        <f t="shared" si="13"/>
        <v>0.3650982311403202</v>
      </c>
      <c r="M383" s="293">
        <f t="shared" si="13"/>
        <v>0.36680657969370389</v>
      </c>
      <c r="N383" s="293">
        <f t="shared" si="13"/>
        <v>0.37602143335565974</v>
      </c>
      <c r="O383" s="293">
        <f t="shared" si="13"/>
        <v>0.38855959279906571</v>
      </c>
      <c r="P383" s="293">
        <f t="shared" si="13"/>
        <v>0.39594512722866537</v>
      </c>
      <c r="Q383" s="293">
        <f t="shared" si="13"/>
        <v>0.41328405446164956</v>
      </c>
      <c r="R383" s="293">
        <f t="shared" si="13"/>
        <v>0.42583531091836951</v>
      </c>
      <c r="S383" s="293">
        <f t="shared" si="13"/>
        <v>0.4315333882934872</v>
      </c>
      <c r="T383" s="293">
        <f t="shared" si="13"/>
        <v>0.4248590538929416</v>
      </c>
      <c r="U383" s="293">
        <f t="shared" si="13"/>
        <v>0.43768204501476726</v>
      </c>
      <c r="V383" s="293">
        <f t="shared" si="13"/>
        <v>0.43440325402010582</v>
      </c>
      <c r="W383" s="293">
        <f t="shared" si="13"/>
        <v>0.4341057808527487</v>
      </c>
      <c r="X383" s="293">
        <f t="shared" si="13"/>
        <v>0.43624175089800349</v>
      </c>
    </row>
    <row r="384" spans="2:24">
      <c r="B384" s="72" t="s">
        <v>658</v>
      </c>
      <c r="C384" s="72" t="s">
        <v>659</v>
      </c>
      <c r="D384" s="293">
        <f t="shared" si="7"/>
        <v>0.94061657681940702</v>
      </c>
      <c r="E384" s="293">
        <f t="shared" ref="E384:X397" si="14">E134/E$251</f>
        <v>0.88743591852400139</v>
      </c>
      <c r="F384" s="293">
        <f t="shared" si="14"/>
        <v>0.87349845859466357</v>
      </c>
      <c r="G384" s="293">
        <f t="shared" si="14"/>
        <v>0.86778494181715427</v>
      </c>
      <c r="H384" s="293">
        <f t="shared" si="14"/>
        <v>0.82755923393303221</v>
      </c>
      <c r="I384" s="293">
        <f t="shared" si="14"/>
        <v>0.8505297554213288</v>
      </c>
      <c r="J384" s="293">
        <f t="shared" si="14"/>
        <v>0.87923506598043755</v>
      </c>
      <c r="K384" s="293">
        <f t="shared" si="14"/>
        <v>0.87520810540836225</v>
      </c>
      <c r="L384" s="293">
        <f t="shared" si="14"/>
        <v>0.86126453657740798</v>
      </c>
      <c r="M384" s="293">
        <f t="shared" si="14"/>
        <v>0.85740215541690301</v>
      </c>
      <c r="N384" s="293">
        <f t="shared" si="14"/>
        <v>0.8624693011832999</v>
      </c>
      <c r="O384" s="293">
        <f t="shared" si="14"/>
        <v>0.8649053610382742</v>
      </c>
      <c r="P384" s="293">
        <f t="shared" si="14"/>
        <v>0.86887657953955344</v>
      </c>
      <c r="Q384" s="293">
        <f t="shared" si="14"/>
        <v>0.92391512139170329</v>
      </c>
      <c r="R384" s="293">
        <f t="shared" si="14"/>
        <v>0.94854778755486491</v>
      </c>
      <c r="S384" s="293">
        <f t="shared" si="14"/>
        <v>0.92701978565539989</v>
      </c>
      <c r="T384" s="293">
        <f t="shared" si="14"/>
        <v>0.92197950977024268</v>
      </c>
      <c r="U384" s="293">
        <f t="shared" si="14"/>
        <v>0.93376107546593334</v>
      </c>
      <c r="V384" s="293">
        <f t="shared" si="14"/>
        <v>0.95972517861282636</v>
      </c>
      <c r="W384" s="293">
        <f t="shared" si="14"/>
        <v>0.91374567582211474</v>
      </c>
      <c r="X384" s="293">
        <f t="shared" si="14"/>
        <v>0.93239913123381502</v>
      </c>
    </row>
    <row r="385" spans="2:24">
      <c r="B385" s="72" t="s">
        <v>660</v>
      </c>
      <c r="C385" s="72" t="s">
        <v>332</v>
      </c>
      <c r="D385" s="293">
        <f t="shared" si="7"/>
        <v>9.8214285714285712E-2</v>
      </c>
      <c r="E385" s="293">
        <f t="shared" si="14"/>
        <v>9.8692326671601285E-2</v>
      </c>
      <c r="F385" s="293">
        <f t="shared" si="14"/>
        <v>9.8782821303284793E-2</v>
      </c>
      <c r="G385" s="293">
        <f t="shared" si="14"/>
        <v>9.9874129826093658E-2</v>
      </c>
      <c r="H385" s="293">
        <f t="shared" si="14"/>
        <v>0.10373192702682243</v>
      </c>
      <c r="I385" s="293">
        <f t="shared" si="14"/>
        <v>0.10827804733141895</v>
      </c>
      <c r="J385" s="293">
        <f t="shared" si="14"/>
        <v>0.10966656096787569</v>
      </c>
      <c r="K385" s="293">
        <f t="shared" si="14"/>
        <v>0.11242448746610854</v>
      </c>
      <c r="L385" s="293">
        <f t="shared" si="14"/>
        <v>0.11554685497215036</v>
      </c>
      <c r="M385" s="293">
        <f t="shared" si="14"/>
        <v>0.11487237663074305</v>
      </c>
      <c r="N385" s="293">
        <f t="shared" si="14"/>
        <v>0.11670015628488502</v>
      </c>
      <c r="O385" s="293">
        <f t="shared" si="14"/>
        <v>0.11667364431615362</v>
      </c>
      <c r="P385" s="293">
        <f t="shared" si="14"/>
        <v>0.12129998268997749</v>
      </c>
      <c r="Q385" s="293">
        <f t="shared" si="14"/>
        <v>0.12491769153975234</v>
      </c>
      <c r="R385" s="293">
        <f t="shared" si="14"/>
        <v>0.13199067559905076</v>
      </c>
      <c r="S385" s="293">
        <f t="shared" si="14"/>
        <v>0.13849958779884583</v>
      </c>
      <c r="T385" s="293">
        <f t="shared" si="14"/>
        <v>0.14488653585790207</v>
      </c>
      <c r="U385" s="293">
        <f t="shared" si="14"/>
        <v>0.15319278948976475</v>
      </c>
      <c r="V385" s="293">
        <f t="shared" si="14"/>
        <v>0.16839132542308585</v>
      </c>
      <c r="W385" s="293">
        <f t="shared" si="14"/>
        <v>0.17705164006168467</v>
      </c>
      <c r="X385" s="293">
        <f t="shared" si="14"/>
        <v>0.18668031075098154</v>
      </c>
    </row>
    <row r="386" spans="2:24">
      <c r="B386" s="72" t="s">
        <v>661</v>
      </c>
      <c r="C386" s="72" t="s">
        <v>662</v>
      </c>
      <c r="D386" s="293">
        <f t="shared" si="7"/>
        <v>0.18045260557053011</v>
      </c>
      <c r="E386" s="293">
        <f t="shared" si="14"/>
        <v>0.18386928749623049</v>
      </c>
      <c r="F386" s="293">
        <f t="shared" si="14"/>
        <v>0.18951312852131391</v>
      </c>
      <c r="G386" s="293">
        <f t="shared" si="14"/>
        <v>0.19019240155154254</v>
      </c>
      <c r="H386" s="293">
        <f t="shared" si="14"/>
        <v>0.20703489692412505</v>
      </c>
      <c r="I386" s="293">
        <f t="shared" si="14"/>
        <v>0.20472323992474503</v>
      </c>
      <c r="J386" s="293">
        <f t="shared" si="14"/>
        <v>0.21191794521550358</v>
      </c>
      <c r="K386" s="293">
        <f t="shared" si="14"/>
        <v>0.17487989345003091</v>
      </c>
      <c r="L386" s="293">
        <f t="shared" si="14"/>
        <v>0.17047705609545782</v>
      </c>
      <c r="M386" s="293">
        <f t="shared" si="14"/>
        <v>0.17216108905275099</v>
      </c>
      <c r="N386" s="293">
        <f t="shared" si="14"/>
        <v>0.17369948649252065</v>
      </c>
      <c r="O386" s="293">
        <f t="shared" si="14"/>
        <v>0.17751140294824053</v>
      </c>
      <c r="P386" s="293">
        <f t="shared" si="14"/>
        <v>0.18034879695343603</v>
      </c>
      <c r="Q386" s="293">
        <f t="shared" si="14"/>
        <v>0.18415854202510673</v>
      </c>
      <c r="R386" s="293">
        <f t="shared" si="14"/>
        <v>0.19194825377491231</v>
      </c>
      <c r="S386" s="293">
        <f t="shared" si="14"/>
        <v>0.19561005770816159</v>
      </c>
      <c r="T386" s="293">
        <f t="shared" si="14"/>
        <v>0.19483904863903651</v>
      </c>
      <c r="U386" s="293">
        <f t="shared" si="14"/>
        <v>0.20287198289031469</v>
      </c>
      <c r="V386" s="293">
        <f t="shared" si="14"/>
        <v>0.21467259583974371</v>
      </c>
      <c r="W386" s="293">
        <f t="shared" si="14"/>
        <v>0.21827199599883298</v>
      </c>
      <c r="X386" s="293">
        <f t="shared" si="14"/>
        <v>0.23049452844373905</v>
      </c>
    </row>
    <row r="387" spans="2:24">
      <c r="B387" s="72" t="s">
        <v>663</v>
      </c>
      <c r="C387" s="72" t="s">
        <v>664</v>
      </c>
      <c r="D387" s="293">
        <f t="shared" si="7"/>
        <v>0.3977987421383648</v>
      </c>
      <c r="E387" s="293">
        <f t="shared" si="14"/>
        <v>0.39559174274200182</v>
      </c>
      <c r="F387" s="293">
        <f t="shared" si="14"/>
        <v>0.36858190709046457</v>
      </c>
      <c r="G387" s="293">
        <f t="shared" si="14"/>
        <v>0.34578334917413756</v>
      </c>
      <c r="H387" s="293">
        <f t="shared" si="14"/>
        <v>0.33761449370442331</v>
      </c>
      <c r="I387" s="293">
        <f t="shared" si="14"/>
        <v>0.34223685513417168</v>
      </c>
      <c r="J387" s="293">
        <f t="shared" si="14"/>
        <v>0.33417079298485253</v>
      </c>
      <c r="K387" s="293">
        <f t="shared" si="14"/>
        <v>0.32026827760072302</v>
      </c>
      <c r="L387" s="293">
        <f t="shared" si="14"/>
        <v>0.3051807313151087</v>
      </c>
      <c r="M387" s="293">
        <f t="shared" si="14"/>
        <v>0.2985819625638117</v>
      </c>
      <c r="N387" s="293">
        <f t="shared" si="14"/>
        <v>0.29060058048671578</v>
      </c>
      <c r="O387" s="293">
        <f t="shared" si="14"/>
        <v>0.29361214551704384</v>
      </c>
      <c r="P387" s="293">
        <f t="shared" si="14"/>
        <v>0.29556863423922453</v>
      </c>
      <c r="Q387" s="293">
        <f t="shared" si="14"/>
        <v>0.29225344633488393</v>
      </c>
      <c r="R387" s="293">
        <f t="shared" si="14"/>
        <v>0.29075750257261063</v>
      </c>
      <c r="S387" s="293">
        <f t="shared" si="14"/>
        <v>0.29690849134377578</v>
      </c>
      <c r="T387" s="293">
        <f t="shared" si="14"/>
        <v>0.31794208580031119</v>
      </c>
      <c r="U387" s="293">
        <f t="shared" si="14"/>
        <v>0.32194724513697931</v>
      </c>
      <c r="V387" s="293">
        <f t="shared" si="14"/>
        <v>0.3283525469451411</v>
      </c>
      <c r="W387" s="293">
        <f t="shared" si="14"/>
        <v>0.32884591339140584</v>
      </c>
      <c r="X387" s="293">
        <f t="shared" si="14"/>
        <v>0.33236571714977864</v>
      </c>
    </row>
    <row r="388" spans="2:24">
      <c r="B388" s="72" t="s">
        <v>665</v>
      </c>
      <c r="C388" s="72" t="s">
        <v>666</v>
      </c>
      <c r="D388" s="293">
        <f t="shared" si="7"/>
        <v>0.11000673854447439</v>
      </c>
      <c r="E388" s="293">
        <f t="shared" si="14"/>
        <v>0.13438605148449709</v>
      </c>
      <c r="F388" s="293">
        <f t="shared" si="14"/>
        <v>0.12578399064526416</v>
      </c>
      <c r="G388" s="293">
        <f t="shared" si="14"/>
        <v>0.1115620745459683</v>
      </c>
      <c r="H388" s="293">
        <f t="shared" si="14"/>
        <v>9.6591052458933666E-2</v>
      </c>
      <c r="I388" s="293">
        <f t="shared" si="14"/>
        <v>0.10295573819190018</v>
      </c>
      <c r="J388" s="293">
        <f t="shared" si="14"/>
        <v>9.4177622752884355E-2</v>
      </c>
      <c r="K388" s="293">
        <f t="shared" si="14"/>
        <v>0.10205489226085715</v>
      </c>
      <c r="L388" s="293">
        <f t="shared" si="14"/>
        <v>0.10473327273998462</v>
      </c>
      <c r="M388" s="293">
        <f t="shared" si="14"/>
        <v>0.10988088485536018</v>
      </c>
      <c r="N388" s="293">
        <f t="shared" si="14"/>
        <v>0.11482473766465728</v>
      </c>
      <c r="O388" s="293">
        <f t="shared" si="14"/>
        <v>0.11823810678007184</v>
      </c>
      <c r="P388" s="293">
        <f t="shared" si="14"/>
        <v>8.8562402631123416E-2</v>
      </c>
      <c r="Q388" s="293">
        <f t="shared" si="14"/>
        <v>0.12950572442065464</v>
      </c>
      <c r="R388" s="293">
        <f t="shared" si="14"/>
        <v>0.12396833063821744</v>
      </c>
      <c r="S388" s="293">
        <f t="shared" si="14"/>
        <v>0.12543281121187139</v>
      </c>
      <c r="T388" s="293">
        <f t="shared" si="14"/>
        <v>0.12112271909794492</v>
      </c>
      <c r="U388" s="293">
        <f t="shared" si="14"/>
        <v>0.12995213361849475</v>
      </c>
      <c r="V388" s="293">
        <f t="shared" si="14"/>
        <v>0.13608295222238614</v>
      </c>
      <c r="W388" s="293">
        <f t="shared" si="14"/>
        <v>0.13160088359104738</v>
      </c>
      <c r="X388" s="293">
        <f t="shared" si="14"/>
        <v>0.14023473394035585</v>
      </c>
    </row>
    <row r="389" spans="2:24">
      <c r="B389" s="72" t="s">
        <v>667</v>
      </c>
      <c r="C389" s="72" t="s">
        <v>668</v>
      </c>
      <c r="D389" s="293">
        <f t="shared" si="7"/>
        <v>1.012747079964061</v>
      </c>
      <c r="E389" s="293">
        <f t="shared" si="14"/>
        <v>1.0183129095046193</v>
      </c>
      <c r="F389" s="293">
        <f t="shared" si="14"/>
        <v>0.99872435420431593</v>
      </c>
      <c r="G389" s="293">
        <f t="shared" si="14"/>
        <v>0.99013588841223765</v>
      </c>
      <c r="H389" s="293">
        <f t="shared" si="14"/>
        <v>1.0212964598420429</v>
      </c>
      <c r="I389" s="293">
        <f t="shared" si="14"/>
        <v>1.0408208733537974</v>
      </c>
      <c r="J389" s="293">
        <f t="shared" si="14"/>
        <v>1.0773715149889016</v>
      </c>
      <c r="K389" s="293">
        <f t="shared" si="14"/>
        <v>1.0440945630975598</v>
      </c>
      <c r="L389" s="293">
        <f t="shared" si="14"/>
        <v>1.0561886783658441</v>
      </c>
      <c r="M389" s="293">
        <f t="shared" si="14"/>
        <v>1.0752807714123653</v>
      </c>
      <c r="N389" s="293">
        <f t="shared" si="14"/>
        <v>1.0753516409912927</v>
      </c>
      <c r="O389" s="293">
        <f t="shared" si="14"/>
        <v>1.1062292047683053</v>
      </c>
      <c r="P389" s="293">
        <f t="shared" si="14"/>
        <v>1.1108274190756449</v>
      </c>
      <c r="Q389" s="293">
        <f t="shared" si="14"/>
        <v>1.1022748996367808</v>
      </c>
      <c r="R389" s="293">
        <f t="shared" si="14"/>
        <v>1.094252052838272</v>
      </c>
      <c r="S389" s="293">
        <f t="shared" si="14"/>
        <v>1.0835943940643034</v>
      </c>
      <c r="T389" s="293">
        <f t="shared" si="14"/>
        <v>1.0782023561743488</v>
      </c>
      <c r="U389" s="293">
        <f t="shared" si="14"/>
        <v>1.0657704450555046</v>
      </c>
      <c r="V389" s="293">
        <f t="shared" si="14"/>
        <v>1.1163986596134798</v>
      </c>
      <c r="W389" s="293">
        <f t="shared" si="14"/>
        <v>1.1475847122077272</v>
      </c>
      <c r="X389" s="293">
        <f t="shared" si="14"/>
        <v>1.1851349093642971</v>
      </c>
    </row>
    <row r="390" spans="2:24">
      <c r="B390" s="72" t="s">
        <v>669</v>
      </c>
      <c r="C390" s="72" t="s">
        <v>670</v>
      </c>
      <c r="D390" s="293">
        <f t="shared" si="7"/>
        <v>0</v>
      </c>
      <c r="E390" s="293">
        <f t="shared" si="14"/>
        <v>0</v>
      </c>
      <c r="F390" s="293">
        <f t="shared" si="14"/>
        <v>0</v>
      </c>
      <c r="G390" s="293">
        <f t="shared" si="14"/>
        <v>0</v>
      </c>
      <c r="H390" s="293">
        <f t="shared" si="14"/>
        <v>0</v>
      </c>
      <c r="I390" s="293">
        <f t="shared" si="14"/>
        <v>0</v>
      </c>
      <c r="J390" s="293">
        <f t="shared" si="14"/>
        <v>0</v>
      </c>
      <c r="K390" s="293">
        <f t="shared" si="14"/>
        <v>0</v>
      </c>
      <c r="L390" s="293">
        <f t="shared" si="14"/>
        <v>0</v>
      </c>
      <c r="M390" s="293">
        <f t="shared" si="14"/>
        <v>0</v>
      </c>
      <c r="N390" s="293">
        <f t="shared" si="14"/>
        <v>0</v>
      </c>
      <c r="O390" s="293">
        <f t="shared" si="14"/>
        <v>0</v>
      </c>
      <c r="P390" s="293">
        <f t="shared" si="14"/>
        <v>0</v>
      </c>
      <c r="Q390" s="293">
        <f t="shared" si="14"/>
        <v>0</v>
      </c>
      <c r="R390" s="293">
        <f t="shared" si="14"/>
        <v>0</v>
      </c>
      <c r="S390" s="293">
        <f t="shared" si="14"/>
        <v>0</v>
      </c>
      <c r="T390" s="293">
        <f t="shared" si="14"/>
        <v>0</v>
      </c>
      <c r="U390" s="293">
        <f t="shared" si="14"/>
        <v>0</v>
      </c>
      <c r="V390" s="293">
        <f t="shared" si="14"/>
        <v>0</v>
      </c>
      <c r="W390" s="293">
        <f t="shared" si="14"/>
        <v>0</v>
      </c>
      <c r="X390" s="293">
        <f t="shared" si="14"/>
        <v>0</v>
      </c>
    </row>
    <row r="391" spans="2:24">
      <c r="B391" s="72" t="s">
        <v>671</v>
      </c>
      <c r="C391" s="72" t="s">
        <v>672</v>
      </c>
      <c r="D391" s="293">
        <f t="shared" si="7"/>
        <v>0.99095911949685533</v>
      </c>
      <c r="E391" s="293">
        <f t="shared" si="14"/>
        <v>0.99438002028675598</v>
      </c>
      <c r="F391" s="293">
        <f t="shared" si="14"/>
        <v>0.95800999255873287</v>
      </c>
      <c r="G391" s="293">
        <f t="shared" si="14"/>
        <v>0.95286290426160447</v>
      </c>
      <c r="H391" s="293">
        <f t="shared" si="14"/>
        <v>0.96684413716535034</v>
      </c>
      <c r="I391" s="293">
        <f t="shared" si="14"/>
        <v>0.95927814635112385</v>
      </c>
      <c r="J391" s="293">
        <f t="shared" si="14"/>
        <v>0.94899626801961123</v>
      </c>
      <c r="K391" s="293">
        <f t="shared" si="14"/>
        <v>0.92995766541407032</v>
      </c>
      <c r="L391" s="293">
        <f t="shared" si="14"/>
        <v>0.91043836957281687</v>
      </c>
      <c r="M391" s="293">
        <f t="shared" si="14"/>
        <v>0.93513329551900171</v>
      </c>
      <c r="N391" s="293">
        <f t="shared" si="14"/>
        <v>0.90408573342263898</v>
      </c>
      <c r="O391" s="293">
        <f t="shared" si="14"/>
        <v>0.8836128065575215</v>
      </c>
      <c r="P391" s="293">
        <f t="shared" si="14"/>
        <v>0.87385321100917435</v>
      </c>
      <c r="Q391" s="293">
        <f t="shared" si="14"/>
        <v>0.88001019562862426</v>
      </c>
      <c r="R391" s="293">
        <f t="shared" si="14"/>
        <v>0.88023184996954873</v>
      </c>
      <c r="S391" s="293">
        <f t="shared" si="14"/>
        <v>0.88415086562242373</v>
      </c>
      <c r="T391" s="293">
        <f t="shared" si="14"/>
        <v>0.87253218016852907</v>
      </c>
      <c r="U391" s="293">
        <f t="shared" si="14"/>
        <v>0.87803238619003976</v>
      </c>
      <c r="V391" s="293">
        <f t="shared" si="14"/>
        <v>0.9092077809859006</v>
      </c>
      <c r="W391" s="293">
        <f t="shared" si="14"/>
        <v>0.91074480056683205</v>
      </c>
      <c r="X391" s="293">
        <f t="shared" si="14"/>
        <v>0.92653078272491851</v>
      </c>
    </row>
    <row r="392" spans="2:24">
      <c r="B392" s="72" t="s">
        <v>673</v>
      </c>
      <c r="C392" s="72" t="s">
        <v>674</v>
      </c>
      <c r="D392" s="293">
        <f t="shared" si="7"/>
        <v>1.1457210242587601</v>
      </c>
      <c r="E392" s="293">
        <f t="shared" si="14"/>
        <v>1.135564876497519</v>
      </c>
      <c r="F392" s="293">
        <f t="shared" si="14"/>
        <v>1.1211597746359094</v>
      </c>
      <c r="G392" s="293">
        <f t="shared" si="14"/>
        <v>1.1255362326286316</v>
      </c>
      <c r="H392" s="293">
        <f t="shared" si="14"/>
        <v>1.1391335065983699</v>
      </c>
      <c r="I392" s="293">
        <f t="shared" si="14"/>
        <v>1.1234033072581444</v>
      </c>
      <c r="J392" s="293">
        <f t="shared" si="14"/>
        <v>1.1240822499207259</v>
      </c>
      <c r="K392" s="293">
        <f t="shared" si="14"/>
        <v>1.1005803167958903</v>
      </c>
      <c r="L392" s="293">
        <f t="shared" si="14"/>
        <v>1.0824535645202638</v>
      </c>
      <c r="M392" s="293">
        <f t="shared" si="14"/>
        <v>1.0719682359614293</v>
      </c>
      <c r="N392" s="293">
        <f t="shared" si="14"/>
        <v>1.0527349854878321</v>
      </c>
      <c r="O392" s="293">
        <f t="shared" si="14"/>
        <v>1.0261551682348016</v>
      </c>
      <c r="P392" s="293">
        <f t="shared" si="14"/>
        <v>0.99262160290808377</v>
      </c>
      <c r="Q392" s="293">
        <f t="shared" si="14"/>
        <v>0.98504641135113324</v>
      </c>
      <c r="R392" s="293">
        <f t="shared" si="14"/>
        <v>0.97467291093517017</v>
      </c>
      <c r="S392" s="293">
        <f t="shared" si="14"/>
        <v>0.9572341302555647</v>
      </c>
      <c r="T392" s="293">
        <f t="shared" si="14"/>
        <v>0.94059045810010711</v>
      </c>
      <c r="U392" s="293">
        <f t="shared" si="14"/>
        <v>0.933027803238619</v>
      </c>
      <c r="V392" s="293">
        <f t="shared" si="14"/>
        <v>0.93034626651773478</v>
      </c>
      <c r="W392" s="293">
        <f t="shared" si="14"/>
        <v>0.93875296961613808</v>
      </c>
      <c r="X392" s="293">
        <f t="shared" si="14"/>
        <v>0.94332135995322031</v>
      </c>
    </row>
    <row r="393" spans="2:24">
      <c r="B393" s="72" t="s">
        <v>675</v>
      </c>
      <c r="C393" s="72" t="s">
        <v>676</v>
      </c>
      <c r="D393" s="293">
        <f t="shared" si="7"/>
        <v>0.27875112309074573</v>
      </c>
      <c r="E393" s="293">
        <f t="shared" si="14"/>
        <v>0.27584505304712559</v>
      </c>
      <c r="F393" s="293">
        <f t="shared" si="14"/>
        <v>0.27248325714893162</v>
      </c>
      <c r="G393" s="293">
        <f t="shared" si="14"/>
        <v>0.26088520126383929</v>
      </c>
      <c r="H393" s="293">
        <f t="shared" si="14"/>
        <v>0.25167167116651107</v>
      </c>
      <c r="I393" s="293">
        <f t="shared" si="14"/>
        <v>0.24819289038518666</v>
      </c>
      <c r="J393" s="293">
        <f t="shared" si="14"/>
        <v>0.24304217381759641</v>
      </c>
      <c r="K393" s="293">
        <f t="shared" si="14"/>
        <v>0.23455263283070923</v>
      </c>
      <c r="L393" s="293">
        <f t="shared" si="14"/>
        <v>0.23645389079214152</v>
      </c>
      <c r="M393" s="293">
        <f t="shared" si="14"/>
        <v>0.23208167895632445</v>
      </c>
      <c r="N393" s="293">
        <f t="shared" si="14"/>
        <v>0.22980576021433355</v>
      </c>
      <c r="O393" s="293">
        <f t="shared" si="14"/>
        <v>0.21034308000793248</v>
      </c>
      <c r="P393" s="293">
        <f t="shared" si="14"/>
        <v>0.20756880733944955</v>
      </c>
      <c r="Q393" s="293">
        <f t="shared" si="14"/>
        <v>0.20629155249686698</v>
      </c>
      <c r="R393" s="293">
        <f t="shared" si="14"/>
        <v>0.19978159060839615</v>
      </c>
      <c r="S393" s="293">
        <f t="shared" si="14"/>
        <v>0.19464138499587799</v>
      </c>
      <c r="T393" s="293">
        <f t="shared" si="14"/>
        <v>0.18695819104007114</v>
      </c>
      <c r="U393" s="293">
        <f t="shared" si="14"/>
        <v>0.18704552398411242</v>
      </c>
      <c r="V393" s="293">
        <f t="shared" si="14"/>
        <v>0.1885603490063015</v>
      </c>
      <c r="W393" s="293">
        <f t="shared" si="14"/>
        <v>0.18101112824573834</v>
      </c>
      <c r="X393" s="293">
        <f t="shared" si="14"/>
        <v>0.18102080026731268</v>
      </c>
    </row>
    <row r="394" spans="2:24">
      <c r="B394" s="72" t="s">
        <v>677</v>
      </c>
      <c r="C394" s="72" t="s">
        <v>678</v>
      </c>
      <c r="D394" s="293">
        <f t="shared" si="7"/>
        <v>1.0284703504043127</v>
      </c>
      <c r="E394" s="293">
        <f t="shared" si="14"/>
        <v>1.0011239959426488</v>
      </c>
      <c r="F394" s="293">
        <f t="shared" si="14"/>
        <v>0.96848091846497286</v>
      </c>
      <c r="G394" s="293">
        <f t="shared" si="14"/>
        <v>0.94315291941740087</v>
      </c>
      <c r="H394" s="293">
        <f t="shared" si="14"/>
        <v>0.94315056395246144</v>
      </c>
      <c r="I394" s="293">
        <f t="shared" si="14"/>
        <v>0.94548965244083572</v>
      </c>
      <c r="J394" s="293">
        <f t="shared" si="14"/>
        <v>0.93994682537746665</v>
      </c>
      <c r="K394" s="293">
        <f t="shared" si="14"/>
        <v>0.90886172287494649</v>
      </c>
      <c r="L394" s="293">
        <f t="shared" si="14"/>
        <v>0.90120953646088231</v>
      </c>
      <c r="M394" s="293">
        <f t="shared" si="14"/>
        <v>0.90277935337492909</v>
      </c>
      <c r="N394" s="293">
        <f t="shared" si="14"/>
        <v>0.89832551908908242</v>
      </c>
      <c r="O394" s="293">
        <f t="shared" si="14"/>
        <v>0.90328977811074629</v>
      </c>
      <c r="P394" s="293">
        <f t="shared" si="14"/>
        <v>0.90492470140211179</v>
      </c>
      <c r="Q394" s="293">
        <f t="shared" si="14"/>
        <v>0.90734722487733388</v>
      </c>
      <c r="R394" s="293">
        <f t="shared" si="14"/>
        <v>0.90532792910095139</v>
      </c>
      <c r="S394" s="293">
        <f t="shared" si="14"/>
        <v>0.89958779884583673</v>
      </c>
      <c r="T394" s="293">
        <f t="shared" si="14"/>
        <v>0.89799341241134034</v>
      </c>
      <c r="U394" s="293">
        <f t="shared" si="14"/>
        <v>0.89888990732253793</v>
      </c>
      <c r="V394" s="293">
        <f t="shared" si="14"/>
        <v>0.89306413201542711</v>
      </c>
      <c r="W394" s="293">
        <f t="shared" si="14"/>
        <v>0.93156337265035638</v>
      </c>
      <c r="X394" s="293">
        <f t="shared" si="14"/>
        <v>0.93072842703199399</v>
      </c>
    </row>
    <row r="395" spans="2:24">
      <c r="B395" s="72" t="s">
        <v>679</v>
      </c>
      <c r="C395" s="72" t="s">
        <v>680</v>
      </c>
      <c r="D395" s="293">
        <f t="shared" ref="D395:D458" si="15">D145/D$251</f>
        <v>0.39900606469002697</v>
      </c>
      <c r="E395" s="293">
        <f t="shared" si="14"/>
        <v>0.40809277078707129</v>
      </c>
      <c r="F395" s="293">
        <f t="shared" si="14"/>
        <v>0.37623578186456896</v>
      </c>
      <c r="G395" s="293">
        <f t="shared" si="14"/>
        <v>0.35354106193326312</v>
      </c>
      <c r="H395" s="293">
        <f t="shared" si="14"/>
        <v>0.34856551689334109</v>
      </c>
      <c r="I395" s="293">
        <f t="shared" si="14"/>
        <v>0.33253292405188634</v>
      </c>
      <c r="J395" s="293">
        <f t="shared" si="14"/>
        <v>0.3264629119203844</v>
      </c>
      <c r="K395" s="293">
        <f t="shared" si="14"/>
        <v>0.31677210674023687</v>
      </c>
      <c r="L395" s="293">
        <f t="shared" si="14"/>
        <v>0.31548160059661146</v>
      </c>
      <c r="M395" s="293">
        <f t="shared" si="14"/>
        <v>0.31115144639818493</v>
      </c>
      <c r="N395" s="293">
        <f t="shared" si="14"/>
        <v>0.31205626255860686</v>
      </c>
      <c r="O395" s="293">
        <f t="shared" si="14"/>
        <v>0.31677059691955139</v>
      </c>
      <c r="P395" s="293">
        <f t="shared" si="14"/>
        <v>0.3129868443828977</v>
      </c>
      <c r="Q395" s="293">
        <f t="shared" si="14"/>
        <v>0.32328639095987594</v>
      </c>
      <c r="R395" s="293">
        <f t="shared" si="14"/>
        <v>0.33569943507570826</v>
      </c>
      <c r="S395" s="293">
        <f t="shared" si="14"/>
        <v>0.34756801319043695</v>
      </c>
      <c r="T395" s="293">
        <f t="shared" si="14"/>
        <v>0.35914482591387636</v>
      </c>
      <c r="U395" s="293">
        <f t="shared" si="14"/>
        <v>0.37873510540788269</v>
      </c>
      <c r="V395" s="293">
        <f t="shared" si="14"/>
        <v>0.40949229699256046</v>
      </c>
      <c r="W395" s="293">
        <f t="shared" si="14"/>
        <v>0.40345100654357519</v>
      </c>
      <c r="X395" s="293">
        <f t="shared" si="14"/>
        <v>0.40604377245008771</v>
      </c>
    </row>
    <row r="396" spans="2:24">
      <c r="B396" s="72" t="s">
        <v>681</v>
      </c>
      <c r="C396" s="72" t="s">
        <v>682</v>
      </c>
      <c r="D396" s="293">
        <f t="shared" si="15"/>
        <v>0.3960579514824798</v>
      </c>
      <c r="E396" s="293">
        <f t="shared" ref="E396:S396" si="16">E146/E$251</f>
        <v>0.37289250760753351</v>
      </c>
      <c r="F396" s="293">
        <f t="shared" si="16"/>
        <v>0.35720739874561497</v>
      </c>
      <c r="G396" s="293">
        <f t="shared" si="16"/>
        <v>0.31924786149143314</v>
      </c>
      <c r="H396" s="293">
        <f t="shared" si="16"/>
        <v>0.28921803638565768</v>
      </c>
      <c r="I396" s="293">
        <f t="shared" si="16"/>
        <v>0.28653827111595209</v>
      </c>
      <c r="J396" s="293">
        <f t="shared" si="16"/>
        <v>0.28933824426177523</v>
      </c>
      <c r="K396" s="293">
        <f t="shared" si="16"/>
        <v>0.28112067735337487</v>
      </c>
      <c r="L396" s="293">
        <f t="shared" si="16"/>
        <v>0.2949264723018481</v>
      </c>
      <c r="M396" s="293">
        <f t="shared" si="16"/>
        <v>0.31069767441860463</v>
      </c>
      <c r="N396" s="293">
        <f t="shared" si="16"/>
        <v>0.32121009153828978</v>
      </c>
      <c r="O396" s="293">
        <f t="shared" si="16"/>
        <v>0.34750897913315559</v>
      </c>
      <c r="P396" s="293">
        <f t="shared" si="16"/>
        <v>0.35825255322831917</v>
      </c>
      <c r="Q396" s="293">
        <f t="shared" si="16"/>
        <v>0.37485927908409272</v>
      </c>
      <c r="R396" s="293">
        <f t="shared" si="16"/>
        <v>0.40216729319360733</v>
      </c>
      <c r="S396" s="293">
        <f t="shared" si="16"/>
        <v>0.42868920032976093</v>
      </c>
      <c r="T396" s="293">
        <f t="shared" si="14"/>
        <v>0.44387414876634268</v>
      </c>
      <c r="U396" s="293">
        <f t="shared" si="14"/>
        <v>0.44978103676545472</v>
      </c>
      <c r="V396" s="293">
        <f t="shared" si="14"/>
        <v>0.46747033657189824</v>
      </c>
      <c r="W396" s="293">
        <f t="shared" si="14"/>
        <v>0.48151544200391783</v>
      </c>
      <c r="X396" s="293">
        <f t="shared" si="14"/>
        <v>0.50687077102998912</v>
      </c>
    </row>
    <row r="397" spans="2:24">
      <c r="B397" s="72" t="s">
        <v>683</v>
      </c>
      <c r="C397" s="72" t="s">
        <v>684</v>
      </c>
      <c r="D397" s="293">
        <f t="shared" si="15"/>
        <v>7.2467430368373761E-2</v>
      </c>
      <c r="E397" s="293">
        <f t="shared" si="14"/>
        <v>6.7193025742248544E-2</v>
      </c>
      <c r="F397" s="293">
        <f t="shared" si="14"/>
        <v>6.2400340172212181E-2</v>
      </c>
      <c r="G397" s="293">
        <f t="shared" si="14"/>
        <v>5.9467235223098464E-2</v>
      </c>
      <c r="H397" s="293">
        <f t="shared" si="14"/>
        <v>5.8691428427241302E-2</v>
      </c>
      <c r="I397" s="293">
        <f t="shared" si="14"/>
        <v>5.7802752747796809E-2</v>
      </c>
      <c r="J397" s="293">
        <f t="shared" si="14"/>
        <v>5.5199160914213237E-2</v>
      </c>
      <c r="K397" s="293">
        <f t="shared" si="14"/>
        <v>5.3822004471293344E-2</v>
      </c>
      <c r="L397" s="293">
        <f t="shared" si="14"/>
        <v>5.2320026101750218E-2</v>
      </c>
      <c r="M397" s="293">
        <f t="shared" si="14"/>
        <v>4.9506522972206465E-2</v>
      </c>
      <c r="N397" s="293">
        <f t="shared" si="14"/>
        <v>4.9363697253851306E-2</v>
      </c>
      <c r="O397" s="293">
        <f t="shared" ref="E397:X410" si="17">O147/O$251</f>
        <v>4.7242359473811779E-2</v>
      </c>
      <c r="P397" s="293">
        <f t="shared" si="17"/>
        <v>4.6174485026830532E-2</v>
      </c>
      <c r="Q397" s="293">
        <f t="shared" si="17"/>
        <v>4.5986533273858834E-2</v>
      </c>
      <c r="R397" s="293">
        <f t="shared" si="17"/>
        <v>4.679001197051473E-2</v>
      </c>
      <c r="S397" s="293">
        <f t="shared" si="17"/>
        <v>4.7403132728771641E-2</v>
      </c>
      <c r="T397" s="293">
        <f t="shared" si="17"/>
        <v>4.8416755915695033E-2</v>
      </c>
      <c r="U397" s="293">
        <f t="shared" si="17"/>
        <v>4.8212648945921172E-2</v>
      </c>
      <c r="V397" s="293">
        <f t="shared" si="17"/>
        <v>4.969546249657527E-2</v>
      </c>
      <c r="W397" s="293">
        <f t="shared" si="17"/>
        <v>5.0473054640936939E-2</v>
      </c>
      <c r="X397" s="293">
        <f t="shared" si="17"/>
        <v>5.1833597861498625E-2</v>
      </c>
    </row>
    <row r="398" spans="2:24">
      <c r="B398" s="72" t="s">
        <v>685</v>
      </c>
      <c r="C398" s="72" t="s">
        <v>686</v>
      </c>
      <c r="D398" s="293">
        <f t="shared" si="15"/>
        <v>0</v>
      </c>
      <c r="E398" s="293">
        <f t="shared" si="17"/>
        <v>0</v>
      </c>
      <c r="F398" s="293">
        <f t="shared" si="17"/>
        <v>0</v>
      </c>
      <c r="G398" s="293">
        <f t="shared" si="17"/>
        <v>0</v>
      </c>
      <c r="H398" s="293">
        <f t="shared" si="17"/>
        <v>0</v>
      </c>
      <c r="I398" s="293">
        <f t="shared" si="17"/>
        <v>0</v>
      </c>
      <c r="J398" s="293">
        <f t="shared" si="17"/>
        <v>0</v>
      </c>
      <c r="K398" s="293">
        <f t="shared" si="17"/>
        <v>0</v>
      </c>
      <c r="L398" s="293">
        <f t="shared" si="17"/>
        <v>0</v>
      </c>
      <c r="M398" s="293">
        <f t="shared" si="17"/>
        <v>0</v>
      </c>
      <c r="N398" s="293">
        <f t="shared" si="17"/>
        <v>0</v>
      </c>
      <c r="O398" s="293">
        <f t="shared" si="17"/>
        <v>0</v>
      </c>
      <c r="P398" s="293">
        <f t="shared" si="17"/>
        <v>0</v>
      </c>
      <c r="Q398" s="293">
        <f t="shared" si="17"/>
        <v>0</v>
      </c>
      <c r="R398" s="293">
        <f t="shared" si="17"/>
        <v>0</v>
      </c>
      <c r="S398" s="293">
        <f t="shared" si="17"/>
        <v>0</v>
      </c>
      <c r="T398" s="293">
        <f t="shared" si="17"/>
        <v>0</v>
      </c>
      <c r="U398" s="293">
        <f t="shared" si="17"/>
        <v>0</v>
      </c>
      <c r="V398" s="293">
        <f t="shared" si="17"/>
        <v>0</v>
      </c>
      <c r="W398" s="293">
        <f t="shared" si="17"/>
        <v>0</v>
      </c>
      <c r="X398" s="293">
        <f t="shared" si="17"/>
        <v>0</v>
      </c>
    </row>
    <row r="399" spans="2:24">
      <c r="B399" s="72" t="s">
        <v>687</v>
      </c>
      <c r="C399" s="72" t="s">
        <v>688</v>
      </c>
      <c r="D399" s="293">
        <f t="shared" si="15"/>
        <v>0</v>
      </c>
      <c r="E399" s="293">
        <f t="shared" si="17"/>
        <v>0</v>
      </c>
      <c r="F399" s="293">
        <f t="shared" si="17"/>
        <v>0</v>
      </c>
      <c r="G399" s="293">
        <f t="shared" si="17"/>
        <v>0</v>
      </c>
      <c r="H399" s="293">
        <f t="shared" si="17"/>
        <v>0</v>
      </c>
      <c r="I399" s="293">
        <f t="shared" si="17"/>
        <v>0</v>
      </c>
      <c r="J399" s="293">
        <f t="shared" si="17"/>
        <v>0</v>
      </c>
      <c r="K399" s="293">
        <f t="shared" si="17"/>
        <v>0</v>
      </c>
      <c r="L399" s="293">
        <f t="shared" si="17"/>
        <v>0</v>
      </c>
      <c r="M399" s="293">
        <f t="shared" si="17"/>
        <v>0</v>
      </c>
      <c r="N399" s="293">
        <f t="shared" si="17"/>
        <v>0</v>
      </c>
      <c r="O399" s="293">
        <f t="shared" si="17"/>
        <v>0</v>
      </c>
      <c r="P399" s="293">
        <f t="shared" si="17"/>
        <v>0</v>
      </c>
      <c r="Q399" s="293">
        <f t="shared" si="17"/>
        <v>0</v>
      </c>
      <c r="R399" s="293">
        <f t="shared" si="17"/>
        <v>0</v>
      </c>
      <c r="S399" s="293">
        <f t="shared" si="17"/>
        <v>0</v>
      </c>
      <c r="T399" s="293">
        <f t="shared" si="17"/>
        <v>0</v>
      </c>
      <c r="U399" s="293">
        <f t="shared" si="17"/>
        <v>0</v>
      </c>
      <c r="V399" s="293">
        <f t="shared" si="17"/>
        <v>0</v>
      </c>
      <c r="W399" s="293">
        <f t="shared" si="17"/>
        <v>0</v>
      </c>
      <c r="X399" s="293">
        <f t="shared" si="17"/>
        <v>0</v>
      </c>
    </row>
    <row r="400" spans="2:24">
      <c r="B400" s="72" t="s">
        <v>689</v>
      </c>
      <c r="C400" s="72" t="s">
        <v>690</v>
      </c>
      <c r="D400" s="293">
        <f t="shared" si="15"/>
        <v>0.61722259658580414</v>
      </c>
      <c r="E400" s="293">
        <f t="shared" si="17"/>
        <v>0.62524330399978068</v>
      </c>
      <c r="F400" s="293">
        <f t="shared" si="17"/>
        <v>0.63691931540342295</v>
      </c>
      <c r="G400" s="293">
        <f t="shared" si="17"/>
        <v>0.6487451514295256</v>
      </c>
      <c r="H400" s="293">
        <f t="shared" si="17"/>
        <v>0.67485049582397616</v>
      </c>
      <c r="I400" s="293">
        <f t="shared" si="17"/>
        <v>0.69462323002277448</v>
      </c>
      <c r="J400" s="293">
        <f t="shared" si="17"/>
        <v>0.71151547674220061</v>
      </c>
      <c r="K400" s="293">
        <f t="shared" si="17"/>
        <v>0.69618988726632736</v>
      </c>
      <c r="L400" s="293">
        <f t="shared" si="17"/>
        <v>0.74215199608473748</v>
      </c>
      <c r="M400" s="293">
        <f t="shared" si="17"/>
        <v>0.75403289846851962</v>
      </c>
      <c r="N400" s="293">
        <f t="shared" si="17"/>
        <v>0.75644116990399646</v>
      </c>
      <c r="O400" s="293">
        <f t="shared" si="17"/>
        <v>0.77848533591873614</v>
      </c>
      <c r="P400" s="293">
        <f t="shared" si="17"/>
        <v>0.78712999826899777</v>
      </c>
      <c r="Q400" s="293">
        <f t="shared" si="17"/>
        <v>0.79345355678752738</v>
      </c>
      <c r="R400" s="293">
        <f t="shared" si="17"/>
        <v>0.80483860806014662</v>
      </c>
      <c r="S400" s="293">
        <f t="shared" si="17"/>
        <v>0.82001236603462491</v>
      </c>
      <c r="T400" s="293">
        <f t="shared" si="17"/>
        <v>0.83470406369349526</v>
      </c>
      <c r="U400" s="293">
        <f t="shared" si="17"/>
        <v>0.85546389652714128</v>
      </c>
      <c r="V400" s="293">
        <f t="shared" si="17"/>
        <v>0.89053510084511789</v>
      </c>
      <c r="W400" s="293">
        <f t="shared" si="17"/>
        <v>0.92216479806610263</v>
      </c>
      <c r="X400" s="293">
        <f t="shared" si="17"/>
        <v>0.94307075432294707</v>
      </c>
    </row>
    <row r="401" spans="2:24">
      <c r="B401" s="72" t="s">
        <v>691</v>
      </c>
      <c r="C401" s="72" t="s">
        <v>692</v>
      </c>
      <c r="D401" s="293">
        <f t="shared" si="15"/>
        <v>0</v>
      </c>
      <c r="E401" s="293">
        <f t="shared" si="17"/>
        <v>0</v>
      </c>
      <c r="F401" s="293">
        <f t="shared" si="17"/>
        <v>0</v>
      </c>
      <c r="G401" s="293">
        <f t="shared" si="17"/>
        <v>0</v>
      </c>
      <c r="H401" s="293">
        <f t="shared" si="17"/>
        <v>0</v>
      </c>
      <c r="I401" s="293">
        <f t="shared" si="17"/>
        <v>0</v>
      </c>
      <c r="J401" s="293">
        <f t="shared" si="17"/>
        <v>0</v>
      </c>
      <c r="K401" s="293">
        <f t="shared" si="17"/>
        <v>0</v>
      </c>
      <c r="L401" s="293">
        <f t="shared" si="17"/>
        <v>0</v>
      </c>
      <c r="M401" s="293">
        <f t="shared" si="17"/>
        <v>0</v>
      </c>
      <c r="N401" s="293">
        <f t="shared" si="17"/>
        <v>0</v>
      </c>
      <c r="O401" s="293">
        <f t="shared" si="17"/>
        <v>0</v>
      </c>
      <c r="P401" s="293">
        <f t="shared" si="17"/>
        <v>0</v>
      </c>
      <c r="Q401" s="293">
        <f t="shared" si="17"/>
        <v>0</v>
      </c>
      <c r="R401" s="293">
        <f t="shared" si="17"/>
        <v>0</v>
      </c>
      <c r="S401" s="293">
        <f t="shared" si="17"/>
        <v>0</v>
      </c>
      <c r="T401" s="293">
        <f t="shared" si="17"/>
        <v>0</v>
      </c>
      <c r="U401" s="293">
        <f t="shared" si="17"/>
        <v>0</v>
      </c>
      <c r="V401" s="293">
        <f t="shared" si="17"/>
        <v>0</v>
      </c>
      <c r="W401" s="293">
        <f t="shared" si="17"/>
        <v>0</v>
      </c>
      <c r="X401" s="293">
        <f t="shared" si="17"/>
        <v>0</v>
      </c>
    </row>
    <row r="402" spans="2:24">
      <c r="B402" s="72" t="s">
        <v>693</v>
      </c>
      <c r="C402" s="72" t="s">
        <v>694</v>
      </c>
      <c r="D402" s="293">
        <f t="shared" si="15"/>
        <v>0.25460467205750226</v>
      </c>
      <c r="E402" s="293">
        <f t="shared" si="17"/>
        <v>0.23625846423773886</v>
      </c>
      <c r="F402" s="293">
        <f t="shared" si="17"/>
        <v>0.28763155097267989</v>
      </c>
      <c r="G402" s="293">
        <f t="shared" si="17"/>
        <v>0.284338154075368</v>
      </c>
      <c r="H402" s="293">
        <f t="shared" si="17"/>
        <v>0.26739168832479626</v>
      </c>
      <c r="I402" s="293">
        <f t="shared" si="17"/>
        <v>0.25767402713139914</v>
      </c>
      <c r="J402" s="293">
        <f t="shared" si="17"/>
        <v>0.24933531721833305</v>
      </c>
      <c r="K402" s="293">
        <f t="shared" si="17"/>
        <v>0.23883365837416162</v>
      </c>
      <c r="L402" s="293">
        <f t="shared" si="17"/>
        <v>0.21764664755645668</v>
      </c>
      <c r="M402" s="293">
        <f t="shared" si="17"/>
        <v>0.20220079410096425</v>
      </c>
      <c r="N402" s="293">
        <f t="shared" si="17"/>
        <v>0.19173922750613975</v>
      </c>
      <c r="O402" s="293">
        <f t="shared" si="17"/>
        <v>0.18720666328801533</v>
      </c>
      <c r="P402" s="293">
        <f t="shared" si="17"/>
        <v>0.20817465812705557</v>
      </c>
      <c r="Q402" s="293">
        <f t="shared" si="17"/>
        <v>0.22130886382463519</v>
      </c>
      <c r="R402" s="293">
        <f t="shared" si="17"/>
        <v>0.23502110590755401</v>
      </c>
      <c r="S402" s="293">
        <f t="shared" si="17"/>
        <v>0.2361500412201154</v>
      </c>
      <c r="T402" s="293">
        <f t="shared" si="17"/>
        <v>0.2348697637763453</v>
      </c>
      <c r="U402" s="293">
        <f t="shared" si="17"/>
        <v>0.24230573378144413</v>
      </c>
      <c r="V402" s="293">
        <f t="shared" si="17"/>
        <v>0.23039473961516577</v>
      </c>
      <c r="W402" s="293">
        <f t="shared" si="17"/>
        <v>0.23037969407743925</v>
      </c>
      <c r="X402" s="293">
        <f t="shared" si="17"/>
        <v>0.23891070086041266</v>
      </c>
    </row>
    <row r="403" spans="2:24">
      <c r="B403" s="72" t="s">
        <v>695</v>
      </c>
      <c r="C403" s="72" t="s">
        <v>696</v>
      </c>
      <c r="D403" s="293">
        <f t="shared" si="15"/>
        <v>0.23287286612758312</v>
      </c>
      <c r="E403" s="293">
        <f t="shared" si="17"/>
        <v>0.18704937357787099</v>
      </c>
      <c r="F403" s="293">
        <f t="shared" si="17"/>
        <v>0.16742851068353354</v>
      </c>
      <c r="G403" s="293">
        <f t="shared" si="17"/>
        <v>0.13216368260165942</v>
      </c>
      <c r="H403" s="293">
        <f t="shared" si="17"/>
        <v>0.12308546339986375</v>
      </c>
      <c r="I403" s="293">
        <f t="shared" si="17"/>
        <v>0.12852757698782058</v>
      </c>
      <c r="J403" s="293">
        <f t="shared" si="17"/>
        <v>0.13605873600507354</v>
      </c>
      <c r="K403" s="293">
        <f t="shared" si="17"/>
        <v>0.13421015078723303</v>
      </c>
      <c r="L403" s="293">
        <f t="shared" si="17"/>
        <v>0.13176722832039897</v>
      </c>
      <c r="M403" s="293">
        <f t="shared" si="17"/>
        <v>0.13495178672716959</v>
      </c>
      <c r="N403" s="293">
        <f t="shared" si="17"/>
        <v>0.13833444965394062</v>
      </c>
      <c r="O403" s="293">
        <f t="shared" si="17"/>
        <v>0.13500650023136418</v>
      </c>
      <c r="P403" s="293">
        <f t="shared" si="17"/>
        <v>0.13278951012636317</v>
      </c>
      <c r="Q403" s="293">
        <f t="shared" si="17"/>
        <v>0.13530448820068397</v>
      </c>
      <c r="R403" s="293">
        <f t="shared" si="17"/>
        <v>0.12802150492471176</v>
      </c>
      <c r="S403" s="293">
        <f t="shared" si="17"/>
        <v>0.12835943940643033</v>
      </c>
      <c r="T403" s="293">
        <f t="shared" si="17"/>
        <v>0.13298442015074666</v>
      </c>
      <c r="U403" s="293">
        <f t="shared" si="17"/>
        <v>0.1432325084020776</v>
      </c>
      <c r="V403" s="293">
        <f t="shared" si="17"/>
        <v>0.15028767729562267</v>
      </c>
      <c r="W403" s="293">
        <f t="shared" si="17"/>
        <v>0.1434376693202184</v>
      </c>
      <c r="X403" s="293">
        <f t="shared" si="17"/>
        <v>0.15069751900426029</v>
      </c>
    </row>
    <row r="404" spans="2:24">
      <c r="B404" s="72" t="s">
        <v>697</v>
      </c>
      <c r="C404" s="72" t="s">
        <v>698</v>
      </c>
      <c r="D404" s="293">
        <f t="shared" si="15"/>
        <v>0</v>
      </c>
      <c r="E404" s="293">
        <f t="shared" si="17"/>
        <v>0</v>
      </c>
      <c r="F404" s="293">
        <f t="shared" si="17"/>
        <v>0</v>
      </c>
      <c r="G404" s="293">
        <f t="shared" si="17"/>
        <v>0</v>
      </c>
      <c r="H404" s="293">
        <f t="shared" si="17"/>
        <v>0</v>
      </c>
      <c r="I404" s="293">
        <f t="shared" si="17"/>
        <v>0</v>
      </c>
      <c r="J404" s="293">
        <f t="shared" si="17"/>
        <v>0</v>
      </c>
      <c r="K404" s="293">
        <f t="shared" si="17"/>
        <v>0</v>
      </c>
      <c r="L404" s="293">
        <f t="shared" si="17"/>
        <v>0</v>
      </c>
      <c r="M404" s="293">
        <f t="shared" si="17"/>
        <v>0</v>
      </c>
      <c r="N404" s="293">
        <f t="shared" si="17"/>
        <v>0</v>
      </c>
      <c r="O404" s="293">
        <f t="shared" si="17"/>
        <v>0</v>
      </c>
      <c r="P404" s="293">
        <f t="shared" si="17"/>
        <v>0</v>
      </c>
      <c r="Q404" s="293">
        <f t="shared" si="17"/>
        <v>0</v>
      </c>
      <c r="R404" s="293">
        <f t="shared" si="17"/>
        <v>0</v>
      </c>
      <c r="S404" s="293">
        <f t="shared" si="17"/>
        <v>0</v>
      </c>
      <c r="T404" s="293">
        <f t="shared" si="17"/>
        <v>0</v>
      </c>
      <c r="U404" s="293">
        <f t="shared" si="17"/>
        <v>0</v>
      </c>
      <c r="V404" s="293">
        <f t="shared" si="17"/>
        <v>0</v>
      </c>
      <c r="W404" s="293">
        <f t="shared" si="17"/>
        <v>0</v>
      </c>
      <c r="X404" s="293">
        <f t="shared" si="17"/>
        <v>0</v>
      </c>
    </row>
    <row r="405" spans="2:24">
      <c r="B405" s="72" t="s">
        <v>699</v>
      </c>
      <c r="C405" s="72" t="s">
        <v>700</v>
      </c>
      <c r="D405" s="293">
        <f t="shared" si="15"/>
        <v>0.46403301886792453</v>
      </c>
      <c r="E405" s="293">
        <f t="shared" si="17"/>
        <v>0.33201743564437863</v>
      </c>
      <c r="F405" s="293">
        <f t="shared" si="17"/>
        <v>0.30628787073455938</v>
      </c>
      <c r="G405" s="293">
        <f t="shared" si="17"/>
        <v>0.33663849572298288</v>
      </c>
      <c r="H405" s="293">
        <f t="shared" si="17"/>
        <v>0.3711236153516187</v>
      </c>
      <c r="I405" s="293">
        <f t="shared" si="17"/>
        <v>0.38454302406178831</v>
      </c>
      <c r="J405" s="293">
        <f t="shared" si="17"/>
        <v>0.39329707051735491</v>
      </c>
      <c r="K405" s="293">
        <f t="shared" si="17"/>
        <v>0.40305855491604431</v>
      </c>
      <c r="L405" s="293">
        <f t="shared" si="17"/>
        <v>0.41522757463469201</v>
      </c>
      <c r="M405" s="293">
        <f t="shared" si="17"/>
        <v>0.44319909245604083</v>
      </c>
      <c r="N405" s="293">
        <f t="shared" si="17"/>
        <v>0.46258093324402766</v>
      </c>
      <c r="O405" s="293">
        <f t="shared" si="17"/>
        <v>0.47564065839631581</v>
      </c>
      <c r="P405" s="293">
        <f t="shared" si="17"/>
        <v>0.49296780335814439</v>
      </c>
      <c r="Q405" s="293">
        <f t="shared" si="17"/>
        <v>0.52050808215977395</v>
      </c>
      <c r="R405" s="293">
        <f t="shared" si="17"/>
        <v>0.55795199193565326</v>
      </c>
      <c r="S405" s="293">
        <f t="shared" si="17"/>
        <v>0.58002885408079141</v>
      </c>
      <c r="T405" s="293">
        <f t="shared" si="17"/>
        <v>0.60171358134459552</v>
      </c>
      <c r="U405" s="293">
        <f t="shared" si="17"/>
        <v>0.58128118953050212</v>
      </c>
      <c r="V405" s="293">
        <f t="shared" si="17"/>
        <v>0.56981179793040948</v>
      </c>
      <c r="W405" s="293">
        <f t="shared" si="17"/>
        <v>0.5897345058975535</v>
      </c>
      <c r="X405" s="293">
        <f t="shared" si="17"/>
        <v>0.60427282599615739</v>
      </c>
    </row>
    <row r="406" spans="2:24">
      <c r="B406" s="72" t="s">
        <v>701</v>
      </c>
      <c r="C406" s="72" t="s">
        <v>702</v>
      </c>
      <c r="D406" s="293">
        <f t="shared" si="15"/>
        <v>0</v>
      </c>
      <c r="E406" s="293">
        <f t="shared" si="17"/>
        <v>0</v>
      </c>
      <c r="F406" s="293">
        <f t="shared" si="17"/>
        <v>0</v>
      </c>
      <c r="G406" s="293">
        <f t="shared" si="17"/>
        <v>0</v>
      </c>
      <c r="H406" s="293">
        <f t="shared" si="17"/>
        <v>0</v>
      </c>
      <c r="I406" s="293">
        <f t="shared" si="17"/>
        <v>0</v>
      </c>
      <c r="J406" s="293">
        <f t="shared" si="17"/>
        <v>0</v>
      </c>
      <c r="K406" s="293">
        <f t="shared" si="17"/>
        <v>0</v>
      </c>
      <c r="L406" s="293">
        <f t="shared" si="17"/>
        <v>0</v>
      </c>
      <c r="M406" s="293">
        <f t="shared" si="17"/>
        <v>0</v>
      </c>
      <c r="N406" s="293">
        <f t="shared" si="17"/>
        <v>0</v>
      </c>
      <c r="O406" s="293">
        <f t="shared" si="17"/>
        <v>0</v>
      </c>
      <c r="P406" s="293">
        <f t="shared" si="17"/>
        <v>0</v>
      </c>
      <c r="Q406" s="293">
        <f t="shared" si="17"/>
        <v>0</v>
      </c>
      <c r="R406" s="293">
        <f t="shared" si="17"/>
        <v>0</v>
      </c>
      <c r="S406" s="293">
        <f t="shared" si="17"/>
        <v>0</v>
      </c>
      <c r="T406" s="293">
        <f t="shared" si="17"/>
        <v>0</v>
      </c>
      <c r="U406" s="293">
        <f t="shared" si="17"/>
        <v>0</v>
      </c>
      <c r="V406" s="293">
        <f t="shared" si="17"/>
        <v>0</v>
      </c>
      <c r="W406" s="293">
        <f t="shared" si="17"/>
        <v>0</v>
      </c>
      <c r="X406" s="293">
        <f t="shared" si="17"/>
        <v>0</v>
      </c>
    </row>
    <row r="407" spans="2:24">
      <c r="B407" s="72" t="s">
        <v>703</v>
      </c>
      <c r="C407" s="72" t="s">
        <v>704</v>
      </c>
      <c r="D407" s="293">
        <f t="shared" si="15"/>
        <v>0</v>
      </c>
      <c r="E407" s="293">
        <f t="shared" si="17"/>
        <v>0</v>
      </c>
      <c r="F407" s="293">
        <f t="shared" si="17"/>
        <v>0</v>
      </c>
      <c r="G407" s="293">
        <f t="shared" si="17"/>
        <v>0</v>
      </c>
      <c r="H407" s="293">
        <f t="shared" si="17"/>
        <v>0</v>
      </c>
      <c r="I407" s="293">
        <f t="shared" si="17"/>
        <v>0</v>
      </c>
      <c r="J407" s="293">
        <f t="shared" si="17"/>
        <v>0</v>
      </c>
      <c r="K407" s="293">
        <f t="shared" si="17"/>
        <v>0</v>
      </c>
      <c r="L407" s="293">
        <f t="shared" si="17"/>
        <v>0</v>
      </c>
      <c r="M407" s="293">
        <f t="shared" si="17"/>
        <v>0</v>
      </c>
      <c r="N407" s="293">
        <f t="shared" si="17"/>
        <v>0</v>
      </c>
      <c r="O407" s="293">
        <f t="shared" si="17"/>
        <v>0</v>
      </c>
      <c r="P407" s="293">
        <f t="shared" si="17"/>
        <v>0</v>
      </c>
      <c r="Q407" s="293">
        <f t="shared" si="17"/>
        <v>0</v>
      </c>
      <c r="R407" s="293">
        <f t="shared" si="17"/>
        <v>0</v>
      </c>
      <c r="S407" s="293">
        <f t="shared" si="17"/>
        <v>0</v>
      </c>
      <c r="T407" s="293">
        <f t="shared" si="17"/>
        <v>0</v>
      </c>
      <c r="U407" s="293">
        <f t="shared" si="17"/>
        <v>0</v>
      </c>
      <c r="V407" s="293">
        <f t="shared" si="17"/>
        <v>0</v>
      </c>
      <c r="W407" s="293">
        <f t="shared" si="17"/>
        <v>0</v>
      </c>
      <c r="X407" s="293">
        <f t="shared" si="17"/>
        <v>0</v>
      </c>
    </row>
    <row r="408" spans="2:24">
      <c r="B408" s="72" t="s">
        <v>705</v>
      </c>
      <c r="C408" s="72" t="s">
        <v>706</v>
      </c>
      <c r="D408" s="293">
        <f t="shared" si="15"/>
        <v>0</v>
      </c>
      <c r="E408" s="293">
        <f t="shared" si="17"/>
        <v>0</v>
      </c>
      <c r="F408" s="293">
        <f t="shared" si="17"/>
        <v>0</v>
      </c>
      <c r="G408" s="293">
        <f t="shared" si="17"/>
        <v>0</v>
      </c>
      <c r="H408" s="293">
        <f t="shared" si="17"/>
        <v>0</v>
      </c>
      <c r="I408" s="293">
        <f t="shared" si="17"/>
        <v>0</v>
      </c>
      <c r="J408" s="293">
        <f t="shared" si="17"/>
        <v>0</v>
      </c>
      <c r="K408" s="293">
        <f t="shared" si="17"/>
        <v>0</v>
      </c>
      <c r="L408" s="293">
        <f t="shared" si="17"/>
        <v>0</v>
      </c>
      <c r="M408" s="293">
        <f t="shared" si="17"/>
        <v>0</v>
      </c>
      <c r="N408" s="293">
        <f t="shared" si="17"/>
        <v>0</v>
      </c>
      <c r="O408" s="293">
        <f t="shared" si="17"/>
        <v>0</v>
      </c>
      <c r="P408" s="293">
        <f t="shared" si="17"/>
        <v>0</v>
      </c>
      <c r="Q408" s="293">
        <f t="shared" si="17"/>
        <v>0</v>
      </c>
      <c r="R408" s="293">
        <f t="shared" si="17"/>
        <v>0</v>
      </c>
      <c r="S408" s="293">
        <f t="shared" si="17"/>
        <v>0</v>
      </c>
      <c r="T408" s="293">
        <f t="shared" si="17"/>
        <v>0</v>
      </c>
      <c r="U408" s="293">
        <f t="shared" si="17"/>
        <v>0</v>
      </c>
      <c r="V408" s="293">
        <f t="shared" si="17"/>
        <v>0</v>
      </c>
      <c r="W408" s="293">
        <f t="shared" si="17"/>
        <v>0</v>
      </c>
      <c r="X408" s="293">
        <f t="shared" si="17"/>
        <v>0</v>
      </c>
    </row>
    <row r="409" spans="2:24">
      <c r="B409" s="72" t="s">
        <v>707</v>
      </c>
      <c r="C409" s="72" t="s">
        <v>708</v>
      </c>
      <c r="D409" s="293">
        <f t="shared" si="15"/>
        <v>0</v>
      </c>
      <c r="E409" s="293">
        <f t="shared" si="17"/>
        <v>0</v>
      </c>
      <c r="F409" s="293">
        <f t="shared" si="17"/>
        <v>0</v>
      </c>
      <c r="G409" s="293">
        <f t="shared" si="17"/>
        <v>0</v>
      </c>
      <c r="H409" s="293">
        <f t="shared" si="17"/>
        <v>0</v>
      </c>
      <c r="I409" s="293">
        <f t="shared" si="17"/>
        <v>0</v>
      </c>
      <c r="J409" s="293">
        <f t="shared" si="17"/>
        <v>0</v>
      </c>
      <c r="K409" s="293">
        <f t="shared" si="17"/>
        <v>0</v>
      </c>
      <c r="L409" s="293">
        <f t="shared" si="17"/>
        <v>0</v>
      </c>
      <c r="M409" s="293">
        <f t="shared" si="17"/>
        <v>0</v>
      </c>
      <c r="N409" s="293">
        <f t="shared" si="17"/>
        <v>0</v>
      </c>
      <c r="O409" s="293">
        <f t="shared" si="17"/>
        <v>0</v>
      </c>
      <c r="P409" s="293">
        <f t="shared" si="17"/>
        <v>0</v>
      </c>
      <c r="Q409" s="293">
        <f t="shared" si="17"/>
        <v>0</v>
      </c>
      <c r="R409" s="293">
        <f t="shared" si="17"/>
        <v>0</v>
      </c>
      <c r="S409" s="293">
        <f t="shared" si="17"/>
        <v>0</v>
      </c>
      <c r="T409" s="293">
        <f t="shared" si="17"/>
        <v>0</v>
      </c>
      <c r="U409" s="293">
        <f t="shared" si="17"/>
        <v>0</v>
      </c>
      <c r="V409" s="293">
        <f t="shared" si="17"/>
        <v>0</v>
      </c>
      <c r="W409" s="293">
        <f t="shared" si="17"/>
        <v>0</v>
      </c>
      <c r="X409" s="293">
        <f t="shared" si="17"/>
        <v>0</v>
      </c>
    </row>
    <row r="410" spans="2:24">
      <c r="B410" s="72" t="s">
        <v>709</v>
      </c>
      <c r="C410" s="72" t="s">
        <v>710</v>
      </c>
      <c r="D410" s="293">
        <f t="shared" si="15"/>
        <v>0</v>
      </c>
      <c r="E410" s="293">
        <f t="shared" si="17"/>
        <v>0</v>
      </c>
      <c r="F410" s="293">
        <f t="shared" si="17"/>
        <v>0</v>
      </c>
      <c r="G410" s="293">
        <f t="shared" si="17"/>
        <v>0</v>
      </c>
      <c r="H410" s="293">
        <f t="shared" si="17"/>
        <v>0</v>
      </c>
      <c r="I410" s="293">
        <f t="shared" si="17"/>
        <v>0</v>
      </c>
      <c r="J410" s="293">
        <f t="shared" ref="E410:X422" si="18">J160/J$251</f>
        <v>0</v>
      </c>
      <c r="K410" s="293">
        <f t="shared" si="18"/>
        <v>0</v>
      </c>
      <c r="L410" s="293">
        <f t="shared" si="18"/>
        <v>0</v>
      </c>
      <c r="M410" s="293">
        <f t="shared" si="18"/>
        <v>0</v>
      </c>
      <c r="N410" s="293">
        <f t="shared" si="18"/>
        <v>0</v>
      </c>
      <c r="O410" s="293">
        <f t="shared" si="18"/>
        <v>0</v>
      </c>
      <c r="P410" s="293">
        <f t="shared" si="18"/>
        <v>0</v>
      </c>
      <c r="Q410" s="293">
        <f t="shared" si="18"/>
        <v>0</v>
      </c>
      <c r="R410" s="293">
        <f t="shared" si="18"/>
        <v>0</v>
      </c>
      <c r="S410" s="293">
        <f t="shared" si="18"/>
        <v>0</v>
      </c>
      <c r="T410" s="293">
        <f t="shared" si="18"/>
        <v>0</v>
      </c>
      <c r="U410" s="293">
        <f t="shared" si="18"/>
        <v>0</v>
      </c>
      <c r="V410" s="293">
        <f t="shared" si="18"/>
        <v>0</v>
      </c>
      <c r="W410" s="293">
        <f t="shared" si="18"/>
        <v>0</v>
      </c>
      <c r="X410" s="293">
        <f t="shared" si="18"/>
        <v>0</v>
      </c>
    </row>
    <row r="411" spans="2:24">
      <c r="B411" s="72" t="s">
        <v>711</v>
      </c>
      <c r="C411" s="72" t="s">
        <v>712</v>
      </c>
      <c r="D411" s="293">
        <f t="shared" si="15"/>
        <v>0.4467374213836478</v>
      </c>
      <c r="E411" s="293">
        <f t="shared" si="18"/>
        <v>0.35131726841571403</v>
      </c>
      <c r="F411" s="293">
        <f t="shared" si="18"/>
        <v>0.29765068565961517</v>
      </c>
      <c r="G411" s="293">
        <f t="shared" si="18"/>
        <v>0.27560430527370339</v>
      </c>
      <c r="H411" s="293">
        <f t="shared" si="18"/>
        <v>0.32128889001034544</v>
      </c>
      <c r="I411" s="293">
        <f t="shared" si="18"/>
        <v>0.32857213585503514</v>
      </c>
      <c r="J411" s="293">
        <f t="shared" si="18"/>
        <v>0.34585457472497988</v>
      </c>
      <c r="K411" s="293">
        <f t="shared" si="18"/>
        <v>0.36586119963849117</v>
      </c>
      <c r="L411" s="293">
        <f t="shared" si="18"/>
        <v>0.36279102286233655</v>
      </c>
      <c r="M411" s="293">
        <f t="shared" si="18"/>
        <v>0.41318207600680656</v>
      </c>
      <c r="N411" s="293">
        <f t="shared" si="18"/>
        <v>0.45097119892833221</v>
      </c>
      <c r="O411" s="293">
        <f t="shared" si="18"/>
        <v>0.45891633431020429</v>
      </c>
      <c r="P411" s="293">
        <f t="shared" si="18"/>
        <v>0.48613034446944781</v>
      </c>
      <c r="Q411" s="293">
        <f t="shared" si="18"/>
        <v>0.51250026551116212</v>
      </c>
      <c r="R411" s="293">
        <f t="shared" si="18"/>
        <v>0.53298191822248353</v>
      </c>
      <c r="S411" s="293">
        <f t="shared" si="18"/>
        <v>0.55379225061830173</v>
      </c>
      <c r="T411" s="293">
        <f t="shared" si="18"/>
        <v>0.58001091195667553</v>
      </c>
      <c r="U411" s="293">
        <f t="shared" si="18"/>
        <v>0.60564212241572457</v>
      </c>
      <c r="V411" s="293">
        <f t="shared" si="18"/>
        <v>0.57276233429577017</v>
      </c>
      <c r="W411" s="293">
        <f t="shared" si="18"/>
        <v>0.60548910098778808</v>
      </c>
      <c r="X411" s="293">
        <f t="shared" si="18"/>
        <v>0.6218778715228469</v>
      </c>
    </row>
    <row r="412" spans="2:24">
      <c r="B412" s="72" t="s">
        <v>713</v>
      </c>
      <c r="C412" s="72" t="s">
        <v>714</v>
      </c>
      <c r="D412" s="293">
        <f t="shared" si="15"/>
        <v>1.3753369272237197</v>
      </c>
      <c r="E412" s="293">
        <f t="shared" si="18"/>
        <v>1.3305918798146776</v>
      </c>
      <c r="F412" s="293">
        <f t="shared" si="18"/>
        <v>1.3204262783033911</v>
      </c>
      <c r="G412" s="293">
        <f t="shared" si="18"/>
        <v>1.2903747848647538</v>
      </c>
      <c r="H412" s="293">
        <f t="shared" si="18"/>
        <v>1.2534379652292398</v>
      </c>
      <c r="I412" s="293">
        <f t="shared" si="18"/>
        <v>1.2172987424497475</v>
      </c>
      <c r="J412" s="293">
        <f t="shared" si="18"/>
        <v>1.2327731297412006</v>
      </c>
      <c r="K412" s="293">
        <f t="shared" si="18"/>
        <v>1.2251581601103554</v>
      </c>
      <c r="L412" s="293">
        <f t="shared" si="18"/>
        <v>1.2396000838984829</v>
      </c>
      <c r="M412" s="293">
        <f t="shared" si="18"/>
        <v>1.2397504254112308</v>
      </c>
      <c r="N412" s="293">
        <f t="shared" si="18"/>
        <v>1.1850636302746149</v>
      </c>
      <c r="O412" s="293">
        <f t="shared" si="18"/>
        <v>1.1794724896987858</v>
      </c>
      <c r="P412" s="293">
        <f t="shared" si="18"/>
        <v>1.1552276267959147</v>
      </c>
      <c r="Q412" s="293">
        <f t="shared" si="18"/>
        <v>1.1582021708192611</v>
      </c>
      <c r="R412" s="293">
        <f t="shared" si="18"/>
        <v>1.1731734464581978</v>
      </c>
      <c r="S412" s="293">
        <f t="shared" si="18"/>
        <v>1.1668796372629844</v>
      </c>
      <c r="T412" s="293">
        <f t="shared" si="18"/>
        <v>1.1680037181482006</v>
      </c>
      <c r="U412" s="293">
        <f t="shared" si="18"/>
        <v>1.1324778490681333</v>
      </c>
      <c r="V412" s="293">
        <f t="shared" si="18"/>
        <v>1.098969419798099</v>
      </c>
      <c r="W412" s="293">
        <f t="shared" si="18"/>
        <v>1.0958404534655941</v>
      </c>
      <c r="X412" s="293">
        <f t="shared" si="18"/>
        <v>1.0846629354272825</v>
      </c>
    </row>
    <row r="413" spans="2:24">
      <c r="B413" s="72" t="s">
        <v>715</v>
      </c>
      <c r="C413" s="72" t="s">
        <v>716</v>
      </c>
      <c r="D413" s="293">
        <f t="shared" si="15"/>
        <v>0</v>
      </c>
      <c r="E413" s="293">
        <f t="shared" si="18"/>
        <v>0</v>
      </c>
      <c r="F413" s="293">
        <f t="shared" si="18"/>
        <v>0</v>
      </c>
      <c r="G413" s="293">
        <f t="shared" si="18"/>
        <v>0</v>
      </c>
      <c r="H413" s="293">
        <f t="shared" si="18"/>
        <v>0</v>
      </c>
      <c r="I413" s="293">
        <f t="shared" si="18"/>
        <v>0</v>
      </c>
      <c r="J413" s="293">
        <f t="shared" si="18"/>
        <v>0</v>
      </c>
      <c r="K413" s="293">
        <f t="shared" si="18"/>
        <v>0</v>
      </c>
      <c r="L413" s="293">
        <f t="shared" si="18"/>
        <v>0</v>
      </c>
      <c r="M413" s="293">
        <f t="shared" si="18"/>
        <v>0</v>
      </c>
      <c r="N413" s="293">
        <f t="shared" si="18"/>
        <v>0</v>
      </c>
      <c r="O413" s="293">
        <f t="shared" si="18"/>
        <v>0</v>
      </c>
      <c r="P413" s="293">
        <f t="shared" si="18"/>
        <v>0</v>
      </c>
      <c r="Q413" s="293">
        <f t="shared" si="18"/>
        <v>0</v>
      </c>
      <c r="R413" s="293">
        <f t="shared" si="18"/>
        <v>0</v>
      </c>
      <c r="S413" s="293">
        <f t="shared" si="18"/>
        <v>0</v>
      </c>
      <c r="T413" s="293">
        <f t="shared" si="18"/>
        <v>0</v>
      </c>
      <c r="U413" s="293">
        <f t="shared" si="18"/>
        <v>0</v>
      </c>
      <c r="V413" s="293">
        <f t="shared" si="18"/>
        <v>0</v>
      </c>
      <c r="W413" s="293">
        <f t="shared" si="18"/>
        <v>0</v>
      </c>
      <c r="X413" s="293">
        <f t="shared" si="18"/>
        <v>0</v>
      </c>
    </row>
    <row r="414" spans="2:24">
      <c r="B414" s="72" t="s">
        <v>717</v>
      </c>
      <c r="C414" s="72" t="s">
        <v>718</v>
      </c>
      <c r="D414" s="293">
        <f t="shared" si="15"/>
        <v>0.4099000449236298</v>
      </c>
      <c r="E414" s="293">
        <f t="shared" si="18"/>
        <v>0.37360528552238398</v>
      </c>
      <c r="F414" s="293">
        <f t="shared" si="18"/>
        <v>0.33560114808121611</v>
      </c>
      <c r="G414" s="293">
        <f t="shared" si="18"/>
        <v>0.31911942253846748</v>
      </c>
      <c r="H414" s="293">
        <f t="shared" si="18"/>
        <v>0.30973228028563499</v>
      </c>
      <c r="I414" s="293">
        <f t="shared" si="18"/>
        <v>0.30649074165758988</v>
      </c>
      <c r="J414" s="293">
        <f t="shared" si="18"/>
        <v>0.30641266434129327</v>
      </c>
      <c r="K414" s="293">
        <f t="shared" si="18"/>
        <v>0.29853018123008135</v>
      </c>
      <c r="L414" s="293">
        <f t="shared" si="18"/>
        <v>0.30706844717891352</v>
      </c>
      <c r="M414" s="293">
        <f t="shared" si="18"/>
        <v>0.31160521837776517</v>
      </c>
      <c r="N414" s="293">
        <f t="shared" si="18"/>
        <v>0.29772270596115202</v>
      </c>
      <c r="O414" s="293">
        <f t="shared" si="18"/>
        <v>0.29801908203512328</v>
      </c>
      <c r="P414" s="293">
        <f t="shared" si="18"/>
        <v>0.30675523628180718</v>
      </c>
      <c r="Q414" s="293">
        <f t="shared" si="18"/>
        <v>0.32205441916778182</v>
      </c>
      <c r="R414" s="293">
        <f t="shared" si="18"/>
        <v>0.32549299619883654</v>
      </c>
      <c r="S414" s="293">
        <f t="shared" si="18"/>
        <v>0.32512366034624895</v>
      </c>
      <c r="T414" s="293">
        <f t="shared" si="18"/>
        <v>0.32438822316972132</v>
      </c>
      <c r="U414" s="293">
        <f t="shared" si="18"/>
        <v>0.32306752215093187</v>
      </c>
      <c r="V414" s="293">
        <f t="shared" si="18"/>
        <v>0.32302050622773926</v>
      </c>
      <c r="W414" s="293">
        <f t="shared" si="18"/>
        <v>0.3209686158462885</v>
      </c>
      <c r="X414" s="293">
        <f t="shared" si="18"/>
        <v>0.32887812212847717</v>
      </c>
    </row>
    <row r="415" spans="2:24">
      <c r="B415" s="72" t="s">
        <v>719</v>
      </c>
      <c r="C415" s="72" t="s">
        <v>720</v>
      </c>
      <c r="D415" s="293">
        <f t="shared" si="15"/>
        <v>4.3660152740341421E-2</v>
      </c>
      <c r="E415" s="293">
        <f t="shared" si="18"/>
        <v>4.1779751624311211E-2</v>
      </c>
      <c r="F415" s="293">
        <f t="shared" si="18"/>
        <v>4.0076538747741045E-2</v>
      </c>
      <c r="G415" s="293">
        <f t="shared" si="18"/>
        <v>3.7504174265971385E-2</v>
      </c>
      <c r="H415" s="293">
        <f t="shared" si="18"/>
        <v>3.6360424919885947E-2</v>
      </c>
      <c r="I415" s="293">
        <f t="shared" si="18"/>
        <v>3.5325279730666403E-2</v>
      </c>
      <c r="J415" s="293">
        <f t="shared" si="18"/>
        <v>3.5051345220381981E-2</v>
      </c>
      <c r="K415" s="293">
        <f t="shared" si="18"/>
        <v>3.4486039100033297E-2</v>
      </c>
      <c r="L415" s="293">
        <f t="shared" si="18"/>
        <v>3.4398377962665178E-2</v>
      </c>
      <c r="M415" s="293">
        <f t="shared" si="18"/>
        <v>3.389676687464549E-2</v>
      </c>
      <c r="N415" s="293">
        <f t="shared" si="18"/>
        <v>3.4315695467738334E-2</v>
      </c>
      <c r="O415" s="293">
        <f t="shared" si="18"/>
        <v>2.8623052684926074E-2</v>
      </c>
      <c r="P415" s="293">
        <f t="shared" si="18"/>
        <v>2.9924701402111824E-2</v>
      </c>
      <c r="Q415" s="293">
        <f t="shared" si="18"/>
        <v>2.9928418190700738E-2</v>
      </c>
      <c r="R415" s="293">
        <f t="shared" si="18"/>
        <v>2.9947287733372536E-2</v>
      </c>
      <c r="S415" s="293">
        <f t="shared" si="18"/>
        <v>2.9863973619126134E-2</v>
      </c>
      <c r="T415" s="293">
        <f t="shared" si="18"/>
        <v>3.0068502839129468E-2</v>
      </c>
      <c r="U415" s="293">
        <f t="shared" si="18"/>
        <v>3.1408493736633056E-2</v>
      </c>
      <c r="V415" s="293">
        <f t="shared" si="18"/>
        <v>3.0200847225442053E-2</v>
      </c>
      <c r="W415" s="293">
        <f t="shared" si="18"/>
        <v>2.9050139624057017E-2</v>
      </c>
      <c r="X415" s="293">
        <f t="shared" si="18"/>
        <v>2.8443739036003675E-2</v>
      </c>
    </row>
    <row r="416" spans="2:24">
      <c r="B416" s="72" t="s">
        <v>721</v>
      </c>
      <c r="C416" s="72" t="s">
        <v>722</v>
      </c>
      <c r="D416" s="293">
        <f t="shared" si="15"/>
        <v>3.8746630727762806E-2</v>
      </c>
      <c r="E416" s="293">
        <f t="shared" si="18"/>
        <v>3.4542314335060449E-2</v>
      </c>
      <c r="F416" s="293">
        <f t="shared" si="18"/>
        <v>3.6488784947379609E-2</v>
      </c>
      <c r="G416" s="293">
        <f t="shared" si="18"/>
        <v>3.1441855685992448E-2</v>
      </c>
      <c r="H416" s="293">
        <f t="shared" si="18"/>
        <v>3.4745527491105446E-2</v>
      </c>
      <c r="I416" s="293">
        <f t="shared" si="18"/>
        <v>3.6884840083176551E-2</v>
      </c>
      <c r="J416" s="293">
        <f t="shared" si="18"/>
        <v>3.7905212576529991E-2</v>
      </c>
      <c r="K416" s="293">
        <f t="shared" si="18"/>
        <v>3.6460067545069683E-2</v>
      </c>
      <c r="L416" s="293">
        <f t="shared" si="18"/>
        <v>3.6146263021743688E-2</v>
      </c>
      <c r="M416" s="293">
        <f t="shared" si="18"/>
        <v>3.457742484401588E-2</v>
      </c>
      <c r="N416" s="293">
        <f t="shared" si="18"/>
        <v>3.1770484483143561E-2</v>
      </c>
      <c r="O416" s="293">
        <f t="shared" si="18"/>
        <v>3.1046867769869774E-2</v>
      </c>
      <c r="P416" s="293">
        <f t="shared" si="18"/>
        <v>3.1396053314869311E-2</v>
      </c>
      <c r="Q416" s="293">
        <f t="shared" si="18"/>
        <v>3.1712653199940523E-2</v>
      </c>
      <c r="R416" s="293">
        <f t="shared" si="18"/>
        <v>3.1270344624818869E-2</v>
      </c>
      <c r="S416" s="293">
        <f t="shared" si="18"/>
        <v>3.0544105523495464E-2</v>
      </c>
      <c r="T416" s="293">
        <f t="shared" si="18"/>
        <v>3.1887162285044554E-2</v>
      </c>
      <c r="U416" s="293">
        <f t="shared" si="18"/>
        <v>3.3873103167328646E-2</v>
      </c>
      <c r="V416" s="293">
        <f t="shared" si="18"/>
        <v>3.7008156125524244E-2</v>
      </c>
      <c r="W416" s="293">
        <f t="shared" si="18"/>
        <v>3.7823531863460179E-2</v>
      </c>
      <c r="X416" s="293">
        <f t="shared" si="18"/>
        <v>3.8447080444407318E-2</v>
      </c>
    </row>
    <row r="417" spans="2:24">
      <c r="B417" s="72" t="s">
        <v>723</v>
      </c>
      <c r="C417" s="72" t="s">
        <v>724</v>
      </c>
      <c r="D417" s="293">
        <f t="shared" si="15"/>
        <v>0.40091531895777177</v>
      </c>
      <c r="E417" s="293">
        <f t="shared" si="18"/>
        <v>0.41390465224662115</v>
      </c>
      <c r="F417" s="293">
        <f t="shared" si="18"/>
        <v>0.42306261294780484</v>
      </c>
      <c r="G417" s="293">
        <f t="shared" si="18"/>
        <v>0.43445760230162606</v>
      </c>
      <c r="H417" s="293">
        <f t="shared" si="18"/>
        <v>0.46612500315409655</v>
      </c>
      <c r="I417" s="293">
        <f t="shared" si="18"/>
        <v>0.45786711555599563</v>
      </c>
      <c r="J417" s="293">
        <f t="shared" si="18"/>
        <v>0.47459570212454572</v>
      </c>
      <c r="K417" s="293">
        <f t="shared" si="18"/>
        <v>0.42715121533558481</v>
      </c>
      <c r="L417" s="293">
        <f t="shared" si="18"/>
        <v>0.43228693281129832</v>
      </c>
      <c r="M417" s="293">
        <f t="shared" si="18"/>
        <v>0.4368235961429382</v>
      </c>
      <c r="N417" s="293">
        <f t="shared" si="18"/>
        <v>0.42801964724268809</v>
      </c>
      <c r="O417" s="293">
        <f t="shared" si="18"/>
        <v>0.43652909679836061</v>
      </c>
      <c r="P417" s="293">
        <f t="shared" si="18"/>
        <v>0.43844123247360223</v>
      </c>
      <c r="Q417" s="293">
        <f t="shared" si="18"/>
        <v>0.45455510949680322</v>
      </c>
      <c r="R417" s="293">
        <f t="shared" si="18"/>
        <v>0.470294222651574</v>
      </c>
      <c r="S417" s="293">
        <f t="shared" si="18"/>
        <v>0.47759686727122835</v>
      </c>
      <c r="T417" s="293">
        <f t="shared" si="18"/>
        <v>0.48616808454745691</v>
      </c>
      <c r="U417" s="293">
        <f t="shared" si="18"/>
        <v>0.50777064874223443</v>
      </c>
      <c r="V417" s="293">
        <f t="shared" si="18"/>
        <v>0.50553225568505133</v>
      </c>
      <c r="W417" s="293">
        <f t="shared" si="18"/>
        <v>0.5246321843871129</v>
      </c>
      <c r="X417" s="293">
        <f t="shared" si="18"/>
        <v>0.54316681981455184</v>
      </c>
    </row>
    <row r="418" spans="2:24">
      <c r="B418" s="72" t="s">
        <v>725</v>
      </c>
      <c r="C418" s="72" t="s">
        <v>726</v>
      </c>
      <c r="D418" s="293">
        <f t="shared" si="15"/>
        <v>0</v>
      </c>
      <c r="E418" s="293">
        <f t="shared" si="18"/>
        <v>0</v>
      </c>
      <c r="F418" s="293">
        <f t="shared" si="18"/>
        <v>0</v>
      </c>
      <c r="G418" s="293">
        <f t="shared" si="18"/>
        <v>0</v>
      </c>
      <c r="H418" s="293">
        <f t="shared" si="18"/>
        <v>0</v>
      </c>
      <c r="I418" s="293">
        <f t="shared" si="18"/>
        <v>0</v>
      </c>
      <c r="J418" s="293">
        <f t="shared" si="18"/>
        <v>0</v>
      </c>
      <c r="K418" s="293">
        <f t="shared" si="18"/>
        <v>0</v>
      </c>
      <c r="L418" s="293">
        <f t="shared" si="18"/>
        <v>0</v>
      </c>
      <c r="M418" s="293">
        <f t="shared" si="18"/>
        <v>0</v>
      </c>
      <c r="N418" s="293">
        <f t="shared" si="18"/>
        <v>0</v>
      </c>
      <c r="O418" s="293">
        <f t="shared" si="18"/>
        <v>0</v>
      </c>
      <c r="P418" s="293">
        <f t="shared" si="18"/>
        <v>0</v>
      </c>
      <c r="Q418" s="293">
        <f t="shared" si="18"/>
        <v>0</v>
      </c>
      <c r="R418" s="293">
        <f t="shared" si="18"/>
        <v>0</v>
      </c>
      <c r="S418" s="293">
        <f t="shared" si="18"/>
        <v>0</v>
      </c>
      <c r="T418" s="293">
        <f t="shared" si="18"/>
        <v>0</v>
      </c>
      <c r="U418" s="293">
        <f t="shared" si="18"/>
        <v>0</v>
      </c>
      <c r="V418" s="293">
        <f t="shared" si="18"/>
        <v>0</v>
      </c>
      <c r="W418" s="293">
        <f t="shared" si="18"/>
        <v>0</v>
      </c>
      <c r="X418" s="293">
        <f t="shared" si="18"/>
        <v>0</v>
      </c>
    </row>
    <row r="419" spans="2:24">
      <c r="B419" s="72" t="s">
        <v>727</v>
      </c>
      <c r="C419" s="72" t="s">
        <v>728</v>
      </c>
      <c r="D419" s="293">
        <f t="shared" si="15"/>
        <v>7.6033243486073682E-2</v>
      </c>
      <c r="E419" s="293">
        <f t="shared" si="18"/>
        <v>7.0373111823889029E-2</v>
      </c>
      <c r="F419" s="293">
        <f t="shared" si="18"/>
        <v>6.8938024875093012E-2</v>
      </c>
      <c r="G419" s="293">
        <f t="shared" si="18"/>
        <v>6.70965090292584E-2</v>
      </c>
      <c r="H419" s="293">
        <f t="shared" si="18"/>
        <v>6.5680906361181901E-2</v>
      </c>
      <c r="I419" s="293">
        <f t="shared" si="18"/>
        <v>6.7407664125160902E-2</v>
      </c>
      <c r="J419" s="293">
        <f t="shared" si="18"/>
        <v>6.8297680318072054E-2</v>
      </c>
      <c r="K419" s="293">
        <f t="shared" si="18"/>
        <v>6.7711554012272274E-2</v>
      </c>
      <c r="L419" s="293">
        <f t="shared" si="18"/>
        <v>6.8260737840546273E-2</v>
      </c>
      <c r="M419" s="293">
        <f t="shared" si="18"/>
        <v>6.241633579126489E-2</v>
      </c>
      <c r="N419" s="293">
        <f t="shared" si="18"/>
        <v>6.6889930788122345E-2</v>
      </c>
      <c r="O419" s="293">
        <f t="shared" si="18"/>
        <v>6.6632880153361385E-2</v>
      </c>
      <c r="P419" s="293">
        <f t="shared" si="18"/>
        <v>6.8244763718192838E-2</v>
      </c>
      <c r="Q419" s="293">
        <f t="shared" si="18"/>
        <v>6.6292826950445E-2</v>
      </c>
      <c r="R419" s="293">
        <f t="shared" si="18"/>
        <v>6.7433899657685287E-2</v>
      </c>
      <c r="S419" s="293">
        <f t="shared" si="18"/>
        <v>6.7415498763396531E-2</v>
      </c>
      <c r="T419" s="293">
        <f t="shared" si="18"/>
        <v>6.6724594337906923E-2</v>
      </c>
      <c r="U419" s="293">
        <f t="shared" si="18"/>
        <v>6.8479478561971688E-2</v>
      </c>
      <c r="V419" s="293">
        <f t="shared" si="18"/>
        <v>7.1655883158759925E-2</v>
      </c>
      <c r="W419" s="293">
        <f t="shared" si="18"/>
        <v>7.2875421998082779E-2</v>
      </c>
      <c r="X419" s="293">
        <f t="shared" si="18"/>
        <v>7.468047782140172E-2</v>
      </c>
    </row>
    <row r="420" spans="2:24">
      <c r="B420" s="72" t="s">
        <v>729</v>
      </c>
      <c r="C420" s="72" t="s">
        <v>730</v>
      </c>
      <c r="D420" s="293">
        <f t="shared" si="15"/>
        <v>0.66683513027852648</v>
      </c>
      <c r="E420" s="293">
        <f t="shared" si="18"/>
        <v>0.69501329604956552</v>
      </c>
      <c r="F420" s="293">
        <f t="shared" si="18"/>
        <v>0.69429680025512919</v>
      </c>
      <c r="G420" s="293">
        <f t="shared" si="18"/>
        <v>0.69821983611189598</v>
      </c>
      <c r="H420" s="293">
        <f t="shared" si="18"/>
        <v>0.71078196361434232</v>
      </c>
      <c r="I420" s="293">
        <f t="shared" si="18"/>
        <v>0.71427864144964848</v>
      </c>
      <c r="J420" s="293">
        <f t="shared" si="18"/>
        <v>0.7391272532136498</v>
      </c>
      <c r="K420" s="293">
        <f t="shared" si="18"/>
        <v>0.74085525376968087</v>
      </c>
      <c r="L420" s="293">
        <f t="shared" si="18"/>
        <v>0.75695075625160224</v>
      </c>
      <c r="M420" s="293">
        <f t="shared" si="18"/>
        <v>0.71405558706749861</v>
      </c>
      <c r="N420" s="293">
        <f t="shared" si="18"/>
        <v>0.67968296494753289</v>
      </c>
      <c r="O420" s="293">
        <f t="shared" si="18"/>
        <v>0.68598373840424831</v>
      </c>
      <c r="P420" s="293">
        <f t="shared" si="18"/>
        <v>0.66782066816686858</v>
      </c>
      <c r="Q420" s="293">
        <f t="shared" si="18"/>
        <v>0.65617366554089929</v>
      </c>
      <c r="R420" s="293">
        <f t="shared" si="18"/>
        <v>0.66285150261461245</v>
      </c>
      <c r="S420" s="293">
        <f t="shared" si="18"/>
        <v>0.66016075845012367</v>
      </c>
      <c r="T420" s="293">
        <f t="shared" si="18"/>
        <v>0.65411118071412699</v>
      </c>
      <c r="U420" s="293">
        <f t="shared" si="18"/>
        <v>0.67023118443833385</v>
      </c>
      <c r="V420" s="293">
        <f t="shared" si="18"/>
        <v>0.67740099896731232</v>
      </c>
      <c r="W420" s="293">
        <f t="shared" si="18"/>
        <v>0.67348810069603637</v>
      </c>
      <c r="X420" s="293">
        <f t="shared" si="18"/>
        <v>0.68214852560354189</v>
      </c>
    </row>
    <row r="421" spans="2:24">
      <c r="B421" s="72" t="s">
        <v>731</v>
      </c>
      <c r="C421" s="72" t="s">
        <v>732</v>
      </c>
      <c r="D421" s="293">
        <f t="shared" si="15"/>
        <v>0</v>
      </c>
      <c r="E421" s="293">
        <f t="shared" si="18"/>
        <v>0</v>
      </c>
      <c r="F421" s="293">
        <f t="shared" si="18"/>
        <v>0</v>
      </c>
      <c r="G421" s="293">
        <f t="shared" si="18"/>
        <v>0</v>
      </c>
      <c r="H421" s="293">
        <f t="shared" si="18"/>
        <v>0</v>
      </c>
      <c r="I421" s="293">
        <f t="shared" si="18"/>
        <v>0</v>
      </c>
      <c r="J421" s="293">
        <f t="shared" si="18"/>
        <v>0</v>
      </c>
      <c r="K421" s="293">
        <f t="shared" si="18"/>
        <v>0</v>
      </c>
      <c r="L421" s="293">
        <f t="shared" si="18"/>
        <v>0</v>
      </c>
      <c r="M421" s="293">
        <f t="shared" si="18"/>
        <v>0</v>
      </c>
      <c r="N421" s="293">
        <f t="shared" si="18"/>
        <v>0</v>
      </c>
      <c r="O421" s="293">
        <f t="shared" si="18"/>
        <v>0</v>
      </c>
      <c r="P421" s="293">
        <f t="shared" si="18"/>
        <v>0</v>
      </c>
      <c r="Q421" s="293">
        <f t="shared" si="18"/>
        <v>0</v>
      </c>
      <c r="R421" s="293">
        <f t="shared" si="18"/>
        <v>0</v>
      </c>
      <c r="S421" s="293">
        <f t="shared" si="18"/>
        <v>0</v>
      </c>
      <c r="T421" s="293">
        <f t="shared" si="18"/>
        <v>0</v>
      </c>
      <c r="U421" s="293">
        <f t="shared" si="18"/>
        <v>0</v>
      </c>
      <c r="V421" s="293">
        <f t="shared" si="18"/>
        <v>0</v>
      </c>
      <c r="W421" s="293">
        <f t="shared" si="18"/>
        <v>0</v>
      </c>
      <c r="X421" s="293">
        <f t="shared" si="18"/>
        <v>0</v>
      </c>
    </row>
    <row r="422" spans="2:24">
      <c r="B422" s="72" t="s">
        <v>733</v>
      </c>
      <c r="C422" s="72" t="s">
        <v>734</v>
      </c>
      <c r="D422" s="293">
        <f t="shared" si="15"/>
        <v>0</v>
      </c>
      <c r="E422" s="293">
        <f t="shared" si="18"/>
        <v>0</v>
      </c>
      <c r="F422" s="293">
        <f t="shared" si="18"/>
        <v>0</v>
      </c>
      <c r="G422" s="293">
        <f t="shared" si="18"/>
        <v>0</v>
      </c>
      <c r="H422" s="293">
        <f t="shared" si="18"/>
        <v>0</v>
      </c>
      <c r="I422" s="293">
        <f t="shared" si="18"/>
        <v>0</v>
      </c>
      <c r="J422" s="293">
        <f t="shared" si="18"/>
        <v>0</v>
      </c>
      <c r="K422" s="293">
        <f t="shared" si="18"/>
        <v>0</v>
      </c>
      <c r="L422" s="293">
        <f t="shared" si="18"/>
        <v>0</v>
      </c>
      <c r="M422" s="293">
        <f t="shared" si="18"/>
        <v>0</v>
      </c>
      <c r="N422" s="293">
        <f t="shared" si="18"/>
        <v>0</v>
      </c>
      <c r="O422" s="293">
        <f t="shared" si="18"/>
        <v>0</v>
      </c>
      <c r="P422" s="293">
        <f t="shared" si="18"/>
        <v>0</v>
      </c>
      <c r="Q422" s="293">
        <f t="shared" si="18"/>
        <v>0</v>
      </c>
      <c r="R422" s="293">
        <f t="shared" si="18"/>
        <v>0</v>
      </c>
      <c r="S422" s="293">
        <f t="shared" si="18"/>
        <v>0</v>
      </c>
      <c r="T422" s="293">
        <f t="shared" si="18"/>
        <v>0</v>
      </c>
      <c r="U422" s="293">
        <f t="shared" si="18"/>
        <v>0</v>
      </c>
      <c r="V422" s="293">
        <f t="shared" si="18"/>
        <v>0</v>
      </c>
      <c r="W422" s="293">
        <f t="shared" si="18"/>
        <v>0</v>
      </c>
      <c r="X422" s="293">
        <f t="shared" si="18"/>
        <v>0</v>
      </c>
    </row>
    <row r="423" spans="2:24">
      <c r="B423" s="72" t="s">
        <v>735</v>
      </c>
      <c r="C423" s="72" t="s">
        <v>736</v>
      </c>
      <c r="D423" s="293">
        <f t="shared" si="15"/>
        <v>0</v>
      </c>
      <c r="E423" s="293">
        <f t="shared" ref="E423:X435" si="19">E173/E$251</f>
        <v>0</v>
      </c>
      <c r="F423" s="293">
        <f t="shared" si="19"/>
        <v>0</v>
      </c>
      <c r="G423" s="293">
        <f t="shared" si="19"/>
        <v>0</v>
      </c>
      <c r="H423" s="293">
        <f t="shared" si="19"/>
        <v>0</v>
      </c>
      <c r="I423" s="293">
        <f t="shared" si="19"/>
        <v>0</v>
      </c>
      <c r="J423" s="293">
        <f t="shared" si="19"/>
        <v>0</v>
      </c>
      <c r="K423" s="293">
        <f t="shared" si="19"/>
        <v>0</v>
      </c>
      <c r="L423" s="293">
        <f t="shared" si="19"/>
        <v>0</v>
      </c>
      <c r="M423" s="293">
        <f t="shared" si="19"/>
        <v>0</v>
      </c>
      <c r="N423" s="293">
        <f t="shared" si="19"/>
        <v>0</v>
      </c>
      <c r="O423" s="293">
        <f t="shared" si="19"/>
        <v>0</v>
      </c>
      <c r="P423" s="293">
        <f t="shared" si="19"/>
        <v>0</v>
      </c>
      <c r="Q423" s="293">
        <f t="shared" si="19"/>
        <v>0</v>
      </c>
      <c r="R423" s="293">
        <f t="shared" si="19"/>
        <v>0</v>
      </c>
      <c r="S423" s="293">
        <f t="shared" si="19"/>
        <v>0</v>
      </c>
      <c r="T423" s="293">
        <f t="shared" si="19"/>
        <v>0</v>
      </c>
      <c r="U423" s="293">
        <f t="shared" si="19"/>
        <v>0</v>
      </c>
      <c r="V423" s="293">
        <f t="shared" si="19"/>
        <v>0</v>
      </c>
      <c r="W423" s="293">
        <f t="shared" si="19"/>
        <v>0</v>
      </c>
      <c r="X423" s="293">
        <f t="shared" si="19"/>
        <v>0</v>
      </c>
    </row>
    <row r="424" spans="2:24">
      <c r="B424" s="72" t="s">
        <v>737</v>
      </c>
      <c r="C424" s="72" t="s">
        <v>738</v>
      </c>
      <c r="D424" s="293">
        <f t="shared" si="15"/>
        <v>0.48525943396226418</v>
      </c>
      <c r="E424" s="293">
        <f t="shared" si="19"/>
        <v>0.47969953669435533</v>
      </c>
      <c r="F424" s="293">
        <f t="shared" si="19"/>
        <v>0.46693951312852133</v>
      </c>
      <c r="G424" s="293">
        <f t="shared" si="19"/>
        <v>0.45832155976264483</v>
      </c>
      <c r="H424" s="293">
        <f t="shared" si="19"/>
        <v>0.43074865635487369</v>
      </c>
      <c r="I424" s="293">
        <f t="shared" si="19"/>
        <v>0.42717100703039906</v>
      </c>
      <c r="J424" s="293">
        <f t="shared" si="19"/>
        <v>0.42493353172183329</v>
      </c>
      <c r="K424" s="293">
        <f t="shared" si="19"/>
        <v>0.42398801312847834</v>
      </c>
      <c r="L424" s="293">
        <f t="shared" si="19"/>
        <v>0.42634412361043139</v>
      </c>
      <c r="M424" s="293">
        <f t="shared" si="19"/>
        <v>0.43353374929098126</v>
      </c>
      <c r="N424" s="293">
        <f t="shared" si="19"/>
        <v>0.42623353427104266</v>
      </c>
      <c r="O424" s="293">
        <f t="shared" si="19"/>
        <v>0.41440627547760173</v>
      </c>
      <c r="P424" s="293">
        <f t="shared" si="19"/>
        <v>0.40962004500605853</v>
      </c>
      <c r="Q424" s="293">
        <f t="shared" si="19"/>
        <v>0.40466025191699057</v>
      </c>
      <c r="R424" s="293">
        <f t="shared" si="19"/>
        <v>0.4108616670516832</v>
      </c>
      <c r="S424" s="293">
        <f t="shared" si="19"/>
        <v>0.40950123660346249</v>
      </c>
      <c r="T424" s="293">
        <f t="shared" si="19"/>
        <v>0.40814759431769959</v>
      </c>
      <c r="U424" s="293">
        <f t="shared" si="19"/>
        <v>0.4085548426520012</v>
      </c>
      <c r="V424" s="293">
        <f t="shared" si="19"/>
        <v>0.40211595607915868</v>
      </c>
      <c r="W424" s="293">
        <f t="shared" si="19"/>
        <v>0.4145375734589255</v>
      </c>
      <c r="X424" s="293">
        <f t="shared" si="19"/>
        <v>0.41195388856402976</v>
      </c>
    </row>
    <row r="425" spans="2:24">
      <c r="B425" s="72" t="s">
        <v>739</v>
      </c>
      <c r="C425" s="72" t="s">
        <v>740</v>
      </c>
      <c r="D425" s="293">
        <f t="shared" si="15"/>
        <v>0</v>
      </c>
      <c r="E425" s="293">
        <f t="shared" si="19"/>
        <v>0</v>
      </c>
      <c r="F425" s="293">
        <f t="shared" si="19"/>
        <v>0</v>
      </c>
      <c r="G425" s="293">
        <f t="shared" si="19"/>
        <v>0</v>
      </c>
      <c r="H425" s="293">
        <f t="shared" si="19"/>
        <v>0</v>
      </c>
      <c r="I425" s="293">
        <f t="shared" si="19"/>
        <v>0</v>
      </c>
      <c r="J425" s="293">
        <f t="shared" si="19"/>
        <v>0</v>
      </c>
      <c r="K425" s="293">
        <f t="shared" si="19"/>
        <v>0</v>
      </c>
      <c r="L425" s="293">
        <f t="shared" si="19"/>
        <v>0</v>
      </c>
      <c r="M425" s="293">
        <f t="shared" si="19"/>
        <v>0</v>
      </c>
      <c r="N425" s="293">
        <f t="shared" si="19"/>
        <v>0</v>
      </c>
      <c r="O425" s="293">
        <f t="shared" si="19"/>
        <v>0</v>
      </c>
      <c r="P425" s="293">
        <f t="shared" si="19"/>
        <v>0</v>
      </c>
      <c r="Q425" s="293">
        <f t="shared" si="19"/>
        <v>0</v>
      </c>
      <c r="R425" s="293">
        <f t="shared" si="19"/>
        <v>0</v>
      </c>
      <c r="S425" s="293">
        <f t="shared" si="19"/>
        <v>0</v>
      </c>
      <c r="T425" s="293">
        <f t="shared" si="19"/>
        <v>0</v>
      </c>
      <c r="U425" s="293">
        <f t="shared" si="19"/>
        <v>0</v>
      </c>
      <c r="V425" s="293">
        <f t="shared" si="19"/>
        <v>0</v>
      </c>
      <c r="W425" s="293">
        <f t="shared" si="19"/>
        <v>0</v>
      </c>
      <c r="X425" s="293">
        <f t="shared" si="19"/>
        <v>0</v>
      </c>
    </row>
    <row r="426" spans="2:24">
      <c r="B426" s="72" t="s">
        <v>741</v>
      </c>
      <c r="C426" s="72" t="s">
        <v>742</v>
      </c>
      <c r="D426" s="293">
        <f t="shared" si="15"/>
        <v>0.39249213836477986</v>
      </c>
      <c r="E426" s="293">
        <f t="shared" si="19"/>
        <v>0.27359706116182803</v>
      </c>
      <c r="F426" s="293">
        <f t="shared" si="19"/>
        <v>0.26371319230360368</v>
      </c>
      <c r="G426" s="293">
        <f t="shared" si="19"/>
        <v>0.17765675974209458</v>
      </c>
      <c r="H426" s="293">
        <f t="shared" si="19"/>
        <v>0.17395473240644949</v>
      </c>
      <c r="I426" s="293">
        <f t="shared" si="19"/>
        <v>0.16202099217744331</v>
      </c>
      <c r="J426" s="293">
        <f t="shared" si="19"/>
        <v>0.16389004073468791</v>
      </c>
      <c r="K426" s="293">
        <f t="shared" si="19"/>
        <v>0.1506920991295248</v>
      </c>
      <c r="L426" s="293">
        <f t="shared" si="19"/>
        <v>0.14404903400219068</v>
      </c>
      <c r="M426" s="293">
        <f t="shared" si="19"/>
        <v>0.14128190584231423</v>
      </c>
      <c r="N426" s="293">
        <f t="shared" si="19"/>
        <v>0.1490957803081045</v>
      </c>
      <c r="O426" s="293">
        <f t="shared" si="19"/>
        <v>0.15798867417314855</v>
      </c>
      <c r="P426" s="293">
        <f t="shared" si="19"/>
        <v>0.18355115111649645</v>
      </c>
      <c r="Q426" s="293">
        <f t="shared" si="19"/>
        <v>0.19940950317551351</v>
      </c>
      <c r="R426" s="293">
        <f t="shared" si="19"/>
        <v>0.21150009450406368</v>
      </c>
      <c r="S426" s="293">
        <f t="shared" si="19"/>
        <v>0.22811211871393239</v>
      </c>
      <c r="T426" s="293">
        <f t="shared" si="19"/>
        <v>0.23222260391618002</v>
      </c>
      <c r="U426" s="293">
        <f t="shared" si="19"/>
        <v>0.25165495467970261</v>
      </c>
      <c r="V426" s="293">
        <f t="shared" si="19"/>
        <v>0.25857236190436045</v>
      </c>
      <c r="W426" s="293">
        <f t="shared" si="19"/>
        <v>0.28322844162880839</v>
      </c>
      <c r="X426" s="293">
        <f t="shared" si="19"/>
        <v>0.30605212597109682</v>
      </c>
    </row>
    <row r="427" spans="2:24">
      <c r="B427" s="72" t="s">
        <v>743</v>
      </c>
      <c r="C427" s="72" t="s">
        <v>333</v>
      </c>
      <c r="D427" s="293">
        <f t="shared" si="15"/>
        <v>0</v>
      </c>
      <c r="E427" s="293">
        <f t="shared" si="19"/>
        <v>0</v>
      </c>
      <c r="F427" s="293">
        <f t="shared" si="19"/>
        <v>0</v>
      </c>
      <c r="G427" s="293">
        <f t="shared" si="19"/>
        <v>0</v>
      </c>
      <c r="H427" s="293">
        <f t="shared" si="19"/>
        <v>0</v>
      </c>
      <c r="I427" s="293">
        <f t="shared" si="19"/>
        <v>0</v>
      </c>
      <c r="J427" s="293">
        <f t="shared" si="19"/>
        <v>0</v>
      </c>
      <c r="K427" s="293">
        <f t="shared" si="19"/>
        <v>0</v>
      </c>
      <c r="L427" s="293">
        <f t="shared" si="19"/>
        <v>0</v>
      </c>
      <c r="M427" s="293">
        <f t="shared" si="19"/>
        <v>0</v>
      </c>
      <c r="N427" s="293">
        <f t="shared" si="19"/>
        <v>0</v>
      </c>
      <c r="O427" s="293">
        <f t="shared" si="19"/>
        <v>0</v>
      </c>
      <c r="P427" s="293">
        <f t="shared" si="19"/>
        <v>0</v>
      </c>
      <c r="Q427" s="293">
        <f t="shared" si="19"/>
        <v>0</v>
      </c>
      <c r="R427" s="293">
        <f t="shared" si="19"/>
        <v>0</v>
      </c>
      <c r="S427" s="293">
        <f t="shared" si="19"/>
        <v>0</v>
      </c>
      <c r="T427" s="293">
        <f t="shared" si="19"/>
        <v>0</v>
      </c>
      <c r="U427" s="293">
        <f t="shared" si="19"/>
        <v>0</v>
      </c>
      <c r="V427" s="293">
        <f t="shared" si="19"/>
        <v>0</v>
      </c>
      <c r="W427" s="293">
        <f t="shared" si="19"/>
        <v>0</v>
      </c>
      <c r="X427" s="293">
        <f t="shared" si="19"/>
        <v>0</v>
      </c>
    </row>
    <row r="428" spans="2:24">
      <c r="B428" s="72" t="s">
        <v>744</v>
      </c>
      <c r="C428" s="72" t="s">
        <v>745</v>
      </c>
      <c r="D428" s="293">
        <f t="shared" si="15"/>
        <v>0</v>
      </c>
      <c r="E428" s="293">
        <f t="shared" si="19"/>
        <v>0</v>
      </c>
      <c r="F428" s="293">
        <f t="shared" si="19"/>
        <v>0</v>
      </c>
      <c r="G428" s="293">
        <f t="shared" si="19"/>
        <v>0</v>
      </c>
      <c r="H428" s="293">
        <f t="shared" si="19"/>
        <v>0</v>
      </c>
      <c r="I428" s="293">
        <f t="shared" si="19"/>
        <v>0</v>
      </c>
      <c r="J428" s="293">
        <f t="shared" si="19"/>
        <v>0</v>
      </c>
      <c r="K428" s="293">
        <f t="shared" si="19"/>
        <v>0</v>
      </c>
      <c r="L428" s="293">
        <f t="shared" si="19"/>
        <v>0</v>
      </c>
      <c r="M428" s="293">
        <f t="shared" si="19"/>
        <v>0</v>
      </c>
      <c r="N428" s="293">
        <f t="shared" si="19"/>
        <v>0</v>
      </c>
      <c r="O428" s="293">
        <f t="shared" si="19"/>
        <v>0</v>
      </c>
      <c r="P428" s="293">
        <f t="shared" si="19"/>
        <v>0</v>
      </c>
      <c r="Q428" s="293">
        <f t="shared" si="19"/>
        <v>0</v>
      </c>
      <c r="R428" s="293">
        <f t="shared" si="19"/>
        <v>0</v>
      </c>
      <c r="S428" s="293">
        <f t="shared" si="19"/>
        <v>0</v>
      </c>
      <c r="T428" s="293">
        <f t="shared" si="19"/>
        <v>0</v>
      </c>
      <c r="U428" s="293">
        <f t="shared" si="19"/>
        <v>0</v>
      </c>
      <c r="V428" s="293">
        <f t="shared" si="19"/>
        <v>0</v>
      </c>
      <c r="W428" s="293">
        <f t="shared" si="19"/>
        <v>0</v>
      </c>
      <c r="X428" s="293">
        <f t="shared" si="19"/>
        <v>0</v>
      </c>
    </row>
    <row r="429" spans="2:24">
      <c r="B429" s="72" t="s">
        <v>746</v>
      </c>
      <c r="C429" s="72" t="s">
        <v>747</v>
      </c>
      <c r="D429" s="293">
        <f t="shared" si="15"/>
        <v>0</v>
      </c>
      <c r="E429" s="293">
        <f t="shared" si="19"/>
        <v>0</v>
      </c>
      <c r="F429" s="293">
        <f t="shared" si="19"/>
        <v>0</v>
      </c>
      <c r="G429" s="293">
        <f t="shared" si="19"/>
        <v>0</v>
      </c>
      <c r="H429" s="293">
        <f t="shared" si="19"/>
        <v>0</v>
      </c>
      <c r="I429" s="293">
        <f t="shared" si="19"/>
        <v>0</v>
      </c>
      <c r="J429" s="293">
        <f t="shared" si="19"/>
        <v>0</v>
      </c>
      <c r="K429" s="293">
        <f t="shared" si="19"/>
        <v>0</v>
      </c>
      <c r="L429" s="293">
        <f t="shared" si="19"/>
        <v>0</v>
      </c>
      <c r="M429" s="293">
        <f t="shared" si="19"/>
        <v>0</v>
      </c>
      <c r="N429" s="293">
        <f t="shared" si="19"/>
        <v>0</v>
      </c>
      <c r="O429" s="293">
        <f t="shared" si="19"/>
        <v>0</v>
      </c>
      <c r="P429" s="293">
        <f t="shared" si="19"/>
        <v>0</v>
      </c>
      <c r="Q429" s="293">
        <f t="shared" si="19"/>
        <v>0</v>
      </c>
      <c r="R429" s="293">
        <f t="shared" si="19"/>
        <v>0</v>
      </c>
      <c r="S429" s="293">
        <f t="shared" si="19"/>
        <v>0</v>
      </c>
      <c r="T429" s="293">
        <f t="shared" si="19"/>
        <v>0</v>
      </c>
      <c r="U429" s="293">
        <f t="shared" si="19"/>
        <v>0</v>
      </c>
      <c r="V429" s="293">
        <f t="shared" si="19"/>
        <v>0</v>
      </c>
      <c r="W429" s="293">
        <f t="shared" si="19"/>
        <v>0</v>
      </c>
      <c r="X429" s="293">
        <f t="shared" si="19"/>
        <v>0</v>
      </c>
    </row>
    <row r="430" spans="2:24">
      <c r="B430" s="72" t="s">
        <v>748</v>
      </c>
      <c r="C430" s="72" t="s">
        <v>749</v>
      </c>
      <c r="D430" s="293">
        <f t="shared" si="15"/>
        <v>0.24006064690026954</v>
      </c>
      <c r="E430" s="293">
        <f t="shared" si="19"/>
        <v>0.21704087507196315</v>
      </c>
      <c r="F430" s="293">
        <f t="shared" si="19"/>
        <v>0.20179121930477303</v>
      </c>
      <c r="G430" s="293">
        <f t="shared" si="19"/>
        <v>0.21166739448740013</v>
      </c>
      <c r="H430" s="293">
        <f t="shared" si="19"/>
        <v>0.18667204965809595</v>
      </c>
      <c r="I430" s="293">
        <f t="shared" si="19"/>
        <v>0.20148034458857311</v>
      </c>
      <c r="J430" s="293">
        <f t="shared" si="19"/>
        <v>0.18745274044442276</v>
      </c>
      <c r="K430" s="293">
        <f t="shared" si="19"/>
        <v>0.19186129477239214</v>
      </c>
      <c r="L430" s="293">
        <f t="shared" si="19"/>
        <v>0.18301521825258105</v>
      </c>
      <c r="M430" s="293">
        <f t="shared" si="19"/>
        <v>0.17978445830969939</v>
      </c>
      <c r="N430" s="293">
        <f t="shared" si="19"/>
        <v>0.19254297834338022</v>
      </c>
      <c r="O430" s="293">
        <f t="shared" si="19"/>
        <v>0.19370689465218255</v>
      </c>
      <c r="P430" s="293">
        <f t="shared" si="19"/>
        <v>0.19436991518088972</v>
      </c>
      <c r="Q430" s="293">
        <f t="shared" si="19"/>
        <v>0.19426920707746553</v>
      </c>
      <c r="R430" s="293">
        <f t="shared" si="19"/>
        <v>0.1956234118067077</v>
      </c>
      <c r="S430" s="293">
        <f t="shared" si="19"/>
        <v>0.20362737015663643</v>
      </c>
      <c r="T430" s="293">
        <f t="shared" si="19"/>
        <v>0.20084062481055631</v>
      </c>
      <c r="U430" s="293">
        <f t="shared" si="19"/>
        <v>0.21028617985538242</v>
      </c>
      <c r="V430" s="293">
        <f t="shared" si="19"/>
        <v>0.22521022571603194</v>
      </c>
      <c r="W430" s="293">
        <f t="shared" si="19"/>
        <v>0.22714958529571125</v>
      </c>
      <c r="X430" s="293">
        <f t="shared" si="19"/>
        <v>0.23437891571297301</v>
      </c>
    </row>
    <row r="431" spans="2:24">
      <c r="B431" s="72" t="s">
        <v>750</v>
      </c>
      <c r="C431" s="72" t="s">
        <v>751</v>
      </c>
      <c r="D431" s="293">
        <f t="shared" si="15"/>
        <v>6.561657681940701E-2</v>
      </c>
      <c r="E431" s="293">
        <f t="shared" si="19"/>
        <v>5.8036570989938863E-2</v>
      </c>
      <c r="F431" s="293">
        <f t="shared" si="19"/>
        <v>5.8227915382162217E-2</v>
      </c>
      <c r="G431" s="293">
        <f t="shared" si="19"/>
        <v>5.7001207326157877E-2</v>
      </c>
      <c r="H431" s="293">
        <f t="shared" si="19"/>
        <v>5.488127980621231E-2</v>
      </c>
      <c r="I431" s="293">
        <f t="shared" si="19"/>
        <v>5.973363699376176E-2</v>
      </c>
      <c r="J431" s="293">
        <f t="shared" si="19"/>
        <v>6.3565626753177062E-2</v>
      </c>
      <c r="K431" s="293">
        <f t="shared" si="19"/>
        <v>6.7616420111306669E-2</v>
      </c>
      <c r="L431" s="293">
        <f t="shared" si="19"/>
        <v>7.0125148570230028E-2</v>
      </c>
      <c r="M431" s="293">
        <f t="shared" si="19"/>
        <v>6.7543959160521833E-2</v>
      </c>
      <c r="N431" s="293">
        <f t="shared" si="19"/>
        <v>7.2940388479571336E-2</v>
      </c>
      <c r="O431" s="293">
        <f t="shared" si="19"/>
        <v>7.6790868827534539E-2</v>
      </c>
      <c r="P431" s="293">
        <f t="shared" si="19"/>
        <v>7.8349489354336166E-2</v>
      </c>
      <c r="Q431" s="293">
        <f t="shared" si="19"/>
        <v>8.1076488455574677E-2</v>
      </c>
      <c r="R431" s="293">
        <f t="shared" si="19"/>
        <v>8.4906650985992399E-2</v>
      </c>
      <c r="S431" s="293">
        <f t="shared" si="19"/>
        <v>8.8582028029678489E-2</v>
      </c>
      <c r="T431" s="293">
        <f t="shared" si="19"/>
        <v>9.1034008931638613E-2</v>
      </c>
      <c r="U431" s="293">
        <f t="shared" si="19"/>
        <v>9.5630919645585094E-2</v>
      </c>
      <c r="V431" s="293">
        <f t="shared" si="19"/>
        <v>0.1027418912938102</v>
      </c>
      <c r="W431" s="293">
        <f t="shared" si="19"/>
        <v>0.1059058892176885</v>
      </c>
      <c r="X431" s="293">
        <f t="shared" si="19"/>
        <v>0.11080945618578231</v>
      </c>
    </row>
    <row r="432" spans="2:24">
      <c r="B432" s="72" t="s">
        <v>752</v>
      </c>
      <c r="C432" s="72" t="s">
        <v>753</v>
      </c>
      <c r="D432" s="293">
        <f t="shared" si="15"/>
        <v>5.3711814914645106E-2</v>
      </c>
      <c r="E432" s="293">
        <f t="shared" si="19"/>
        <v>5.5925651780574064E-2</v>
      </c>
      <c r="F432" s="293">
        <f t="shared" si="19"/>
        <v>5.6287870734559368E-2</v>
      </c>
      <c r="G432" s="293">
        <f t="shared" si="19"/>
        <v>5.7078270697937271E-2</v>
      </c>
      <c r="H432" s="293">
        <f t="shared" si="19"/>
        <v>5.8741893971890689E-2</v>
      </c>
      <c r="I432" s="293">
        <f t="shared" si="19"/>
        <v>6.008020596098624E-2</v>
      </c>
      <c r="J432" s="293">
        <f t="shared" si="19"/>
        <v>6.1199599970729567E-2</v>
      </c>
      <c r="K432" s="293">
        <f t="shared" si="19"/>
        <v>6.1075964419921039E-2</v>
      </c>
      <c r="L432" s="293">
        <f t="shared" si="19"/>
        <v>6.3902677759910514E-2</v>
      </c>
      <c r="M432" s="293">
        <f t="shared" si="19"/>
        <v>6.8020419739081114E-2</v>
      </c>
      <c r="N432" s="293">
        <f t="shared" si="19"/>
        <v>7.2538513060951104E-2</v>
      </c>
      <c r="O432" s="293">
        <f t="shared" si="19"/>
        <v>7.79587070048256E-2</v>
      </c>
      <c r="P432" s="293">
        <f t="shared" si="19"/>
        <v>8.3780508914661586E-2</v>
      </c>
      <c r="Q432" s="293">
        <f t="shared" si="19"/>
        <v>9.0040145287707901E-2</v>
      </c>
      <c r="R432" s="293">
        <f t="shared" si="19"/>
        <v>9.6436146754310434E-2</v>
      </c>
      <c r="S432" s="293">
        <f t="shared" si="19"/>
        <v>0.10201978565539983</v>
      </c>
      <c r="T432" s="293">
        <f t="shared" si="19"/>
        <v>0.10966516458867985</v>
      </c>
      <c r="U432" s="293">
        <f t="shared" si="19"/>
        <v>0.1189530502087789</v>
      </c>
      <c r="V432" s="293">
        <f t="shared" si="19"/>
        <v>0.13089843832325235</v>
      </c>
      <c r="W432" s="293">
        <f t="shared" si="19"/>
        <v>0.14047847288792564</v>
      </c>
      <c r="X432" s="293">
        <f t="shared" si="19"/>
        <v>0.1461866176593434</v>
      </c>
    </row>
    <row r="433" spans="2:24">
      <c r="B433" s="72" t="s">
        <v>754</v>
      </c>
      <c r="C433" s="72" t="s">
        <v>755</v>
      </c>
      <c r="D433" s="293">
        <f t="shared" si="15"/>
        <v>0</v>
      </c>
      <c r="E433" s="293">
        <f t="shared" si="19"/>
        <v>0</v>
      </c>
      <c r="F433" s="293">
        <f t="shared" si="19"/>
        <v>0</v>
      </c>
      <c r="G433" s="293">
        <f t="shared" si="19"/>
        <v>0</v>
      </c>
      <c r="H433" s="293">
        <f t="shared" si="19"/>
        <v>0</v>
      </c>
      <c r="I433" s="293">
        <f t="shared" si="19"/>
        <v>0</v>
      </c>
      <c r="J433" s="293">
        <f t="shared" si="19"/>
        <v>0</v>
      </c>
      <c r="K433" s="293">
        <f t="shared" si="19"/>
        <v>0</v>
      </c>
      <c r="L433" s="293">
        <f t="shared" si="19"/>
        <v>0</v>
      </c>
      <c r="M433" s="293">
        <f t="shared" si="19"/>
        <v>0</v>
      </c>
      <c r="N433" s="293">
        <f t="shared" si="19"/>
        <v>0</v>
      </c>
      <c r="O433" s="293">
        <f t="shared" si="19"/>
        <v>0</v>
      </c>
      <c r="P433" s="293">
        <f t="shared" si="19"/>
        <v>0</v>
      </c>
      <c r="Q433" s="293">
        <f t="shared" si="19"/>
        <v>0</v>
      </c>
      <c r="R433" s="293">
        <f t="shared" si="19"/>
        <v>0</v>
      </c>
      <c r="S433" s="293">
        <f t="shared" si="19"/>
        <v>0</v>
      </c>
      <c r="T433" s="293">
        <f t="shared" si="19"/>
        <v>0</v>
      </c>
      <c r="U433" s="293">
        <f t="shared" si="19"/>
        <v>0</v>
      </c>
      <c r="V433" s="293">
        <f t="shared" si="19"/>
        <v>0</v>
      </c>
      <c r="W433" s="293">
        <f t="shared" si="19"/>
        <v>0</v>
      </c>
      <c r="X433" s="293">
        <f t="shared" si="19"/>
        <v>0</v>
      </c>
    </row>
    <row r="434" spans="2:24">
      <c r="B434" s="72" t="s">
        <v>756</v>
      </c>
      <c r="C434" s="72" t="s">
        <v>757</v>
      </c>
      <c r="D434" s="293">
        <f t="shared" si="15"/>
        <v>0</v>
      </c>
      <c r="E434" s="293">
        <f t="shared" si="19"/>
        <v>0</v>
      </c>
      <c r="F434" s="293">
        <f t="shared" si="19"/>
        <v>0</v>
      </c>
      <c r="G434" s="293">
        <f t="shared" si="19"/>
        <v>0</v>
      </c>
      <c r="H434" s="293">
        <f t="shared" si="19"/>
        <v>0</v>
      </c>
      <c r="I434" s="293">
        <f t="shared" si="19"/>
        <v>0</v>
      </c>
      <c r="J434" s="293">
        <f t="shared" si="19"/>
        <v>0</v>
      </c>
      <c r="K434" s="293">
        <f t="shared" si="19"/>
        <v>0</v>
      </c>
      <c r="L434" s="293">
        <f t="shared" si="19"/>
        <v>0</v>
      </c>
      <c r="M434" s="293">
        <f t="shared" si="19"/>
        <v>0</v>
      </c>
      <c r="N434" s="293">
        <f t="shared" si="19"/>
        <v>0</v>
      </c>
      <c r="O434" s="293">
        <f t="shared" si="19"/>
        <v>0</v>
      </c>
      <c r="P434" s="293">
        <f t="shared" si="19"/>
        <v>0</v>
      </c>
      <c r="Q434" s="293">
        <f t="shared" si="19"/>
        <v>0</v>
      </c>
      <c r="R434" s="293">
        <f t="shared" si="19"/>
        <v>0</v>
      </c>
      <c r="S434" s="293">
        <f t="shared" si="19"/>
        <v>0</v>
      </c>
      <c r="T434" s="293">
        <f t="shared" si="19"/>
        <v>0</v>
      </c>
      <c r="U434" s="293">
        <f t="shared" si="19"/>
        <v>0</v>
      </c>
      <c r="V434" s="293">
        <f t="shared" si="19"/>
        <v>0</v>
      </c>
      <c r="W434" s="293">
        <f t="shared" si="19"/>
        <v>0</v>
      </c>
      <c r="X434" s="293">
        <f t="shared" si="19"/>
        <v>0</v>
      </c>
    </row>
    <row r="435" spans="2:24">
      <c r="B435" s="72" t="s">
        <v>758</v>
      </c>
      <c r="C435" s="72" t="s">
        <v>759</v>
      </c>
      <c r="D435" s="293">
        <f t="shared" si="15"/>
        <v>1.0877976190476191</v>
      </c>
      <c r="E435" s="293">
        <f t="shared" si="19"/>
        <v>1.065246593744003</v>
      </c>
      <c r="F435" s="293">
        <f t="shared" si="19"/>
        <v>1.0412724566811948</v>
      </c>
      <c r="G435" s="293">
        <f t="shared" si="19"/>
        <v>1.0291299545326107</v>
      </c>
      <c r="H435" s="293">
        <f t="shared" si="19"/>
        <v>1.01945446746234</v>
      </c>
      <c r="I435" s="293">
        <f t="shared" si="19"/>
        <v>1.0116348153282504</v>
      </c>
      <c r="J435" s="293">
        <f t="shared" si="19"/>
        <v>1.0082201136668536</v>
      </c>
      <c r="K435" s="293">
        <f t="shared" si="19"/>
        <v>0.99564762403082341</v>
      </c>
      <c r="L435" s="293">
        <f t="shared" si="19"/>
        <v>0.9957584655899695</v>
      </c>
      <c r="M435" s="293">
        <f t="shared" si="19"/>
        <v>0.98545660805445268</v>
      </c>
      <c r="N435" s="293">
        <f t="shared" si="19"/>
        <v>0.96847510605045772</v>
      </c>
      <c r="O435" s="293">
        <f t="shared" si="19"/>
        <v>0.95178811449221079</v>
      </c>
      <c r="P435" s="293">
        <f t="shared" si="19"/>
        <v>0.94240090012117017</v>
      </c>
      <c r="Q435" s="293">
        <f t="shared" si="19"/>
        <v>0.95409843029800978</v>
      </c>
      <c r="R435" s="293">
        <f t="shared" si="19"/>
        <v>0.95791419031018332</v>
      </c>
      <c r="S435" s="293">
        <f t="shared" si="19"/>
        <v>0.95575020610057704</v>
      </c>
      <c r="T435" s="293">
        <f t="shared" ref="E435:X448" si="20">T185/T$251</f>
        <v>0.94956251136662151</v>
      </c>
      <c r="U435" s="293">
        <f t="shared" si="20"/>
        <v>0.96024035034117527</v>
      </c>
      <c r="V435" s="293">
        <f t="shared" si="20"/>
        <v>0.96545764926552724</v>
      </c>
      <c r="W435" s="293">
        <f t="shared" si="20"/>
        <v>0.97363814445880048</v>
      </c>
      <c r="X435" s="293">
        <f t="shared" si="20"/>
        <v>0.99611561273076599</v>
      </c>
    </row>
    <row r="436" spans="2:24">
      <c r="B436" s="72" t="s">
        <v>760</v>
      </c>
      <c r="C436" s="72" t="s">
        <v>761</v>
      </c>
      <c r="D436" s="293">
        <f t="shared" si="15"/>
        <v>0</v>
      </c>
      <c r="E436" s="293">
        <f t="shared" si="20"/>
        <v>0</v>
      </c>
      <c r="F436" s="293">
        <f t="shared" si="20"/>
        <v>0</v>
      </c>
      <c r="G436" s="293">
        <f t="shared" si="20"/>
        <v>0</v>
      </c>
      <c r="H436" s="293">
        <f t="shared" si="20"/>
        <v>0</v>
      </c>
      <c r="I436" s="293">
        <f t="shared" si="20"/>
        <v>0</v>
      </c>
      <c r="J436" s="293">
        <f t="shared" si="20"/>
        <v>0</v>
      </c>
      <c r="K436" s="293">
        <f t="shared" si="20"/>
        <v>0</v>
      </c>
      <c r="L436" s="293">
        <f t="shared" si="20"/>
        <v>0</v>
      </c>
      <c r="M436" s="293">
        <f t="shared" si="20"/>
        <v>0</v>
      </c>
      <c r="N436" s="293">
        <f t="shared" si="20"/>
        <v>0</v>
      </c>
      <c r="O436" s="293">
        <f t="shared" si="20"/>
        <v>0</v>
      </c>
      <c r="P436" s="293">
        <f t="shared" si="20"/>
        <v>0</v>
      </c>
      <c r="Q436" s="293">
        <f t="shared" si="20"/>
        <v>0</v>
      </c>
      <c r="R436" s="293">
        <f t="shared" si="20"/>
        <v>0</v>
      </c>
      <c r="S436" s="293">
        <f t="shared" si="20"/>
        <v>0</v>
      </c>
      <c r="T436" s="293">
        <f t="shared" si="20"/>
        <v>0</v>
      </c>
      <c r="U436" s="293">
        <f t="shared" si="20"/>
        <v>0</v>
      </c>
      <c r="V436" s="293">
        <f t="shared" si="20"/>
        <v>0</v>
      </c>
      <c r="W436" s="293">
        <f t="shared" si="20"/>
        <v>0</v>
      </c>
      <c r="X436" s="293">
        <f t="shared" si="20"/>
        <v>0</v>
      </c>
    </row>
    <row r="437" spans="2:24">
      <c r="B437" s="72" t="s">
        <v>762</v>
      </c>
      <c r="C437" s="72" t="s">
        <v>763</v>
      </c>
      <c r="D437" s="293">
        <f t="shared" si="15"/>
        <v>0.85368935309973049</v>
      </c>
      <c r="E437" s="293">
        <f t="shared" si="20"/>
        <v>0.8399539435808866</v>
      </c>
      <c r="F437" s="293">
        <f t="shared" si="20"/>
        <v>0.84819815031359624</v>
      </c>
      <c r="G437" s="293">
        <f t="shared" si="20"/>
        <v>0.82653035012458576</v>
      </c>
      <c r="H437" s="293">
        <f t="shared" si="20"/>
        <v>0.8074991799348995</v>
      </c>
      <c r="I437" s="293">
        <f t="shared" si="20"/>
        <v>0.7916130309931676</v>
      </c>
      <c r="J437" s="293">
        <f t="shared" si="20"/>
        <v>0.79788765031587672</v>
      </c>
      <c r="K437" s="293">
        <f t="shared" si="20"/>
        <v>0.79232269419207535</v>
      </c>
      <c r="L437" s="293">
        <f t="shared" si="20"/>
        <v>0.80498263767507983</v>
      </c>
      <c r="M437" s="293">
        <f t="shared" si="20"/>
        <v>0.78781622234826998</v>
      </c>
      <c r="N437" s="293">
        <f t="shared" si="20"/>
        <v>0.7822951551685644</v>
      </c>
      <c r="O437" s="293">
        <f t="shared" si="20"/>
        <v>0.78443470021814332</v>
      </c>
      <c r="P437" s="293">
        <f t="shared" si="20"/>
        <v>0.77983815128959666</v>
      </c>
      <c r="Q437" s="293">
        <f t="shared" si="20"/>
        <v>0.76635017736145628</v>
      </c>
      <c r="R437" s="293">
        <f t="shared" si="20"/>
        <v>0.75951865930234996</v>
      </c>
      <c r="S437" s="293">
        <f t="shared" si="20"/>
        <v>0.74420857378400662</v>
      </c>
      <c r="T437" s="293">
        <f t="shared" si="20"/>
        <v>0.73712288075656229</v>
      </c>
      <c r="U437" s="293">
        <f t="shared" si="20"/>
        <v>0.73007434565638052</v>
      </c>
      <c r="V437" s="293">
        <f t="shared" si="20"/>
        <v>0.76973171194334966</v>
      </c>
      <c r="W437" s="293">
        <f t="shared" si="20"/>
        <v>0.77316300587671405</v>
      </c>
      <c r="X437" s="293">
        <f t="shared" si="20"/>
        <v>0.77257539052710722</v>
      </c>
    </row>
    <row r="438" spans="2:24">
      <c r="B438" s="72" t="s">
        <v>764</v>
      </c>
      <c r="C438" s="72" t="s">
        <v>765</v>
      </c>
      <c r="D438" s="293">
        <f t="shared" si="15"/>
        <v>0</v>
      </c>
      <c r="E438" s="293">
        <f t="shared" si="20"/>
        <v>0</v>
      </c>
      <c r="F438" s="293">
        <f t="shared" si="20"/>
        <v>0</v>
      </c>
      <c r="G438" s="293">
        <f t="shared" si="20"/>
        <v>0</v>
      </c>
      <c r="H438" s="293">
        <f t="shared" si="20"/>
        <v>0</v>
      </c>
      <c r="I438" s="293">
        <f t="shared" si="20"/>
        <v>0</v>
      </c>
      <c r="J438" s="293">
        <f t="shared" si="20"/>
        <v>0</v>
      </c>
      <c r="K438" s="293">
        <f t="shared" si="20"/>
        <v>0</v>
      </c>
      <c r="L438" s="293">
        <f t="shared" si="20"/>
        <v>0</v>
      </c>
      <c r="M438" s="293">
        <f t="shared" si="20"/>
        <v>0</v>
      </c>
      <c r="N438" s="293">
        <f t="shared" si="20"/>
        <v>0</v>
      </c>
      <c r="O438" s="293">
        <f t="shared" si="20"/>
        <v>0</v>
      </c>
      <c r="P438" s="293">
        <f t="shared" si="20"/>
        <v>0</v>
      </c>
      <c r="Q438" s="293">
        <f t="shared" si="20"/>
        <v>0</v>
      </c>
      <c r="R438" s="293">
        <f t="shared" si="20"/>
        <v>0</v>
      </c>
      <c r="S438" s="293">
        <f t="shared" si="20"/>
        <v>0</v>
      </c>
      <c r="T438" s="293">
        <f t="shared" si="20"/>
        <v>0</v>
      </c>
      <c r="U438" s="293">
        <f t="shared" si="20"/>
        <v>0</v>
      </c>
      <c r="V438" s="293">
        <f t="shared" si="20"/>
        <v>0</v>
      </c>
      <c r="W438" s="293">
        <f t="shared" si="20"/>
        <v>0</v>
      </c>
      <c r="X438" s="293">
        <f t="shared" si="20"/>
        <v>0</v>
      </c>
    </row>
    <row r="439" spans="2:24">
      <c r="B439" s="72" t="s">
        <v>766</v>
      </c>
      <c r="C439" s="72" t="s">
        <v>767</v>
      </c>
      <c r="D439" s="293">
        <f t="shared" si="15"/>
        <v>5.1325247079964061E-2</v>
      </c>
      <c r="E439" s="293">
        <f t="shared" si="20"/>
        <v>4.5042081311511363E-2</v>
      </c>
      <c r="F439" s="293">
        <f t="shared" si="20"/>
        <v>4.2548102476878923E-2</v>
      </c>
      <c r="G439" s="293">
        <f t="shared" si="20"/>
        <v>4.1100464949009735E-2</v>
      </c>
      <c r="H439" s="293">
        <f t="shared" si="20"/>
        <v>3.6133329968963693E-2</v>
      </c>
      <c r="I439" s="293">
        <f t="shared" si="20"/>
        <v>3.564709377166056E-2</v>
      </c>
      <c r="J439" s="293">
        <f t="shared" si="20"/>
        <v>3.3758567700075619E-2</v>
      </c>
      <c r="K439" s="293">
        <f t="shared" si="20"/>
        <v>3.5508728535413592E-2</v>
      </c>
      <c r="L439" s="293">
        <f t="shared" si="20"/>
        <v>3.3629308536670628E-2</v>
      </c>
      <c r="M439" s="293">
        <f t="shared" si="20"/>
        <v>3.0538854225751561E-2</v>
      </c>
      <c r="N439" s="293">
        <f t="shared" si="20"/>
        <v>3.1212324179504352E-2</v>
      </c>
      <c r="O439" s="293">
        <f t="shared" si="20"/>
        <v>3.1399422691316133E-2</v>
      </c>
      <c r="P439" s="293">
        <f t="shared" si="20"/>
        <v>3.2001904102475331E-2</v>
      </c>
      <c r="Q439" s="293">
        <f t="shared" si="20"/>
        <v>3.0077104441470718E-2</v>
      </c>
      <c r="R439" s="293">
        <f t="shared" si="20"/>
        <v>3.1270344624818869E-2</v>
      </c>
      <c r="S439" s="293">
        <f t="shared" si="20"/>
        <v>3.1492168178070899E-2</v>
      </c>
      <c r="T439" s="293">
        <f t="shared" si="20"/>
        <v>3.0856588599026007E-2</v>
      </c>
      <c r="U439" s="293">
        <f t="shared" si="20"/>
        <v>3.3058356248090434E-2</v>
      </c>
      <c r="V439" s="293">
        <f t="shared" si="20"/>
        <v>3.2392674239710005E-2</v>
      </c>
      <c r="W439" s="293">
        <f t="shared" si="20"/>
        <v>3.3363897803526027E-2</v>
      </c>
      <c r="X439" s="293">
        <f t="shared" si="20"/>
        <v>3.3977946704535959E-2</v>
      </c>
    </row>
    <row r="440" spans="2:24">
      <c r="B440" s="72" t="s">
        <v>768</v>
      </c>
      <c r="C440" s="72" t="s">
        <v>769</v>
      </c>
      <c r="D440" s="293">
        <f t="shared" si="15"/>
        <v>9.7652740341419589E-2</v>
      </c>
      <c r="E440" s="293">
        <f t="shared" si="20"/>
        <v>9.3182005099103543E-2</v>
      </c>
      <c r="F440" s="293">
        <f t="shared" si="20"/>
        <v>8.9746996917189334E-2</v>
      </c>
      <c r="G440" s="293">
        <f t="shared" si="20"/>
        <v>8.5026586863263892E-2</v>
      </c>
      <c r="H440" s="293">
        <f t="shared" si="20"/>
        <v>8.1047664706921346E-2</v>
      </c>
      <c r="I440" s="293">
        <f t="shared" si="20"/>
        <v>8.1295177740370331E-2</v>
      </c>
      <c r="J440" s="293">
        <f t="shared" si="20"/>
        <v>8.0054638144254453E-2</v>
      </c>
      <c r="K440" s="293">
        <f t="shared" si="20"/>
        <v>7.7962231841316648E-2</v>
      </c>
      <c r="L440" s="293">
        <f t="shared" si="20"/>
        <v>7.4646344589713115E-2</v>
      </c>
      <c r="M440" s="293">
        <f t="shared" si="20"/>
        <v>7.4441293250141802E-2</v>
      </c>
      <c r="N440" s="293">
        <f t="shared" si="20"/>
        <v>7.7070774726501451E-2</v>
      </c>
      <c r="O440" s="293">
        <f t="shared" si="20"/>
        <v>8.9659123460326548E-2</v>
      </c>
      <c r="P440" s="293">
        <f t="shared" si="20"/>
        <v>9.4858923316600313E-2</v>
      </c>
      <c r="Q440" s="293">
        <f t="shared" si="20"/>
        <v>0.1005756281994095</v>
      </c>
      <c r="R440" s="293">
        <f t="shared" si="20"/>
        <v>0.10216939328391121</v>
      </c>
      <c r="S440" s="293">
        <f t="shared" si="20"/>
        <v>0.10387469084913438</v>
      </c>
      <c r="T440" s="293">
        <f t="shared" si="20"/>
        <v>0.10627033362297168</v>
      </c>
      <c r="U440" s="293">
        <f t="shared" si="20"/>
        <v>0.11054078826764437</v>
      </c>
      <c r="V440" s="293">
        <f t="shared" si="20"/>
        <v>0.11909629286180952</v>
      </c>
      <c r="W440" s="293">
        <f t="shared" si="20"/>
        <v>0.12470303838619598</v>
      </c>
      <c r="X440" s="293">
        <f t="shared" si="20"/>
        <v>0.13010608971681564</v>
      </c>
    </row>
    <row r="441" spans="2:24">
      <c r="B441" s="72" t="s">
        <v>770</v>
      </c>
      <c r="C441" s="72" t="s">
        <v>771</v>
      </c>
      <c r="D441" s="293">
        <f t="shared" si="15"/>
        <v>0</v>
      </c>
      <c r="E441" s="293">
        <f t="shared" si="20"/>
        <v>0</v>
      </c>
      <c r="F441" s="293">
        <f t="shared" si="20"/>
        <v>0</v>
      </c>
      <c r="G441" s="293">
        <f t="shared" si="20"/>
        <v>0</v>
      </c>
      <c r="H441" s="293">
        <f t="shared" si="20"/>
        <v>0</v>
      </c>
      <c r="I441" s="293">
        <f t="shared" si="20"/>
        <v>0</v>
      </c>
      <c r="J441" s="293">
        <f t="shared" si="20"/>
        <v>0</v>
      </c>
      <c r="K441" s="293">
        <f t="shared" si="20"/>
        <v>0</v>
      </c>
      <c r="L441" s="293">
        <f t="shared" si="20"/>
        <v>0</v>
      </c>
      <c r="M441" s="293">
        <f t="shared" si="20"/>
        <v>0</v>
      </c>
      <c r="N441" s="293">
        <f t="shared" si="20"/>
        <v>0</v>
      </c>
      <c r="O441" s="293">
        <f t="shared" si="20"/>
        <v>0</v>
      </c>
      <c r="P441" s="293">
        <f t="shared" si="20"/>
        <v>0</v>
      </c>
      <c r="Q441" s="293">
        <f t="shared" si="20"/>
        <v>0</v>
      </c>
      <c r="R441" s="293">
        <f t="shared" si="20"/>
        <v>0</v>
      </c>
      <c r="S441" s="293">
        <f t="shared" si="20"/>
        <v>0</v>
      </c>
      <c r="T441" s="293">
        <f t="shared" si="20"/>
        <v>0</v>
      </c>
      <c r="U441" s="293">
        <f t="shared" si="20"/>
        <v>0</v>
      </c>
      <c r="V441" s="293">
        <f t="shared" si="20"/>
        <v>0</v>
      </c>
      <c r="W441" s="293">
        <f t="shared" si="20"/>
        <v>0</v>
      </c>
      <c r="X441" s="293">
        <f t="shared" si="20"/>
        <v>0</v>
      </c>
    </row>
    <row r="442" spans="2:24">
      <c r="B442" s="72" t="s">
        <v>772</v>
      </c>
      <c r="C442" s="72" t="s">
        <v>773</v>
      </c>
      <c r="D442" s="293">
        <f t="shared" si="15"/>
        <v>1.1127021563342319</v>
      </c>
      <c r="E442" s="293">
        <f t="shared" si="20"/>
        <v>1.1269018833785673</v>
      </c>
      <c r="F442" s="293">
        <f t="shared" si="20"/>
        <v>1.1146752418411821</v>
      </c>
      <c r="G442" s="293">
        <f t="shared" si="20"/>
        <v>1.1165711937116289</v>
      </c>
      <c r="H442" s="293">
        <f t="shared" si="20"/>
        <v>1.1195276425020817</v>
      </c>
      <c r="I442" s="293">
        <f t="shared" si="20"/>
        <v>1.1313991484305377</v>
      </c>
      <c r="J442" s="293">
        <f t="shared" si="20"/>
        <v>1.1416689026026294</v>
      </c>
      <c r="K442" s="293">
        <f t="shared" si="20"/>
        <v>1.1135423108024545</v>
      </c>
      <c r="L442" s="293">
        <f t="shared" si="20"/>
        <v>1.1031252184856324</v>
      </c>
      <c r="M442" s="293">
        <f t="shared" si="20"/>
        <v>1.1021894498014748</v>
      </c>
      <c r="N442" s="293">
        <f t="shared" si="20"/>
        <v>1.1023665996874303</v>
      </c>
      <c r="O442" s="293">
        <f t="shared" si="20"/>
        <v>1.1000594936429942</v>
      </c>
      <c r="P442" s="293">
        <f t="shared" si="20"/>
        <v>1.1044227107495239</v>
      </c>
      <c r="Q442" s="293">
        <f t="shared" si="20"/>
        <v>1.1207119947322586</v>
      </c>
      <c r="R442" s="293">
        <f t="shared" si="20"/>
        <v>1.1238843270260621</v>
      </c>
      <c r="S442" s="293">
        <f t="shared" si="20"/>
        <v>1.0900865622423743</v>
      </c>
      <c r="T442" s="293">
        <f t="shared" si="20"/>
        <v>1.0546001980318063</v>
      </c>
      <c r="U442" s="293">
        <f t="shared" si="20"/>
        <v>1.0375598329768816</v>
      </c>
      <c r="V442" s="293">
        <f t="shared" si="20"/>
        <v>1.0596851356192964</v>
      </c>
      <c r="W442" s="293">
        <f t="shared" si="20"/>
        <v>1.0522652440295086</v>
      </c>
      <c r="X442" s="293">
        <f t="shared" si="20"/>
        <v>1.0745969426113107</v>
      </c>
    </row>
    <row r="443" spans="2:24">
      <c r="B443" s="72" t="s">
        <v>774</v>
      </c>
      <c r="C443" s="72" t="s">
        <v>775</v>
      </c>
      <c r="D443" s="293">
        <f t="shared" si="15"/>
        <v>0.56432502246181493</v>
      </c>
      <c r="E443" s="293">
        <f t="shared" si="20"/>
        <v>0.55174493516462431</v>
      </c>
      <c r="F443" s="293">
        <f t="shared" si="20"/>
        <v>0.52421069416392052</v>
      </c>
      <c r="G443" s="293">
        <f t="shared" si="20"/>
        <v>0.4929487014821855</v>
      </c>
      <c r="H443" s="293">
        <f t="shared" si="20"/>
        <v>0.48600842774595643</v>
      </c>
      <c r="I443" s="293">
        <f t="shared" si="20"/>
        <v>0.47762154668779089</v>
      </c>
      <c r="J443" s="293">
        <f t="shared" si="20"/>
        <v>0.49569480693709295</v>
      </c>
      <c r="K443" s="293">
        <f t="shared" si="20"/>
        <v>0.49617086048613424</v>
      </c>
      <c r="L443" s="293">
        <f t="shared" si="20"/>
        <v>0.4803188142347759</v>
      </c>
      <c r="M443" s="293">
        <f t="shared" si="20"/>
        <v>0.48737379466817926</v>
      </c>
      <c r="N443" s="293">
        <f t="shared" si="20"/>
        <v>0.50073677160080377</v>
      </c>
      <c r="O443" s="293">
        <f t="shared" si="20"/>
        <v>0.49439217328074392</v>
      </c>
      <c r="P443" s="293">
        <f t="shared" si="20"/>
        <v>0.47520339276441059</v>
      </c>
      <c r="Q443" s="293">
        <f t="shared" si="20"/>
        <v>0.46933877100193294</v>
      </c>
      <c r="R443" s="293">
        <f t="shared" si="20"/>
        <v>0.46655606191066218</v>
      </c>
      <c r="S443" s="293">
        <f t="shared" si="20"/>
        <v>0.4658285243198681</v>
      </c>
      <c r="T443" s="293">
        <f t="shared" si="20"/>
        <v>0.46826439266878173</v>
      </c>
      <c r="U443" s="293">
        <f t="shared" si="20"/>
        <v>0.51200733272227317</v>
      </c>
      <c r="V443" s="293">
        <f t="shared" si="20"/>
        <v>0.51373053172880356</v>
      </c>
      <c r="W443" s="293">
        <f t="shared" si="20"/>
        <v>0.51523360980285915</v>
      </c>
      <c r="X443" s="293">
        <f t="shared" si="20"/>
        <v>0.52537382006515743</v>
      </c>
    </row>
    <row r="444" spans="2:24">
      <c r="B444" s="72" t="s">
        <v>776</v>
      </c>
      <c r="C444" s="72" t="s">
        <v>777</v>
      </c>
      <c r="D444" s="293">
        <f t="shared" si="15"/>
        <v>0.18244609164420486</v>
      </c>
      <c r="E444" s="293">
        <f t="shared" si="20"/>
        <v>0.18403377470734983</v>
      </c>
      <c r="F444" s="293">
        <f t="shared" si="20"/>
        <v>0.17739449346231528</v>
      </c>
      <c r="G444" s="293">
        <f t="shared" si="20"/>
        <v>0.17462560045210512</v>
      </c>
      <c r="H444" s="293">
        <f t="shared" si="20"/>
        <v>0.17950594231788247</v>
      </c>
      <c r="I444" s="293">
        <f t="shared" si="20"/>
        <v>0.18331022873551836</v>
      </c>
      <c r="J444" s="293">
        <f t="shared" si="20"/>
        <v>0.17311022757762762</v>
      </c>
      <c r="K444" s="293">
        <f t="shared" si="20"/>
        <v>0.1661513580364363</v>
      </c>
      <c r="L444" s="293">
        <f t="shared" si="20"/>
        <v>0.16588594467361159</v>
      </c>
      <c r="M444" s="293">
        <f t="shared" si="20"/>
        <v>0.17007373794668179</v>
      </c>
      <c r="N444" s="293">
        <f t="shared" si="20"/>
        <v>0.16767135521321724</v>
      </c>
      <c r="O444" s="293">
        <f t="shared" si="20"/>
        <v>0.16867549522949121</v>
      </c>
      <c r="P444" s="293">
        <f t="shared" si="20"/>
        <v>0.16570019041024753</v>
      </c>
      <c r="Q444" s="293">
        <f t="shared" si="20"/>
        <v>0.16591261496633319</v>
      </c>
      <c r="R444" s="293">
        <f t="shared" si="20"/>
        <v>0.17542054308335259</v>
      </c>
      <c r="S444" s="293">
        <f t="shared" si="20"/>
        <v>0.1660964550700742</v>
      </c>
      <c r="T444" s="293">
        <f t="shared" si="20"/>
        <v>0.16897366985268858</v>
      </c>
      <c r="U444" s="293">
        <f t="shared" si="20"/>
        <v>0.17097464100213872</v>
      </c>
      <c r="V444" s="293">
        <f t="shared" si="20"/>
        <v>0.17309110834791039</v>
      </c>
      <c r="W444" s="293">
        <f t="shared" si="20"/>
        <v>0.17327970658108616</v>
      </c>
      <c r="X444" s="293">
        <f t="shared" si="20"/>
        <v>0.17333556093893576</v>
      </c>
    </row>
    <row r="445" spans="2:24">
      <c r="B445" s="72" t="s">
        <v>778</v>
      </c>
      <c r="C445" s="72" t="s">
        <v>779</v>
      </c>
      <c r="D445" s="293">
        <f t="shared" si="15"/>
        <v>0</v>
      </c>
      <c r="E445" s="293">
        <f t="shared" si="20"/>
        <v>0</v>
      </c>
      <c r="F445" s="293">
        <f t="shared" si="20"/>
        <v>0</v>
      </c>
      <c r="G445" s="293">
        <f t="shared" si="20"/>
        <v>0</v>
      </c>
      <c r="H445" s="293">
        <f t="shared" si="20"/>
        <v>0</v>
      </c>
      <c r="I445" s="293">
        <f t="shared" si="20"/>
        <v>0</v>
      </c>
      <c r="J445" s="293">
        <f t="shared" si="20"/>
        <v>0</v>
      </c>
      <c r="K445" s="293">
        <f t="shared" si="20"/>
        <v>0</v>
      </c>
      <c r="L445" s="293">
        <f t="shared" si="20"/>
        <v>0</v>
      </c>
      <c r="M445" s="293">
        <f t="shared" si="20"/>
        <v>0</v>
      </c>
      <c r="N445" s="293">
        <f t="shared" si="20"/>
        <v>0</v>
      </c>
      <c r="O445" s="293">
        <f t="shared" si="20"/>
        <v>0</v>
      </c>
      <c r="P445" s="293">
        <f t="shared" si="20"/>
        <v>0</v>
      </c>
      <c r="Q445" s="293">
        <f t="shared" si="20"/>
        <v>0</v>
      </c>
      <c r="R445" s="293">
        <f t="shared" si="20"/>
        <v>0</v>
      </c>
      <c r="S445" s="293">
        <f t="shared" si="20"/>
        <v>0</v>
      </c>
      <c r="T445" s="293">
        <f t="shared" si="20"/>
        <v>0</v>
      </c>
      <c r="U445" s="293">
        <f t="shared" si="20"/>
        <v>0</v>
      </c>
      <c r="V445" s="293">
        <f t="shared" si="20"/>
        <v>0</v>
      </c>
      <c r="W445" s="293">
        <f t="shared" si="20"/>
        <v>0</v>
      </c>
      <c r="X445" s="293">
        <f t="shared" si="20"/>
        <v>0</v>
      </c>
    </row>
    <row r="446" spans="2:24">
      <c r="B446" s="72" t="s">
        <v>780</v>
      </c>
      <c r="C446" s="72" t="s">
        <v>781</v>
      </c>
      <c r="D446" s="293">
        <f t="shared" si="15"/>
        <v>0</v>
      </c>
      <c r="E446" s="293">
        <f t="shared" si="20"/>
        <v>0</v>
      </c>
      <c r="F446" s="293">
        <f t="shared" si="20"/>
        <v>0</v>
      </c>
      <c r="G446" s="293">
        <f t="shared" si="20"/>
        <v>0</v>
      </c>
      <c r="H446" s="293">
        <f t="shared" si="20"/>
        <v>0</v>
      </c>
      <c r="I446" s="293">
        <f t="shared" si="20"/>
        <v>0</v>
      </c>
      <c r="J446" s="293">
        <f t="shared" si="20"/>
        <v>0</v>
      </c>
      <c r="K446" s="293">
        <f t="shared" si="20"/>
        <v>0</v>
      </c>
      <c r="L446" s="293">
        <f t="shared" si="20"/>
        <v>0</v>
      </c>
      <c r="M446" s="293">
        <f t="shared" si="20"/>
        <v>0</v>
      </c>
      <c r="N446" s="293">
        <f t="shared" si="20"/>
        <v>0</v>
      </c>
      <c r="O446" s="293">
        <f t="shared" si="20"/>
        <v>0</v>
      </c>
      <c r="P446" s="293">
        <f t="shared" si="20"/>
        <v>0</v>
      </c>
      <c r="Q446" s="293">
        <f t="shared" si="20"/>
        <v>0</v>
      </c>
      <c r="R446" s="293">
        <f t="shared" si="20"/>
        <v>0</v>
      </c>
      <c r="S446" s="293">
        <f t="shared" si="20"/>
        <v>0</v>
      </c>
      <c r="T446" s="293">
        <f t="shared" si="20"/>
        <v>0</v>
      </c>
      <c r="U446" s="293">
        <f t="shared" si="20"/>
        <v>0</v>
      </c>
      <c r="V446" s="293">
        <f t="shared" si="20"/>
        <v>0</v>
      </c>
      <c r="W446" s="293">
        <f t="shared" si="20"/>
        <v>0</v>
      </c>
      <c r="X446" s="293">
        <f t="shared" si="20"/>
        <v>0</v>
      </c>
    </row>
    <row r="447" spans="2:24">
      <c r="B447" s="72" t="s">
        <v>782</v>
      </c>
      <c r="C447" s="72" t="s">
        <v>783</v>
      </c>
      <c r="D447" s="293">
        <f t="shared" si="15"/>
        <v>0</v>
      </c>
      <c r="E447" s="293">
        <f t="shared" si="20"/>
        <v>0</v>
      </c>
      <c r="F447" s="293">
        <f t="shared" si="20"/>
        <v>0</v>
      </c>
      <c r="G447" s="293">
        <f t="shared" si="20"/>
        <v>0</v>
      </c>
      <c r="H447" s="293">
        <f t="shared" si="20"/>
        <v>0</v>
      </c>
      <c r="I447" s="293">
        <f t="shared" si="20"/>
        <v>0</v>
      </c>
      <c r="J447" s="293">
        <f t="shared" si="20"/>
        <v>0</v>
      </c>
      <c r="K447" s="293">
        <f t="shared" si="20"/>
        <v>0</v>
      </c>
      <c r="L447" s="293">
        <f t="shared" si="20"/>
        <v>0</v>
      </c>
      <c r="M447" s="293">
        <f t="shared" si="20"/>
        <v>0</v>
      </c>
      <c r="N447" s="293">
        <f t="shared" si="20"/>
        <v>0</v>
      </c>
      <c r="O447" s="293">
        <f t="shared" si="20"/>
        <v>0</v>
      </c>
      <c r="P447" s="293">
        <f t="shared" si="20"/>
        <v>0</v>
      </c>
      <c r="Q447" s="293">
        <f t="shared" si="20"/>
        <v>0</v>
      </c>
      <c r="R447" s="293">
        <f t="shared" si="20"/>
        <v>0</v>
      </c>
      <c r="S447" s="293">
        <f t="shared" si="20"/>
        <v>0</v>
      </c>
      <c r="T447" s="293">
        <f t="shared" si="20"/>
        <v>0</v>
      </c>
      <c r="U447" s="293">
        <f t="shared" si="20"/>
        <v>0</v>
      </c>
      <c r="V447" s="293">
        <f t="shared" si="20"/>
        <v>0</v>
      </c>
      <c r="W447" s="293">
        <f t="shared" si="20"/>
        <v>0</v>
      </c>
      <c r="X447" s="293">
        <f t="shared" si="20"/>
        <v>0</v>
      </c>
    </row>
    <row r="448" spans="2:24">
      <c r="B448" s="72" t="s">
        <v>784</v>
      </c>
      <c r="C448" s="72" t="s">
        <v>785</v>
      </c>
      <c r="D448" s="293">
        <f t="shared" si="15"/>
        <v>0</v>
      </c>
      <c r="E448" s="293">
        <f t="shared" si="20"/>
        <v>0</v>
      </c>
      <c r="F448" s="293">
        <f t="shared" si="20"/>
        <v>0</v>
      </c>
      <c r="G448" s="293">
        <f t="shared" si="20"/>
        <v>0</v>
      </c>
      <c r="H448" s="293">
        <f t="shared" si="20"/>
        <v>0</v>
      </c>
      <c r="I448" s="293">
        <f t="shared" si="20"/>
        <v>0</v>
      </c>
      <c r="J448" s="293">
        <f t="shared" si="20"/>
        <v>0</v>
      </c>
      <c r="K448" s="293">
        <f t="shared" si="20"/>
        <v>0</v>
      </c>
      <c r="L448" s="293">
        <f t="shared" si="20"/>
        <v>0</v>
      </c>
      <c r="M448" s="293">
        <f t="shared" si="20"/>
        <v>0</v>
      </c>
      <c r="N448" s="293">
        <f t="shared" si="20"/>
        <v>0</v>
      </c>
      <c r="O448" s="293">
        <f t="shared" ref="E448:X461" si="21">O198/O$251</f>
        <v>0</v>
      </c>
      <c r="P448" s="293">
        <f t="shared" si="21"/>
        <v>0</v>
      </c>
      <c r="Q448" s="293">
        <f t="shared" si="21"/>
        <v>0</v>
      </c>
      <c r="R448" s="293">
        <f t="shared" si="21"/>
        <v>0</v>
      </c>
      <c r="S448" s="293">
        <f t="shared" si="21"/>
        <v>0</v>
      </c>
      <c r="T448" s="293">
        <f t="shared" si="21"/>
        <v>0</v>
      </c>
      <c r="U448" s="293">
        <f t="shared" si="21"/>
        <v>0</v>
      </c>
      <c r="V448" s="293">
        <f t="shared" si="21"/>
        <v>0</v>
      </c>
      <c r="W448" s="293">
        <f t="shared" si="21"/>
        <v>0</v>
      </c>
      <c r="X448" s="293">
        <f t="shared" si="21"/>
        <v>0</v>
      </c>
    </row>
    <row r="449" spans="2:24">
      <c r="B449" s="72" t="s">
        <v>786</v>
      </c>
      <c r="C449" s="72" t="s">
        <v>339</v>
      </c>
      <c r="D449" s="293">
        <f t="shared" si="15"/>
        <v>0.22346698113207547</v>
      </c>
      <c r="E449" s="293">
        <f t="shared" si="21"/>
        <v>0.21687638786084382</v>
      </c>
      <c r="F449" s="293">
        <f t="shared" si="21"/>
        <v>0.23046667375358776</v>
      </c>
      <c r="G449" s="293">
        <f t="shared" si="21"/>
        <v>0.26805209483932285</v>
      </c>
      <c r="H449" s="293">
        <f t="shared" si="21"/>
        <v>0.28836012212661805</v>
      </c>
      <c r="I449" s="293">
        <f t="shared" si="21"/>
        <v>0.2846073868699871</v>
      </c>
      <c r="J449" s="293">
        <f t="shared" si="21"/>
        <v>0.28458179866819522</v>
      </c>
      <c r="K449" s="293">
        <f t="shared" si="21"/>
        <v>0.26823003377253485</v>
      </c>
      <c r="L449" s="293">
        <f t="shared" si="21"/>
        <v>0.25817427579295721</v>
      </c>
      <c r="M449" s="293">
        <f t="shared" si="21"/>
        <v>0.26314237095859333</v>
      </c>
      <c r="N449" s="293">
        <f t="shared" si="21"/>
        <v>0.26112971645456573</v>
      </c>
      <c r="O449" s="293">
        <f t="shared" si="21"/>
        <v>0.26840446863362932</v>
      </c>
      <c r="P449" s="293">
        <f t="shared" si="21"/>
        <v>0.27356326813224857</v>
      </c>
      <c r="Q449" s="293">
        <f t="shared" si="21"/>
        <v>0.27615284946579155</v>
      </c>
      <c r="R449" s="293">
        <f t="shared" si="21"/>
        <v>0.28013104563496233</v>
      </c>
      <c r="S449" s="293">
        <f t="shared" si="21"/>
        <v>0.27143446001648802</v>
      </c>
      <c r="T449" s="293">
        <f t="shared" si="21"/>
        <v>0.26798957301917675</v>
      </c>
      <c r="U449" s="293">
        <f t="shared" si="21"/>
        <v>0.29068133211121294</v>
      </c>
      <c r="V449" s="293">
        <f t="shared" si="21"/>
        <v>0.29617062530295685</v>
      </c>
      <c r="W449" s="293">
        <f t="shared" si="21"/>
        <v>0.31323719418163631</v>
      </c>
      <c r="X449" s="293">
        <f t="shared" si="21"/>
        <v>0.32816807284270322</v>
      </c>
    </row>
    <row r="450" spans="2:24">
      <c r="B450" s="72" t="s">
        <v>787</v>
      </c>
      <c r="C450" s="72" t="s">
        <v>334</v>
      </c>
      <c r="D450" s="293">
        <f t="shared" si="15"/>
        <v>0.17421945193171609</v>
      </c>
      <c r="E450" s="293">
        <f t="shared" si="21"/>
        <v>0.16506291635825315</v>
      </c>
      <c r="F450" s="293">
        <f t="shared" si="21"/>
        <v>0.15881790156266609</v>
      </c>
      <c r="G450" s="293">
        <f t="shared" si="21"/>
        <v>0.15607901564386448</v>
      </c>
      <c r="H450" s="293">
        <f t="shared" si="21"/>
        <v>0.15646842118543564</v>
      </c>
      <c r="I450" s="293">
        <f t="shared" si="21"/>
        <v>0.15345578770175264</v>
      </c>
      <c r="J450" s="293">
        <f t="shared" si="21"/>
        <v>0.16401200087811305</v>
      </c>
      <c r="K450" s="293">
        <f t="shared" si="21"/>
        <v>0.15739903914760026</v>
      </c>
      <c r="L450" s="293">
        <f t="shared" si="21"/>
        <v>0.15309142604115686</v>
      </c>
      <c r="M450" s="293">
        <f t="shared" si="21"/>
        <v>0.15725467952353941</v>
      </c>
      <c r="N450" s="293">
        <f t="shared" si="21"/>
        <v>0.14992185755749052</v>
      </c>
      <c r="O450" s="293">
        <f t="shared" si="21"/>
        <v>0.14873410748518168</v>
      </c>
      <c r="P450" s="293">
        <f t="shared" si="21"/>
        <v>0.150445733079453</v>
      </c>
      <c r="Q450" s="293">
        <f t="shared" si="21"/>
        <v>0.15270077954077188</v>
      </c>
      <c r="R450" s="293">
        <f t="shared" si="21"/>
        <v>0.15370560934120167</v>
      </c>
      <c r="S450" s="293">
        <f t="shared" si="21"/>
        <v>0.15669826875515253</v>
      </c>
      <c r="T450" s="293">
        <f t="shared" si="21"/>
        <v>0.16089073898195486</v>
      </c>
      <c r="U450" s="293">
        <f t="shared" si="21"/>
        <v>0.16628984621651899</v>
      </c>
      <c r="V450" s="293">
        <f t="shared" si="21"/>
        <v>0.16921326055343633</v>
      </c>
      <c r="W450" s="293">
        <f t="shared" si="21"/>
        <v>0.17521777185012294</v>
      </c>
      <c r="X450" s="293">
        <f t="shared" si="21"/>
        <v>0.17962158549828752</v>
      </c>
    </row>
    <row r="451" spans="2:24">
      <c r="B451" s="72" t="s">
        <v>788</v>
      </c>
      <c r="C451" s="72" t="s">
        <v>789</v>
      </c>
      <c r="D451" s="293">
        <f t="shared" si="15"/>
        <v>0.33524258760107817</v>
      </c>
      <c r="E451" s="293">
        <f t="shared" si="21"/>
        <v>0.33876141130027143</v>
      </c>
      <c r="F451" s="293">
        <f t="shared" si="21"/>
        <v>0.34724141596683322</v>
      </c>
      <c r="G451" s="293">
        <f t="shared" si="21"/>
        <v>0.35559608518071362</v>
      </c>
      <c r="H451" s="293">
        <f t="shared" si="21"/>
        <v>0.37039186495420251</v>
      </c>
      <c r="I451" s="293">
        <f t="shared" si="21"/>
        <v>0.38147341320922862</v>
      </c>
      <c r="J451" s="293">
        <f t="shared" si="21"/>
        <v>0.39688269873405368</v>
      </c>
      <c r="K451" s="293">
        <f t="shared" si="21"/>
        <v>0.40156019597583598</v>
      </c>
      <c r="L451" s="293">
        <f t="shared" si="21"/>
        <v>0.42816192407187303</v>
      </c>
      <c r="M451" s="293">
        <f t="shared" si="21"/>
        <v>0.44156551332955191</v>
      </c>
      <c r="N451" s="293">
        <f t="shared" si="21"/>
        <v>0.44972091984818041</v>
      </c>
      <c r="O451" s="293">
        <f t="shared" si="21"/>
        <v>0.46427076217967078</v>
      </c>
      <c r="P451" s="293">
        <f t="shared" si="21"/>
        <v>0.47909814782759219</v>
      </c>
      <c r="Q451" s="293">
        <f t="shared" si="21"/>
        <v>0.4894326557488477</v>
      </c>
      <c r="R451" s="293">
        <f t="shared" si="21"/>
        <v>0.49068609950227859</v>
      </c>
      <c r="S451" s="293">
        <f t="shared" si="21"/>
        <v>0.49550700741962078</v>
      </c>
      <c r="T451" s="293">
        <f t="shared" si="21"/>
        <v>0.4967567239881181</v>
      </c>
      <c r="U451" s="293">
        <f t="shared" si="21"/>
        <v>0.50724106324472962</v>
      </c>
      <c r="V451" s="293">
        <f t="shared" si="21"/>
        <v>0.53158127673923583</v>
      </c>
      <c r="W451" s="293">
        <f t="shared" si="21"/>
        <v>0.54363772767057061</v>
      </c>
      <c r="X451" s="293">
        <f t="shared" si="21"/>
        <v>0.56108512237908281</v>
      </c>
    </row>
    <row r="452" spans="2:24">
      <c r="B452" s="72" t="s">
        <v>790</v>
      </c>
      <c r="C452" s="72" t="s">
        <v>791</v>
      </c>
      <c r="D452" s="293">
        <f t="shared" si="15"/>
        <v>0.66110736747529197</v>
      </c>
      <c r="E452" s="293">
        <f t="shared" si="21"/>
        <v>0.66334950790909342</v>
      </c>
      <c r="F452" s="293">
        <f t="shared" si="21"/>
        <v>0.64311151270330602</v>
      </c>
      <c r="G452" s="293">
        <f t="shared" si="21"/>
        <v>0.63420586195381334</v>
      </c>
      <c r="H452" s="293">
        <f t="shared" si="21"/>
        <v>0.65100552597713912</v>
      </c>
      <c r="I452" s="293">
        <f t="shared" si="21"/>
        <v>0.65115357956233288</v>
      </c>
      <c r="J452" s="293">
        <f t="shared" si="21"/>
        <v>0.65260872746786347</v>
      </c>
      <c r="K452" s="293">
        <f t="shared" si="21"/>
        <v>0.65021642962469672</v>
      </c>
      <c r="L452" s="293">
        <f t="shared" si="21"/>
        <v>0.65415180964366448</v>
      </c>
      <c r="M452" s="293">
        <f t="shared" si="21"/>
        <v>0.64828133862733972</v>
      </c>
      <c r="N452" s="293">
        <f t="shared" si="21"/>
        <v>0.63887028354543429</v>
      </c>
      <c r="O452" s="293">
        <f t="shared" si="21"/>
        <v>0.63131569089747264</v>
      </c>
      <c r="P452" s="293">
        <f t="shared" si="21"/>
        <v>0.61781634066124291</v>
      </c>
      <c r="Q452" s="293">
        <f t="shared" si="21"/>
        <v>0.61643195479937973</v>
      </c>
      <c r="R452" s="293">
        <f t="shared" si="21"/>
        <v>0.61610349245017537</v>
      </c>
      <c r="S452" s="293">
        <f t="shared" si="21"/>
        <v>0.61020197856554004</v>
      </c>
      <c r="T452" s="293">
        <f t="shared" si="21"/>
        <v>0.61282761129185448</v>
      </c>
      <c r="U452" s="293">
        <f t="shared" si="21"/>
        <v>0.61486913127609732</v>
      </c>
      <c r="V452" s="293">
        <f t="shared" si="21"/>
        <v>0.6367046723850871</v>
      </c>
      <c r="W452" s="293">
        <f t="shared" si="21"/>
        <v>0.64831409161005293</v>
      </c>
      <c r="X452" s="293">
        <f t="shared" si="21"/>
        <v>0.64436972683986304</v>
      </c>
    </row>
    <row r="453" spans="2:24">
      <c r="B453" s="72" t="s">
        <v>792</v>
      </c>
      <c r="C453" s="72" t="s">
        <v>793</v>
      </c>
      <c r="D453" s="293">
        <f t="shared" si="15"/>
        <v>0</v>
      </c>
      <c r="E453" s="293">
        <f t="shared" si="21"/>
        <v>0</v>
      </c>
      <c r="F453" s="293">
        <f t="shared" si="21"/>
        <v>0</v>
      </c>
      <c r="G453" s="293">
        <f t="shared" si="21"/>
        <v>0</v>
      </c>
      <c r="H453" s="293">
        <f t="shared" si="21"/>
        <v>0</v>
      </c>
      <c r="I453" s="293">
        <f t="shared" si="21"/>
        <v>0</v>
      </c>
      <c r="J453" s="293">
        <f t="shared" si="21"/>
        <v>0</v>
      </c>
      <c r="K453" s="293">
        <f t="shared" si="21"/>
        <v>0</v>
      </c>
      <c r="L453" s="293">
        <f t="shared" si="21"/>
        <v>0</v>
      </c>
      <c r="M453" s="293">
        <f t="shared" si="21"/>
        <v>0</v>
      </c>
      <c r="N453" s="293">
        <f t="shared" si="21"/>
        <v>0</v>
      </c>
      <c r="O453" s="293">
        <f t="shared" si="21"/>
        <v>0</v>
      </c>
      <c r="P453" s="293">
        <f t="shared" si="21"/>
        <v>0</v>
      </c>
      <c r="Q453" s="293">
        <f t="shared" si="21"/>
        <v>0</v>
      </c>
      <c r="R453" s="293">
        <f t="shared" si="21"/>
        <v>0</v>
      </c>
      <c r="S453" s="293">
        <f t="shared" si="21"/>
        <v>0</v>
      </c>
      <c r="T453" s="293">
        <f t="shared" si="21"/>
        <v>0</v>
      </c>
      <c r="U453" s="293">
        <f t="shared" si="21"/>
        <v>0</v>
      </c>
      <c r="V453" s="293">
        <f t="shared" si="21"/>
        <v>0</v>
      </c>
      <c r="W453" s="293">
        <f t="shared" si="21"/>
        <v>0</v>
      </c>
      <c r="X453" s="293">
        <f t="shared" si="21"/>
        <v>0</v>
      </c>
    </row>
    <row r="454" spans="2:24">
      <c r="B454" s="72" t="s">
        <v>794</v>
      </c>
      <c r="C454" s="72" t="s">
        <v>795</v>
      </c>
      <c r="D454" s="293">
        <f t="shared" si="15"/>
        <v>0.32232704402515722</v>
      </c>
      <c r="E454" s="293">
        <f t="shared" si="21"/>
        <v>0.33656824848534694</v>
      </c>
      <c r="F454" s="293">
        <f t="shared" si="21"/>
        <v>0.32114382906346339</v>
      </c>
      <c r="G454" s="293">
        <f t="shared" si="21"/>
        <v>0.31362223535153744</v>
      </c>
      <c r="H454" s="293">
        <f t="shared" si="21"/>
        <v>0.31644419772400395</v>
      </c>
      <c r="I454" s="293">
        <f t="shared" si="21"/>
        <v>0.32998316665016336</v>
      </c>
      <c r="J454" s="293">
        <f t="shared" si="21"/>
        <v>0.41342049418250115</v>
      </c>
      <c r="K454" s="293">
        <f t="shared" si="21"/>
        <v>0.42755553441468869</v>
      </c>
      <c r="L454" s="293">
        <f t="shared" si="21"/>
        <v>0.4257148849891631</v>
      </c>
      <c r="M454" s="293">
        <f t="shared" si="21"/>
        <v>0.44065796937039137</v>
      </c>
      <c r="N454" s="293">
        <f t="shared" si="21"/>
        <v>0.43991962491627595</v>
      </c>
      <c r="O454" s="293">
        <f t="shared" si="21"/>
        <v>0.42753894630147854</v>
      </c>
      <c r="P454" s="293">
        <f t="shared" si="21"/>
        <v>0.41368790029427038</v>
      </c>
      <c r="Q454" s="293">
        <f t="shared" si="21"/>
        <v>0.42258756558125704</v>
      </c>
      <c r="R454" s="293">
        <f t="shared" si="21"/>
        <v>0.37436209757019551</v>
      </c>
      <c r="S454" s="293">
        <f t="shared" si="21"/>
        <v>0.37394888705688378</v>
      </c>
      <c r="T454" s="293">
        <f t="shared" si="21"/>
        <v>0.3470810515893063</v>
      </c>
      <c r="U454" s="293">
        <f t="shared" si="21"/>
        <v>0.33934209186271513</v>
      </c>
      <c r="V454" s="293">
        <f t="shared" si="21"/>
        <v>0.33730953233998612</v>
      </c>
      <c r="W454" s="293">
        <f t="shared" si="21"/>
        <v>0.35224857250031261</v>
      </c>
      <c r="X454" s="293">
        <f t="shared" si="21"/>
        <v>0.38812546988555674</v>
      </c>
    </row>
    <row r="455" spans="2:24">
      <c r="B455" s="72" t="s">
        <v>796</v>
      </c>
      <c r="C455" s="72" t="s">
        <v>797</v>
      </c>
      <c r="D455" s="293">
        <f t="shared" si="15"/>
        <v>0.14128481581311769</v>
      </c>
      <c r="E455" s="293">
        <f t="shared" si="21"/>
        <v>0.12991748224908847</v>
      </c>
      <c r="F455" s="293">
        <f t="shared" si="21"/>
        <v>0.13301265015414054</v>
      </c>
      <c r="G455" s="293">
        <f t="shared" si="21"/>
        <v>0.13442420817385498</v>
      </c>
      <c r="H455" s="293">
        <f t="shared" si="21"/>
        <v>0.14932754661754688</v>
      </c>
      <c r="I455" s="293">
        <f t="shared" si="21"/>
        <v>0.15427270026735321</v>
      </c>
      <c r="J455" s="293">
        <f t="shared" si="21"/>
        <v>0.14857184672049176</v>
      </c>
      <c r="K455" s="293">
        <f t="shared" si="21"/>
        <v>0.1412976264091709</v>
      </c>
      <c r="L455" s="293">
        <f t="shared" si="21"/>
        <v>0.14337318511268032</v>
      </c>
      <c r="M455" s="293">
        <f t="shared" si="21"/>
        <v>0.14407260351673284</v>
      </c>
      <c r="N455" s="293">
        <f t="shared" si="21"/>
        <v>0.15141772717124358</v>
      </c>
      <c r="O455" s="293">
        <f t="shared" si="21"/>
        <v>0.17480113698962166</v>
      </c>
      <c r="P455" s="293">
        <f t="shared" si="21"/>
        <v>0.1807166349316254</v>
      </c>
      <c r="Q455" s="293">
        <f t="shared" si="21"/>
        <v>0.19573482869219822</v>
      </c>
      <c r="R455" s="293">
        <f t="shared" si="21"/>
        <v>0.2046748010164437</v>
      </c>
      <c r="S455" s="293">
        <f t="shared" si="21"/>
        <v>0.21521022258862324</v>
      </c>
      <c r="T455" s="293">
        <f t="shared" si="21"/>
        <v>0.22351324590296442</v>
      </c>
      <c r="U455" s="293">
        <f t="shared" si="21"/>
        <v>0.24181688562990122</v>
      </c>
      <c r="V455" s="293">
        <f t="shared" si="21"/>
        <v>0.23796075786634072</v>
      </c>
      <c r="W455" s="293">
        <f t="shared" si="21"/>
        <v>0.23508940107531362</v>
      </c>
      <c r="X455" s="293">
        <f t="shared" si="21"/>
        <v>0.23916130649068582</v>
      </c>
    </row>
    <row r="456" spans="2:24">
      <c r="B456" s="72" t="s">
        <v>798</v>
      </c>
      <c r="C456" s="72" t="s">
        <v>799</v>
      </c>
      <c r="D456" s="293">
        <f t="shared" si="15"/>
        <v>0.41574011680143758</v>
      </c>
      <c r="E456" s="293">
        <f t="shared" si="21"/>
        <v>0.35562135044000331</v>
      </c>
      <c r="F456" s="293">
        <f t="shared" si="21"/>
        <v>0.32018709471670032</v>
      </c>
      <c r="G456" s="293">
        <f t="shared" si="21"/>
        <v>0.27950884944385934</v>
      </c>
      <c r="H456" s="293">
        <f t="shared" si="21"/>
        <v>0.27152986298604626</v>
      </c>
      <c r="I456" s="293">
        <f t="shared" si="21"/>
        <v>0.25856520447569065</v>
      </c>
      <c r="J456" s="293">
        <f t="shared" si="21"/>
        <v>0.26331194965485277</v>
      </c>
      <c r="K456" s="293">
        <f t="shared" si="21"/>
        <v>0.24637302002568615</v>
      </c>
      <c r="L456" s="293">
        <f t="shared" si="21"/>
        <v>0.2561467291244261</v>
      </c>
      <c r="M456" s="293">
        <f t="shared" si="21"/>
        <v>0.27205899035734543</v>
      </c>
      <c r="N456" s="293">
        <f t="shared" si="21"/>
        <v>0.2793480687653494</v>
      </c>
      <c r="O456" s="293">
        <f t="shared" si="21"/>
        <v>0.28616442280148957</v>
      </c>
      <c r="P456" s="293">
        <f t="shared" si="21"/>
        <v>0.29965812705556516</v>
      </c>
      <c r="Q456" s="293">
        <f t="shared" si="21"/>
        <v>0.31323944858641856</v>
      </c>
      <c r="R456" s="293">
        <f t="shared" si="21"/>
        <v>0.32755108469664196</v>
      </c>
      <c r="S456" s="293">
        <f t="shared" si="21"/>
        <v>0.3456924979389942</v>
      </c>
      <c r="T456" s="293">
        <f t="shared" si="21"/>
        <v>0.36328732798512742</v>
      </c>
      <c r="U456" s="293">
        <f t="shared" si="21"/>
        <v>0.38284957735003566</v>
      </c>
      <c r="V456" s="293">
        <f t="shared" si="21"/>
        <v>0.37130392632089193</v>
      </c>
      <c r="W456" s="293">
        <f t="shared" si="21"/>
        <v>0.38069436919101407</v>
      </c>
      <c r="X456" s="293">
        <f t="shared" si="21"/>
        <v>0.3984211845292791</v>
      </c>
    </row>
    <row r="457" spans="2:24">
      <c r="B457" s="72" t="s">
        <v>800</v>
      </c>
      <c r="C457" s="72" t="s">
        <v>801</v>
      </c>
      <c r="D457" s="293">
        <f t="shared" si="15"/>
        <v>0</v>
      </c>
      <c r="E457" s="293">
        <f t="shared" si="21"/>
        <v>0</v>
      </c>
      <c r="F457" s="293">
        <f t="shared" si="21"/>
        <v>0</v>
      </c>
      <c r="G457" s="293">
        <f t="shared" si="21"/>
        <v>0</v>
      </c>
      <c r="H457" s="293">
        <f t="shared" si="21"/>
        <v>0</v>
      </c>
      <c r="I457" s="293">
        <f t="shared" si="21"/>
        <v>0</v>
      </c>
      <c r="J457" s="293">
        <f t="shared" si="21"/>
        <v>0</v>
      </c>
      <c r="K457" s="293">
        <f t="shared" si="21"/>
        <v>0</v>
      </c>
      <c r="L457" s="293">
        <f t="shared" si="21"/>
        <v>0</v>
      </c>
      <c r="M457" s="293">
        <f t="shared" si="21"/>
        <v>0</v>
      </c>
      <c r="N457" s="293">
        <f t="shared" si="21"/>
        <v>0</v>
      </c>
      <c r="O457" s="293">
        <f t="shared" si="21"/>
        <v>0</v>
      </c>
      <c r="P457" s="293">
        <f t="shared" si="21"/>
        <v>0</v>
      </c>
      <c r="Q457" s="293">
        <f t="shared" si="21"/>
        <v>0</v>
      </c>
      <c r="R457" s="293">
        <f t="shared" si="21"/>
        <v>0</v>
      </c>
      <c r="S457" s="293">
        <f t="shared" si="21"/>
        <v>0</v>
      </c>
      <c r="T457" s="293">
        <f t="shared" si="21"/>
        <v>0</v>
      </c>
      <c r="U457" s="293">
        <f t="shared" si="21"/>
        <v>0</v>
      </c>
      <c r="V457" s="293">
        <f t="shared" si="21"/>
        <v>0</v>
      </c>
      <c r="W457" s="293">
        <f t="shared" si="21"/>
        <v>0</v>
      </c>
      <c r="X457" s="293">
        <f t="shared" si="21"/>
        <v>0</v>
      </c>
    </row>
    <row r="458" spans="2:24">
      <c r="B458" s="72" t="s">
        <v>802</v>
      </c>
      <c r="C458" s="72" t="s">
        <v>803</v>
      </c>
      <c r="D458" s="293">
        <f t="shared" si="15"/>
        <v>0</v>
      </c>
      <c r="E458" s="293">
        <f t="shared" si="21"/>
        <v>0</v>
      </c>
      <c r="F458" s="293">
        <f t="shared" si="21"/>
        <v>0</v>
      </c>
      <c r="G458" s="293">
        <f t="shared" si="21"/>
        <v>0</v>
      </c>
      <c r="H458" s="293">
        <f t="shared" si="21"/>
        <v>0</v>
      </c>
      <c r="I458" s="293">
        <f t="shared" si="21"/>
        <v>0</v>
      </c>
      <c r="J458" s="293">
        <f t="shared" si="21"/>
        <v>0</v>
      </c>
      <c r="K458" s="293">
        <f t="shared" si="21"/>
        <v>0</v>
      </c>
      <c r="L458" s="293">
        <f t="shared" si="21"/>
        <v>0</v>
      </c>
      <c r="M458" s="293">
        <f t="shared" si="21"/>
        <v>0</v>
      </c>
      <c r="N458" s="293">
        <f t="shared" si="21"/>
        <v>0</v>
      </c>
      <c r="O458" s="293">
        <f t="shared" si="21"/>
        <v>0</v>
      </c>
      <c r="P458" s="293">
        <f t="shared" si="21"/>
        <v>0</v>
      </c>
      <c r="Q458" s="293">
        <f t="shared" si="21"/>
        <v>0</v>
      </c>
      <c r="R458" s="293">
        <f t="shared" si="21"/>
        <v>0</v>
      </c>
      <c r="S458" s="293">
        <f t="shared" si="21"/>
        <v>0</v>
      </c>
      <c r="T458" s="293">
        <f t="shared" si="21"/>
        <v>0</v>
      </c>
      <c r="U458" s="293">
        <f t="shared" si="21"/>
        <v>0</v>
      </c>
      <c r="V458" s="293">
        <f t="shared" si="21"/>
        <v>0</v>
      </c>
      <c r="W458" s="293">
        <f t="shared" si="21"/>
        <v>0</v>
      </c>
      <c r="X458" s="293">
        <f t="shared" si="21"/>
        <v>0</v>
      </c>
    </row>
    <row r="459" spans="2:24">
      <c r="B459" s="72" t="s">
        <v>804</v>
      </c>
      <c r="C459" s="72" t="s">
        <v>805</v>
      </c>
      <c r="D459" s="293">
        <f t="shared" ref="D459:D512" si="22">D209/D$251</f>
        <v>0</v>
      </c>
      <c r="E459" s="293">
        <f t="shared" si="21"/>
        <v>0</v>
      </c>
      <c r="F459" s="293">
        <f t="shared" si="21"/>
        <v>0</v>
      </c>
      <c r="G459" s="293">
        <f t="shared" si="21"/>
        <v>0</v>
      </c>
      <c r="H459" s="293">
        <f t="shared" si="21"/>
        <v>0</v>
      </c>
      <c r="I459" s="293">
        <f t="shared" si="21"/>
        <v>0</v>
      </c>
      <c r="J459" s="293">
        <f t="shared" si="21"/>
        <v>0</v>
      </c>
      <c r="K459" s="293">
        <f t="shared" si="21"/>
        <v>0</v>
      </c>
      <c r="L459" s="293">
        <f t="shared" si="21"/>
        <v>0</v>
      </c>
      <c r="M459" s="293">
        <f t="shared" si="21"/>
        <v>0</v>
      </c>
      <c r="N459" s="293">
        <f t="shared" si="21"/>
        <v>0</v>
      </c>
      <c r="O459" s="293">
        <f t="shared" si="21"/>
        <v>0</v>
      </c>
      <c r="P459" s="293">
        <f t="shared" si="21"/>
        <v>0</v>
      </c>
      <c r="Q459" s="293">
        <f t="shared" si="21"/>
        <v>0</v>
      </c>
      <c r="R459" s="293">
        <f t="shared" si="21"/>
        <v>0</v>
      </c>
      <c r="S459" s="293">
        <f t="shared" si="21"/>
        <v>0</v>
      </c>
      <c r="T459" s="293">
        <f t="shared" si="21"/>
        <v>0</v>
      </c>
      <c r="U459" s="293">
        <f t="shared" si="21"/>
        <v>0</v>
      </c>
      <c r="V459" s="293">
        <f t="shared" si="21"/>
        <v>0</v>
      </c>
      <c r="W459" s="293">
        <f t="shared" si="21"/>
        <v>0</v>
      </c>
      <c r="X459" s="293">
        <f t="shared" si="21"/>
        <v>0</v>
      </c>
    </row>
    <row r="460" spans="2:24">
      <c r="B460" s="72" t="s">
        <v>806</v>
      </c>
      <c r="C460" s="72" t="s">
        <v>807</v>
      </c>
      <c r="D460" s="293">
        <f t="shared" si="22"/>
        <v>0</v>
      </c>
      <c r="E460" s="293">
        <f t="shared" ref="E460:S460" si="23">E210/E$251</f>
        <v>0</v>
      </c>
      <c r="F460" s="293">
        <f t="shared" si="23"/>
        <v>0</v>
      </c>
      <c r="G460" s="293">
        <f t="shared" si="23"/>
        <v>0</v>
      </c>
      <c r="H460" s="293">
        <f t="shared" si="23"/>
        <v>0</v>
      </c>
      <c r="I460" s="293">
        <f t="shared" si="23"/>
        <v>0</v>
      </c>
      <c r="J460" s="293">
        <f t="shared" si="23"/>
        <v>0</v>
      </c>
      <c r="K460" s="293">
        <f t="shared" si="23"/>
        <v>0</v>
      </c>
      <c r="L460" s="293">
        <f t="shared" si="23"/>
        <v>0</v>
      </c>
      <c r="M460" s="293">
        <f t="shared" si="23"/>
        <v>0</v>
      </c>
      <c r="N460" s="293">
        <f t="shared" si="23"/>
        <v>0</v>
      </c>
      <c r="O460" s="293">
        <f t="shared" si="23"/>
        <v>0</v>
      </c>
      <c r="P460" s="293">
        <f t="shared" si="23"/>
        <v>0</v>
      </c>
      <c r="Q460" s="293">
        <f t="shared" si="23"/>
        <v>0</v>
      </c>
      <c r="R460" s="293">
        <f t="shared" si="23"/>
        <v>0</v>
      </c>
      <c r="S460" s="293">
        <f t="shared" si="23"/>
        <v>0</v>
      </c>
      <c r="T460" s="293">
        <f t="shared" si="21"/>
        <v>0</v>
      </c>
      <c r="U460" s="293">
        <f t="shared" si="21"/>
        <v>0</v>
      </c>
      <c r="V460" s="293">
        <f t="shared" si="21"/>
        <v>0</v>
      </c>
      <c r="W460" s="293">
        <f t="shared" si="21"/>
        <v>0</v>
      </c>
      <c r="X460" s="293">
        <f t="shared" si="21"/>
        <v>0</v>
      </c>
    </row>
    <row r="461" spans="2:24">
      <c r="B461" s="72" t="s">
        <v>808</v>
      </c>
      <c r="C461" s="72" t="s">
        <v>809</v>
      </c>
      <c r="D461" s="293">
        <f t="shared" si="22"/>
        <v>0.86652066486972146</v>
      </c>
      <c r="E461" s="293">
        <f t="shared" si="21"/>
        <v>0.8546481344408805</v>
      </c>
      <c r="F461" s="293">
        <f t="shared" si="21"/>
        <v>0.79690655894546614</v>
      </c>
      <c r="G461" s="293">
        <f t="shared" si="21"/>
        <v>0.74807983765316344</v>
      </c>
      <c r="H461" s="293">
        <f t="shared" si="21"/>
        <v>0.71575281976230731</v>
      </c>
      <c r="I461" s="293">
        <f t="shared" si="21"/>
        <v>0.71160510941677391</v>
      </c>
      <c r="J461" s="293">
        <f t="shared" si="21"/>
        <v>0.70595409420201483</v>
      </c>
      <c r="K461" s="293">
        <f t="shared" si="21"/>
        <v>0.6950482804547401</v>
      </c>
      <c r="L461" s="293">
        <f t="shared" si="21"/>
        <v>0.65680859493346389</v>
      </c>
      <c r="M461" s="293">
        <f t="shared" si="21"/>
        <v>0.6463301191151446</v>
      </c>
      <c r="N461" s="293">
        <f t="shared" si="21"/>
        <v>0.60674257646796159</v>
      </c>
      <c r="O461" s="293">
        <f t="shared" si="21"/>
        <v>0.56371328471013371</v>
      </c>
      <c r="P461" s="293">
        <f t="shared" si="21"/>
        <v>0.56192660550458717</v>
      </c>
      <c r="Q461" s="293">
        <f t="shared" si="21"/>
        <v>0.54886467427090635</v>
      </c>
      <c r="R461" s="293">
        <f t="shared" si="21"/>
        <v>0.54543545372451019</v>
      </c>
      <c r="S461" s="293">
        <f t="shared" si="21"/>
        <v>0.528833470733718</v>
      </c>
      <c r="T461" s="293">
        <f t="shared" si="21"/>
        <v>0.50884070563986505</v>
      </c>
      <c r="U461" s="293">
        <f t="shared" si="21"/>
        <v>0.51811793461655975</v>
      </c>
      <c r="V461" s="293">
        <f t="shared" si="21"/>
        <v>0.52055891588863834</v>
      </c>
      <c r="W461" s="293">
        <f t="shared" si="21"/>
        <v>0.52252740382611595</v>
      </c>
      <c r="X461" s="293">
        <f t="shared" si="21"/>
        <v>0.54393952050789407</v>
      </c>
    </row>
    <row r="462" spans="2:24">
      <c r="B462" s="72" t="s">
        <v>810</v>
      </c>
      <c r="C462" s="72" t="s">
        <v>811</v>
      </c>
      <c r="D462" s="293">
        <f t="shared" si="22"/>
        <v>9.6361185983827494E-2</v>
      </c>
      <c r="E462" s="293">
        <f t="shared" ref="E462:X474" si="24">E212/E$251</f>
        <v>9.2112838226827864E-2</v>
      </c>
      <c r="F462" s="293">
        <f t="shared" si="24"/>
        <v>8.7514616774742218E-2</v>
      </c>
      <c r="G462" s="293">
        <f t="shared" si="24"/>
        <v>8.1892676410901893E-2</v>
      </c>
      <c r="H462" s="293">
        <f t="shared" si="24"/>
        <v>8.2284070550831423E-2</v>
      </c>
      <c r="I462" s="293">
        <f t="shared" si="24"/>
        <v>7.985939201901178E-2</v>
      </c>
      <c r="J462" s="293">
        <f t="shared" si="24"/>
        <v>7.8883820767373228E-2</v>
      </c>
      <c r="K462" s="293">
        <f t="shared" si="24"/>
        <v>7.924653950435237E-2</v>
      </c>
      <c r="L462" s="293">
        <f t="shared" si="24"/>
        <v>8.0402712717611693E-2</v>
      </c>
      <c r="M462" s="293">
        <f t="shared" si="24"/>
        <v>7.8366420873511061E-2</v>
      </c>
      <c r="N462" s="293">
        <f t="shared" si="24"/>
        <v>7.8298727394507703E-2</v>
      </c>
      <c r="O462" s="293">
        <f t="shared" si="24"/>
        <v>7.5226406363616327E-2</v>
      </c>
      <c r="P462" s="293">
        <f t="shared" si="24"/>
        <v>7.6423749350874162E-2</v>
      </c>
      <c r="Q462" s="293">
        <f t="shared" si="24"/>
        <v>7.7019477898850872E-2</v>
      </c>
      <c r="R462" s="293">
        <f t="shared" si="24"/>
        <v>7.7934351177100611E-2</v>
      </c>
      <c r="S462" s="293">
        <f t="shared" si="24"/>
        <v>7.5948062654575432E-2</v>
      </c>
      <c r="T462" s="293">
        <f t="shared" si="24"/>
        <v>7.5898720876189707E-2</v>
      </c>
      <c r="U462" s="293">
        <f t="shared" si="24"/>
        <v>7.650473571646807E-2</v>
      </c>
      <c r="V462" s="293">
        <f t="shared" si="24"/>
        <v>7.8568568357605006E-2</v>
      </c>
      <c r="W462" s="293">
        <f t="shared" si="24"/>
        <v>7.8543741924728044E-2</v>
      </c>
      <c r="X462" s="293">
        <f t="shared" si="24"/>
        <v>7.9441984796591758E-2</v>
      </c>
    </row>
    <row r="463" spans="2:24">
      <c r="B463" s="72" t="s">
        <v>812</v>
      </c>
      <c r="C463" s="72" t="s">
        <v>813</v>
      </c>
      <c r="D463" s="293">
        <f t="shared" si="22"/>
        <v>0</v>
      </c>
      <c r="E463" s="293">
        <f t="shared" si="24"/>
        <v>0</v>
      </c>
      <c r="F463" s="293">
        <f t="shared" si="24"/>
        <v>0</v>
      </c>
      <c r="G463" s="293">
        <f t="shared" si="24"/>
        <v>0</v>
      </c>
      <c r="H463" s="293">
        <f t="shared" si="24"/>
        <v>0</v>
      </c>
      <c r="I463" s="293">
        <f t="shared" si="24"/>
        <v>0</v>
      </c>
      <c r="J463" s="293">
        <f t="shared" si="24"/>
        <v>0</v>
      </c>
      <c r="K463" s="293">
        <f t="shared" si="24"/>
        <v>0</v>
      </c>
      <c r="L463" s="293">
        <f t="shared" si="24"/>
        <v>0</v>
      </c>
      <c r="M463" s="293">
        <f t="shared" si="24"/>
        <v>0</v>
      </c>
      <c r="N463" s="293">
        <f t="shared" si="24"/>
        <v>0</v>
      </c>
      <c r="O463" s="293">
        <f t="shared" si="24"/>
        <v>0</v>
      </c>
      <c r="P463" s="293">
        <f t="shared" si="24"/>
        <v>0</v>
      </c>
      <c r="Q463" s="293">
        <f t="shared" si="24"/>
        <v>0</v>
      </c>
      <c r="R463" s="293">
        <f t="shared" si="24"/>
        <v>0</v>
      </c>
      <c r="S463" s="293">
        <f t="shared" si="24"/>
        <v>0</v>
      </c>
      <c r="T463" s="293">
        <f t="shared" si="24"/>
        <v>0</v>
      </c>
      <c r="U463" s="293">
        <f t="shared" si="24"/>
        <v>0</v>
      </c>
      <c r="V463" s="293">
        <f t="shared" si="24"/>
        <v>0</v>
      </c>
      <c r="W463" s="293">
        <f t="shared" si="24"/>
        <v>0</v>
      </c>
      <c r="X463" s="293">
        <f t="shared" si="24"/>
        <v>0</v>
      </c>
    </row>
    <row r="464" spans="2:24">
      <c r="B464" s="72" t="s">
        <v>814</v>
      </c>
      <c r="C464" s="72" t="s">
        <v>815</v>
      </c>
      <c r="D464" s="293">
        <f t="shared" si="22"/>
        <v>0</v>
      </c>
      <c r="E464" s="293">
        <f t="shared" si="24"/>
        <v>0</v>
      </c>
      <c r="F464" s="293">
        <f t="shared" si="24"/>
        <v>0</v>
      </c>
      <c r="G464" s="293">
        <f t="shared" si="24"/>
        <v>0</v>
      </c>
      <c r="H464" s="293">
        <f t="shared" si="24"/>
        <v>0</v>
      </c>
      <c r="I464" s="293">
        <f t="shared" si="24"/>
        <v>0</v>
      </c>
      <c r="J464" s="293">
        <f t="shared" si="24"/>
        <v>0</v>
      </c>
      <c r="K464" s="293">
        <f t="shared" si="24"/>
        <v>0</v>
      </c>
      <c r="L464" s="293">
        <f t="shared" si="24"/>
        <v>0</v>
      </c>
      <c r="M464" s="293">
        <f t="shared" si="24"/>
        <v>0</v>
      </c>
      <c r="N464" s="293">
        <f t="shared" si="24"/>
        <v>0</v>
      </c>
      <c r="O464" s="293">
        <f t="shared" si="24"/>
        <v>0</v>
      </c>
      <c r="P464" s="293">
        <f t="shared" si="24"/>
        <v>0</v>
      </c>
      <c r="Q464" s="293">
        <f t="shared" si="24"/>
        <v>0</v>
      </c>
      <c r="R464" s="293">
        <f t="shared" si="24"/>
        <v>0</v>
      </c>
      <c r="S464" s="293">
        <f t="shared" si="24"/>
        <v>0</v>
      </c>
      <c r="T464" s="293">
        <f t="shared" si="24"/>
        <v>0</v>
      </c>
      <c r="U464" s="293">
        <f t="shared" si="24"/>
        <v>0</v>
      </c>
      <c r="V464" s="293">
        <f t="shared" si="24"/>
        <v>0</v>
      </c>
      <c r="W464" s="293">
        <f t="shared" si="24"/>
        <v>0</v>
      </c>
      <c r="X464" s="293">
        <f t="shared" si="24"/>
        <v>0</v>
      </c>
    </row>
    <row r="465" spans="2:24">
      <c r="B465" s="72" t="s">
        <v>816</v>
      </c>
      <c r="C465" s="72" t="s">
        <v>817</v>
      </c>
      <c r="D465" s="293">
        <f t="shared" si="22"/>
        <v>0</v>
      </c>
      <c r="E465" s="293">
        <f t="shared" si="24"/>
        <v>0</v>
      </c>
      <c r="F465" s="293">
        <f t="shared" si="24"/>
        <v>0</v>
      </c>
      <c r="G465" s="293">
        <f t="shared" si="24"/>
        <v>0</v>
      </c>
      <c r="H465" s="293">
        <f t="shared" si="24"/>
        <v>0</v>
      </c>
      <c r="I465" s="293">
        <f t="shared" si="24"/>
        <v>0</v>
      </c>
      <c r="J465" s="293">
        <f t="shared" si="24"/>
        <v>0</v>
      </c>
      <c r="K465" s="293">
        <f t="shared" si="24"/>
        <v>0</v>
      </c>
      <c r="L465" s="293">
        <f t="shared" si="24"/>
        <v>0</v>
      </c>
      <c r="M465" s="293">
        <f t="shared" si="24"/>
        <v>0</v>
      </c>
      <c r="N465" s="293">
        <f t="shared" si="24"/>
        <v>0</v>
      </c>
      <c r="O465" s="293">
        <f t="shared" si="24"/>
        <v>0</v>
      </c>
      <c r="P465" s="293">
        <f t="shared" si="24"/>
        <v>0</v>
      </c>
      <c r="Q465" s="293">
        <f t="shared" si="24"/>
        <v>0</v>
      </c>
      <c r="R465" s="293">
        <f t="shared" si="24"/>
        <v>0</v>
      </c>
      <c r="S465" s="293">
        <f t="shared" si="24"/>
        <v>0</v>
      </c>
      <c r="T465" s="293">
        <f t="shared" si="24"/>
        <v>0</v>
      </c>
      <c r="U465" s="293">
        <f t="shared" si="24"/>
        <v>0</v>
      </c>
      <c r="V465" s="293">
        <f t="shared" si="24"/>
        <v>0</v>
      </c>
      <c r="W465" s="293">
        <f t="shared" si="24"/>
        <v>0</v>
      </c>
      <c r="X465" s="293">
        <f t="shared" si="24"/>
        <v>0</v>
      </c>
    </row>
    <row r="466" spans="2:24">
      <c r="B466" s="72" t="s">
        <v>396</v>
      </c>
      <c r="C466" s="72" t="s">
        <v>818</v>
      </c>
      <c r="D466" s="293">
        <f t="shared" si="22"/>
        <v>0.78753930817610063</v>
      </c>
      <c r="E466" s="293">
        <f t="shared" si="24"/>
        <v>0.80009320941963424</v>
      </c>
      <c r="F466" s="293">
        <f t="shared" si="24"/>
        <v>0.85008504305304555</v>
      </c>
      <c r="G466" s="293">
        <f t="shared" si="24"/>
        <v>0.86817025867605124</v>
      </c>
      <c r="H466" s="293">
        <f t="shared" si="24"/>
        <v>0.96813100855390977</v>
      </c>
      <c r="I466" s="293">
        <f t="shared" si="24"/>
        <v>0.88130012872561636</v>
      </c>
      <c r="J466" s="293">
        <f t="shared" si="24"/>
        <v>0.89750469546552192</v>
      </c>
      <c r="K466" s="293">
        <f t="shared" si="24"/>
        <v>0.83339675593397711</v>
      </c>
      <c r="L466" s="293">
        <f t="shared" si="24"/>
        <v>0.869211587312685</v>
      </c>
      <c r="M466" s="293">
        <f t="shared" si="24"/>
        <v>0.93819625638116844</v>
      </c>
      <c r="N466" s="293">
        <f t="shared" si="24"/>
        <v>0.84257646796159857</v>
      </c>
      <c r="O466" s="293">
        <f t="shared" si="24"/>
        <v>0.88400943084414874</v>
      </c>
      <c r="P466" s="293">
        <f t="shared" si="24"/>
        <v>0.91420720096936126</v>
      </c>
      <c r="Q466" s="293">
        <f t="shared" si="24"/>
        <v>0.96718282036576819</v>
      </c>
      <c r="R466" s="293">
        <f t="shared" si="24"/>
        <v>1.013902597811706</v>
      </c>
      <c r="S466" s="293">
        <f t="shared" si="24"/>
        <v>0.97842126957955478</v>
      </c>
      <c r="T466" s="293">
        <f t="shared" si="24"/>
        <v>0.99349324064905931</v>
      </c>
      <c r="U466" s="293">
        <f t="shared" si="24"/>
        <v>0.93587941745595271</v>
      </c>
      <c r="V466" s="293">
        <f t="shared" si="24"/>
        <v>0.94507787308478575</v>
      </c>
      <c r="W466" s="293">
        <f t="shared" si="24"/>
        <v>1.0201308715041888</v>
      </c>
      <c r="X466" s="293">
        <f t="shared" si="24"/>
        <v>1.0505179183025646</v>
      </c>
    </row>
    <row r="467" spans="2:24">
      <c r="B467" s="72" t="s">
        <v>819</v>
      </c>
      <c r="C467" s="72" t="s">
        <v>820</v>
      </c>
      <c r="D467" s="293">
        <f t="shared" si="22"/>
        <v>0</v>
      </c>
      <c r="E467" s="293">
        <f t="shared" si="24"/>
        <v>0</v>
      </c>
      <c r="F467" s="293">
        <f t="shared" si="24"/>
        <v>0</v>
      </c>
      <c r="G467" s="293">
        <f t="shared" si="24"/>
        <v>0</v>
      </c>
      <c r="H467" s="293">
        <f t="shared" si="24"/>
        <v>0</v>
      </c>
      <c r="I467" s="293">
        <f t="shared" si="24"/>
        <v>0</v>
      </c>
      <c r="J467" s="293">
        <f t="shared" si="24"/>
        <v>0</v>
      </c>
      <c r="K467" s="293">
        <f t="shared" si="24"/>
        <v>0</v>
      </c>
      <c r="L467" s="293">
        <f t="shared" si="24"/>
        <v>0</v>
      </c>
      <c r="M467" s="293">
        <f t="shared" si="24"/>
        <v>0</v>
      </c>
      <c r="N467" s="293">
        <f t="shared" si="24"/>
        <v>0</v>
      </c>
      <c r="O467" s="293">
        <f t="shared" si="24"/>
        <v>0</v>
      </c>
      <c r="P467" s="293">
        <f t="shared" si="24"/>
        <v>0</v>
      </c>
      <c r="Q467" s="293">
        <f t="shared" si="24"/>
        <v>0</v>
      </c>
      <c r="R467" s="293">
        <f t="shared" si="24"/>
        <v>0</v>
      </c>
      <c r="S467" s="293">
        <f t="shared" si="24"/>
        <v>0</v>
      </c>
      <c r="T467" s="293">
        <f t="shared" si="24"/>
        <v>0</v>
      </c>
      <c r="U467" s="293">
        <f t="shared" si="24"/>
        <v>0</v>
      </c>
      <c r="V467" s="293">
        <f t="shared" si="24"/>
        <v>0</v>
      </c>
      <c r="W467" s="293">
        <f t="shared" si="24"/>
        <v>0</v>
      </c>
      <c r="X467" s="293">
        <f t="shared" si="24"/>
        <v>0</v>
      </c>
    </row>
    <row r="468" spans="2:24">
      <c r="B468" s="72" t="s">
        <v>821</v>
      </c>
      <c r="C468" s="72" t="s">
        <v>822</v>
      </c>
      <c r="D468" s="293">
        <f t="shared" si="22"/>
        <v>0.40372304582210244</v>
      </c>
      <c r="E468" s="293">
        <f t="shared" si="24"/>
        <v>0.41798941798941797</v>
      </c>
      <c r="F468" s="293">
        <f t="shared" si="24"/>
        <v>0.41312320612309983</v>
      </c>
      <c r="G468" s="293">
        <f t="shared" si="24"/>
        <v>0.43170900870816104</v>
      </c>
      <c r="H468" s="293">
        <f t="shared" si="24"/>
        <v>0.4479321743079912</v>
      </c>
      <c r="I468" s="293">
        <f t="shared" si="24"/>
        <v>0.46036736310525794</v>
      </c>
      <c r="J468" s="293">
        <f t="shared" si="24"/>
        <v>0.47871795497231506</v>
      </c>
      <c r="K468" s="293">
        <f t="shared" si="24"/>
        <v>0.48941635351757601</v>
      </c>
      <c r="L468" s="293">
        <f t="shared" si="24"/>
        <v>0.49222773777063089</v>
      </c>
      <c r="M468" s="293">
        <f t="shared" si="24"/>
        <v>0.4954509359047079</v>
      </c>
      <c r="N468" s="293">
        <f t="shared" si="24"/>
        <v>0.50162982808662648</v>
      </c>
      <c r="O468" s="293">
        <f t="shared" si="24"/>
        <v>0.51728620849216667</v>
      </c>
      <c r="P468" s="293">
        <f t="shared" si="24"/>
        <v>0.5265059719577635</v>
      </c>
      <c r="Q468" s="293">
        <f t="shared" si="24"/>
        <v>0.54425540049703691</v>
      </c>
      <c r="R468" s="293">
        <f t="shared" si="24"/>
        <v>0.56479828632631202</v>
      </c>
      <c r="S468" s="293">
        <f t="shared" si="24"/>
        <v>0.58829348722176422</v>
      </c>
      <c r="T468" s="293">
        <f t="shared" si="24"/>
        <v>0.62428516580111948</v>
      </c>
      <c r="U468" s="293">
        <f t="shared" si="24"/>
        <v>0.64727568998879725</v>
      </c>
      <c r="V468" s="293">
        <f t="shared" si="24"/>
        <v>0.65337520284937511</v>
      </c>
      <c r="W468" s="293">
        <f t="shared" si="24"/>
        <v>0.68284499645730001</v>
      </c>
      <c r="X468" s="293">
        <f t="shared" si="24"/>
        <v>0.69275749728510572</v>
      </c>
    </row>
    <row r="469" spans="2:24">
      <c r="B469" s="72" t="s">
        <v>823</v>
      </c>
      <c r="C469" s="72" t="s">
        <v>824</v>
      </c>
      <c r="D469" s="293">
        <f t="shared" si="22"/>
        <v>0.60514937106918243</v>
      </c>
      <c r="E469" s="293">
        <f t="shared" si="24"/>
        <v>0.58466979192367796</v>
      </c>
      <c r="F469" s="293">
        <f t="shared" si="24"/>
        <v>0.57566174125651115</v>
      </c>
      <c r="G469" s="293">
        <f t="shared" si="24"/>
        <v>0.58195689588738475</v>
      </c>
      <c r="H469" s="293">
        <f t="shared" si="24"/>
        <v>0.59231409754989783</v>
      </c>
      <c r="I469" s="293">
        <f t="shared" si="24"/>
        <v>0.61454104366768991</v>
      </c>
      <c r="J469" s="293">
        <f t="shared" si="24"/>
        <v>0.64736444130058302</v>
      </c>
      <c r="K469" s="293">
        <f t="shared" si="24"/>
        <v>0.65404556913856249</v>
      </c>
      <c r="L469" s="293">
        <f t="shared" si="24"/>
        <v>0.66484886620522499</v>
      </c>
      <c r="M469" s="293">
        <f t="shared" si="24"/>
        <v>0.66468519568916618</v>
      </c>
      <c r="N469" s="293">
        <f t="shared" si="24"/>
        <v>0.66947979459700824</v>
      </c>
      <c r="O469" s="293">
        <f t="shared" si="24"/>
        <v>0.67538505607826715</v>
      </c>
      <c r="P469" s="293">
        <f t="shared" si="24"/>
        <v>0.6846979401073221</v>
      </c>
      <c r="Q469" s="293">
        <f t="shared" si="24"/>
        <v>0.69895282397671998</v>
      </c>
      <c r="R469" s="293">
        <f t="shared" si="24"/>
        <v>0.72205304828107608</v>
      </c>
      <c r="S469" s="293">
        <f t="shared" si="24"/>
        <v>0.73864385820280298</v>
      </c>
      <c r="T469" s="293">
        <f t="shared" si="24"/>
        <v>0.74900478913654089</v>
      </c>
      <c r="U469" s="293">
        <f t="shared" si="24"/>
        <v>0.76241979835013751</v>
      </c>
      <c r="V469" s="293">
        <f t="shared" si="24"/>
        <v>0.73913043478260865</v>
      </c>
      <c r="W469" s="293">
        <f t="shared" si="24"/>
        <v>0.76018005251531695</v>
      </c>
      <c r="X469" s="293">
        <f t="shared" si="24"/>
        <v>0.77497702781722499</v>
      </c>
    </row>
    <row r="470" spans="2:24">
      <c r="B470" s="72" t="s">
        <v>825</v>
      </c>
      <c r="C470" s="72" t="s">
        <v>826</v>
      </c>
      <c r="D470" s="293">
        <f t="shared" si="22"/>
        <v>0</v>
      </c>
      <c r="E470" s="293">
        <f t="shared" si="24"/>
        <v>0</v>
      </c>
      <c r="F470" s="293">
        <f t="shared" si="24"/>
        <v>0</v>
      </c>
      <c r="G470" s="293">
        <f t="shared" si="24"/>
        <v>0</v>
      </c>
      <c r="H470" s="293">
        <f t="shared" si="24"/>
        <v>0</v>
      </c>
      <c r="I470" s="293">
        <f t="shared" si="24"/>
        <v>0</v>
      </c>
      <c r="J470" s="293">
        <f t="shared" si="24"/>
        <v>0</v>
      </c>
      <c r="K470" s="293">
        <f t="shared" si="24"/>
        <v>0</v>
      </c>
      <c r="L470" s="293">
        <f t="shared" si="24"/>
        <v>0</v>
      </c>
      <c r="M470" s="293">
        <f t="shared" si="24"/>
        <v>0</v>
      </c>
      <c r="N470" s="293">
        <f t="shared" si="24"/>
        <v>0</v>
      </c>
      <c r="O470" s="293">
        <f t="shared" si="24"/>
        <v>0</v>
      </c>
      <c r="P470" s="293">
        <f t="shared" si="24"/>
        <v>0</v>
      </c>
      <c r="Q470" s="293">
        <f t="shared" si="24"/>
        <v>0</v>
      </c>
      <c r="R470" s="293">
        <f t="shared" si="24"/>
        <v>0</v>
      </c>
      <c r="S470" s="293">
        <f t="shared" si="24"/>
        <v>0</v>
      </c>
      <c r="T470" s="293">
        <f t="shared" si="24"/>
        <v>0</v>
      </c>
      <c r="U470" s="293">
        <f t="shared" si="24"/>
        <v>0</v>
      </c>
      <c r="V470" s="293">
        <f t="shared" si="24"/>
        <v>0</v>
      </c>
      <c r="W470" s="293">
        <f t="shared" si="24"/>
        <v>0</v>
      </c>
      <c r="X470" s="293">
        <f t="shared" si="24"/>
        <v>0</v>
      </c>
    </row>
    <row r="471" spans="2:24">
      <c r="B471" s="72" t="s">
        <v>827</v>
      </c>
      <c r="C471" s="72" t="s">
        <v>828</v>
      </c>
      <c r="D471" s="293">
        <f t="shared" si="22"/>
        <v>0</v>
      </c>
      <c r="E471" s="293">
        <f t="shared" si="24"/>
        <v>0</v>
      </c>
      <c r="F471" s="293">
        <f t="shared" si="24"/>
        <v>0</v>
      </c>
      <c r="G471" s="293">
        <f t="shared" si="24"/>
        <v>0</v>
      </c>
      <c r="H471" s="293">
        <f t="shared" si="24"/>
        <v>0</v>
      </c>
      <c r="I471" s="293">
        <f t="shared" si="24"/>
        <v>0</v>
      </c>
      <c r="J471" s="293">
        <f t="shared" si="24"/>
        <v>0</v>
      </c>
      <c r="K471" s="293">
        <f t="shared" si="24"/>
        <v>0</v>
      </c>
      <c r="L471" s="293">
        <f t="shared" si="24"/>
        <v>0</v>
      </c>
      <c r="M471" s="293">
        <f t="shared" si="24"/>
        <v>0</v>
      </c>
      <c r="N471" s="293">
        <f t="shared" si="24"/>
        <v>0</v>
      </c>
      <c r="O471" s="293">
        <f t="shared" si="24"/>
        <v>0</v>
      </c>
      <c r="P471" s="293">
        <f t="shared" si="24"/>
        <v>0</v>
      </c>
      <c r="Q471" s="293">
        <f t="shared" si="24"/>
        <v>0</v>
      </c>
      <c r="R471" s="293">
        <f t="shared" si="24"/>
        <v>0</v>
      </c>
      <c r="S471" s="293">
        <f t="shared" si="24"/>
        <v>0</v>
      </c>
      <c r="T471" s="293">
        <f t="shared" si="24"/>
        <v>0</v>
      </c>
      <c r="U471" s="293">
        <f t="shared" si="24"/>
        <v>0</v>
      </c>
      <c r="V471" s="293">
        <f t="shared" si="24"/>
        <v>0</v>
      </c>
      <c r="W471" s="293">
        <f t="shared" si="24"/>
        <v>0</v>
      </c>
      <c r="X471" s="293">
        <f t="shared" si="24"/>
        <v>0</v>
      </c>
    </row>
    <row r="472" spans="2:24">
      <c r="B472" s="72" t="s">
        <v>829</v>
      </c>
      <c r="C472" s="72" t="s">
        <v>830</v>
      </c>
      <c r="D472" s="293">
        <f t="shared" si="22"/>
        <v>0.37960467205750226</v>
      </c>
      <c r="E472" s="293">
        <f t="shared" si="24"/>
        <v>0.34827425501000631</v>
      </c>
      <c r="F472" s="293">
        <f t="shared" si="24"/>
        <v>0.32800042521526523</v>
      </c>
      <c r="G472" s="293">
        <f t="shared" si="24"/>
        <v>0.31477818592822832</v>
      </c>
      <c r="H472" s="293">
        <f t="shared" si="24"/>
        <v>0.30680527869597035</v>
      </c>
      <c r="I472" s="293">
        <f t="shared" si="24"/>
        <v>0.30277750272304188</v>
      </c>
      <c r="J472" s="293">
        <f t="shared" si="24"/>
        <v>0.29533868331829161</v>
      </c>
      <c r="K472" s="293">
        <f t="shared" si="24"/>
        <v>0.27855206202730343</v>
      </c>
      <c r="L472" s="293">
        <f t="shared" si="24"/>
        <v>0.26880141695215454</v>
      </c>
      <c r="M472" s="293">
        <f t="shared" si="24"/>
        <v>0.26264322178105504</v>
      </c>
      <c r="N472" s="293">
        <f t="shared" si="24"/>
        <v>0.25653047555257869</v>
      </c>
      <c r="O472" s="293">
        <f t="shared" si="24"/>
        <v>0.2558226648745125</v>
      </c>
      <c r="P472" s="293">
        <f t="shared" si="24"/>
        <v>0.25244504067855289</v>
      </c>
      <c r="Q472" s="293">
        <f t="shared" si="24"/>
        <v>0.25463582489007835</v>
      </c>
      <c r="R472" s="293">
        <f t="shared" si="24"/>
        <v>0.25967616607514121</v>
      </c>
      <c r="S472" s="293">
        <f t="shared" si="24"/>
        <v>0.26327287716405606</v>
      </c>
      <c r="T472" s="293">
        <f t="shared" si="24"/>
        <v>0.26623153555479218</v>
      </c>
      <c r="U472" s="293">
        <f t="shared" si="24"/>
        <v>0.26819431714023834</v>
      </c>
      <c r="V472" s="293">
        <f t="shared" si="24"/>
        <v>0.27022698054753524</v>
      </c>
      <c r="W472" s="293">
        <f t="shared" si="24"/>
        <v>0.27403826115950486</v>
      </c>
      <c r="X472" s="293">
        <f t="shared" si="24"/>
        <v>0.28422855233480915</v>
      </c>
    </row>
    <row r="473" spans="2:24">
      <c r="B473" s="72" t="s">
        <v>831</v>
      </c>
      <c r="C473" s="72" t="s">
        <v>832</v>
      </c>
      <c r="D473" s="293">
        <f t="shared" si="22"/>
        <v>0</v>
      </c>
      <c r="E473" s="293">
        <f t="shared" si="24"/>
        <v>0</v>
      </c>
      <c r="F473" s="293">
        <f t="shared" si="24"/>
        <v>0</v>
      </c>
      <c r="G473" s="293">
        <f t="shared" si="24"/>
        <v>0</v>
      </c>
      <c r="H473" s="293">
        <f t="shared" si="24"/>
        <v>0</v>
      </c>
      <c r="I473" s="293">
        <f t="shared" si="24"/>
        <v>0</v>
      </c>
      <c r="J473" s="293">
        <f t="shared" si="24"/>
        <v>0</v>
      </c>
      <c r="K473" s="293">
        <f t="shared" si="24"/>
        <v>0</v>
      </c>
      <c r="L473" s="293">
        <f t="shared" si="24"/>
        <v>0</v>
      </c>
      <c r="M473" s="293">
        <f t="shared" si="24"/>
        <v>0</v>
      </c>
      <c r="N473" s="293">
        <f t="shared" si="24"/>
        <v>0</v>
      </c>
      <c r="O473" s="293">
        <f t="shared" si="24"/>
        <v>0</v>
      </c>
      <c r="P473" s="293">
        <f t="shared" si="24"/>
        <v>0</v>
      </c>
      <c r="Q473" s="293">
        <f t="shared" si="24"/>
        <v>0</v>
      </c>
      <c r="R473" s="293">
        <f t="shared" si="24"/>
        <v>0</v>
      </c>
      <c r="S473" s="293">
        <f t="shared" si="24"/>
        <v>0</v>
      </c>
      <c r="T473" s="293">
        <f t="shared" si="24"/>
        <v>0</v>
      </c>
      <c r="U473" s="293">
        <f t="shared" si="24"/>
        <v>0</v>
      </c>
      <c r="V473" s="293">
        <f t="shared" si="24"/>
        <v>0</v>
      </c>
      <c r="W473" s="293">
        <f t="shared" si="24"/>
        <v>0</v>
      </c>
      <c r="X473" s="293">
        <f t="shared" si="24"/>
        <v>0</v>
      </c>
    </row>
    <row r="474" spans="2:24">
      <c r="B474" s="72" t="s">
        <v>833</v>
      </c>
      <c r="C474" s="72" t="s">
        <v>834</v>
      </c>
      <c r="D474" s="293">
        <f t="shared" si="22"/>
        <v>0.97793126684636122</v>
      </c>
      <c r="E474" s="293">
        <f t="shared" si="24"/>
        <v>0.97732817940071826</v>
      </c>
      <c r="F474" s="293">
        <f t="shared" si="24"/>
        <v>0.96505262038907191</v>
      </c>
      <c r="G474" s="293">
        <f t="shared" si="24"/>
        <v>0.95954172981581853</v>
      </c>
      <c r="H474" s="293">
        <f t="shared" si="24"/>
        <v>0.97105801014357451</v>
      </c>
      <c r="I474" s="293">
        <f t="shared" si="24"/>
        <v>0.95910486186751165</v>
      </c>
      <c r="J474" s="293">
        <f t="shared" si="24"/>
        <v>0.94745957021245453</v>
      </c>
      <c r="K474" s="293">
        <f t="shared" si="24"/>
        <v>0.92382152880178847</v>
      </c>
      <c r="L474" s="293">
        <f t="shared" si="24"/>
        <v>0.90659302244284412</v>
      </c>
      <c r="M474" s="293">
        <f t="shared" si="24"/>
        <v>0.88231423709585932</v>
      </c>
      <c r="N474" s="293">
        <f t="shared" si="24"/>
        <v>0.87189104710872967</v>
      </c>
      <c r="O474" s="293">
        <f t="shared" si="24"/>
        <v>0.86256968468369211</v>
      </c>
      <c r="P474" s="293">
        <f t="shared" si="24"/>
        <v>0.84609226241994118</v>
      </c>
      <c r="Q474" s="293">
        <f t="shared" si="24"/>
        <v>0.82765139446462332</v>
      </c>
      <c r="R474" s="293">
        <f t="shared" si="24"/>
        <v>0.81388999726988265</v>
      </c>
      <c r="S474" s="293">
        <f t="shared" si="24"/>
        <v>0.7994435284418796</v>
      </c>
      <c r="T474" s="293">
        <f t="shared" ref="E474:X487" si="25">T224/T$251</f>
        <v>0.78725725948228831</v>
      </c>
      <c r="U474" s="293">
        <f t="shared" si="25"/>
        <v>0.80203686729809553</v>
      </c>
      <c r="V474" s="293">
        <f t="shared" si="25"/>
        <v>0.85609812640940797</v>
      </c>
      <c r="W474" s="293">
        <f t="shared" si="25"/>
        <v>0.86856583170091273</v>
      </c>
      <c r="X474" s="293">
        <f t="shared" si="25"/>
        <v>0.88511820232227889</v>
      </c>
    </row>
    <row r="475" spans="2:24">
      <c r="B475" s="72" t="s">
        <v>835</v>
      </c>
      <c r="C475" s="72" t="s">
        <v>836</v>
      </c>
      <c r="D475" s="293">
        <f t="shared" si="22"/>
        <v>0.2469676549865229</v>
      </c>
      <c r="E475" s="293">
        <f t="shared" si="25"/>
        <v>0.25443430106642539</v>
      </c>
      <c r="F475" s="293">
        <f t="shared" si="25"/>
        <v>0.25154140533645158</v>
      </c>
      <c r="G475" s="293">
        <f t="shared" si="25"/>
        <v>0.25299904955174807</v>
      </c>
      <c r="H475" s="293">
        <f t="shared" si="25"/>
        <v>0.25856021801115286</v>
      </c>
      <c r="I475" s="293">
        <f t="shared" si="25"/>
        <v>0.25467868105753044</v>
      </c>
      <c r="J475" s="293">
        <f t="shared" si="25"/>
        <v>0.26370222211381322</v>
      </c>
      <c r="K475" s="293">
        <f t="shared" si="25"/>
        <v>0.24967892308424106</v>
      </c>
      <c r="L475" s="293">
        <f t="shared" si="25"/>
        <v>0.25372299517583724</v>
      </c>
      <c r="M475" s="293">
        <f t="shared" si="25"/>
        <v>0.2523199092456041</v>
      </c>
      <c r="N475" s="293">
        <f t="shared" si="25"/>
        <v>0.2478231748158071</v>
      </c>
      <c r="O475" s="293">
        <f t="shared" si="25"/>
        <v>0.24326289579798602</v>
      </c>
      <c r="P475" s="293">
        <f t="shared" si="25"/>
        <v>0.23526484334429634</v>
      </c>
      <c r="Q475" s="293">
        <f t="shared" si="25"/>
        <v>0.23086726565984833</v>
      </c>
      <c r="R475" s="293">
        <f t="shared" si="25"/>
        <v>0.25488796018228782</v>
      </c>
      <c r="S475" s="293">
        <f t="shared" si="25"/>
        <v>0.26665292662819456</v>
      </c>
      <c r="T475" s="293">
        <f t="shared" si="25"/>
        <v>0.28173055549942411</v>
      </c>
      <c r="U475" s="293">
        <f t="shared" si="25"/>
        <v>0.29532538955087079</v>
      </c>
      <c r="V475" s="293">
        <f t="shared" si="25"/>
        <v>0.31794136862736833</v>
      </c>
      <c r="W475" s="293">
        <f t="shared" si="25"/>
        <v>0.33503521860542657</v>
      </c>
      <c r="X475" s="293">
        <f t="shared" si="25"/>
        <v>0.35644474145852478</v>
      </c>
    </row>
    <row r="476" spans="2:24">
      <c r="B476" s="72" t="s">
        <v>837</v>
      </c>
      <c r="C476" s="72" t="s">
        <v>838</v>
      </c>
      <c r="D476" s="293">
        <f t="shared" si="22"/>
        <v>0</v>
      </c>
      <c r="E476" s="293">
        <f t="shared" si="25"/>
        <v>0</v>
      </c>
      <c r="F476" s="293">
        <f t="shared" si="25"/>
        <v>0</v>
      </c>
      <c r="G476" s="293">
        <f t="shared" si="25"/>
        <v>0</v>
      </c>
      <c r="H476" s="293">
        <f t="shared" si="25"/>
        <v>0</v>
      </c>
      <c r="I476" s="293">
        <f t="shared" si="25"/>
        <v>0</v>
      </c>
      <c r="J476" s="293">
        <f t="shared" si="25"/>
        <v>0</v>
      </c>
      <c r="K476" s="293">
        <f t="shared" si="25"/>
        <v>0</v>
      </c>
      <c r="L476" s="293">
        <f t="shared" si="25"/>
        <v>0</v>
      </c>
      <c r="M476" s="293">
        <f t="shared" si="25"/>
        <v>0</v>
      </c>
      <c r="N476" s="293">
        <f t="shared" si="25"/>
        <v>0</v>
      </c>
      <c r="O476" s="293">
        <f t="shared" si="25"/>
        <v>0</v>
      </c>
      <c r="P476" s="293">
        <f t="shared" si="25"/>
        <v>0</v>
      </c>
      <c r="Q476" s="293">
        <f t="shared" si="25"/>
        <v>0</v>
      </c>
      <c r="R476" s="293">
        <f t="shared" si="25"/>
        <v>0</v>
      </c>
      <c r="S476" s="293">
        <f t="shared" si="25"/>
        <v>0</v>
      </c>
      <c r="T476" s="293">
        <f t="shared" si="25"/>
        <v>0</v>
      </c>
      <c r="U476" s="293">
        <f t="shared" si="25"/>
        <v>0</v>
      </c>
      <c r="V476" s="293">
        <f t="shared" si="25"/>
        <v>0</v>
      </c>
      <c r="W476" s="293">
        <f t="shared" si="25"/>
        <v>0</v>
      </c>
      <c r="X476" s="293">
        <f t="shared" si="25"/>
        <v>0</v>
      </c>
    </row>
    <row r="477" spans="2:24">
      <c r="B477" s="72" t="s">
        <v>839</v>
      </c>
      <c r="C477" s="72" t="s">
        <v>840</v>
      </c>
      <c r="D477" s="293">
        <f t="shared" si="22"/>
        <v>0.25763701707097936</v>
      </c>
      <c r="E477" s="293">
        <f t="shared" si="25"/>
        <v>0.26389231570578719</v>
      </c>
      <c r="F477" s="293">
        <f t="shared" si="25"/>
        <v>0.24702349314340385</v>
      </c>
      <c r="G477" s="293">
        <f t="shared" si="25"/>
        <v>0.24418813737830408</v>
      </c>
      <c r="H477" s="293">
        <f t="shared" si="25"/>
        <v>0.22207362922964347</v>
      </c>
      <c r="I477" s="293">
        <f t="shared" si="25"/>
        <v>0.22747301713040896</v>
      </c>
      <c r="J477" s="293">
        <f t="shared" si="25"/>
        <v>0.23667585433080468</v>
      </c>
      <c r="K477" s="293">
        <f t="shared" si="25"/>
        <v>0.24306711696713124</v>
      </c>
      <c r="L477" s="293">
        <f t="shared" si="25"/>
        <v>0.2298352327017642</v>
      </c>
      <c r="M477" s="293">
        <f t="shared" si="25"/>
        <v>0.21057288712422009</v>
      </c>
      <c r="N477" s="293">
        <f t="shared" si="25"/>
        <v>0.19928555481134183</v>
      </c>
      <c r="O477" s="293">
        <f t="shared" si="25"/>
        <v>0.21298724191878016</v>
      </c>
      <c r="P477" s="293">
        <f t="shared" si="25"/>
        <v>0.19958455945992729</v>
      </c>
      <c r="Q477" s="293">
        <f t="shared" si="25"/>
        <v>0.2122602434206334</v>
      </c>
      <c r="R477" s="293">
        <f t="shared" si="25"/>
        <v>0.21227712791650041</v>
      </c>
      <c r="S477" s="293">
        <f t="shared" si="25"/>
        <v>0.21448887056883759</v>
      </c>
      <c r="T477" s="293">
        <f t="shared" si="25"/>
        <v>0.21011578798472327</v>
      </c>
      <c r="U477" s="293">
        <f t="shared" si="25"/>
        <v>0.20865668601690601</v>
      </c>
      <c r="V477" s="293">
        <f t="shared" si="25"/>
        <v>0.20093152648106388</v>
      </c>
      <c r="W477" s="293">
        <f t="shared" si="25"/>
        <v>0.20478889676155546</v>
      </c>
      <c r="X477" s="293">
        <f t="shared" si="25"/>
        <v>0.20706290201319857</v>
      </c>
    </row>
    <row r="478" spans="2:24">
      <c r="B478" s="72" t="s">
        <v>841</v>
      </c>
      <c r="C478" s="72" t="s">
        <v>842</v>
      </c>
      <c r="D478" s="293">
        <f t="shared" si="22"/>
        <v>0</v>
      </c>
      <c r="E478" s="293">
        <f t="shared" si="25"/>
        <v>0</v>
      </c>
      <c r="F478" s="293">
        <f t="shared" si="25"/>
        <v>0</v>
      </c>
      <c r="G478" s="293">
        <f t="shared" si="25"/>
        <v>0</v>
      </c>
      <c r="H478" s="293">
        <f t="shared" si="25"/>
        <v>0</v>
      </c>
      <c r="I478" s="293">
        <f t="shared" si="25"/>
        <v>0</v>
      </c>
      <c r="J478" s="293">
        <f t="shared" si="25"/>
        <v>0</v>
      </c>
      <c r="K478" s="293">
        <f t="shared" si="25"/>
        <v>0</v>
      </c>
      <c r="L478" s="293">
        <f t="shared" si="25"/>
        <v>0</v>
      </c>
      <c r="M478" s="293">
        <f t="shared" si="25"/>
        <v>0</v>
      </c>
      <c r="N478" s="293">
        <f t="shared" si="25"/>
        <v>0</v>
      </c>
      <c r="O478" s="293">
        <f t="shared" si="25"/>
        <v>0</v>
      </c>
      <c r="P478" s="293">
        <f t="shared" si="25"/>
        <v>0</v>
      </c>
      <c r="Q478" s="293">
        <f t="shared" si="25"/>
        <v>0</v>
      </c>
      <c r="R478" s="293">
        <f t="shared" si="25"/>
        <v>0</v>
      </c>
      <c r="S478" s="293">
        <f t="shared" si="25"/>
        <v>0</v>
      </c>
      <c r="T478" s="293">
        <f t="shared" si="25"/>
        <v>0</v>
      </c>
      <c r="U478" s="293">
        <f t="shared" si="25"/>
        <v>0</v>
      </c>
      <c r="V478" s="293">
        <f t="shared" si="25"/>
        <v>0</v>
      </c>
      <c r="W478" s="293">
        <f t="shared" si="25"/>
        <v>0</v>
      </c>
      <c r="X478" s="293">
        <f t="shared" si="25"/>
        <v>0</v>
      </c>
    </row>
    <row r="479" spans="2:24">
      <c r="B479" s="72" t="s">
        <v>843</v>
      </c>
      <c r="C479" s="72" t="s">
        <v>844</v>
      </c>
      <c r="D479" s="293">
        <f t="shared" si="22"/>
        <v>0</v>
      </c>
      <c r="E479" s="293">
        <f t="shared" si="25"/>
        <v>0</v>
      </c>
      <c r="F479" s="293">
        <f t="shared" si="25"/>
        <v>0</v>
      </c>
      <c r="G479" s="293">
        <f t="shared" si="25"/>
        <v>0</v>
      </c>
      <c r="H479" s="293">
        <f t="shared" si="25"/>
        <v>0</v>
      </c>
      <c r="I479" s="293">
        <f t="shared" si="25"/>
        <v>0</v>
      </c>
      <c r="J479" s="293">
        <f t="shared" si="25"/>
        <v>0</v>
      </c>
      <c r="K479" s="293">
        <f t="shared" si="25"/>
        <v>0</v>
      </c>
      <c r="L479" s="293">
        <f t="shared" si="25"/>
        <v>0</v>
      </c>
      <c r="M479" s="293">
        <f t="shared" si="25"/>
        <v>0</v>
      </c>
      <c r="N479" s="293">
        <f t="shared" si="25"/>
        <v>0</v>
      </c>
      <c r="O479" s="293">
        <f t="shared" si="25"/>
        <v>0</v>
      </c>
      <c r="P479" s="293">
        <f t="shared" si="25"/>
        <v>0</v>
      </c>
      <c r="Q479" s="293">
        <f t="shared" si="25"/>
        <v>0</v>
      </c>
      <c r="R479" s="293">
        <f t="shared" si="25"/>
        <v>0</v>
      </c>
      <c r="S479" s="293">
        <f t="shared" si="25"/>
        <v>0</v>
      </c>
      <c r="T479" s="293">
        <f t="shared" si="25"/>
        <v>0</v>
      </c>
      <c r="U479" s="293">
        <f t="shared" si="25"/>
        <v>0</v>
      </c>
      <c r="V479" s="293">
        <f t="shared" si="25"/>
        <v>0</v>
      </c>
      <c r="W479" s="293">
        <f t="shared" si="25"/>
        <v>0</v>
      </c>
      <c r="X479" s="293">
        <f t="shared" si="25"/>
        <v>0</v>
      </c>
    </row>
    <row r="480" spans="2:24">
      <c r="B480" s="72" t="s">
        <v>845</v>
      </c>
      <c r="C480" s="72" t="s">
        <v>846</v>
      </c>
      <c r="D480" s="293">
        <f t="shared" si="22"/>
        <v>7.6763252470799639E-2</v>
      </c>
      <c r="E480" s="293">
        <f t="shared" si="25"/>
        <v>7.105847520355292E-2</v>
      </c>
      <c r="F480" s="293">
        <f t="shared" si="25"/>
        <v>7.2313171042840435E-2</v>
      </c>
      <c r="G480" s="293">
        <f t="shared" si="25"/>
        <v>6.8329522977728679E-2</v>
      </c>
      <c r="H480" s="293">
        <f t="shared" si="25"/>
        <v>6.6513587847896849E-2</v>
      </c>
      <c r="I480" s="293">
        <f t="shared" si="25"/>
        <v>6.7011585305475796E-2</v>
      </c>
      <c r="J480" s="293">
        <f t="shared" si="25"/>
        <v>7.107837158816499E-2</v>
      </c>
      <c r="K480" s="293">
        <f t="shared" si="25"/>
        <v>7.0303952813585119E-2</v>
      </c>
      <c r="L480" s="293">
        <f t="shared" si="25"/>
        <v>6.8936586730056634E-2</v>
      </c>
      <c r="M480" s="293">
        <f t="shared" si="25"/>
        <v>7.0243902439024397E-2</v>
      </c>
      <c r="N480" s="293">
        <f t="shared" si="25"/>
        <v>7.1310560392944852E-2</v>
      </c>
      <c r="O480" s="293">
        <f t="shared" si="25"/>
        <v>7.2229689531322305E-2</v>
      </c>
      <c r="P480" s="293">
        <f t="shared" si="25"/>
        <v>7.4259996537995504E-2</v>
      </c>
      <c r="Q480" s="293">
        <f t="shared" si="25"/>
        <v>7.3429766987404152E-2</v>
      </c>
      <c r="R480" s="293">
        <f t="shared" si="25"/>
        <v>7.6044269903605854E-2</v>
      </c>
      <c r="S480" s="293">
        <f t="shared" si="25"/>
        <v>7.9348722176422096E-2</v>
      </c>
      <c r="T480" s="293">
        <f t="shared" si="25"/>
        <v>8.327439529573423E-2</v>
      </c>
      <c r="U480" s="293">
        <f t="shared" si="25"/>
        <v>8.4346674814135852E-2</v>
      </c>
      <c r="V480" s="293">
        <f t="shared" si="25"/>
        <v>8.8768994077852006E-2</v>
      </c>
      <c r="W480" s="293">
        <f t="shared" si="25"/>
        <v>9.0630600591839292E-2</v>
      </c>
      <c r="X480" s="293">
        <f t="shared" si="25"/>
        <v>8.7983460028401975E-2</v>
      </c>
    </row>
    <row r="481" spans="2:24">
      <c r="B481" s="72" t="s">
        <v>847</v>
      </c>
      <c r="C481" s="72" t="s">
        <v>848</v>
      </c>
      <c r="D481" s="293">
        <f t="shared" si="22"/>
        <v>0</v>
      </c>
      <c r="E481" s="293">
        <f t="shared" si="25"/>
        <v>0</v>
      </c>
      <c r="F481" s="293">
        <f t="shared" si="25"/>
        <v>0</v>
      </c>
      <c r="G481" s="293">
        <f t="shared" si="25"/>
        <v>0</v>
      </c>
      <c r="H481" s="293">
        <f t="shared" si="25"/>
        <v>0</v>
      </c>
      <c r="I481" s="293">
        <f t="shared" si="25"/>
        <v>0</v>
      </c>
      <c r="J481" s="293">
        <f t="shared" si="25"/>
        <v>0</v>
      </c>
      <c r="K481" s="293">
        <f t="shared" si="25"/>
        <v>0</v>
      </c>
      <c r="L481" s="293">
        <f t="shared" si="25"/>
        <v>0</v>
      </c>
      <c r="M481" s="293">
        <f t="shared" si="25"/>
        <v>0</v>
      </c>
      <c r="N481" s="293">
        <f t="shared" si="25"/>
        <v>0</v>
      </c>
      <c r="O481" s="293">
        <f t="shared" si="25"/>
        <v>0</v>
      </c>
      <c r="P481" s="293">
        <f t="shared" si="25"/>
        <v>0</v>
      </c>
      <c r="Q481" s="293">
        <f t="shared" si="25"/>
        <v>0</v>
      </c>
      <c r="R481" s="293">
        <f t="shared" si="25"/>
        <v>0</v>
      </c>
      <c r="S481" s="293">
        <f t="shared" si="25"/>
        <v>0</v>
      </c>
      <c r="T481" s="293">
        <f t="shared" si="25"/>
        <v>0</v>
      </c>
      <c r="U481" s="293">
        <f t="shared" si="25"/>
        <v>0</v>
      </c>
      <c r="V481" s="293">
        <f t="shared" si="25"/>
        <v>0</v>
      </c>
      <c r="W481" s="293">
        <f t="shared" si="25"/>
        <v>0</v>
      </c>
      <c r="X481" s="293">
        <f t="shared" si="25"/>
        <v>0</v>
      </c>
    </row>
    <row r="482" spans="2:24">
      <c r="B482" s="72" t="s">
        <v>849</v>
      </c>
      <c r="C482" s="72" t="s">
        <v>850</v>
      </c>
      <c r="D482" s="293">
        <f t="shared" si="22"/>
        <v>0</v>
      </c>
      <c r="E482" s="293">
        <f t="shared" si="25"/>
        <v>0</v>
      </c>
      <c r="F482" s="293">
        <f t="shared" si="25"/>
        <v>0</v>
      </c>
      <c r="G482" s="293">
        <f t="shared" si="25"/>
        <v>0</v>
      </c>
      <c r="H482" s="293">
        <f t="shared" si="25"/>
        <v>0</v>
      </c>
      <c r="I482" s="293">
        <f t="shared" si="25"/>
        <v>0</v>
      </c>
      <c r="J482" s="293">
        <f t="shared" si="25"/>
        <v>0</v>
      </c>
      <c r="K482" s="293">
        <f t="shared" si="25"/>
        <v>0</v>
      </c>
      <c r="L482" s="293">
        <f t="shared" si="25"/>
        <v>0</v>
      </c>
      <c r="M482" s="293">
        <f t="shared" si="25"/>
        <v>0</v>
      </c>
      <c r="N482" s="293">
        <f t="shared" si="25"/>
        <v>0</v>
      </c>
      <c r="O482" s="293">
        <f t="shared" si="25"/>
        <v>0</v>
      </c>
      <c r="P482" s="293">
        <f t="shared" si="25"/>
        <v>0</v>
      </c>
      <c r="Q482" s="293">
        <f t="shared" si="25"/>
        <v>0</v>
      </c>
      <c r="R482" s="293">
        <f t="shared" si="25"/>
        <v>0</v>
      </c>
      <c r="S482" s="293">
        <f t="shared" si="25"/>
        <v>0</v>
      </c>
      <c r="T482" s="293">
        <f t="shared" si="25"/>
        <v>0</v>
      </c>
      <c r="U482" s="293">
        <f t="shared" si="25"/>
        <v>0</v>
      </c>
      <c r="V482" s="293">
        <f t="shared" si="25"/>
        <v>0</v>
      </c>
      <c r="W482" s="293">
        <f t="shared" si="25"/>
        <v>0</v>
      </c>
      <c r="X482" s="293">
        <f t="shared" si="25"/>
        <v>0</v>
      </c>
    </row>
    <row r="483" spans="2:24">
      <c r="B483" s="72" t="s">
        <v>851</v>
      </c>
      <c r="C483" s="72" t="s">
        <v>386</v>
      </c>
      <c r="D483" s="293">
        <f t="shared" si="22"/>
        <v>0.93373764600179698</v>
      </c>
      <c r="E483" s="293">
        <f t="shared" si="25"/>
        <v>0.94267620692491161</v>
      </c>
      <c r="F483" s="293">
        <f t="shared" si="25"/>
        <v>0.93879557776124167</v>
      </c>
      <c r="G483" s="293">
        <f t="shared" si="25"/>
        <v>0.95288859205219756</v>
      </c>
      <c r="H483" s="293">
        <f t="shared" si="25"/>
        <v>0.95738184754358957</v>
      </c>
      <c r="I483" s="293">
        <f t="shared" si="25"/>
        <v>0.96210020794138029</v>
      </c>
      <c r="J483" s="293">
        <f t="shared" si="25"/>
        <v>0.98634046393638564</v>
      </c>
      <c r="K483" s="293">
        <f t="shared" si="25"/>
        <v>0.98556343052846884</v>
      </c>
      <c r="L483" s="293">
        <f t="shared" si="25"/>
        <v>0.98993218205970779</v>
      </c>
      <c r="M483" s="293">
        <f t="shared" si="25"/>
        <v>0.98257515598411793</v>
      </c>
      <c r="N483" s="293">
        <f t="shared" si="25"/>
        <v>0.9589194016521545</v>
      </c>
      <c r="O483" s="293">
        <f t="shared" si="25"/>
        <v>0.96941586056452855</v>
      </c>
      <c r="P483" s="293">
        <f t="shared" si="25"/>
        <v>0.97985546131209966</v>
      </c>
      <c r="Q483" s="293">
        <f t="shared" si="25"/>
        <v>1.0097070880859831</v>
      </c>
      <c r="R483" s="293">
        <f t="shared" si="25"/>
        <v>1.0271121658231304</v>
      </c>
      <c r="S483" s="293">
        <f t="shared" si="25"/>
        <v>1.0338211046990931</v>
      </c>
      <c r="T483" s="293">
        <f t="shared" si="25"/>
        <v>1.0236021581425425</v>
      </c>
      <c r="U483" s="293">
        <f t="shared" si="25"/>
        <v>1.0162745697117832</v>
      </c>
      <c r="V483" s="293">
        <f t="shared" si="25"/>
        <v>1.0175135408543909</v>
      </c>
      <c r="W483" s="293">
        <f t="shared" si="25"/>
        <v>1.0508481640478473</v>
      </c>
      <c r="X483" s="293">
        <f t="shared" si="25"/>
        <v>1.0714017208253279</v>
      </c>
    </row>
    <row r="484" spans="2:24">
      <c r="B484" s="72" t="s">
        <v>852</v>
      </c>
      <c r="C484" s="72" t="s">
        <v>853</v>
      </c>
      <c r="D484" s="293">
        <f t="shared" si="22"/>
        <v>1.0024146451033245</v>
      </c>
      <c r="E484" s="293">
        <f t="shared" si="25"/>
        <v>0.99446226389231573</v>
      </c>
      <c r="F484" s="293">
        <f t="shared" si="25"/>
        <v>0.97042096311257575</v>
      </c>
      <c r="G484" s="293">
        <f t="shared" si="25"/>
        <v>0.95540599553032446</v>
      </c>
      <c r="H484" s="293">
        <f t="shared" si="25"/>
        <v>0.94143473543438216</v>
      </c>
      <c r="I484" s="293">
        <f t="shared" si="25"/>
        <v>0.92934944053866719</v>
      </c>
      <c r="J484" s="293">
        <f t="shared" si="25"/>
        <v>0.93423909066517064</v>
      </c>
      <c r="K484" s="293">
        <f t="shared" si="25"/>
        <v>0.92218046901013173</v>
      </c>
      <c r="L484" s="293">
        <f t="shared" si="25"/>
        <v>0.90817777156307533</v>
      </c>
      <c r="M484" s="293">
        <f t="shared" si="25"/>
        <v>0.90041973908111173</v>
      </c>
      <c r="N484" s="293">
        <f t="shared" si="25"/>
        <v>0.88184862692565302</v>
      </c>
      <c r="O484" s="293">
        <f t="shared" si="25"/>
        <v>0.86796818191833947</v>
      </c>
      <c r="P484" s="293">
        <f t="shared" si="25"/>
        <v>0.85357884715250132</v>
      </c>
      <c r="Q484" s="293">
        <f t="shared" si="25"/>
        <v>0.85679389961553987</v>
      </c>
      <c r="R484" s="293">
        <f t="shared" si="25"/>
        <v>0.86441816998130916</v>
      </c>
      <c r="S484" s="293">
        <f t="shared" si="25"/>
        <v>0.86016075845012363</v>
      </c>
      <c r="T484" s="293">
        <f t="shared" si="25"/>
        <v>0.85194091377533498</v>
      </c>
      <c r="U484" s="293">
        <f t="shared" si="25"/>
        <v>0.85831551074447499</v>
      </c>
      <c r="V484" s="293">
        <f t="shared" si="25"/>
        <v>0.86530801492128395</v>
      </c>
      <c r="W484" s="293">
        <f t="shared" si="25"/>
        <v>0.87500520985287378</v>
      </c>
      <c r="X484" s="293">
        <f t="shared" si="25"/>
        <v>0.8758040263971264</v>
      </c>
    </row>
    <row r="485" spans="2:24">
      <c r="B485" s="72" t="s">
        <v>854</v>
      </c>
      <c r="C485" s="72" t="s">
        <v>855</v>
      </c>
      <c r="D485" s="293">
        <f t="shared" si="22"/>
        <v>0.64280098831985621</v>
      </c>
      <c r="E485" s="293">
        <f t="shared" si="25"/>
        <v>0.67524741618005868</v>
      </c>
      <c r="F485" s="293">
        <f t="shared" si="25"/>
        <v>0.66660465610715425</v>
      </c>
      <c r="G485" s="293">
        <f t="shared" si="25"/>
        <v>0.64625343574199179</v>
      </c>
      <c r="H485" s="293">
        <f t="shared" si="25"/>
        <v>0.63533597436350331</v>
      </c>
      <c r="I485" s="293">
        <f t="shared" si="25"/>
        <v>0.62384889593029014</v>
      </c>
      <c r="J485" s="293">
        <f t="shared" si="25"/>
        <v>0.59150669561187408</v>
      </c>
      <c r="K485" s="293">
        <f t="shared" si="25"/>
        <v>0.59275555344146891</v>
      </c>
      <c r="L485" s="293">
        <f t="shared" si="25"/>
        <v>0.54729776969866462</v>
      </c>
      <c r="M485" s="293">
        <f t="shared" si="25"/>
        <v>0.5326602382302893</v>
      </c>
      <c r="N485" s="293">
        <f t="shared" si="25"/>
        <v>0.53154722036168789</v>
      </c>
      <c r="O485" s="293">
        <f t="shared" si="25"/>
        <v>0.54163453275455564</v>
      </c>
      <c r="P485" s="293">
        <f t="shared" si="25"/>
        <v>0.50854682361087067</v>
      </c>
      <c r="Q485" s="293">
        <f t="shared" si="25"/>
        <v>0.51419953694853326</v>
      </c>
      <c r="R485" s="293">
        <f t="shared" si="25"/>
        <v>0.52000336014448623</v>
      </c>
      <c r="S485" s="293">
        <f t="shared" si="25"/>
        <v>0.51974443528441883</v>
      </c>
      <c r="T485" s="293">
        <f t="shared" si="25"/>
        <v>0.52045991876654474</v>
      </c>
      <c r="U485" s="293">
        <f t="shared" si="25"/>
        <v>0.53017618902128527</v>
      </c>
      <c r="V485" s="293">
        <f t="shared" si="25"/>
        <v>0.56743029357836838</v>
      </c>
      <c r="W485" s="293">
        <f t="shared" si="25"/>
        <v>0.56274746801150333</v>
      </c>
      <c r="X485" s="293">
        <f t="shared" si="25"/>
        <v>0.53959568958315929</v>
      </c>
    </row>
    <row r="486" spans="2:24">
      <c r="B486" s="72" t="s">
        <v>856</v>
      </c>
      <c r="C486" s="72" t="s">
        <v>857</v>
      </c>
      <c r="D486" s="293">
        <f t="shared" si="22"/>
        <v>0.2076875561545373</v>
      </c>
      <c r="E486" s="293">
        <f t="shared" si="25"/>
        <v>0.14217177947747897</v>
      </c>
      <c r="F486" s="293">
        <f t="shared" si="25"/>
        <v>0.11876793876900181</v>
      </c>
      <c r="G486" s="293">
        <f t="shared" si="25"/>
        <v>9.0318271725448901E-2</v>
      </c>
      <c r="H486" s="293">
        <f t="shared" si="25"/>
        <v>8.354570916706619E-2</v>
      </c>
      <c r="I486" s="293">
        <f t="shared" si="25"/>
        <v>6.8001782354688581E-2</v>
      </c>
      <c r="J486" s="293">
        <f t="shared" si="25"/>
        <v>6.5858477449569477E-2</v>
      </c>
      <c r="K486" s="293">
        <f t="shared" si="25"/>
        <v>6.7449935784616846E-2</v>
      </c>
      <c r="L486" s="293">
        <f t="shared" si="25"/>
        <v>7.0847607727982473E-2</v>
      </c>
      <c r="M486" s="293">
        <f t="shared" si="25"/>
        <v>7.4350538854225753E-2</v>
      </c>
      <c r="N486" s="293">
        <f t="shared" si="25"/>
        <v>7.6490288010716681E-2</v>
      </c>
      <c r="O486" s="293">
        <f t="shared" si="25"/>
        <v>8.2409712888085851E-2</v>
      </c>
      <c r="P486" s="293">
        <f t="shared" si="25"/>
        <v>8.8562402631123416E-2</v>
      </c>
      <c r="Q486" s="293">
        <f t="shared" si="25"/>
        <v>8.6471675269228318E-2</v>
      </c>
      <c r="R486" s="293">
        <f t="shared" si="25"/>
        <v>9.0282882163933043E-2</v>
      </c>
      <c r="S486" s="293">
        <f t="shared" si="25"/>
        <v>9.3404781533388298E-2</v>
      </c>
      <c r="T486" s="293">
        <f t="shared" si="25"/>
        <v>9.806615878917696E-2</v>
      </c>
      <c r="U486" s="293">
        <f t="shared" si="25"/>
        <v>0.10577451879010083</v>
      </c>
      <c r="V486" s="293">
        <f t="shared" si="25"/>
        <v>0.11112984467533563</v>
      </c>
      <c r="W486" s="293">
        <f t="shared" si="25"/>
        <v>0.10200891926811986</v>
      </c>
      <c r="X486" s="293">
        <f t="shared" si="25"/>
        <v>0.10542143513490937</v>
      </c>
    </row>
    <row r="487" spans="2:24">
      <c r="B487" s="72" t="s">
        <v>858</v>
      </c>
      <c r="C487" s="72" t="s">
        <v>859</v>
      </c>
      <c r="D487" s="293">
        <f t="shared" si="22"/>
        <v>3.1306154537286614E-2</v>
      </c>
      <c r="E487" s="293">
        <f t="shared" si="25"/>
        <v>2.9635112536666942E-2</v>
      </c>
      <c r="F487" s="293">
        <f t="shared" si="25"/>
        <v>2.806420750504943E-2</v>
      </c>
      <c r="G487" s="293">
        <f t="shared" si="25"/>
        <v>2.6612551054483805E-2</v>
      </c>
      <c r="H487" s="293">
        <f t="shared" si="25"/>
        <v>2.6191617673033737E-2</v>
      </c>
      <c r="I487" s="293">
        <f t="shared" si="25"/>
        <v>2.6066937320526784E-2</v>
      </c>
      <c r="J487" s="293">
        <f t="shared" si="25"/>
        <v>2.5879942434812304E-2</v>
      </c>
      <c r="K487" s="293">
        <f t="shared" si="25"/>
        <v>2.5472101983541835E-2</v>
      </c>
      <c r="L487" s="293">
        <f t="shared" si="25"/>
        <v>2.5169544850730616E-2</v>
      </c>
      <c r="M487" s="293">
        <f t="shared" si="25"/>
        <v>2.5048213272830404E-2</v>
      </c>
      <c r="N487" s="293">
        <f t="shared" si="25"/>
        <v>2.5474436258093324E-2</v>
      </c>
      <c r="O487" s="293">
        <f t="shared" ref="E487:X500" si="26">O237/O$251</f>
        <v>2.6243306965163166E-2</v>
      </c>
      <c r="P487" s="293">
        <f t="shared" si="26"/>
        <v>2.6808897351566555E-2</v>
      </c>
      <c r="Q487" s="293">
        <f t="shared" si="26"/>
        <v>2.7634401750249581E-2</v>
      </c>
      <c r="R487" s="293">
        <f t="shared" si="26"/>
        <v>2.8540227229770881E-2</v>
      </c>
      <c r="S487" s="293">
        <f t="shared" si="26"/>
        <v>2.9204451772464963E-2</v>
      </c>
      <c r="T487" s="293">
        <f t="shared" si="26"/>
        <v>2.9785600258653788E-2</v>
      </c>
      <c r="U487" s="293">
        <f t="shared" si="26"/>
        <v>3.1367756390671145E-2</v>
      </c>
      <c r="V487" s="293">
        <f t="shared" si="26"/>
        <v>3.365718982486459E-2</v>
      </c>
      <c r="W487" s="293">
        <f t="shared" si="26"/>
        <v>3.4426707789772019E-2</v>
      </c>
      <c r="X487" s="293">
        <f t="shared" si="26"/>
        <v>3.5544231893743214E-2</v>
      </c>
    </row>
    <row r="488" spans="2:24">
      <c r="B488" s="72" t="s">
        <v>860</v>
      </c>
      <c r="C488" s="72" t="s">
        <v>861</v>
      </c>
      <c r="D488" s="293">
        <f t="shared" si="22"/>
        <v>0.26676212938005389</v>
      </c>
      <c r="E488" s="293">
        <f t="shared" si="26"/>
        <v>0.26712723085780082</v>
      </c>
      <c r="F488" s="293">
        <f t="shared" si="26"/>
        <v>0.28585096204953758</v>
      </c>
      <c r="G488" s="293">
        <f t="shared" si="26"/>
        <v>0.30147191040098642</v>
      </c>
      <c r="H488" s="293">
        <f t="shared" si="26"/>
        <v>0.31664605990260147</v>
      </c>
      <c r="I488" s="293">
        <f t="shared" si="26"/>
        <v>0.32728487969105852</v>
      </c>
      <c r="J488" s="293">
        <f t="shared" si="26"/>
        <v>0.31255945556991976</v>
      </c>
      <c r="K488" s="293">
        <f t="shared" si="26"/>
        <v>0.28556818722351712</v>
      </c>
      <c r="L488" s="293">
        <f t="shared" si="26"/>
        <v>0.28695611643245006</v>
      </c>
      <c r="M488" s="293">
        <f t="shared" si="26"/>
        <v>0.28673851389676686</v>
      </c>
      <c r="N488" s="293">
        <f t="shared" si="26"/>
        <v>0.28097789685197588</v>
      </c>
      <c r="O488" s="293">
        <f t="shared" si="26"/>
        <v>0.28360839962100348</v>
      </c>
      <c r="P488" s="293">
        <f t="shared" si="26"/>
        <v>0.29150077895101262</v>
      </c>
      <c r="Q488" s="293">
        <f t="shared" si="26"/>
        <v>0.29654410671424625</v>
      </c>
      <c r="R488" s="293">
        <f t="shared" si="26"/>
        <v>0.30209799021357919</v>
      </c>
      <c r="S488" s="293">
        <f t="shared" si="26"/>
        <v>0.30783182192910141</v>
      </c>
      <c r="T488" s="293">
        <f t="shared" si="26"/>
        <v>0.31210216824620607</v>
      </c>
      <c r="U488" s="293">
        <f t="shared" si="26"/>
        <v>0.31573479987778796</v>
      </c>
      <c r="V488" s="293">
        <f t="shared" si="26"/>
        <v>0.31324158570254379</v>
      </c>
      <c r="W488" s="293">
        <f t="shared" si="26"/>
        <v>0.33099237277539284</v>
      </c>
      <c r="X488" s="293">
        <f t="shared" si="26"/>
        <v>0.34063570294879292</v>
      </c>
    </row>
    <row r="489" spans="2:24">
      <c r="B489" s="72" t="s">
        <v>862</v>
      </c>
      <c r="C489" s="72" t="s">
        <v>863</v>
      </c>
      <c r="D489" s="293">
        <f t="shared" si="22"/>
        <v>0</v>
      </c>
      <c r="E489" s="293">
        <f t="shared" si="26"/>
        <v>0</v>
      </c>
      <c r="F489" s="293">
        <f t="shared" si="26"/>
        <v>0</v>
      </c>
      <c r="G489" s="293">
        <f t="shared" si="26"/>
        <v>0</v>
      </c>
      <c r="H489" s="293">
        <f t="shared" si="26"/>
        <v>0</v>
      </c>
      <c r="I489" s="293">
        <f t="shared" si="26"/>
        <v>0</v>
      </c>
      <c r="J489" s="293">
        <f t="shared" si="26"/>
        <v>0</v>
      </c>
      <c r="K489" s="293">
        <f t="shared" si="26"/>
        <v>0</v>
      </c>
      <c r="L489" s="293">
        <f t="shared" si="26"/>
        <v>0</v>
      </c>
      <c r="M489" s="293">
        <f t="shared" si="26"/>
        <v>0</v>
      </c>
      <c r="N489" s="293">
        <f t="shared" si="26"/>
        <v>0</v>
      </c>
      <c r="O489" s="293">
        <f t="shared" si="26"/>
        <v>0</v>
      </c>
      <c r="P489" s="293">
        <f t="shared" si="26"/>
        <v>0</v>
      </c>
      <c r="Q489" s="293">
        <f t="shared" si="26"/>
        <v>0</v>
      </c>
      <c r="R489" s="293">
        <f t="shared" si="26"/>
        <v>0</v>
      </c>
      <c r="S489" s="293">
        <f t="shared" si="26"/>
        <v>0</v>
      </c>
      <c r="T489" s="293">
        <f t="shared" si="26"/>
        <v>0</v>
      </c>
      <c r="U489" s="293">
        <f t="shared" si="26"/>
        <v>0</v>
      </c>
      <c r="V489" s="293">
        <f t="shared" si="26"/>
        <v>0</v>
      </c>
      <c r="W489" s="293">
        <f t="shared" si="26"/>
        <v>0</v>
      </c>
      <c r="X489" s="293">
        <f t="shared" si="26"/>
        <v>0</v>
      </c>
    </row>
    <row r="490" spans="2:24">
      <c r="B490" s="72" t="s">
        <v>864</v>
      </c>
      <c r="C490" s="72" t="s">
        <v>865</v>
      </c>
      <c r="D490" s="293">
        <f t="shared" si="22"/>
        <v>0</v>
      </c>
      <c r="E490" s="293">
        <f t="shared" si="26"/>
        <v>0</v>
      </c>
      <c r="F490" s="293">
        <f t="shared" si="26"/>
        <v>0</v>
      </c>
      <c r="G490" s="293">
        <f t="shared" si="26"/>
        <v>0</v>
      </c>
      <c r="H490" s="293">
        <f t="shared" si="26"/>
        <v>0</v>
      </c>
      <c r="I490" s="293">
        <f t="shared" si="26"/>
        <v>0</v>
      </c>
      <c r="J490" s="293">
        <f t="shared" si="26"/>
        <v>0</v>
      </c>
      <c r="K490" s="293">
        <f t="shared" si="26"/>
        <v>0</v>
      </c>
      <c r="L490" s="293">
        <f t="shared" si="26"/>
        <v>0</v>
      </c>
      <c r="M490" s="293">
        <f t="shared" si="26"/>
        <v>0</v>
      </c>
      <c r="N490" s="293">
        <f t="shared" si="26"/>
        <v>0</v>
      </c>
      <c r="O490" s="293">
        <f t="shared" si="26"/>
        <v>0</v>
      </c>
      <c r="P490" s="293">
        <f t="shared" si="26"/>
        <v>0</v>
      </c>
      <c r="Q490" s="293">
        <f t="shared" si="26"/>
        <v>0</v>
      </c>
      <c r="R490" s="293">
        <f t="shared" si="26"/>
        <v>0</v>
      </c>
      <c r="S490" s="293">
        <f t="shared" si="26"/>
        <v>0</v>
      </c>
      <c r="T490" s="293">
        <f t="shared" si="26"/>
        <v>0</v>
      </c>
      <c r="U490" s="293">
        <f t="shared" si="26"/>
        <v>0</v>
      </c>
      <c r="V490" s="293">
        <f t="shared" si="26"/>
        <v>0</v>
      </c>
      <c r="W490" s="293">
        <f t="shared" si="26"/>
        <v>0</v>
      </c>
      <c r="X490" s="293">
        <f t="shared" si="26"/>
        <v>0</v>
      </c>
    </row>
    <row r="491" spans="2:24">
      <c r="B491" s="72" t="s">
        <v>866</v>
      </c>
      <c r="C491" s="72" t="s">
        <v>867</v>
      </c>
      <c r="D491" s="293">
        <f t="shared" si="22"/>
        <v>0</v>
      </c>
      <c r="E491" s="293">
        <f t="shared" si="26"/>
        <v>0</v>
      </c>
      <c r="F491" s="293">
        <f t="shared" si="26"/>
        <v>0</v>
      </c>
      <c r="G491" s="293">
        <f t="shared" si="26"/>
        <v>0</v>
      </c>
      <c r="H491" s="293">
        <f t="shared" si="26"/>
        <v>0</v>
      </c>
      <c r="I491" s="293">
        <f t="shared" si="26"/>
        <v>0</v>
      </c>
      <c r="J491" s="293">
        <f t="shared" si="26"/>
        <v>0</v>
      </c>
      <c r="K491" s="293">
        <f t="shared" si="26"/>
        <v>0</v>
      </c>
      <c r="L491" s="293">
        <f t="shared" si="26"/>
        <v>0</v>
      </c>
      <c r="M491" s="293">
        <f t="shared" si="26"/>
        <v>0</v>
      </c>
      <c r="N491" s="293">
        <f t="shared" si="26"/>
        <v>0</v>
      </c>
      <c r="O491" s="293">
        <f t="shared" si="26"/>
        <v>0</v>
      </c>
      <c r="P491" s="293">
        <f t="shared" si="26"/>
        <v>0</v>
      </c>
      <c r="Q491" s="293">
        <f t="shared" si="26"/>
        <v>0</v>
      </c>
      <c r="R491" s="293">
        <f t="shared" si="26"/>
        <v>0</v>
      </c>
      <c r="S491" s="293">
        <f t="shared" si="26"/>
        <v>0</v>
      </c>
      <c r="T491" s="293">
        <f t="shared" si="26"/>
        <v>0</v>
      </c>
      <c r="U491" s="293">
        <f t="shared" si="26"/>
        <v>0</v>
      </c>
      <c r="V491" s="293">
        <f t="shared" si="26"/>
        <v>0</v>
      </c>
      <c r="W491" s="293">
        <f t="shared" si="26"/>
        <v>0</v>
      </c>
      <c r="X491" s="293">
        <f t="shared" si="26"/>
        <v>0</v>
      </c>
    </row>
    <row r="492" spans="2:24">
      <c r="B492" s="72" t="s">
        <v>868</v>
      </c>
      <c r="C492" s="72" t="s">
        <v>869</v>
      </c>
      <c r="D492" s="293">
        <f t="shared" si="22"/>
        <v>0.79877021563342321</v>
      </c>
      <c r="E492" s="293">
        <f t="shared" si="26"/>
        <v>0.75781999616196505</v>
      </c>
      <c r="F492" s="293">
        <f t="shared" si="26"/>
        <v>0.7264537046879983</v>
      </c>
      <c r="G492" s="293">
        <f t="shared" si="26"/>
        <v>0.70780138200313392</v>
      </c>
      <c r="H492" s="293">
        <f t="shared" si="26"/>
        <v>0.69612172289369434</v>
      </c>
      <c r="I492" s="293">
        <f t="shared" si="26"/>
        <v>0.71014456876918508</v>
      </c>
      <c r="J492" s="293">
        <f t="shared" si="26"/>
        <v>0.72795570407590804</v>
      </c>
      <c r="K492" s="293">
        <f t="shared" si="26"/>
        <v>0.736193692622366</v>
      </c>
      <c r="L492" s="293">
        <f t="shared" si="26"/>
        <v>0.76319653219604278</v>
      </c>
      <c r="M492" s="293">
        <f t="shared" si="26"/>
        <v>0.77263754963131026</v>
      </c>
      <c r="N492" s="293">
        <f t="shared" si="26"/>
        <v>0.77503907122125471</v>
      </c>
      <c r="O492" s="293">
        <f t="shared" si="26"/>
        <v>0.80834233082872442</v>
      </c>
      <c r="P492" s="293">
        <f t="shared" si="26"/>
        <v>0.89302406093127917</v>
      </c>
      <c r="Q492" s="293">
        <f t="shared" si="26"/>
        <v>0.8989570721553134</v>
      </c>
      <c r="R492" s="293">
        <f t="shared" si="26"/>
        <v>0.91750845286347316</v>
      </c>
      <c r="S492" s="293">
        <f t="shared" si="26"/>
        <v>1.0087386644682605</v>
      </c>
      <c r="T492" s="293">
        <f t="shared" si="26"/>
        <v>1.031947784266575</v>
      </c>
      <c r="U492" s="293">
        <f t="shared" si="26"/>
        <v>1.0466035237804256</v>
      </c>
      <c r="V492" s="293">
        <f t="shared" si="26"/>
        <v>1.0524141710046577</v>
      </c>
      <c r="W492" s="293">
        <f t="shared" si="26"/>
        <v>1.0381152836243905</v>
      </c>
      <c r="X492" s="293">
        <f t="shared" si="26"/>
        <v>1.0566995238493024</v>
      </c>
    </row>
    <row r="493" spans="2:24">
      <c r="B493" s="72" t="s">
        <v>870</v>
      </c>
      <c r="C493" s="72" t="s">
        <v>871</v>
      </c>
      <c r="D493" s="293">
        <f t="shared" si="22"/>
        <v>0.31859276729559749</v>
      </c>
      <c r="E493" s="293">
        <f t="shared" si="26"/>
        <v>0.32477999835512789</v>
      </c>
      <c r="F493" s="293">
        <f t="shared" si="26"/>
        <v>0.3115764855958329</v>
      </c>
      <c r="G493" s="293">
        <f t="shared" si="26"/>
        <v>0.30067558889259932</v>
      </c>
      <c r="H493" s="293">
        <f t="shared" si="26"/>
        <v>0.29370946985945345</v>
      </c>
      <c r="I493" s="293">
        <f t="shared" si="26"/>
        <v>0.29983166650163384</v>
      </c>
      <c r="J493" s="293">
        <f t="shared" si="26"/>
        <v>0.3028270361245945</v>
      </c>
      <c r="K493" s="293">
        <f t="shared" si="26"/>
        <v>0.30283499024877514</v>
      </c>
      <c r="L493" s="293">
        <f t="shared" si="26"/>
        <v>0.30793073714139224</v>
      </c>
      <c r="M493" s="293">
        <f t="shared" si="26"/>
        <v>0.3058876914350539</v>
      </c>
      <c r="N493" s="293">
        <f t="shared" si="26"/>
        <v>0.30866264791248044</v>
      </c>
      <c r="O493" s="293">
        <f t="shared" si="26"/>
        <v>0.30310909371350508</v>
      </c>
      <c r="P493" s="293">
        <f t="shared" si="26"/>
        <v>0.30891898909468585</v>
      </c>
      <c r="Q493" s="293">
        <f t="shared" si="26"/>
        <v>0.31542726056203402</v>
      </c>
      <c r="R493" s="293">
        <f t="shared" si="26"/>
        <v>0.31801667471701284</v>
      </c>
      <c r="S493" s="293">
        <f t="shared" si="26"/>
        <v>0.32240313272877164</v>
      </c>
      <c r="T493" s="293">
        <f t="shared" si="26"/>
        <v>0.32964212823569827</v>
      </c>
      <c r="U493" s="293">
        <f t="shared" si="26"/>
        <v>0.34105306039311539</v>
      </c>
      <c r="V493" s="293">
        <f t="shared" si="26"/>
        <v>0.35903812514489242</v>
      </c>
      <c r="W493" s="293">
        <f t="shared" si="26"/>
        <v>0.36133455591214103</v>
      </c>
      <c r="X493" s="293">
        <f t="shared" si="26"/>
        <v>0.35817809706791415</v>
      </c>
    </row>
    <row r="494" spans="2:24">
      <c r="B494" s="72" t="s">
        <v>872</v>
      </c>
      <c r="C494" s="72" t="s">
        <v>873</v>
      </c>
      <c r="D494" s="293">
        <f t="shared" si="22"/>
        <v>0.43733153638814015</v>
      </c>
      <c r="E494" s="293">
        <f t="shared" si="26"/>
        <v>0.44866628286317406</v>
      </c>
      <c r="F494" s="293">
        <f t="shared" si="26"/>
        <v>0.4936749229297332</v>
      </c>
      <c r="G494" s="293">
        <f t="shared" si="26"/>
        <v>0.41801741632202216</v>
      </c>
      <c r="H494" s="293">
        <f t="shared" si="26"/>
        <v>0.42802351694380664</v>
      </c>
      <c r="I494" s="293">
        <f t="shared" si="26"/>
        <v>0.43675116348153281</v>
      </c>
      <c r="J494" s="293">
        <f t="shared" si="26"/>
        <v>0.46249725589677293</v>
      </c>
      <c r="K494" s="293">
        <f t="shared" si="26"/>
        <v>0.45293250249726491</v>
      </c>
      <c r="L494" s="293">
        <f t="shared" si="26"/>
        <v>0.42375725372299516</v>
      </c>
      <c r="M494" s="293">
        <f t="shared" si="26"/>
        <v>0.44982416335791264</v>
      </c>
      <c r="N494" s="293">
        <f t="shared" si="26"/>
        <v>0.41850859566867604</v>
      </c>
      <c r="O494" s="293">
        <f t="shared" si="26"/>
        <v>0.44190555935041753</v>
      </c>
      <c r="P494" s="293">
        <f t="shared" si="26"/>
        <v>0.46116063700882809</v>
      </c>
      <c r="Q494" s="293">
        <f t="shared" si="26"/>
        <v>0.53233925954247119</v>
      </c>
      <c r="R494" s="293">
        <f t="shared" si="26"/>
        <v>0.55847701451162401</v>
      </c>
      <c r="S494" s="293">
        <f t="shared" si="26"/>
        <v>0.57590684253915914</v>
      </c>
      <c r="T494" s="293">
        <f t="shared" si="26"/>
        <v>0.58225392527330411</v>
      </c>
      <c r="U494" s="293">
        <f t="shared" si="26"/>
        <v>0.57834810062124453</v>
      </c>
      <c r="V494" s="293">
        <f t="shared" si="26"/>
        <v>0.56734599253935802</v>
      </c>
      <c r="W494" s="293">
        <f t="shared" si="26"/>
        <v>0.57664735547868129</v>
      </c>
      <c r="X494" s="293">
        <f t="shared" si="26"/>
        <v>0.61135243505137415</v>
      </c>
    </row>
    <row r="495" spans="2:24">
      <c r="B495" s="72" t="s">
        <v>874</v>
      </c>
      <c r="C495" s="72" t="s">
        <v>875</v>
      </c>
      <c r="D495" s="293">
        <f t="shared" si="22"/>
        <v>0.23306940700808626</v>
      </c>
      <c r="E495" s="293">
        <f t="shared" si="26"/>
        <v>0.1871590317186172</v>
      </c>
      <c r="F495" s="293">
        <f t="shared" si="26"/>
        <v>0.17851068353353886</v>
      </c>
      <c r="G495" s="293">
        <f t="shared" si="26"/>
        <v>0.13730124072028566</v>
      </c>
      <c r="H495" s="293">
        <f t="shared" si="26"/>
        <v>0.12147056597108324</v>
      </c>
      <c r="I495" s="293">
        <f t="shared" si="26"/>
        <v>0.12491335775819389</v>
      </c>
      <c r="J495" s="293">
        <f t="shared" si="26"/>
        <v>0.10688586969778277</v>
      </c>
      <c r="K495" s="293">
        <f t="shared" si="26"/>
        <v>0.11021262426865813</v>
      </c>
      <c r="L495" s="293">
        <f t="shared" si="26"/>
        <v>0.11852991213964437</v>
      </c>
      <c r="M495" s="293">
        <f t="shared" si="26"/>
        <v>0.1245150311968236</v>
      </c>
      <c r="N495" s="293">
        <f t="shared" si="26"/>
        <v>0.12529582496092878</v>
      </c>
      <c r="O495" s="293">
        <f t="shared" si="26"/>
        <v>0.11991274265694203</v>
      </c>
      <c r="P495" s="293">
        <f t="shared" si="26"/>
        <v>0.11853037908949282</v>
      </c>
      <c r="Q495" s="293">
        <f t="shared" si="26"/>
        <v>0.11901272329488732</v>
      </c>
      <c r="R495" s="293">
        <f t="shared" si="26"/>
        <v>0.12991158619820653</v>
      </c>
      <c r="S495" s="293">
        <f t="shared" si="26"/>
        <v>0.13808738664468259</v>
      </c>
      <c r="T495" s="293">
        <f t="shared" si="26"/>
        <v>0.1469072685755855</v>
      </c>
      <c r="U495" s="293">
        <f t="shared" si="26"/>
        <v>0.16608615948670943</v>
      </c>
      <c r="V495" s="293">
        <f t="shared" si="26"/>
        <v>0.17578874159624017</v>
      </c>
      <c r="W495" s="293">
        <f t="shared" si="26"/>
        <v>0.18532488642520736</v>
      </c>
      <c r="X495" s="293">
        <f t="shared" si="26"/>
        <v>0.19983710634032245</v>
      </c>
    </row>
    <row r="496" spans="2:24">
      <c r="B496" s="72" t="s">
        <v>876</v>
      </c>
      <c r="C496" s="72" t="s">
        <v>877</v>
      </c>
      <c r="D496" s="293">
        <f t="shared" si="22"/>
        <v>0</v>
      </c>
      <c r="E496" s="293">
        <f t="shared" si="26"/>
        <v>0</v>
      </c>
      <c r="F496" s="293">
        <f t="shared" si="26"/>
        <v>0</v>
      </c>
      <c r="G496" s="293">
        <f t="shared" si="26"/>
        <v>0</v>
      </c>
      <c r="H496" s="293">
        <f t="shared" si="26"/>
        <v>0</v>
      </c>
      <c r="I496" s="293">
        <f t="shared" si="26"/>
        <v>0</v>
      </c>
      <c r="J496" s="293">
        <f t="shared" si="26"/>
        <v>0</v>
      </c>
      <c r="K496" s="293">
        <f t="shared" si="26"/>
        <v>0</v>
      </c>
      <c r="L496" s="293">
        <f t="shared" si="26"/>
        <v>0</v>
      </c>
      <c r="M496" s="293">
        <f t="shared" si="26"/>
        <v>0</v>
      </c>
      <c r="N496" s="293">
        <f t="shared" si="26"/>
        <v>0</v>
      </c>
      <c r="O496" s="293">
        <f t="shared" si="26"/>
        <v>0</v>
      </c>
      <c r="P496" s="293">
        <f t="shared" si="26"/>
        <v>0</v>
      </c>
      <c r="Q496" s="293">
        <f t="shared" si="26"/>
        <v>0</v>
      </c>
      <c r="R496" s="293">
        <f t="shared" si="26"/>
        <v>0</v>
      </c>
      <c r="S496" s="293">
        <f t="shared" si="26"/>
        <v>0</v>
      </c>
      <c r="T496" s="293">
        <f t="shared" si="26"/>
        <v>0</v>
      </c>
      <c r="U496" s="293">
        <f t="shared" si="26"/>
        <v>0</v>
      </c>
      <c r="V496" s="293">
        <f t="shared" si="26"/>
        <v>0</v>
      </c>
      <c r="W496" s="293">
        <f t="shared" si="26"/>
        <v>0</v>
      </c>
      <c r="X496" s="293">
        <f t="shared" si="26"/>
        <v>0</v>
      </c>
    </row>
    <row r="497" spans="2:24">
      <c r="B497" s="72" t="s">
        <v>878</v>
      </c>
      <c r="C497" s="72" t="s">
        <v>879</v>
      </c>
      <c r="D497" s="293">
        <f t="shared" si="22"/>
        <v>0</v>
      </c>
      <c r="E497" s="293">
        <f t="shared" si="26"/>
        <v>0</v>
      </c>
      <c r="F497" s="293">
        <f t="shared" si="26"/>
        <v>0</v>
      </c>
      <c r="G497" s="293">
        <f t="shared" si="26"/>
        <v>0</v>
      </c>
      <c r="H497" s="293">
        <f t="shared" si="26"/>
        <v>0</v>
      </c>
      <c r="I497" s="293">
        <f t="shared" si="26"/>
        <v>0</v>
      </c>
      <c r="J497" s="293">
        <f t="shared" si="26"/>
        <v>0</v>
      </c>
      <c r="K497" s="293">
        <f t="shared" si="26"/>
        <v>0</v>
      </c>
      <c r="L497" s="293">
        <f t="shared" si="26"/>
        <v>0</v>
      </c>
      <c r="M497" s="293">
        <f t="shared" si="26"/>
        <v>0</v>
      </c>
      <c r="N497" s="293">
        <f t="shared" si="26"/>
        <v>0</v>
      </c>
      <c r="O497" s="293">
        <f t="shared" si="26"/>
        <v>0</v>
      </c>
      <c r="P497" s="293">
        <f t="shared" si="26"/>
        <v>0</v>
      </c>
      <c r="Q497" s="293">
        <f t="shared" si="26"/>
        <v>0</v>
      </c>
      <c r="R497" s="293">
        <f t="shared" si="26"/>
        <v>0</v>
      </c>
      <c r="S497" s="293">
        <f t="shared" si="26"/>
        <v>0</v>
      </c>
      <c r="T497" s="293">
        <f t="shared" si="26"/>
        <v>0</v>
      </c>
      <c r="U497" s="293">
        <f t="shared" si="26"/>
        <v>0</v>
      </c>
      <c r="V497" s="293">
        <f t="shared" si="26"/>
        <v>0</v>
      </c>
      <c r="W497" s="293">
        <f t="shared" si="26"/>
        <v>0</v>
      </c>
      <c r="X497" s="293">
        <f t="shared" si="26"/>
        <v>0</v>
      </c>
    </row>
    <row r="498" spans="2:24">
      <c r="B498" s="72" t="s">
        <v>880</v>
      </c>
      <c r="C498" s="72" t="s">
        <v>881</v>
      </c>
      <c r="D498" s="293">
        <f t="shared" si="22"/>
        <v>3.5686208445642409E-2</v>
      </c>
      <c r="E498" s="293">
        <f t="shared" si="26"/>
        <v>3.4706801546179784E-2</v>
      </c>
      <c r="F498" s="293">
        <f t="shared" si="26"/>
        <v>3.5399170830232807E-2</v>
      </c>
      <c r="G498" s="293">
        <f t="shared" si="26"/>
        <v>3.5397775437334633E-2</v>
      </c>
      <c r="H498" s="293">
        <f t="shared" si="26"/>
        <v>3.7647296308445412E-2</v>
      </c>
      <c r="I498" s="293">
        <f t="shared" si="26"/>
        <v>3.9187048222596298E-2</v>
      </c>
      <c r="J498" s="293">
        <f t="shared" si="26"/>
        <v>3.9637046613166818E-2</v>
      </c>
      <c r="K498" s="293">
        <f t="shared" si="26"/>
        <v>3.9028682871141133E-2</v>
      </c>
      <c r="L498" s="293">
        <f t="shared" si="26"/>
        <v>4.0247966627047937E-2</v>
      </c>
      <c r="M498" s="293">
        <f t="shared" si="26"/>
        <v>4.0090754395916049E-2</v>
      </c>
      <c r="N498" s="293">
        <f t="shared" si="26"/>
        <v>4.0299173922750613E-2</v>
      </c>
      <c r="O498" s="293">
        <f t="shared" si="26"/>
        <v>4.1887931604345237E-2</v>
      </c>
      <c r="P498" s="293">
        <f t="shared" si="26"/>
        <v>4.2452830188679243E-2</v>
      </c>
      <c r="Q498" s="293">
        <f t="shared" si="26"/>
        <v>4.3097771830327744E-2</v>
      </c>
      <c r="R498" s="293">
        <f t="shared" si="26"/>
        <v>4.3891887351156102E-2</v>
      </c>
      <c r="S498" s="293">
        <f t="shared" si="26"/>
        <v>4.620774938169827E-2</v>
      </c>
      <c r="T498" s="293">
        <f t="shared" si="26"/>
        <v>4.7507426192737484E-2</v>
      </c>
      <c r="U498" s="293">
        <f t="shared" si="26"/>
        <v>5.0392096954883392E-2</v>
      </c>
      <c r="V498" s="293">
        <f t="shared" si="26"/>
        <v>5.4058041265358597E-2</v>
      </c>
      <c r="W498" s="293">
        <f t="shared" si="26"/>
        <v>5.4432542824990625E-2</v>
      </c>
      <c r="X498" s="293">
        <f t="shared" si="26"/>
        <v>5.5822404143346417E-2</v>
      </c>
    </row>
    <row r="499" spans="2:24">
      <c r="B499" s="72" t="s">
        <v>882</v>
      </c>
      <c r="C499" s="72" t="s">
        <v>883</v>
      </c>
      <c r="D499" s="293">
        <f t="shared" si="22"/>
        <v>0.31929469901168012</v>
      </c>
      <c r="E499" s="293">
        <f t="shared" si="26"/>
        <v>0.2863996490939496</v>
      </c>
      <c r="F499" s="293">
        <f t="shared" si="26"/>
        <v>0.24375465079196343</v>
      </c>
      <c r="G499" s="293">
        <f t="shared" si="26"/>
        <v>0.18865113411595469</v>
      </c>
      <c r="H499" s="293">
        <f t="shared" si="26"/>
        <v>0.15798238752491736</v>
      </c>
      <c r="I499" s="293">
        <f t="shared" si="26"/>
        <v>0.14239033567679968</v>
      </c>
      <c r="J499" s="293">
        <f t="shared" si="26"/>
        <v>0.13993706856599264</v>
      </c>
      <c r="K499" s="293">
        <f t="shared" si="26"/>
        <v>0.13528040717309614</v>
      </c>
      <c r="L499" s="293">
        <f t="shared" si="26"/>
        <v>0.13551935491388753</v>
      </c>
      <c r="M499" s="293">
        <f t="shared" si="26"/>
        <v>0.14336925694838343</v>
      </c>
      <c r="N499" s="293">
        <f t="shared" si="26"/>
        <v>0.15594998883679392</v>
      </c>
      <c r="O499" s="293">
        <f t="shared" si="26"/>
        <v>0.15924465108080119</v>
      </c>
      <c r="P499" s="293">
        <f t="shared" si="26"/>
        <v>0.17082828457676996</v>
      </c>
      <c r="Q499" s="293">
        <f t="shared" si="26"/>
        <v>0.18804562543809342</v>
      </c>
      <c r="R499" s="293">
        <f t="shared" si="26"/>
        <v>0.18743305962156373</v>
      </c>
      <c r="S499" s="293">
        <f t="shared" si="26"/>
        <v>0.1969909315746084</v>
      </c>
      <c r="T499" s="293">
        <f t="shared" si="26"/>
        <v>0.20674116434619194</v>
      </c>
      <c r="U499" s="293">
        <f t="shared" si="26"/>
        <v>0.21250636521030655</v>
      </c>
      <c r="V499" s="293">
        <f t="shared" si="26"/>
        <v>0.19467217433454867</v>
      </c>
      <c r="W499" s="293">
        <f t="shared" si="26"/>
        <v>0.19991247447172092</v>
      </c>
      <c r="X499" s="293">
        <f t="shared" si="26"/>
        <v>0.21088463787486425</v>
      </c>
    </row>
    <row r="500" spans="2:24">
      <c r="B500" s="72" t="s">
        <v>884</v>
      </c>
      <c r="C500" s="72" t="s">
        <v>885</v>
      </c>
      <c r="D500" s="293">
        <f t="shared" si="22"/>
        <v>0.75089847259658582</v>
      </c>
      <c r="E500" s="293">
        <f t="shared" si="26"/>
        <v>0.70384077637963649</v>
      </c>
      <c r="F500" s="293">
        <f t="shared" si="26"/>
        <v>0.63513872648028069</v>
      </c>
      <c r="G500" s="293">
        <f t="shared" si="26"/>
        <v>0.61599321842328336</v>
      </c>
      <c r="H500" s="293">
        <f t="shared" si="26"/>
        <v>0.60540990638641468</v>
      </c>
      <c r="I500" s="293">
        <f t="shared" si="26"/>
        <v>0.59033072581443702</v>
      </c>
      <c r="J500" s="293">
        <f t="shared" ref="E500:X512" si="27">J250/J$251</f>
        <v>0.59594604483254876</v>
      </c>
      <c r="K500" s="293">
        <f t="shared" si="27"/>
        <v>0.55298958283784427</v>
      </c>
      <c r="L500" s="293">
        <f t="shared" si="27"/>
        <v>0.53117061688690015</v>
      </c>
      <c r="M500" s="293">
        <f t="shared" si="27"/>
        <v>0.5485649461145774</v>
      </c>
      <c r="N500" s="293">
        <f t="shared" si="27"/>
        <v>0.52080821611966954</v>
      </c>
      <c r="O500" s="293">
        <f t="shared" si="27"/>
        <v>0.48467487825837868</v>
      </c>
      <c r="P500" s="293">
        <f t="shared" si="27"/>
        <v>0.51934395014713519</v>
      </c>
      <c r="Q500" s="293">
        <f t="shared" si="27"/>
        <v>0.51092843943159372</v>
      </c>
      <c r="R500" s="293">
        <f t="shared" si="27"/>
        <v>0.48463783942709537</v>
      </c>
      <c r="S500" s="293">
        <f t="shared" si="27"/>
        <v>0.44509480626545755</v>
      </c>
      <c r="T500" s="293">
        <f t="shared" si="27"/>
        <v>0.39648796653666618</v>
      </c>
      <c r="U500" s="293">
        <f t="shared" si="27"/>
        <v>0.36378449943986152</v>
      </c>
      <c r="V500" s="293">
        <f t="shared" si="27"/>
        <v>0.32493835486522371</v>
      </c>
      <c r="W500" s="293">
        <f t="shared" si="27"/>
        <v>0.31982244821406242</v>
      </c>
      <c r="X500" s="293">
        <f t="shared" si="27"/>
        <v>0.3201904602790076</v>
      </c>
    </row>
    <row r="501" spans="2:24">
      <c r="B501" s="72" t="s">
        <v>886</v>
      </c>
      <c r="C501" s="72" t="s">
        <v>887</v>
      </c>
      <c r="D501" s="293">
        <f t="shared" si="22"/>
        <v>1</v>
      </c>
      <c r="E501" s="293">
        <f t="shared" si="27"/>
        <v>1</v>
      </c>
      <c r="F501" s="293">
        <f t="shared" si="27"/>
        <v>1</v>
      </c>
      <c r="G501" s="293">
        <f t="shared" si="27"/>
        <v>1</v>
      </c>
      <c r="H501" s="293">
        <f t="shared" si="27"/>
        <v>1</v>
      </c>
      <c r="I501" s="293">
        <f t="shared" si="27"/>
        <v>1</v>
      </c>
      <c r="J501" s="293">
        <f t="shared" si="27"/>
        <v>1</v>
      </c>
      <c r="K501" s="293">
        <f t="shared" si="27"/>
        <v>1</v>
      </c>
      <c r="L501" s="293">
        <f t="shared" si="27"/>
        <v>1</v>
      </c>
      <c r="M501" s="293">
        <f t="shared" si="27"/>
        <v>1</v>
      </c>
      <c r="N501" s="293">
        <f t="shared" si="27"/>
        <v>1</v>
      </c>
      <c r="O501" s="293">
        <f t="shared" si="27"/>
        <v>1</v>
      </c>
      <c r="P501" s="293">
        <f t="shared" si="27"/>
        <v>1</v>
      </c>
      <c r="Q501" s="293">
        <f t="shared" si="27"/>
        <v>1</v>
      </c>
      <c r="R501" s="293">
        <f t="shared" si="27"/>
        <v>1</v>
      </c>
      <c r="S501" s="293">
        <f t="shared" si="27"/>
        <v>1</v>
      </c>
      <c r="T501" s="293">
        <f t="shared" si="27"/>
        <v>1</v>
      </c>
      <c r="U501" s="293">
        <f t="shared" si="27"/>
        <v>1</v>
      </c>
      <c r="V501" s="293">
        <f t="shared" si="27"/>
        <v>1</v>
      </c>
      <c r="W501" s="293">
        <f t="shared" si="27"/>
        <v>1</v>
      </c>
      <c r="X501" s="293">
        <f t="shared" si="27"/>
        <v>1</v>
      </c>
    </row>
    <row r="502" spans="2:24">
      <c r="B502" s="72" t="s">
        <v>888</v>
      </c>
      <c r="C502" s="72" t="s">
        <v>889</v>
      </c>
      <c r="D502" s="293">
        <f t="shared" si="22"/>
        <v>1.352734725965858</v>
      </c>
      <c r="E502" s="293">
        <f t="shared" si="27"/>
        <v>1.3571565644104504</v>
      </c>
      <c r="F502" s="293">
        <f t="shared" si="27"/>
        <v>1.3339268629743808</v>
      </c>
      <c r="G502" s="293">
        <f t="shared" si="27"/>
        <v>1.3116956510570525</v>
      </c>
      <c r="H502" s="293">
        <f t="shared" si="27"/>
        <v>1.3014559309631348</v>
      </c>
      <c r="I502" s="293">
        <f t="shared" si="27"/>
        <v>1.3051539756411525</v>
      </c>
      <c r="J502" s="293">
        <f t="shared" si="27"/>
        <v>1.3131692562870454</v>
      </c>
      <c r="K502" s="293">
        <f t="shared" si="27"/>
        <v>1.3159159016315465</v>
      </c>
      <c r="L502" s="293">
        <f t="shared" si="27"/>
        <v>1.3301172248246289</v>
      </c>
      <c r="M502" s="293">
        <f t="shared" si="27"/>
        <v>1.3295745887691435</v>
      </c>
      <c r="N502" s="293">
        <f t="shared" si="27"/>
        <v>1.3215003348961822</v>
      </c>
      <c r="O502" s="293">
        <f t="shared" si="27"/>
        <v>1.3314236608421657</v>
      </c>
      <c r="P502" s="293">
        <f t="shared" si="27"/>
        <v>1.3298424787952223</v>
      </c>
      <c r="Q502" s="293">
        <f t="shared" si="27"/>
        <v>1.3362858174557659</v>
      </c>
      <c r="R502" s="293">
        <f t="shared" si="27"/>
        <v>1.3386185605981058</v>
      </c>
      <c r="S502" s="293">
        <f t="shared" si="27"/>
        <v>1.3237427864798021</v>
      </c>
      <c r="T502" s="293">
        <f t="shared" si="27"/>
        <v>1.308222361428254</v>
      </c>
      <c r="U502" s="293">
        <f t="shared" si="27"/>
        <v>1.3201344332416742</v>
      </c>
      <c r="V502" s="293">
        <f t="shared" si="27"/>
        <v>1.3692596261248919</v>
      </c>
      <c r="W502" s="293">
        <f t="shared" si="27"/>
        <v>1.4028883424332097</v>
      </c>
      <c r="X502" s="293">
        <f t="shared" si="27"/>
        <v>1.4233564447414586</v>
      </c>
    </row>
    <row r="503" spans="2:24">
      <c r="B503" s="72" t="s">
        <v>890</v>
      </c>
      <c r="C503" s="72" t="s">
        <v>891</v>
      </c>
      <c r="D503" s="293">
        <f t="shared" si="22"/>
        <v>0.51796945193171606</v>
      </c>
      <c r="E503" s="293">
        <f t="shared" si="27"/>
        <v>0.53727006058612281</v>
      </c>
      <c r="F503" s="293">
        <f t="shared" si="27"/>
        <v>0.53024343573934307</v>
      </c>
      <c r="G503" s="293">
        <f t="shared" si="27"/>
        <v>0.53525649258907237</v>
      </c>
      <c r="H503" s="293">
        <f t="shared" si="27"/>
        <v>0.51020665640533924</v>
      </c>
      <c r="I503" s="293">
        <f t="shared" si="27"/>
        <v>0.54250420833745916</v>
      </c>
      <c r="J503" s="293">
        <f t="shared" si="27"/>
        <v>0.56269970973485861</v>
      </c>
      <c r="K503" s="293">
        <f t="shared" si="27"/>
        <v>0.60926128525900203</v>
      </c>
      <c r="L503" s="293">
        <f t="shared" si="27"/>
        <v>0.59157752452865364</v>
      </c>
      <c r="M503" s="293">
        <f t="shared" si="27"/>
        <v>0.57533749290981284</v>
      </c>
      <c r="N503" s="293">
        <f t="shared" si="27"/>
        <v>0.54262112078588975</v>
      </c>
      <c r="O503" s="293">
        <f t="shared" si="27"/>
        <v>0.49384130621598393</v>
      </c>
      <c r="P503" s="293">
        <f t="shared" si="27"/>
        <v>0.49850701055911373</v>
      </c>
      <c r="Q503" s="293">
        <f t="shared" si="27"/>
        <v>0.52392786592748364</v>
      </c>
      <c r="R503" s="293">
        <f t="shared" si="27"/>
        <v>0.53417896969569689</v>
      </c>
      <c r="S503" s="293">
        <f t="shared" si="27"/>
        <v>0.44227122835943938</v>
      </c>
      <c r="T503" s="293">
        <f t="shared" si="27"/>
        <v>0.44441974660011718</v>
      </c>
      <c r="U503" s="293">
        <f t="shared" si="27"/>
        <v>0.46927385680822892</v>
      </c>
      <c r="V503" s="293">
        <f t="shared" si="27"/>
        <v>0.46500453118084678</v>
      </c>
      <c r="W503" s="293">
        <f t="shared" si="27"/>
        <v>0.49545700829408579</v>
      </c>
      <c r="X503" s="293">
        <f t="shared" si="27"/>
        <v>0.5224292039094478</v>
      </c>
    </row>
    <row r="504" spans="2:24">
      <c r="B504" s="72" t="s">
        <v>892</v>
      </c>
      <c r="C504" s="72" t="s">
        <v>893</v>
      </c>
      <c r="D504" s="293">
        <f t="shared" si="22"/>
        <v>0.29658018867924529</v>
      </c>
      <c r="E504" s="293">
        <f t="shared" si="27"/>
        <v>0.25706609644433481</v>
      </c>
      <c r="F504" s="293">
        <f t="shared" si="27"/>
        <v>0.24383437865419369</v>
      </c>
      <c r="G504" s="293">
        <f t="shared" si="27"/>
        <v>0.2202214287549128</v>
      </c>
      <c r="H504" s="293">
        <f t="shared" si="27"/>
        <v>0.21261133960788273</v>
      </c>
      <c r="I504" s="293">
        <f t="shared" si="27"/>
        <v>0.20935241112981484</v>
      </c>
      <c r="J504" s="293">
        <f t="shared" si="27"/>
        <v>0.21404005171110083</v>
      </c>
      <c r="K504" s="293">
        <f t="shared" si="27"/>
        <v>0.21469343100413832</v>
      </c>
      <c r="L504" s="293">
        <f t="shared" si="27"/>
        <v>0.21732037567876203</v>
      </c>
      <c r="M504" s="293">
        <f t="shared" si="27"/>
        <v>0.2172206466250709</v>
      </c>
      <c r="N504" s="293">
        <f t="shared" si="27"/>
        <v>0.21899977673587853</v>
      </c>
      <c r="O504" s="293">
        <f t="shared" si="27"/>
        <v>0.22003834034770728</v>
      </c>
      <c r="P504" s="293">
        <f t="shared" si="27"/>
        <v>0.21914488488835035</v>
      </c>
      <c r="Q504" s="293">
        <f t="shared" si="27"/>
        <v>0.22353915758618492</v>
      </c>
      <c r="R504" s="293">
        <f t="shared" si="27"/>
        <v>0.22985488376000168</v>
      </c>
      <c r="S504" s="293">
        <f t="shared" si="27"/>
        <v>0.23623248145094805</v>
      </c>
      <c r="T504" s="293">
        <f t="shared" si="27"/>
        <v>0.24727706266292157</v>
      </c>
      <c r="U504" s="293">
        <f t="shared" si="27"/>
        <v>0.26430390060087583</v>
      </c>
      <c r="V504" s="293">
        <f t="shared" si="27"/>
        <v>0.28797234925920462</v>
      </c>
      <c r="W504" s="293">
        <f t="shared" si="27"/>
        <v>0.30098362022256492</v>
      </c>
      <c r="X504" s="293">
        <f t="shared" si="27"/>
        <v>0.31588839695931836</v>
      </c>
    </row>
    <row r="505" spans="2:24">
      <c r="B505" s="72" t="s">
        <v>894</v>
      </c>
      <c r="C505" s="72" t="s">
        <v>895</v>
      </c>
      <c r="D505" s="293">
        <f t="shared" si="22"/>
        <v>0</v>
      </c>
      <c r="E505" s="293">
        <f t="shared" si="27"/>
        <v>0</v>
      </c>
      <c r="F505" s="293">
        <f t="shared" si="27"/>
        <v>0</v>
      </c>
      <c r="G505" s="293">
        <f t="shared" si="27"/>
        <v>0</v>
      </c>
      <c r="H505" s="293">
        <f t="shared" si="27"/>
        <v>0</v>
      </c>
      <c r="I505" s="293">
        <f t="shared" si="27"/>
        <v>0</v>
      </c>
      <c r="J505" s="293">
        <f t="shared" si="27"/>
        <v>0</v>
      </c>
      <c r="K505" s="293">
        <f t="shared" si="27"/>
        <v>0</v>
      </c>
      <c r="L505" s="293">
        <f t="shared" si="27"/>
        <v>0</v>
      </c>
      <c r="M505" s="293">
        <f t="shared" si="27"/>
        <v>0</v>
      </c>
      <c r="N505" s="293">
        <f t="shared" si="27"/>
        <v>0</v>
      </c>
      <c r="O505" s="293">
        <f t="shared" si="27"/>
        <v>0</v>
      </c>
      <c r="P505" s="293">
        <f t="shared" si="27"/>
        <v>0</v>
      </c>
      <c r="Q505" s="293">
        <f t="shared" si="27"/>
        <v>0</v>
      </c>
      <c r="R505" s="293">
        <f t="shared" si="27"/>
        <v>0</v>
      </c>
      <c r="S505" s="293">
        <f t="shared" si="27"/>
        <v>0</v>
      </c>
      <c r="T505" s="293">
        <f t="shared" si="27"/>
        <v>0</v>
      </c>
      <c r="U505" s="293">
        <f t="shared" si="27"/>
        <v>0</v>
      </c>
      <c r="V505" s="293">
        <f t="shared" si="27"/>
        <v>0</v>
      </c>
      <c r="W505" s="293">
        <f t="shared" si="27"/>
        <v>0</v>
      </c>
      <c r="X505" s="293">
        <f t="shared" si="27"/>
        <v>0</v>
      </c>
    </row>
    <row r="506" spans="2:24">
      <c r="B506" s="72" t="s">
        <v>896</v>
      </c>
      <c r="C506" s="72" t="s">
        <v>897</v>
      </c>
      <c r="D506" s="293">
        <f t="shared" si="22"/>
        <v>0.77757187780772685</v>
      </c>
      <c r="E506" s="293">
        <f t="shared" si="27"/>
        <v>0.78035474408531402</v>
      </c>
      <c r="F506" s="293">
        <f t="shared" si="27"/>
        <v>0.73668544700754757</v>
      </c>
      <c r="G506" s="293">
        <f t="shared" si="27"/>
        <v>0.67083665133961823</v>
      </c>
      <c r="H506" s="293">
        <f t="shared" si="27"/>
        <v>0.66339481718856452</v>
      </c>
      <c r="I506" s="293">
        <f t="shared" si="27"/>
        <v>0.6289731656599663</v>
      </c>
      <c r="J506" s="293">
        <f t="shared" si="27"/>
        <v>0.64492523843208038</v>
      </c>
      <c r="K506" s="293">
        <f t="shared" si="27"/>
        <v>0.61347096037673021</v>
      </c>
      <c r="L506" s="293">
        <f t="shared" si="27"/>
        <v>0.54809014425878022</v>
      </c>
      <c r="M506" s="293">
        <f t="shared" si="27"/>
        <v>0.53665343165059554</v>
      </c>
      <c r="N506" s="293">
        <f t="shared" si="27"/>
        <v>0.53228399196249165</v>
      </c>
      <c r="O506" s="293">
        <f t="shared" si="27"/>
        <v>0.4814798492827711</v>
      </c>
      <c r="P506" s="293">
        <f t="shared" si="27"/>
        <v>0.4328154751601177</v>
      </c>
      <c r="Q506" s="293">
        <f t="shared" si="27"/>
        <v>0.49862996240361945</v>
      </c>
      <c r="R506" s="293">
        <f t="shared" si="27"/>
        <v>0.55585190163177012</v>
      </c>
      <c r="S506" s="293">
        <f t="shared" si="27"/>
        <v>0.5821929101401484</v>
      </c>
      <c r="T506" s="293">
        <f t="shared" si="27"/>
        <v>0.60939236567179256</v>
      </c>
      <c r="U506" s="293">
        <f t="shared" si="27"/>
        <v>0.62798655667583259</v>
      </c>
      <c r="V506" s="293">
        <f t="shared" si="27"/>
        <v>0.60793694282282029</v>
      </c>
      <c r="W506" s="293">
        <f t="shared" si="27"/>
        <v>0.5796273913224691</v>
      </c>
      <c r="X506" s="293">
        <f t="shared" si="27"/>
        <v>0.58505972767521508</v>
      </c>
    </row>
    <row r="507" spans="2:24">
      <c r="B507" s="72" t="s">
        <v>898</v>
      </c>
      <c r="C507" s="72" t="s">
        <v>899</v>
      </c>
      <c r="D507" s="293">
        <f t="shared" si="22"/>
        <v>6.805929919137467E-2</v>
      </c>
      <c r="E507" s="293">
        <f t="shared" si="27"/>
        <v>7.0373111823889029E-2</v>
      </c>
      <c r="F507" s="293">
        <f t="shared" si="27"/>
        <v>7.2100563410226429E-2</v>
      </c>
      <c r="G507" s="293">
        <f t="shared" si="27"/>
        <v>7.418633923296257E-2</v>
      </c>
      <c r="H507" s="293">
        <f t="shared" si="27"/>
        <v>7.8070197572607303E-2</v>
      </c>
      <c r="I507" s="293">
        <f t="shared" si="27"/>
        <v>8.1938805822358643E-2</v>
      </c>
      <c r="J507" s="293">
        <f t="shared" si="27"/>
        <v>8.5445276483645138E-2</v>
      </c>
      <c r="K507" s="293">
        <f t="shared" si="27"/>
        <v>8.6286448175807454E-2</v>
      </c>
      <c r="L507" s="293">
        <f t="shared" si="27"/>
        <v>8.6741709198536437E-2</v>
      </c>
      <c r="M507" s="293">
        <f t="shared" si="27"/>
        <v>8.6284741917186616E-2</v>
      </c>
      <c r="N507" s="293">
        <f t="shared" si="27"/>
        <v>8.8635856217905776E-2</v>
      </c>
      <c r="O507" s="293">
        <f t="shared" si="27"/>
        <v>9.1311724654606352E-2</v>
      </c>
      <c r="P507" s="293">
        <f t="shared" si="27"/>
        <v>9.3647221741388259E-2</v>
      </c>
      <c r="Q507" s="293">
        <f t="shared" si="27"/>
        <v>9.6709785679389967E-2</v>
      </c>
      <c r="R507" s="293">
        <f t="shared" si="27"/>
        <v>0.10082533548942604</v>
      </c>
      <c r="S507" s="293">
        <f t="shared" si="27"/>
        <v>0.10416323165704865</v>
      </c>
      <c r="T507" s="293">
        <f t="shared" si="27"/>
        <v>0.10776567583405743</v>
      </c>
      <c r="U507" s="293">
        <f t="shared" si="27"/>
        <v>0.11235360016294939</v>
      </c>
      <c r="V507" s="293">
        <f t="shared" si="27"/>
        <v>0.11915951864106725</v>
      </c>
      <c r="W507" s="293">
        <f t="shared" si="27"/>
        <v>0.1224732213562289</v>
      </c>
      <c r="X507" s="293">
        <f t="shared" si="27"/>
        <v>0.12760003341408405</v>
      </c>
    </row>
    <row r="508" spans="2:24">
      <c r="B508" s="72" t="s">
        <v>900</v>
      </c>
      <c r="C508" s="72" t="s">
        <v>901</v>
      </c>
      <c r="D508" s="293">
        <f t="shared" si="22"/>
        <v>0</v>
      </c>
      <c r="E508" s="293">
        <f t="shared" si="27"/>
        <v>0</v>
      </c>
      <c r="F508" s="293">
        <f t="shared" si="27"/>
        <v>0</v>
      </c>
      <c r="G508" s="293">
        <f t="shared" si="27"/>
        <v>0</v>
      </c>
      <c r="H508" s="293">
        <f t="shared" si="27"/>
        <v>0</v>
      </c>
      <c r="I508" s="293">
        <f t="shared" si="27"/>
        <v>0</v>
      </c>
      <c r="J508" s="293">
        <f t="shared" si="27"/>
        <v>0</v>
      </c>
      <c r="K508" s="293">
        <f t="shared" si="27"/>
        <v>0</v>
      </c>
      <c r="L508" s="293">
        <f t="shared" si="27"/>
        <v>0</v>
      </c>
      <c r="M508" s="293">
        <f t="shared" si="27"/>
        <v>0</v>
      </c>
      <c r="N508" s="293">
        <f t="shared" si="27"/>
        <v>0</v>
      </c>
      <c r="O508" s="293">
        <f t="shared" si="27"/>
        <v>0</v>
      </c>
      <c r="P508" s="293">
        <f t="shared" si="27"/>
        <v>0</v>
      </c>
      <c r="Q508" s="293">
        <f t="shared" si="27"/>
        <v>0</v>
      </c>
      <c r="R508" s="293">
        <f t="shared" si="27"/>
        <v>0</v>
      </c>
      <c r="S508" s="293">
        <f t="shared" si="27"/>
        <v>0</v>
      </c>
      <c r="T508" s="293">
        <f t="shared" si="27"/>
        <v>0</v>
      </c>
      <c r="U508" s="293">
        <f t="shared" si="27"/>
        <v>0</v>
      </c>
      <c r="V508" s="293">
        <f t="shared" si="27"/>
        <v>0</v>
      </c>
      <c r="W508" s="293">
        <f t="shared" si="27"/>
        <v>0</v>
      </c>
      <c r="X508" s="293">
        <f t="shared" si="27"/>
        <v>0</v>
      </c>
    </row>
    <row r="509" spans="2:24">
      <c r="B509" s="72" t="s">
        <v>902</v>
      </c>
      <c r="C509" s="72" t="s">
        <v>903</v>
      </c>
      <c r="D509" s="293">
        <f t="shared" si="22"/>
        <v>0</v>
      </c>
      <c r="E509" s="293">
        <f t="shared" si="27"/>
        <v>0</v>
      </c>
      <c r="F509" s="293">
        <f t="shared" si="27"/>
        <v>0</v>
      </c>
      <c r="G509" s="293">
        <f t="shared" si="27"/>
        <v>0</v>
      </c>
      <c r="H509" s="293">
        <f t="shared" si="27"/>
        <v>0</v>
      </c>
      <c r="I509" s="293">
        <f t="shared" si="27"/>
        <v>0</v>
      </c>
      <c r="J509" s="293">
        <f t="shared" si="27"/>
        <v>0</v>
      </c>
      <c r="K509" s="293">
        <f t="shared" si="27"/>
        <v>0</v>
      </c>
      <c r="L509" s="293">
        <f t="shared" si="27"/>
        <v>0</v>
      </c>
      <c r="M509" s="293">
        <f t="shared" si="27"/>
        <v>0</v>
      </c>
      <c r="N509" s="293">
        <f t="shared" si="27"/>
        <v>0</v>
      </c>
      <c r="O509" s="293">
        <f t="shared" si="27"/>
        <v>0</v>
      </c>
      <c r="P509" s="293">
        <f t="shared" si="27"/>
        <v>0</v>
      </c>
      <c r="Q509" s="293">
        <f t="shared" si="27"/>
        <v>0</v>
      </c>
      <c r="R509" s="293">
        <f t="shared" si="27"/>
        <v>0</v>
      </c>
      <c r="S509" s="293">
        <f t="shared" si="27"/>
        <v>0</v>
      </c>
      <c r="T509" s="293">
        <f t="shared" si="27"/>
        <v>0</v>
      </c>
      <c r="U509" s="293">
        <f t="shared" si="27"/>
        <v>0</v>
      </c>
      <c r="V509" s="293">
        <f t="shared" si="27"/>
        <v>0</v>
      </c>
      <c r="W509" s="293">
        <f t="shared" si="27"/>
        <v>0</v>
      </c>
      <c r="X509" s="293">
        <f t="shared" si="27"/>
        <v>0</v>
      </c>
    </row>
    <row r="510" spans="2:24">
      <c r="B510" s="72" t="s">
        <v>904</v>
      </c>
      <c r="C510" s="72" t="s">
        <v>905</v>
      </c>
      <c r="D510" s="293">
        <f t="shared" si="22"/>
        <v>0.31603773584905659</v>
      </c>
      <c r="E510" s="293">
        <f t="shared" si="27"/>
        <v>0.31403350056199797</v>
      </c>
      <c r="F510" s="293">
        <f t="shared" si="27"/>
        <v>0.29536515360901455</v>
      </c>
      <c r="G510" s="293">
        <f t="shared" si="27"/>
        <v>0.28523722674612756</v>
      </c>
      <c r="H510" s="293">
        <f t="shared" si="27"/>
        <v>0.28248088617496403</v>
      </c>
      <c r="I510" s="293">
        <f t="shared" si="27"/>
        <v>0.27720566392712148</v>
      </c>
      <c r="J510" s="293">
        <f t="shared" si="27"/>
        <v>0.27662999731687682</v>
      </c>
      <c r="K510" s="293">
        <f t="shared" si="27"/>
        <v>0.27653046663178421</v>
      </c>
      <c r="L510" s="293">
        <f t="shared" si="27"/>
        <v>0.27087557388892775</v>
      </c>
      <c r="M510" s="293">
        <f t="shared" si="27"/>
        <v>0.26947249007373797</v>
      </c>
      <c r="N510" s="293">
        <f t="shared" si="27"/>
        <v>0.26398749720919851</v>
      </c>
      <c r="O510" s="293">
        <f t="shared" si="27"/>
        <v>0.25956856091488001</v>
      </c>
      <c r="P510" s="293">
        <f t="shared" si="27"/>
        <v>0.25285615371299985</v>
      </c>
      <c r="Q510" s="293">
        <f t="shared" si="27"/>
        <v>0.24737143949531637</v>
      </c>
      <c r="R510" s="293">
        <f t="shared" si="27"/>
        <v>0.2476636495369301</v>
      </c>
      <c r="S510" s="293">
        <f t="shared" si="27"/>
        <v>0.24006595218466611</v>
      </c>
      <c r="T510" s="293">
        <f t="shared" si="27"/>
        <v>0.23292986036736921</v>
      </c>
      <c r="U510" s="293">
        <f t="shared" si="27"/>
        <v>0.23320093695895713</v>
      </c>
      <c r="V510" s="293">
        <f t="shared" si="27"/>
        <v>0.24038441273788699</v>
      </c>
      <c r="W510" s="293">
        <f t="shared" si="27"/>
        <v>0.24775976326428542</v>
      </c>
      <c r="X510" s="293">
        <f t="shared" si="27"/>
        <v>0.23379416924233565</v>
      </c>
    </row>
    <row r="511" spans="2:24">
      <c r="B511" s="72" t="s">
        <v>906</v>
      </c>
      <c r="C511" s="72" t="s">
        <v>907</v>
      </c>
      <c r="D511" s="293">
        <f t="shared" si="22"/>
        <v>5.8793800539083556E-2</v>
      </c>
      <c r="E511" s="293">
        <f t="shared" si="27"/>
        <v>5.6830331441730407E-2</v>
      </c>
      <c r="F511" s="293">
        <f t="shared" si="27"/>
        <v>5.3683427235037738E-2</v>
      </c>
      <c r="G511" s="293">
        <f t="shared" si="27"/>
        <v>4.3566492845950322E-2</v>
      </c>
      <c r="H511" s="293">
        <f t="shared" si="27"/>
        <v>4.0422901264161891E-2</v>
      </c>
      <c r="I511" s="293">
        <f t="shared" si="27"/>
        <v>4.1315971878403801E-2</v>
      </c>
      <c r="J511" s="293">
        <f t="shared" si="27"/>
        <v>4.0881040076103131E-2</v>
      </c>
      <c r="K511" s="293">
        <f t="shared" si="27"/>
        <v>3.795842648527803E-2</v>
      </c>
      <c r="L511" s="293">
        <f t="shared" si="27"/>
        <v>3.7031858118343468E-2</v>
      </c>
      <c r="M511" s="293">
        <f t="shared" si="27"/>
        <v>3.6505955757231992E-2</v>
      </c>
      <c r="N511" s="293">
        <f t="shared" si="27"/>
        <v>3.6905559276624249E-2</v>
      </c>
      <c r="O511" s="293">
        <f t="shared" si="27"/>
        <v>3.6908093338915454E-2</v>
      </c>
      <c r="P511" s="293">
        <f t="shared" si="27"/>
        <v>3.7454561190929547E-2</v>
      </c>
      <c r="Q511" s="293">
        <f t="shared" si="27"/>
        <v>3.808492109008263E-2</v>
      </c>
      <c r="R511" s="293">
        <f t="shared" si="27"/>
        <v>3.8872671524875571E-2</v>
      </c>
      <c r="S511" s="293">
        <f t="shared" si="27"/>
        <v>3.9715581203627372E-2</v>
      </c>
      <c r="T511" s="293">
        <f t="shared" si="27"/>
        <v>4.0434861680845473E-2</v>
      </c>
      <c r="U511" s="293">
        <f t="shared" si="27"/>
        <v>4.2040941032691723E-2</v>
      </c>
      <c r="V511" s="293">
        <f t="shared" si="27"/>
        <v>4.5058905351008448E-2</v>
      </c>
      <c r="W511" s="293">
        <f t="shared" si="27"/>
        <v>4.653440586837828E-2</v>
      </c>
      <c r="X511" s="293">
        <f t="shared" si="27"/>
        <v>4.8262467630106089E-2</v>
      </c>
    </row>
    <row r="512" spans="2:24">
      <c r="B512" s="72" t="s">
        <v>908</v>
      </c>
      <c r="C512" s="72" t="s">
        <v>909</v>
      </c>
      <c r="D512" s="293">
        <f t="shared" si="22"/>
        <v>9.6529649595687328E-2</v>
      </c>
      <c r="E512" s="293">
        <f t="shared" si="27"/>
        <v>8.3696575924555205E-2</v>
      </c>
      <c r="F512" s="293">
        <f t="shared" si="27"/>
        <v>8.0498564898479855E-2</v>
      </c>
      <c r="G512" s="293">
        <f t="shared" si="27"/>
        <v>8.004315548819646E-2</v>
      </c>
      <c r="H512" s="293">
        <f t="shared" si="27"/>
        <v>7.670762786707376E-2</v>
      </c>
      <c r="I512" s="293">
        <f t="shared" si="27"/>
        <v>8.0527775027230422E-2</v>
      </c>
      <c r="J512" s="293">
        <f t="shared" si="27"/>
        <v>7.8347196136302658E-2</v>
      </c>
      <c r="K512" s="293">
        <f t="shared" si="27"/>
        <v>7.5869286020073257E-2</v>
      </c>
      <c r="L512" s="293">
        <f t="shared" si="27"/>
        <v>7.1476846349250736E-2</v>
      </c>
      <c r="M512" s="293">
        <f t="shared" si="27"/>
        <v>6.375496313102666E-2</v>
      </c>
      <c r="N512" s="293">
        <f t="shared" si="27"/>
        <v>6.4009823621344053E-2</v>
      </c>
      <c r="O512" s="293">
        <f t="shared" si="27"/>
        <v>5.6827446400634599E-2</v>
      </c>
      <c r="P512" s="293">
        <f t="shared" si="27"/>
        <v>4.6563960533148693E-2</v>
      </c>
      <c r="Q512" s="293">
        <f t="shared" si="27"/>
        <v>4.2672953970984938E-2</v>
      </c>
      <c r="R512" s="293">
        <f t="shared" si="27"/>
        <v>4.1455782598651743E-2</v>
      </c>
      <c r="S512" s="293">
        <f t="shared" si="27"/>
        <v>3.9550700741962076E-2</v>
      </c>
      <c r="T512" s="293">
        <f t="shared" si="27"/>
        <v>3.7727079839149677E-2</v>
      </c>
      <c r="U512" s="293">
        <f t="shared" si="27"/>
        <v>3.1754761177309299E-2</v>
      </c>
      <c r="V512" s="293">
        <f t="shared" si="27"/>
        <v>3.4331598136947035E-2</v>
      </c>
      <c r="W512" s="293">
        <f t="shared" si="27"/>
        <v>3.565623306797816E-2</v>
      </c>
      <c r="X512" s="293">
        <f t="shared" si="27"/>
        <v>3.5648650906357028E-2</v>
      </c>
    </row>
    <row r="514" spans="2:54">
      <c r="B514" s="153" t="s">
        <v>163</v>
      </c>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row>
  </sheetData>
  <hyperlinks>
    <hyperlink ref="C8" r:id="rId1"/>
  </hyperlinks>
  <pageMargins left="0.75" right="0.75" top="1" bottom="1" header="0.5" footer="0.5"/>
  <pageSetup paperSize="9" scale="10" orientation="landscape" r:id="rId2"/>
  <headerFooter alignWithMargins="0">
    <oddFooter>&amp;L&amp;F \ &amp;A&amp;R&amp;T  &amp;D</oddFooter>
  </headerFooter>
</worksheet>
</file>

<file path=xl/worksheets/sheet37.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topLeftCell="A3" zoomScale="85" workbookViewId="0">
      <selection activeCell="S35" sqref="S35"/>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Appendix&gt;&gt;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38.xml><?xml version="1.0" encoding="utf-8"?>
<worksheet xmlns="http://schemas.openxmlformats.org/spreadsheetml/2006/main" xmlns:r="http://schemas.openxmlformats.org/officeDocument/2006/relationships">
  <sheetPr>
    <pageSetUpPr autoPageBreaks="0" fitToPage="1"/>
  </sheetPr>
  <dimension ref="A1:AE130"/>
  <sheetViews>
    <sheetView showGridLines="0" topLeftCell="A9" zoomScale="70" zoomScaleNormal="70" workbookViewId="0">
      <selection activeCell="H49" sqref="H49"/>
    </sheetView>
  </sheetViews>
  <sheetFormatPr defaultRowHeight="12.75"/>
  <cols>
    <col min="1" max="1" width="8" style="90" customWidth="1"/>
    <col min="2" max="2" width="11.28515625" style="90" customWidth="1"/>
    <col min="3" max="4" width="24.28515625" style="90" customWidth="1"/>
    <col min="5" max="5" width="15.7109375" style="90" customWidth="1"/>
    <col min="6" max="22" width="20.7109375" style="90" customWidth="1"/>
    <col min="23" max="23" width="10.7109375" style="126" customWidth="1"/>
    <col min="24" max="28" width="10.7109375" style="90" customWidth="1"/>
    <col min="29" max="16384" width="9.140625" style="90"/>
  </cols>
  <sheetData>
    <row r="1" spans="1:23" ht="12.75" customHeight="1">
      <c r="A1" s="145"/>
    </row>
    <row r="2" spans="1:23">
      <c r="B2" s="146" t="s">
        <v>134</v>
      </c>
      <c r="C2" s="91"/>
      <c r="D2" s="91"/>
      <c r="E2" s="91"/>
      <c r="F2" s="147" t="str">
        <f>Info!$D$10</f>
        <v>Duncan Kernohan</v>
      </c>
      <c r="G2" s="91"/>
      <c r="H2" s="91"/>
      <c r="I2" s="91"/>
      <c r="J2" s="91"/>
      <c r="K2" s="91"/>
      <c r="L2" s="91"/>
      <c r="M2" s="91"/>
      <c r="N2" s="91"/>
      <c r="O2" s="91"/>
      <c r="P2" s="91"/>
      <c r="Q2" s="91"/>
      <c r="R2" s="91"/>
      <c r="S2" s="91"/>
      <c r="T2" s="91"/>
      <c r="U2" s="91"/>
      <c r="V2" s="91"/>
    </row>
    <row r="3" spans="1:23">
      <c r="B3" s="148" t="s">
        <v>137</v>
      </c>
      <c r="C3" s="92"/>
      <c r="D3" s="92"/>
      <c r="E3" s="92"/>
      <c r="F3" s="149" t="str">
        <f>Info!$D$11 &amp; " - " &amp; Info!$D$12</f>
        <v>Airport Opex Benchmarking 2013 - duncan.kernohan@caa.co.uk</v>
      </c>
      <c r="G3" s="92"/>
      <c r="H3" s="92"/>
      <c r="I3" s="92"/>
      <c r="J3" s="92"/>
      <c r="K3" s="92"/>
      <c r="L3" s="92"/>
      <c r="M3" s="92"/>
      <c r="N3" s="92"/>
      <c r="O3" s="92"/>
      <c r="P3" s="92"/>
      <c r="Q3" s="92"/>
      <c r="R3" s="92"/>
      <c r="S3" s="92"/>
      <c r="T3" s="92"/>
      <c r="U3" s="92"/>
      <c r="V3" s="92"/>
    </row>
    <row r="4" spans="1:23">
      <c r="B4" s="148" t="s">
        <v>130</v>
      </c>
      <c r="C4" s="92"/>
      <c r="D4" s="92"/>
      <c r="E4" s="92"/>
      <c r="F4" s="150">
        <f>Info!$D$16</f>
        <v>2.8</v>
      </c>
      <c r="G4" s="92"/>
      <c r="H4" s="92"/>
      <c r="I4" s="92"/>
      <c r="J4" s="92"/>
      <c r="K4" s="92"/>
      <c r="L4" s="92"/>
      <c r="M4" s="92"/>
      <c r="N4" s="92"/>
      <c r="O4" s="92"/>
      <c r="P4" s="92"/>
      <c r="Q4" s="92"/>
      <c r="R4" s="92"/>
      <c r="S4" s="92"/>
      <c r="T4" s="92"/>
      <c r="U4" s="92"/>
      <c r="V4" s="92"/>
    </row>
    <row r="5" spans="1:23">
      <c r="B5" s="151" t="s">
        <v>138</v>
      </c>
      <c r="C5" s="93"/>
      <c r="D5" s="93"/>
      <c r="E5" s="93"/>
      <c r="F5" s="152" t="str">
        <f ca="1">IF(CELL("filename",E1)="","",MID(CELL("filename",A1),FIND("]",CELL("filename",A1))+1,99))</f>
        <v>Service Quality</v>
      </c>
      <c r="G5" s="93"/>
      <c r="H5" s="93"/>
      <c r="I5" s="93"/>
      <c r="J5" s="93"/>
      <c r="K5" s="93"/>
      <c r="L5" s="93"/>
      <c r="M5" s="93"/>
      <c r="N5" s="93"/>
      <c r="O5" s="93"/>
      <c r="P5" s="93"/>
      <c r="Q5" s="93"/>
      <c r="R5" s="93"/>
      <c r="S5" s="93"/>
      <c r="T5" s="93"/>
      <c r="U5" s="93"/>
      <c r="V5" s="93"/>
    </row>
    <row r="6" spans="1:23">
      <c r="F6" s="126"/>
    </row>
    <row r="7" spans="1:23">
      <c r="F7" s="126"/>
    </row>
    <row r="8" spans="1:23">
      <c r="B8" s="153" t="s">
        <v>1054</v>
      </c>
      <c r="C8" s="94"/>
      <c r="D8" s="94"/>
      <c r="E8" s="94"/>
      <c r="F8" s="94"/>
      <c r="G8" s="94"/>
      <c r="H8" s="94"/>
      <c r="I8" s="94"/>
      <c r="J8" s="94"/>
      <c r="K8" s="94"/>
      <c r="L8" s="94"/>
      <c r="M8" s="94"/>
      <c r="N8" s="94"/>
      <c r="O8" s="94"/>
      <c r="P8" s="94"/>
      <c r="Q8" s="94"/>
      <c r="R8" s="94"/>
      <c r="S8" s="94"/>
      <c r="T8" s="94"/>
      <c r="U8" s="94"/>
      <c r="V8" s="94"/>
    </row>
    <row r="9" spans="1:23" s="133" customFormat="1">
      <c r="B9" s="137"/>
      <c r="C9" s="137"/>
      <c r="D9" s="137"/>
      <c r="E9" s="137"/>
      <c r="F9" s="211"/>
      <c r="G9" s="137"/>
      <c r="H9" s="137"/>
      <c r="I9" s="137"/>
      <c r="J9" s="137"/>
      <c r="K9" s="137"/>
      <c r="L9" s="137"/>
      <c r="M9" s="137"/>
      <c r="N9" s="137"/>
      <c r="O9" s="137"/>
      <c r="P9" s="137"/>
      <c r="Q9" s="137"/>
      <c r="R9" s="137"/>
      <c r="S9" s="137"/>
      <c r="T9" s="137"/>
      <c r="U9" s="137"/>
      <c r="V9" s="137"/>
      <c r="W9" s="131"/>
    </row>
    <row r="10" spans="1:23" s="133" customFormat="1">
      <c r="B10" s="137" t="s">
        <v>1084</v>
      </c>
      <c r="C10" s="374" t="s">
        <v>1085</v>
      </c>
      <c r="D10" s="137"/>
      <c r="E10" s="137"/>
      <c r="F10" s="211"/>
      <c r="G10" s="137"/>
      <c r="H10" s="137"/>
      <c r="I10" s="137"/>
      <c r="J10" s="137"/>
      <c r="K10" s="137"/>
      <c r="L10" s="137"/>
      <c r="M10" s="137"/>
      <c r="N10" s="137"/>
      <c r="O10" s="137"/>
      <c r="P10" s="137"/>
      <c r="Q10" s="137"/>
      <c r="R10" s="137"/>
      <c r="S10" s="137"/>
      <c r="T10" s="137"/>
      <c r="U10" s="137"/>
      <c r="V10" s="137"/>
      <c r="W10" s="131"/>
    </row>
    <row r="11" spans="1:23" s="133" customFormat="1">
      <c r="B11" s="137"/>
      <c r="C11" s="137"/>
      <c r="D11" s="137"/>
      <c r="E11" s="137"/>
      <c r="F11" s="211"/>
      <c r="G11" s="137"/>
      <c r="H11" s="137"/>
      <c r="I11" s="137"/>
      <c r="J11" s="137"/>
      <c r="K11" s="137"/>
      <c r="L11" s="137"/>
      <c r="M11" s="137"/>
      <c r="N11" s="137"/>
      <c r="O11" s="137"/>
      <c r="P11" s="137"/>
      <c r="Q11" s="137"/>
      <c r="R11" s="137"/>
      <c r="S11" s="137"/>
      <c r="T11" s="137"/>
      <c r="U11" s="137"/>
      <c r="V11" s="137"/>
      <c r="W11" s="131"/>
    </row>
    <row r="12" spans="1:23" s="133" customFormat="1">
      <c r="B12" s="65" t="s">
        <v>1086</v>
      </c>
      <c r="C12" s="137"/>
      <c r="D12" s="137"/>
      <c r="E12" s="137"/>
      <c r="F12" s="211"/>
      <c r="G12" s="137"/>
      <c r="H12" s="137"/>
      <c r="I12" s="137"/>
      <c r="J12" s="137"/>
      <c r="K12" s="137"/>
      <c r="L12" s="137"/>
      <c r="M12" s="137"/>
      <c r="N12" s="137"/>
      <c r="O12" s="137"/>
      <c r="P12" s="137"/>
      <c r="Q12" s="137"/>
      <c r="R12" s="137"/>
      <c r="S12" s="137"/>
      <c r="T12" s="137"/>
      <c r="U12" s="137"/>
      <c r="V12" s="137"/>
      <c r="W12" s="131"/>
    </row>
    <row r="13" spans="1:23">
      <c r="B13" s="30">
        <v>2012</v>
      </c>
      <c r="C13" s="30" t="s">
        <v>142</v>
      </c>
      <c r="D13" s="30">
        <v>2011</v>
      </c>
      <c r="F13" s="102"/>
      <c r="G13" s="102"/>
      <c r="H13" s="102"/>
      <c r="I13" s="102"/>
      <c r="J13" s="102"/>
      <c r="K13" s="102"/>
      <c r="L13" s="102"/>
      <c r="M13" s="102"/>
      <c r="N13" s="102"/>
      <c r="O13" s="102"/>
      <c r="P13" s="102"/>
      <c r="Q13" s="102"/>
      <c r="R13" s="220"/>
      <c r="S13" s="220"/>
      <c r="T13" s="220"/>
      <c r="U13" s="220"/>
      <c r="V13" s="66"/>
    </row>
    <row r="14" spans="1:23" ht="15.75" customHeight="1">
      <c r="B14" s="138">
        <v>1</v>
      </c>
      <c r="C14" s="138" t="s">
        <v>1057</v>
      </c>
      <c r="D14" s="138">
        <v>3</v>
      </c>
      <c r="E14" s="69"/>
      <c r="F14" s="219"/>
      <c r="G14" s="219"/>
      <c r="H14" s="219"/>
      <c r="I14" s="219"/>
      <c r="J14" s="219"/>
      <c r="K14" s="219"/>
      <c r="L14" s="219"/>
      <c r="M14" s="219"/>
      <c r="N14" s="219"/>
      <c r="O14" s="219"/>
      <c r="P14" s="219"/>
      <c r="Q14" s="219"/>
      <c r="R14" s="219"/>
      <c r="S14" s="219"/>
      <c r="T14" s="219"/>
      <c r="U14" s="219"/>
      <c r="V14" s="139"/>
    </row>
    <row r="15" spans="1:23">
      <c r="B15" s="90">
        <v>2</v>
      </c>
      <c r="C15" s="90" t="s">
        <v>1056</v>
      </c>
      <c r="D15" s="138">
        <v>2</v>
      </c>
      <c r="E15" s="206"/>
      <c r="G15" s="102"/>
      <c r="H15" s="102"/>
      <c r="I15" s="102"/>
      <c r="J15" s="107"/>
      <c r="K15" s="107"/>
      <c r="L15" s="107"/>
      <c r="M15" s="221"/>
      <c r="N15" s="107"/>
      <c r="O15" s="220"/>
      <c r="P15" s="220"/>
      <c r="Q15" s="220"/>
      <c r="R15" s="220"/>
      <c r="S15" s="222"/>
      <c r="T15" s="223"/>
      <c r="U15" s="223"/>
      <c r="V15" s="224"/>
    </row>
    <row r="16" spans="1:23">
      <c r="B16" s="138">
        <v>3</v>
      </c>
      <c r="C16" s="90" t="s">
        <v>1055</v>
      </c>
      <c r="D16" s="138">
        <v>1</v>
      </c>
      <c r="E16" s="206"/>
      <c r="G16" s="102"/>
      <c r="H16" s="102"/>
      <c r="I16" s="102"/>
      <c r="J16" s="107"/>
      <c r="K16" s="107"/>
      <c r="L16" s="107"/>
      <c r="M16" s="221"/>
      <c r="N16" s="107"/>
      <c r="O16" s="220"/>
      <c r="P16" s="220"/>
      <c r="Q16" s="220"/>
      <c r="R16" s="220"/>
      <c r="S16" s="222"/>
      <c r="T16" s="223"/>
      <c r="U16" s="223"/>
      <c r="V16" s="224"/>
    </row>
    <row r="17" spans="1:31">
      <c r="B17" s="90">
        <v>4</v>
      </c>
      <c r="C17" s="90" t="s">
        <v>1058</v>
      </c>
      <c r="D17" s="138">
        <v>6</v>
      </c>
      <c r="E17" s="206"/>
      <c r="G17" s="102"/>
      <c r="H17" s="102"/>
      <c r="I17" s="102"/>
      <c r="J17" s="107"/>
      <c r="K17" s="107"/>
      <c r="L17" s="107"/>
      <c r="M17" s="221"/>
      <c r="N17" s="107"/>
      <c r="O17" s="220"/>
      <c r="P17" s="220"/>
      <c r="Q17" s="220"/>
      <c r="R17" s="220"/>
      <c r="S17" s="222"/>
      <c r="T17" s="223"/>
      <c r="U17" s="223"/>
      <c r="V17" s="224"/>
    </row>
    <row r="18" spans="1:31">
      <c r="B18" s="138">
        <v>5</v>
      </c>
      <c r="C18" s="90" t="s">
        <v>1059</v>
      </c>
      <c r="D18" s="138">
        <v>5</v>
      </c>
      <c r="E18" s="206"/>
      <c r="G18" s="102"/>
      <c r="H18" s="102"/>
      <c r="I18" s="102"/>
      <c r="J18" s="107"/>
      <c r="K18" s="107"/>
      <c r="L18" s="107"/>
      <c r="M18" s="221"/>
      <c r="N18" s="107"/>
      <c r="O18" s="220"/>
      <c r="P18" s="220"/>
      <c r="Q18" s="220"/>
      <c r="R18" s="220"/>
      <c r="S18" s="222"/>
      <c r="T18" s="223"/>
      <c r="U18" s="223"/>
      <c r="V18" s="224"/>
    </row>
    <row r="19" spans="1:31">
      <c r="B19" s="90">
        <v>6</v>
      </c>
      <c r="C19" s="90" t="s">
        <v>1050</v>
      </c>
      <c r="D19" s="138">
        <v>4</v>
      </c>
      <c r="E19" s="206"/>
      <c r="G19" s="102"/>
      <c r="H19" s="102"/>
      <c r="I19" s="102"/>
      <c r="J19" s="107"/>
      <c r="K19" s="107"/>
      <c r="L19" s="107"/>
      <c r="M19" s="221"/>
      <c r="N19" s="107"/>
      <c r="O19" s="220"/>
      <c r="P19" s="220"/>
      <c r="Q19" s="220"/>
      <c r="R19" s="220"/>
      <c r="S19" s="222"/>
      <c r="T19" s="223"/>
      <c r="U19" s="223"/>
      <c r="V19" s="224"/>
    </row>
    <row r="20" spans="1:31">
      <c r="B20" s="138">
        <v>7</v>
      </c>
      <c r="C20" s="90" t="s">
        <v>399</v>
      </c>
      <c r="D20" s="138">
        <v>7</v>
      </c>
      <c r="E20" s="206"/>
      <c r="G20" s="102"/>
      <c r="H20" s="102"/>
      <c r="I20" s="102"/>
      <c r="J20" s="107"/>
      <c r="K20" s="107"/>
      <c r="L20" s="107"/>
      <c r="M20" s="221"/>
      <c r="N20" s="107"/>
      <c r="O20" s="220"/>
      <c r="P20" s="220"/>
      <c r="Q20" s="220"/>
      <c r="R20" s="220"/>
      <c r="S20" s="222"/>
      <c r="T20" s="223"/>
      <c r="U20" s="223"/>
      <c r="V20" s="224"/>
    </row>
    <row r="21" spans="1:31">
      <c r="B21" s="90">
        <v>8</v>
      </c>
      <c r="C21" s="90" t="s">
        <v>1060</v>
      </c>
      <c r="D21" s="138">
        <v>9</v>
      </c>
      <c r="E21" s="206"/>
      <c r="G21" s="102"/>
      <c r="H21" s="102"/>
      <c r="I21" s="102"/>
      <c r="J21" s="107"/>
      <c r="K21" s="107"/>
      <c r="L21" s="107"/>
      <c r="M21" s="221"/>
      <c r="N21" s="107"/>
      <c r="O21" s="220"/>
      <c r="P21" s="220"/>
      <c r="Q21" s="220"/>
      <c r="R21" s="220"/>
      <c r="S21" s="222"/>
      <c r="T21" s="223"/>
      <c r="U21" s="223"/>
      <c r="V21" s="224"/>
    </row>
    <row r="22" spans="1:31">
      <c r="B22" s="138">
        <v>9</v>
      </c>
      <c r="C22" s="90" t="s">
        <v>1061</v>
      </c>
      <c r="D22" s="138">
        <v>12</v>
      </c>
      <c r="E22" s="206"/>
      <c r="G22" s="102"/>
      <c r="H22" s="102"/>
      <c r="I22" s="102"/>
      <c r="J22" s="107"/>
      <c r="K22" s="107"/>
      <c r="L22" s="107"/>
      <c r="M22" s="221"/>
      <c r="N22" s="107"/>
      <c r="O22" s="220"/>
      <c r="P22" s="220"/>
      <c r="Q22" s="220"/>
      <c r="R22" s="220"/>
      <c r="S22" s="222"/>
      <c r="T22" s="223"/>
      <c r="U22" s="223"/>
      <c r="V22" s="224"/>
    </row>
    <row r="23" spans="1:31">
      <c r="B23" s="90">
        <v>10</v>
      </c>
      <c r="C23" s="90" t="s">
        <v>1062</v>
      </c>
      <c r="D23" s="138">
        <v>11</v>
      </c>
      <c r="E23" s="206"/>
      <c r="G23" s="102"/>
      <c r="H23" s="102"/>
      <c r="I23" s="102"/>
      <c r="J23" s="107"/>
      <c r="K23" s="107"/>
      <c r="L23" s="107"/>
      <c r="M23" s="221"/>
      <c r="N23" s="107"/>
      <c r="O23" s="220"/>
      <c r="P23" s="220"/>
      <c r="Q23" s="220"/>
      <c r="R23" s="220"/>
      <c r="S23" s="222"/>
      <c r="T23" s="223"/>
      <c r="U23" s="223"/>
      <c r="V23" s="224"/>
    </row>
    <row r="24" spans="1:31">
      <c r="B24" s="138">
        <v>11</v>
      </c>
      <c r="C24" s="90" t="s">
        <v>218</v>
      </c>
      <c r="D24" s="138">
        <v>16</v>
      </c>
      <c r="E24" s="206"/>
      <c r="G24" s="102"/>
      <c r="H24" s="102"/>
      <c r="I24" s="102"/>
      <c r="J24" s="107"/>
      <c r="K24" s="107"/>
      <c r="L24" s="107"/>
      <c r="M24" s="221"/>
      <c r="N24" s="107"/>
      <c r="O24" s="220"/>
      <c r="P24" s="220"/>
      <c r="Q24" s="220"/>
      <c r="R24" s="220"/>
      <c r="S24" s="222"/>
      <c r="T24" s="223"/>
      <c r="U24" s="223"/>
      <c r="V24" s="224"/>
    </row>
    <row r="25" spans="1:31">
      <c r="B25" s="90">
        <v>12</v>
      </c>
      <c r="C25" s="90" t="s">
        <v>392</v>
      </c>
      <c r="D25" s="138">
        <v>10</v>
      </c>
      <c r="E25" s="206"/>
      <c r="G25" s="102"/>
      <c r="H25" s="102"/>
      <c r="I25" s="102"/>
      <c r="J25" s="107"/>
      <c r="K25" s="107"/>
      <c r="L25" s="107"/>
      <c r="M25" s="221"/>
      <c r="N25" s="107"/>
      <c r="O25" s="220"/>
      <c r="P25" s="220"/>
      <c r="Q25" s="220"/>
      <c r="R25" s="220"/>
      <c r="S25" s="222"/>
      <c r="T25" s="223"/>
      <c r="U25" s="223"/>
      <c r="V25" s="224"/>
    </row>
    <row r="26" spans="1:31">
      <c r="B26" s="138">
        <v>13</v>
      </c>
      <c r="C26" s="90" t="s">
        <v>387</v>
      </c>
      <c r="D26" s="138">
        <v>8</v>
      </c>
      <c r="E26" s="206"/>
      <c r="G26" s="102"/>
      <c r="H26" s="102"/>
      <c r="I26" s="102"/>
      <c r="J26" s="107"/>
      <c r="K26" s="107"/>
      <c r="L26" s="107"/>
      <c r="M26" s="221"/>
      <c r="N26" s="107"/>
      <c r="O26" s="220"/>
      <c r="P26" s="220"/>
      <c r="Q26" s="220"/>
      <c r="R26" s="220"/>
      <c r="S26" s="222"/>
      <c r="T26" s="223"/>
      <c r="U26" s="223"/>
      <c r="V26" s="224"/>
    </row>
    <row r="27" spans="1:31" s="126" customFormat="1">
      <c r="A27" s="90"/>
      <c r="B27" s="90">
        <v>14</v>
      </c>
      <c r="C27" s="90" t="s">
        <v>1063</v>
      </c>
      <c r="D27" s="138">
        <v>17</v>
      </c>
      <c r="E27" s="206"/>
      <c r="G27" s="102"/>
      <c r="H27" s="102"/>
      <c r="I27" s="102"/>
      <c r="J27" s="107"/>
      <c r="K27" s="107"/>
      <c r="L27" s="107"/>
      <c r="M27" s="221"/>
      <c r="N27" s="107"/>
      <c r="O27" s="220"/>
      <c r="P27" s="220"/>
      <c r="Q27" s="220"/>
      <c r="R27" s="220"/>
      <c r="S27" s="222"/>
      <c r="T27" s="223"/>
      <c r="U27" s="223"/>
      <c r="V27" s="224"/>
      <c r="X27" s="90"/>
      <c r="Y27" s="90"/>
      <c r="Z27" s="90"/>
      <c r="AA27" s="90"/>
      <c r="AB27" s="90"/>
      <c r="AC27" s="90"/>
      <c r="AD27" s="90"/>
      <c r="AE27" s="90"/>
    </row>
    <row r="28" spans="1:31" s="126" customFormat="1">
      <c r="A28" s="90"/>
      <c r="B28" s="138">
        <v>15</v>
      </c>
      <c r="C28" s="90" t="s">
        <v>1052</v>
      </c>
      <c r="D28" s="138">
        <v>20</v>
      </c>
      <c r="E28" s="206"/>
      <c r="F28" s="206"/>
      <c r="G28" s="102"/>
      <c r="H28" s="102"/>
      <c r="I28" s="102"/>
      <c r="J28" s="107"/>
      <c r="K28" s="107"/>
      <c r="L28" s="107"/>
      <c r="M28" s="221"/>
      <c r="N28" s="107"/>
      <c r="O28" s="220"/>
      <c r="P28" s="220"/>
      <c r="Q28" s="220"/>
      <c r="R28" s="220"/>
      <c r="S28" s="222"/>
      <c r="T28" s="223"/>
      <c r="U28" s="223"/>
      <c r="V28" s="224"/>
      <c r="X28" s="90"/>
      <c r="Y28" s="90"/>
      <c r="Z28" s="90"/>
      <c r="AA28" s="90"/>
      <c r="AB28" s="90"/>
      <c r="AC28" s="90"/>
      <c r="AD28" s="90"/>
      <c r="AE28" s="90"/>
    </row>
    <row r="29" spans="1:31" s="126" customFormat="1">
      <c r="A29" s="90"/>
      <c r="B29" s="90">
        <v>16</v>
      </c>
      <c r="C29" s="90" t="s">
        <v>1064</v>
      </c>
      <c r="D29" s="138">
        <v>21</v>
      </c>
      <c r="E29" s="206"/>
      <c r="F29" s="206"/>
      <c r="G29" s="102"/>
      <c r="H29" s="102"/>
      <c r="I29" s="102"/>
      <c r="J29" s="107"/>
      <c r="K29" s="107"/>
      <c r="L29" s="107"/>
      <c r="M29" s="221"/>
      <c r="N29" s="107"/>
      <c r="O29" s="220"/>
      <c r="P29" s="220"/>
      <c r="Q29" s="220"/>
      <c r="R29" s="220"/>
      <c r="S29" s="222"/>
      <c r="T29" s="223"/>
      <c r="U29" s="223"/>
      <c r="V29" s="224"/>
      <c r="X29" s="90"/>
      <c r="Y29" s="90"/>
      <c r="Z29" s="90"/>
      <c r="AA29" s="90"/>
      <c r="AB29" s="90"/>
      <c r="AC29" s="90"/>
      <c r="AD29" s="90"/>
      <c r="AE29" s="90"/>
    </row>
    <row r="30" spans="1:31" s="126" customFormat="1">
      <c r="A30" s="90"/>
      <c r="B30" s="138">
        <v>17</v>
      </c>
      <c r="C30" s="126" t="s">
        <v>1067</v>
      </c>
      <c r="D30" s="138">
        <v>19</v>
      </c>
      <c r="E30" s="206"/>
      <c r="F30" s="206"/>
      <c r="G30" s="102"/>
      <c r="H30" s="102"/>
      <c r="I30" s="102"/>
      <c r="J30" s="107"/>
      <c r="K30" s="107"/>
      <c r="L30" s="107"/>
      <c r="M30" s="221"/>
      <c r="N30" s="107"/>
      <c r="O30" s="220"/>
      <c r="P30" s="220"/>
      <c r="Q30" s="220"/>
      <c r="R30" s="220"/>
      <c r="S30" s="222"/>
      <c r="T30" s="223"/>
      <c r="U30" s="223"/>
      <c r="V30" s="224"/>
      <c r="X30" s="90"/>
      <c r="Y30" s="90"/>
      <c r="Z30" s="90"/>
      <c r="AA30" s="90"/>
      <c r="AB30" s="90"/>
      <c r="AC30" s="90"/>
      <c r="AD30" s="90"/>
      <c r="AE30" s="90"/>
    </row>
    <row r="31" spans="1:31" s="126" customFormat="1">
      <c r="A31" s="90"/>
      <c r="B31" s="90">
        <v>18</v>
      </c>
      <c r="C31" s="90" t="s">
        <v>1065</v>
      </c>
      <c r="D31" s="138">
        <v>26</v>
      </c>
      <c r="E31" s="206"/>
      <c r="F31" s="206"/>
      <c r="G31" s="102"/>
      <c r="H31" s="102"/>
      <c r="I31" s="102"/>
      <c r="J31" s="107"/>
      <c r="K31" s="107"/>
      <c r="L31" s="107"/>
      <c r="M31" s="221"/>
      <c r="N31" s="107"/>
      <c r="O31" s="220"/>
      <c r="P31" s="220"/>
      <c r="Q31" s="220"/>
      <c r="R31" s="220"/>
      <c r="S31" s="222"/>
      <c r="T31" s="223"/>
      <c r="U31" s="223"/>
      <c r="V31" s="224"/>
      <c r="X31" s="90"/>
      <c r="Y31" s="90"/>
      <c r="Z31" s="90"/>
      <c r="AA31" s="90"/>
      <c r="AB31" s="90"/>
      <c r="AC31" s="90"/>
      <c r="AD31" s="90"/>
      <c r="AE31" s="90"/>
    </row>
    <row r="32" spans="1:31" s="126" customFormat="1">
      <c r="A32" s="90"/>
      <c r="B32" s="138">
        <v>19</v>
      </c>
      <c r="C32" s="90" t="s">
        <v>1066</v>
      </c>
      <c r="D32" s="138">
        <v>14</v>
      </c>
      <c r="E32" s="206"/>
      <c r="F32" s="206"/>
      <c r="G32" s="102"/>
      <c r="H32" s="102"/>
      <c r="I32" s="102"/>
      <c r="J32" s="107"/>
      <c r="K32" s="107"/>
      <c r="L32" s="107"/>
      <c r="M32" s="221"/>
      <c r="N32" s="107"/>
      <c r="O32" s="220"/>
      <c r="P32" s="220"/>
      <c r="Q32" s="220"/>
      <c r="R32" s="220"/>
      <c r="S32" s="222"/>
      <c r="T32" s="223"/>
      <c r="U32" s="223"/>
      <c r="V32" s="224"/>
      <c r="X32" s="90"/>
      <c r="Y32" s="90"/>
      <c r="Z32" s="90"/>
      <c r="AA32" s="90"/>
      <c r="AB32" s="90"/>
      <c r="AC32" s="90"/>
      <c r="AD32" s="90"/>
      <c r="AE32" s="90"/>
    </row>
    <row r="33" spans="1:31" s="126" customFormat="1">
      <c r="A33" s="90"/>
      <c r="B33" s="90">
        <v>20</v>
      </c>
      <c r="C33" s="90" t="s">
        <v>398</v>
      </c>
      <c r="D33" s="138">
        <v>40</v>
      </c>
      <c r="E33" s="206"/>
      <c r="F33" s="206"/>
      <c r="G33" s="102"/>
      <c r="H33" s="102"/>
      <c r="I33" s="102"/>
      <c r="J33" s="107"/>
      <c r="K33" s="107"/>
      <c r="L33" s="107"/>
      <c r="M33" s="221"/>
      <c r="N33" s="107"/>
      <c r="O33" s="220"/>
      <c r="P33" s="220"/>
      <c r="Q33" s="220"/>
      <c r="R33" s="220"/>
      <c r="S33" s="222"/>
      <c r="T33" s="223"/>
      <c r="U33" s="223"/>
      <c r="V33" s="224"/>
      <c r="X33" s="90"/>
      <c r="Y33" s="90"/>
      <c r="Z33" s="90"/>
      <c r="AA33" s="90"/>
      <c r="AB33" s="90"/>
      <c r="AC33" s="90"/>
      <c r="AD33" s="90"/>
      <c r="AE33" s="90"/>
    </row>
    <row r="34" spans="1:31" s="126" customFormat="1">
      <c r="A34" s="90"/>
      <c r="B34" s="138">
        <v>21</v>
      </c>
      <c r="C34" s="90" t="s">
        <v>1068</v>
      </c>
      <c r="D34" s="138">
        <v>15</v>
      </c>
      <c r="E34" s="206"/>
      <c r="F34" s="206"/>
      <c r="G34" s="102"/>
      <c r="H34" s="102"/>
      <c r="I34" s="102"/>
      <c r="J34" s="107"/>
      <c r="K34" s="107"/>
      <c r="L34" s="107"/>
      <c r="M34" s="221"/>
      <c r="N34" s="107"/>
      <c r="O34" s="220"/>
      <c r="P34" s="220"/>
      <c r="Q34" s="220"/>
      <c r="R34" s="220"/>
      <c r="S34" s="222"/>
      <c r="T34" s="223"/>
      <c r="U34" s="223"/>
      <c r="V34" s="224"/>
      <c r="X34" s="90"/>
      <c r="Y34" s="90"/>
      <c r="Z34" s="90"/>
      <c r="AA34" s="90"/>
      <c r="AB34" s="90"/>
      <c r="AC34" s="90"/>
      <c r="AD34" s="90"/>
      <c r="AE34" s="90"/>
    </row>
    <row r="35" spans="1:31" s="126" customFormat="1">
      <c r="A35" s="90"/>
      <c r="B35" s="90">
        <v>22</v>
      </c>
      <c r="C35" s="90" t="s">
        <v>1069</v>
      </c>
      <c r="D35" s="138">
        <v>18</v>
      </c>
      <c r="E35" s="206"/>
      <c r="F35" s="206"/>
      <c r="G35" s="102"/>
      <c r="H35" s="102"/>
      <c r="I35" s="102"/>
      <c r="J35" s="107"/>
      <c r="K35" s="107"/>
      <c r="L35" s="107"/>
      <c r="M35" s="221"/>
      <c r="N35" s="107"/>
      <c r="O35" s="220"/>
      <c r="P35" s="220"/>
      <c r="Q35" s="220"/>
      <c r="R35" s="220"/>
      <c r="S35" s="222"/>
      <c r="T35" s="223"/>
      <c r="U35" s="223"/>
      <c r="V35" s="224"/>
      <c r="X35" s="90"/>
      <c r="Y35" s="90"/>
      <c r="Z35" s="90"/>
      <c r="AA35" s="90"/>
      <c r="AB35" s="90"/>
      <c r="AC35" s="90"/>
      <c r="AD35" s="90"/>
      <c r="AE35" s="90"/>
    </row>
    <row r="36" spans="1:31" s="126" customFormat="1">
      <c r="A36" s="90"/>
      <c r="B36" s="138">
        <v>23</v>
      </c>
      <c r="C36" s="90" t="s">
        <v>1070</v>
      </c>
      <c r="D36" s="138">
        <v>27</v>
      </c>
      <c r="E36" s="206"/>
      <c r="F36" s="206"/>
      <c r="G36" s="102"/>
      <c r="H36" s="102"/>
      <c r="I36" s="102"/>
      <c r="J36" s="107"/>
      <c r="K36" s="107"/>
      <c r="L36" s="107"/>
      <c r="M36" s="221"/>
      <c r="N36" s="107"/>
      <c r="O36" s="220"/>
      <c r="P36" s="220"/>
      <c r="Q36" s="220"/>
      <c r="R36" s="220"/>
      <c r="S36" s="222"/>
      <c r="T36" s="223"/>
      <c r="U36" s="223"/>
      <c r="V36" s="224"/>
      <c r="X36" s="90"/>
      <c r="Y36" s="90"/>
      <c r="Z36" s="90"/>
      <c r="AA36" s="90"/>
      <c r="AB36" s="90"/>
      <c r="AC36" s="90"/>
      <c r="AD36" s="90"/>
      <c r="AE36" s="90"/>
    </row>
    <row r="37" spans="1:31" s="126" customFormat="1">
      <c r="A37" s="90"/>
      <c r="B37" s="90">
        <v>24</v>
      </c>
      <c r="C37" s="90" t="s">
        <v>1071</v>
      </c>
      <c r="D37" s="138">
        <v>24</v>
      </c>
      <c r="E37" s="206"/>
      <c r="F37" s="206"/>
      <c r="G37" s="102"/>
      <c r="H37" s="102"/>
      <c r="I37" s="102"/>
      <c r="J37" s="107"/>
      <c r="K37" s="107"/>
      <c r="L37" s="107"/>
      <c r="M37" s="221"/>
      <c r="N37" s="107"/>
      <c r="O37" s="220"/>
      <c r="P37" s="220"/>
      <c r="Q37" s="220"/>
      <c r="R37" s="220"/>
      <c r="S37" s="222"/>
      <c r="T37" s="223"/>
      <c r="U37" s="223"/>
      <c r="V37" s="224"/>
      <c r="X37" s="90"/>
      <c r="Y37" s="90"/>
      <c r="Z37" s="90"/>
      <c r="AA37" s="90"/>
      <c r="AB37" s="90"/>
      <c r="AC37" s="90"/>
      <c r="AD37" s="90"/>
      <c r="AE37" s="90"/>
    </row>
    <row r="38" spans="1:31" s="126" customFormat="1">
      <c r="A38" s="90"/>
      <c r="B38" s="138">
        <v>25</v>
      </c>
      <c r="C38" s="90" t="s">
        <v>1072</v>
      </c>
      <c r="D38" s="138">
        <v>13</v>
      </c>
      <c r="E38" s="206"/>
      <c r="F38" s="206"/>
      <c r="G38" s="102"/>
      <c r="H38" s="102"/>
      <c r="I38" s="102"/>
      <c r="J38" s="107"/>
      <c r="K38" s="107"/>
      <c r="L38" s="107"/>
      <c r="M38" s="221"/>
      <c r="N38" s="107"/>
      <c r="O38" s="220"/>
      <c r="P38" s="220"/>
      <c r="Q38" s="220"/>
      <c r="R38" s="220"/>
      <c r="S38" s="222"/>
      <c r="T38" s="223"/>
      <c r="U38" s="223"/>
      <c r="V38" s="224"/>
      <c r="X38" s="90"/>
      <c r="Y38" s="90"/>
      <c r="Z38" s="90"/>
      <c r="AA38" s="90"/>
      <c r="AB38" s="90"/>
      <c r="AC38" s="90"/>
      <c r="AD38" s="90"/>
      <c r="AE38" s="90"/>
    </row>
    <row r="39" spans="1:31" s="126" customFormat="1">
      <c r="A39" s="90"/>
      <c r="B39" s="90">
        <v>26</v>
      </c>
      <c r="C39" s="90" t="s">
        <v>1073</v>
      </c>
      <c r="D39" s="138">
        <v>23</v>
      </c>
      <c r="E39" s="206"/>
      <c r="F39" s="206"/>
      <c r="G39" s="102"/>
      <c r="H39" s="102"/>
      <c r="I39" s="102"/>
      <c r="J39" s="107"/>
      <c r="K39" s="107"/>
      <c r="L39" s="107"/>
      <c r="M39" s="221"/>
      <c r="N39" s="107"/>
      <c r="O39" s="220"/>
      <c r="P39" s="220"/>
      <c r="Q39" s="220"/>
      <c r="R39" s="220"/>
      <c r="S39" s="222"/>
      <c r="T39" s="223"/>
      <c r="U39" s="223"/>
      <c r="V39" s="224"/>
      <c r="X39" s="90"/>
      <c r="Y39" s="90"/>
      <c r="Z39" s="90"/>
      <c r="AA39" s="90"/>
      <c r="AB39" s="90"/>
      <c r="AC39" s="90"/>
      <c r="AD39" s="90"/>
      <c r="AE39" s="90"/>
    </row>
    <row r="40" spans="1:31" s="126" customFormat="1">
      <c r="A40" s="90"/>
      <c r="B40" s="138">
        <v>27</v>
      </c>
      <c r="C40" s="90" t="s">
        <v>393</v>
      </c>
      <c r="D40" s="138">
        <v>28</v>
      </c>
      <c r="E40" s="206"/>
      <c r="F40" s="206"/>
      <c r="G40" s="102"/>
      <c r="H40" s="102"/>
      <c r="I40" s="102"/>
      <c r="J40" s="107"/>
      <c r="K40" s="107"/>
      <c r="L40" s="107"/>
      <c r="M40" s="221"/>
      <c r="N40" s="107"/>
      <c r="O40" s="220"/>
      <c r="P40" s="220"/>
      <c r="Q40" s="220"/>
      <c r="R40" s="220"/>
      <c r="S40" s="222"/>
      <c r="T40" s="223"/>
      <c r="U40" s="223"/>
      <c r="V40" s="224"/>
      <c r="X40" s="90"/>
      <c r="Y40" s="90"/>
      <c r="Z40" s="90"/>
      <c r="AA40" s="90"/>
      <c r="AB40" s="90"/>
      <c r="AC40" s="90"/>
      <c r="AD40" s="90"/>
      <c r="AE40" s="90"/>
    </row>
    <row r="41" spans="1:31" s="126" customFormat="1">
      <c r="A41" s="90"/>
      <c r="B41" s="90">
        <v>28</v>
      </c>
      <c r="C41" s="90" t="s">
        <v>1074</v>
      </c>
      <c r="D41" s="138">
        <v>29</v>
      </c>
      <c r="E41" s="206"/>
      <c r="F41" s="206"/>
      <c r="G41" s="102"/>
      <c r="H41" s="102"/>
      <c r="I41" s="102"/>
      <c r="J41" s="107"/>
      <c r="K41" s="107"/>
      <c r="L41" s="107"/>
      <c r="M41" s="221"/>
      <c r="N41" s="107"/>
      <c r="O41" s="220"/>
      <c r="P41" s="220"/>
      <c r="Q41" s="220"/>
      <c r="R41" s="220"/>
      <c r="S41" s="222"/>
      <c r="T41" s="223"/>
      <c r="U41" s="223"/>
      <c r="V41" s="224"/>
      <c r="X41" s="90"/>
      <c r="Y41" s="90"/>
      <c r="Z41" s="90"/>
      <c r="AA41" s="90"/>
      <c r="AB41" s="90"/>
      <c r="AC41" s="90"/>
      <c r="AD41" s="90"/>
      <c r="AE41" s="90"/>
    </row>
    <row r="42" spans="1:31" s="126" customFormat="1">
      <c r="A42" s="90"/>
      <c r="B42" s="138">
        <v>29</v>
      </c>
      <c r="C42" s="90" t="s">
        <v>1075</v>
      </c>
      <c r="D42" s="138">
        <v>31</v>
      </c>
      <c r="E42" s="206"/>
      <c r="F42" s="206"/>
      <c r="G42" s="102"/>
      <c r="H42" s="102"/>
      <c r="I42" s="102"/>
      <c r="J42" s="107"/>
      <c r="K42" s="107"/>
      <c r="L42" s="107"/>
      <c r="M42" s="221"/>
      <c r="N42" s="107"/>
      <c r="O42" s="220"/>
      <c r="P42" s="220"/>
      <c r="Q42" s="220"/>
      <c r="R42" s="220"/>
      <c r="S42" s="222"/>
      <c r="T42" s="223"/>
      <c r="U42" s="223"/>
      <c r="V42" s="224"/>
      <c r="X42" s="90"/>
      <c r="Y42" s="90"/>
      <c r="Z42" s="90"/>
      <c r="AA42" s="90"/>
      <c r="AB42" s="90"/>
      <c r="AC42" s="90"/>
      <c r="AD42" s="90"/>
      <c r="AE42" s="90"/>
    </row>
    <row r="43" spans="1:31" s="126" customFormat="1">
      <c r="A43" s="90"/>
      <c r="B43" s="90">
        <v>30</v>
      </c>
      <c r="C43" s="90" t="s">
        <v>1076</v>
      </c>
      <c r="D43" s="90">
        <v>32</v>
      </c>
      <c r="E43" s="206"/>
      <c r="F43" s="206"/>
      <c r="G43" s="102"/>
      <c r="H43" s="102"/>
      <c r="I43" s="102"/>
      <c r="J43" s="107"/>
      <c r="K43" s="107"/>
      <c r="L43" s="107"/>
      <c r="M43" s="221"/>
      <c r="N43" s="107"/>
      <c r="O43" s="220"/>
      <c r="P43" s="220"/>
      <c r="Q43" s="220"/>
      <c r="R43" s="220"/>
      <c r="S43" s="222"/>
      <c r="T43" s="223"/>
      <c r="U43" s="223"/>
      <c r="V43" s="224"/>
      <c r="X43" s="90"/>
      <c r="Y43" s="90"/>
      <c r="Z43" s="90"/>
      <c r="AA43" s="90"/>
      <c r="AB43" s="90"/>
      <c r="AC43" s="90"/>
      <c r="AD43" s="90"/>
      <c r="AE43" s="90"/>
    </row>
    <row r="44" spans="1:31" s="126" customFormat="1">
      <c r="A44" s="90"/>
      <c r="B44" s="138">
        <v>31</v>
      </c>
      <c r="C44" s="90" t="s">
        <v>1077</v>
      </c>
      <c r="D44" s="90">
        <v>25</v>
      </c>
      <c r="E44" s="206"/>
      <c r="F44" s="206"/>
      <c r="G44" s="102"/>
      <c r="H44" s="102"/>
      <c r="I44" s="102"/>
      <c r="J44" s="107"/>
      <c r="K44" s="107"/>
      <c r="L44" s="107"/>
      <c r="M44" s="221"/>
      <c r="N44" s="107"/>
      <c r="O44" s="220"/>
      <c r="P44" s="220"/>
      <c r="Q44" s="220"/>
      <c r="R44" s="220"/>
      <c r="S44" s="222"/>
      <c r="T44" s="223"/>
      <c r="U44" s="223"/>
      <c r="V44" s="224"/>
      <c r="X44" s="90"/>
      <c r="Y44" s="90"/>
      <c r="Z44" s="90"/>
      <c r="AA44" s="90"/>
      <c r="AB44" s="90"/>
      <c r="AC44" s="90"/>
      <c r="AD44" s="90"/>
      <c r="AE44" s="90"/>
    </row>
    <row r="45" spans="1:31" s="126" customFormat="1">
      <c r="A45" s="90"/>
      <c r="B45" s="90">
        <v>32</v>
      </c>
      <c r="C45" s="90" t="s">
        <v>1078</v>
      </c>
      <c r="D45" s="90">
        <v>39</v>
      </c>
      <c r="E45" s="206"/>
      <c r="F45" s="206"/>
      <c r="G45" s="102"/>
      <c r="H45" s="102"/>
      <c r="I45" s="102"/>
      <c r="J45" s="107"/>
      <c r="K45" s="107"/>
      <c r="L45" s="107"/>
      <c r="M45" s="221"/>
      <c r="N45" s="107"/>
      <c r="O45" s="220"/>
      <c r="P45" s="220"/>
      <c r="Q45" s="220"/>
      <c r="R45" s="220"/>
      <c r="S45" s="222"/>
      <c r="T45" s="223"/>
      <c r="U45" s="223"/>
      <c r="V45" s="224"/>
      <c r="X45" s="90"/>
      <c r="Y45" s="90"/>
      <c r="Z45" s="90"/>
      <c r="AA45" s="90"/>
      <c r="AB45" s="90"/>
      <c r="AC45" s="90"/>
      <c r="AD45" s="90"/>
      <c r="AE45" s="90"/>
    </row>
    <row r="46" spans="1:31" s="126" customFormat="1">
      <c r="A46" s="90"/>
      <c r="B46" s="138">
        <v>33</v>
      </c>
      <c r="C46" s="90" t="s">
        <v>388</v>
      </c>
      <c r="D46" s="90">
        <v>43</v>
      </c>
      <c r="E46" s="206"/>
      <c r="F46" s="206"/>
      <c r="G46" s="102"/>
      <c r="H46" s="102"/>
      <c r="I46" s="102"/>
      <c r="J46" s="107"/>
      <c r="K46" s="107"/>
      <c r="L46" s="107"/>
      <c r="M46" s="221"/>
      <c r="N46" s="107"/>
      <c r="O46" s="220"/>
      <c r="P46" s="220"/>
      <c r="Q46" s="220"/>
      <c r="R46" s="220"/>
      <c r="S46" s="222"/>
      <c r="T46" s="223"/>
      <c r="U46" s="223"/>
      <c r="V46" s="224"/>
      <c r="X46" s="90"/>
      <c r="Y46" s="90"/>
      <c r="Z46" s="90"/>
      <c r="AA46" s="90"/>
      <c r="AB46" s="90"/>
      <c r="AC46" s="90"/>
      <c r="AD46" s="90"/>
      <c r="AE46" s="90"/>
    </row>
    <row r="47" spans="1:31" s="126" customFormat="1">
      <c r="A47" s="90"/>
      <c r="B47" s="90">
        <v>34</v>
      </c>
      <c r="C47" s="90" t="s">
        <v>389</v>
      </c>
      <c r="D47" s="90">
        <v>38</v>
      </c>
      <c r="E47" s="206"/>
      <c r="F47" s="206"/>
      <c r="G47" s="102"/>
      <c r="H47" s="102"/>
      <c r="I47" s="102"/>
      <c r="J47" s="107"/>
      <c r="K47" s="107"/>
      <c r="L47" s="107"/>
      <c r="M47" s="221"/>
      <c r="N47" s="107"/>
      <c r="O47" s="220"/>
      <c r="P47" s="220"/>
      <c r="Q47" s="220"/>
      <c r="R47" s="220"/>
      <c r="S47" s="222"/>
      <c r="T47" s="223"/>
      <c r="U47" s="223"/>
      <c r="V47" s="224"/>
      <c r="X47" s="90"/>
      <c r="Y47" s="90"/>
      <c r="Z47" s="90"/>
      <c r="AA47" s="90"/>
      <c r="AB47" s="90"/>
      <c r="AC47" s="90"/>
      <c r="AD47" s="90"/>
      <c r="AE47" s="90"/>
    </row>
    <row r="48" spans="1:31" s="126" customFormat="1">
      <c r="A48" s="90"/>
      <c r="B48" s="138">
        <v>35</v>
      </c>
      <c r="C48" s="90" t="s">
        <v>1079</v>
      </c>
      <c r="D48" s="90">
        <v>33</v>
      </c>
      <c r="E48" s="206"/>
      <c r="F48" s="206"/>
      <c r="G48" s="102"/>
      <c r="H48" s="102"/>
      <c r="I48" s="102"/>
      <c r="J48" s="107"/>
      <c r="K48" s="107"/>
      <c r="L48" s="107"/>
      <c r="M48" s="221"/>
      <c r="N48" s="107"/>
      <c r="O48" s="220"/>
      <c r="P48" s="220"/>
      <c r="Q48" s="220"/>
      <c r="R48" s="220"/>
      <c r="S48" s="222"/>
      <c r="T48" s="223"/>
      <c r="U48" s="223"/>
      <c r="V48" s="224"/>
      <c r="X48" s="90"/>
      <c r="Y48" s="90"/>
      <c r="Z48" s="90"/>
      <c r="AA48" s="90"/>
      <c r="AB48" s="90"/>
      <c r="AC48" s="90"/>
      <c r="AD48" s="90"/>
      <c r="AE48" s="90"/>
    </row>
    <row r="49" spans="1:31" s="126" customFormat="1">
      <c r="A49" s="90"/>
      <c r="B49" s="90">
        <v>36</v>
      </c>
      <c r="C49" s="90" t="s">
        <v>1080</v>
      </c>
      <c r="D49" s="90">
        <v>31</v>
      </c>
      <c r="E49" s="206"/>
      <c r="F49" s="206"/>
      <c r="G49" s="102"/>
      <c r="H49" s="102"/>
      <c r="I49" s="102"/>
      <c r="J49" s="107"/>
      <c r="K49" s="107"/>
      <c r="L49" s="107"/>
      <c r="M49" s="221"/>
      <c r="N49" s="107"/>
      <c r="O49" s="220"/>
      <c r="P49" s="220"/>
      <c r="Q49" s="220"/>
      <c r="R49" s="220"/>
      <c r="S49" s="222"/>
      <c r="T49" s="223"/>
      <c r="U49" s="223"/>
      <c r="V49" s="224"/>
      <c r="X49" s="90"/>
      <c r="Y49" s="90"/>
      <c r="Z49" s="90"/>
      <c r="AA49" s="90"/>
      <c r="AB49" s="90"/>
      <c r="AC49" s="90"/>
      <c r="AD49" s="90"/>
      <c r="AE49" s="90"/>
    </row>
    <row r="50" spans="1:31" s="126" customFormat="1">
      <c r="A50" s="90"/>
      <c r="B50" s="138">
        <v>37</v>
      </c>
      <c r="C50" s="90" t="s">
        <v>205</v>
      </c>
      <c r="D50" s="90">
        <v>45</v>
      </c>
      <c r="E50" s="206"/>
      <c r="F50" s="206"/>
      <c r="G50" s="102"/>
      <c r="H50" s="102"/>
      <c r="I50" s="102"/>
      <c r="J50" s="107"/>
      <c r="K50" s="107"/>
      <c r="L50" s="107"/>
      <c r="M50" s="221"/>
      <c r="N50" s="107"/>
      <c r="O50" s="220"/>
      <c r="P50" s="220"/>
      <c r="Q50" s="220"/>
      <c r="R50" s="220"/>
      <c r="S50" s="222"/>
      <c r="T50" s="223"/>
      <c r="U50" s="223"/>
      <c r="V50" s="224"/>
      <c r="X50" s="90"/>
      <c r="Y50" s="90"/>
      <c r="Z50" s="90"/>
      <c r="AA50" s="90"/>
      <c r="AB50" s="90"/>
      <c r="AC50" s="90"/>
      <c r="AD50" s="90"/>
      <c r="AE50" s="90"/>
    </row>
    <row r="51" spans="1:31" s="126" customFormat="1">
      <c r="A51" s="90"/>
      <c r="B51" s="90">
        <v>38</v>
      </c>
      <c r="C51" s="90" t="s">
        <v>1081</v>
      </c>
      <c r="D51" s="90">
        <v>22</v>
      </c>
      <c r="E51" s="206"/>
      <c r="F51" s="206"/>
      <c r="G51" s="102"/>
      <c r="H51" s="102"/>
      <c r="I51" s="102"/>
      <c r="J51" s="107"/>
      <c r="K51" s="107"/>
      <c r="L51" s="107"/>
      <c r="M51" s="221"/>
      <c r="N51" s="107"/>
      <c r="O51" s="220"/>
      <c r="P51" s="220"/>
      <c r="Q51" s="220"/>
      <c r="R51" s="220"/>
      <c r="S51" s="222"/>
      <c r="T51" s="223"/>
      <c r="U51" s="223"/>
      <c r="V51" s="224"/>
      <c r="X51" s="90"/>
      <c r="Y51" s="90"/>
      <c r="Z51" s="90"/>
      <c r="AA51" s="90"/>
      <c r="AB51" s="90"/>
      <c r="AC51" s="90"/>
      <c r="AD51" s="90"/>
      <c r="AE51" s="90"/>
    </row>
    <row r="52" spans="1:31" s="126" customFormat="1">
      <c r="A52" s="90"/>
      <c r="B52" s="138">
        <v>39</v>
      </c>
      <c r="C52" s="90" t="s">
        <v>1082</v>
      </c>
      <c r="D52" s="90">
        <v>50</v>
      </c>
      <c r="E52" s="206"/>
      <c r="F52" s="206"/>
      <c r="G52" s="102"/>
      <c r="H52" s="102"/>
      <c r="I52" s="102"/>
      <c r="J52" s="107"/>
      <c r="K52" s="107"/>
      <c r="L52" s="107"/>
      <c r="M52" s="221"/>
      <c r="N52" s="107"/>
      <c r="O52" s="220"/>
      <c r="P52" s="220"/>
      <c r="Q52" s="220"/>
      <c r="R52" s="220"/>
      <c r="S52" s="222"/>
      <c r="T52" s="223"/>
      <c r="U52" s="223"/>
      <c r="V52" s="224"/>
      <c r="X52" s="90"/>
      <c r="Y52" s="90"/>
      <c r="Z52" s="90"/>
      <c r="AA52" s="90"/>
      <c r="AB52" s="90"/>
      <c r="AC52" s="90"/>
      <c r="AD52" s="90"/>
      <c r="AE52" s="90"/>
    </row>
    <row r="53" spans="1:31" s="126" customFormat="1">
      <c r="A53" s="90"/>
      <c r="B53" s="90">
        <v>40</v>
      </c>
      <c r="C53" s="90" t="s">
        <v>1083</v>
      </c>
      <c r="D53" s="90">
        <v>36</v>
      </c>
      <c r="E53" s="206"/>
      <c r="F53" s="206"/>
      <c r="G53" s="102"/>
      <c r="H53" s="102"/>
      <c r="I53" s="102"/>
      <c r="J53" s="107"/>
      <c r="K53" s="107"/>
      <c r="L53" s="107"/>
      <c r="M53" s="221"/>
      <c r="N53" s="107"/>
      <c r="O53" s="220"/>
      <c r="P53" s="220"/>
      <c r="Q53" s="220"/>
      <c r="R53" s="220"/>
      <c r="S53" s="222"/>
      <c r="T53" s="223"/>
      <c r="U53" s="223"/>
      <c r="V53" s="224"/>
      <c r="X53" s="90"/>
      <c r="Y53" s="90"/>
      <c r="Z53" s="90"/>
      <c r="AA53" s="90"/>
      <c r="AB53" s="90"/>
      <c r="AC53" s="90"/>
      <c r="AD53" s="90"/>
      <c r="AE53" s="90"/>
    </row>
    <row r="54" spans="1:31" s="126" customFormat="1">
      <c r="A54" s="90"/>
      <c r="B54" s="90">
        <v>41</v>
      </c>
      <c r="C54" s="90" t="s">
        <v>1273</v>
      </c>
      <c r="D54" s="90">
        <v>51</v>
      </c>
      <c r="E54" s="206"/>
      <c r="F54" s="206"/>
      <c r="G54" s="102"/>
      <c r="H54" s="102"/>
      <c r="I54" s="102"/>
      <c r="J54" s="107"/>
      <c r="K54" s="107"/>
      <c r="L54" s="107"/>
      <c r="M54" s="221"/>
      <c r="N54" s="107"/>
      <c r="O54" s="220"/>
      <c r="P54" s="220"/>
      <c r="Q54" s="220"/>
      <c r="R54" s="220"/>
      <c r="S54" s="222"/>
      <c r="T54" s="223"/>
      <c r="U54" s="223"/>
      <c r="V54" s="224"/>
      <c r="X54" s="90"/>
      <c r="Y54" s="90"/>
      <c r="Z54" s="90"/>
      <c r="AA54" s="90"/>
      <c r="AB54" s="90"/>
      <c r="AC54" s="90"/>
      <c r="AD54" s="90"/>
      <c r="AE54" s="90"/>
    </row>
    <row r="55" spans="1:31" s="126" customFormat="1">
      <c r="A55" s="90"/>
      <c r="B55" s="138">
        <v>42</v>
      </c>
      <c r="C55" s="90" t="s">
        <v>112</v>
      </c>
      <c r="D55" s="90">
        <v>47</v>
      </c>
      <c r="E55" s="206"/>
      <c r="F55" s="206"/>
      <c r="G55" s="102"/>
      <c r="H55" s="102"/>
      <c r="I55" s="102"/>
      <c r="J55" s="107"/>
      <c r="K55" s="107"/>
      <c r="L55" s="107"/>
      <c r="M55" s="221"/>
      <c r="N55" s="107"/>
      <c r="O55" s="220"/>
      <c r="P55" s="220"/>
      <c r="Q55" s="220"/>
      <c r="R55" s="220"/>
      <c r="S55" s="222"/>
      <c r="T55" s="223"/>
      <c r="U55" s="223"/>
      <c r="V55" s="224"/>
      <c r="X55" s="90"/>
      <c r="Y55" s="90"/>
      <c r="Z55" s="90"/>
      <c r="AA55" s="90"/>
      <c r="AB55" s="90"/>
      <c r="AC55" s="90"/>
      <c r="AD55" s="90"/>
      <c r="AE55" s="90"/>
    </row>
    <row r="56" spans="1:31" s="126" customFormat="1">
      <c r="A56" s="90"/>
      <c r="B56" s="90">
        <v>43</v>
      </c>
      <c r="C56" s="90" t="s">
        <v>395</v>
      </c>
      <c r="D56" s="90">
        <v>48</v>
      </c>
      <c r="E56" s="206"/>
      <c r="F56" s="206"/>
      <c r="G56" s="102"/>
      <c r="H56" s="102"/>
      <c r="I56" s="102"/>
      <c r="J56" s="107"/>
      <c r="K56" s="107"/>
      <c r="L56" s="107"/>
      <c r="M56" s="221"/>
      <c r="N56" s="107"/>
      <c r="O56" s="220"/>
      <c r="P56" s="220"/>
      <c r="Q56" s="220"/>
      <c r="R56" s="220"/>
      <c r="S56" s="222"/>
      <c r="T56" s="223"/>
      <c r="U56" s="223"/>
      <c r="V56" s="224"/>
      <c r="X56" s="90"/>
      <c r="Y56" s="90"/>
      <c r="Z56" s="90"/>
      <c r="AA56" s="90"/>
      <c r="AB56" s="90"/>
      <c r="AC56" s="90"/>
      <c r="AD56" s="90"/>
      <c r="AE56" s="90"/>
    </row>
    <row r="57" spans="1:31" s="126" customFormat="1">
      <c r="A57" s="90"/>
      <c r="B57" s="90">
        <v>44</v>
      </c>
      <c r="C57" s="90" t="s">
        <v>1274</v>
      </c>
      <c r="D57" s="90">
        <v>35</v>
      </c>
      <c r="E57" s="206"/>
      <c r="F57" s="206"/>
      <c r="G57" s="102"/>
      <c r="H57" s="102"/>
      <c r="I57" s="102"/>
      <c r="J57" s="107"/>
      <c r="K57" s="107"/>
      <c r="L57" s="107"/>
      <c r="M57" s="221"/>
      <c r="N57" s="107"/>
      <c r="O57" s="220"/>
      <c r="P57" s="220"/>
      <c r="Q57" s="220"/>
      <c r="R57" s="220"/>
      <c r="S57" s="222"/>
      <c r="T57" s="223"/>
      <c r="U57" s="223"/>
      <c r="V57" s="224"/>
      <c r="X57" s="90"/>
      <c r="Y57" s="90"/>
      <c r="Z57" s="90"/>
      <c r="AA57" s="90"/>
      <c r="AB57" s="90"/>
      <c r="AC57" s="90"/>
      <c r="AD57" s="90"/>
      <c r="AE57" s="90"/>
    </row>
    <row r="58" spans="1:31" s="126" customFormat="1">
      <c r="A58" s="90"/>
      <c r="B58" s="90">
        <v>45</v>
      </c>
      <c r="C58" s="90" t="s">
        <v>217</v>
      </c>
      <c r="D58" s="90">
        <v>66</v>
      </c>
      <c r="E58" s="206"/>
      <c r="F58" s="206"/>
      <c r="G58" s="102"/>
      <c r="H58" s="102"/>
      <c r="I58" s="102"/>
      <c r="J58" s="107"/>
      <c r="K58" s="107"/>
      <c r="L58" s="107"/>
      <c r="M58" s="221"/>
      <c r="N58" s="107"/>
      <c r="O58" s="220"/>
      <c r="P58" s="220"/>
      <c r="Q58" s="220"/>
      <c r="R58" s="220"/>
      <c r="S58" s="222"/>
      <c r="T58" s="223"/>
      <c r="U58" s="223"/>
      <c r="V58" s="224"/>
      <c r="X58" s="90"/>
      <c r="Y58" s="90"/>
      <c r="Z58" s="90"/>
      <c r="AA58" s="90"/>
      <c r="AB58" s="90"/>
      <c r="AC58" s="90"/>
      <c r="AD58" s="90"/>
      <c r="AE58" s="90"/>
    </row>
    <row r="59" spans="1:31" s="126" customFormat="1">
      <c r="A59" s="90"/>
      <c r="B59" s="138">
        <v>46</v>
      </c>
      <c r="C59" s="90" t="s">
        <v>1275</v>
      </c>
      <c r="D59" s="90">
        <v>34</v>
      </c>
      <c r="E59" s="206"/>
      <c r="F59" s="206"/>
      <c r="G59" s="102"/>
      <c r="H59" s="102"/>
      <c r="I59" s="102"/>
      <c r="J59" s="107"/>
      <c r="K59" s="107"/>
      <c r="L59" s="107"/>
      <c r="M59" s="221"/>
      <c r="N59" s="107"/>
      <c r="O59" s="220"/>
      <c r="P59" s="220"/>
      <c r="Q59" s="220"/>
      <c r="R59" s="220"/>
      <c r="S59" s="222"/>
      <c r="T59" s="223"/>
      <c r="U59" s="223"/>
      <c r="V59" s="224"/>
      <c r="X59" s="90"/>
      <c r="Y59" s="90"/>
      <c r="Z59" s="90"/>
      <c r="AA59" s="90"/>
      <c r="AB59" s="90"/>
      <c r="AC59" s="90"/>
      <c r="AD59" s="90"/>
      <c r="AE59" s="90"/>
    </row>
    <row r="60" spans="1:31" s="126" customFormat="1">
      <c r="A60" s="90"/>
      <c r="B60" s="90">
        <v>47</v>
      </c>
      <c r="C60" s="90" t="s">
        <v>1276</v>
      </c>
      <c r="D60" s="90">
        <v>49</v>
      </c>
      <c r="E60" s="206"/>
      <c r="F60" s="206"/>
      <c r="G60" s="102"/>
      <c r="H60" s="102"/>
      <c r="I60" s="102"/>
      <c r="J60" s="107"/>
      <c r="K60" s="107"/>
      <c r="L60" s="107"/>
      <c r="M60" s="221"/>
      <c r="N60" s="107"/>
      <c r="O60" s="220"/>
      <c r="P60" s="220"/>
      <c r="Q60" s="220"/>
      <c r="R60" s="220"/>
      <c r="S60" s="222"/>
      <c r="T60" s="223"/>
      <c r="U60" s="223"/>
      <c r="V60" s="224"/>
      <c r="X60" s="90"/>
      <c r="Y60" s="90"/>
      <c r="Z60" s="90"/>
      <c r="AA60" s="90"/>
      <c r="AB60" s="90"/>
      <c r="AC60" s="90"/>
      <c r="AD60" s="90"/>
      <c r="AE60" s="90"/>
    </row>
    <row r="61" spans="1:31" s="126" customFormat="1">
      <c r="A61" s="90"/>
      <c r="B61" s="90">
        <v>48</v>
      </c>
      <c r="C61" s="90" t="s">
        <v>1277</v>
      </c>
      <c r="D61" s="90">
        <v>42</v>
      </c>
      <c r="E61" s="206"/>
      <c r="F61" s="206"/>
      <c r="G61" s="102"/>
      <c r="H61" s="102"/>
      <c r="I61" s="102"/>
      <c r="J61" s="107"/>
      <c r="K61" s="107"/>
      <c r="L61" s="107"/>
      <c r="M61" s="221"/>
      <c r="N61" s="107"/>
      <c r="O61" s="220"/>
      <c r="P61" s="220"/>
      <c r="Q61" s="220"/>
      <c r="R61" s="220"/>
      <c r="S61" s="222"/>
      <c r="T61" s="223"/>
      <c r="U61" s="223"/>
      <c r="V61" s="224"/>
      <c r="X61" s="90"/>
      <c r="Y61" s="90"/>
      <c r="Z61" s="90"/>
      <c r="AA61" s="90"/>
      <c r="AB61" s="90"/>
      <c r="AC61" s="90"/>
      <c r="AD61" s="90"/>
      <c r="AE61" s="90"/>
    </row>
    <row r="62" spans="1:31" s="126" customFormat="1">
      <c r="A62" s="90"/>
      <c r="B62" s="90">
        <v>49</v>
      </c>
      <c r="C62" s="90" t="s">
        <v>1278</v>
      </c>
      <c r="D62" s="90">
        <v>37</v>
      </c>
      <c r="E62" s="206"/>
      <c r="F62" s="206"/>
      <c r="G62" s="102"/>
      <c r="H62" s="102"/>
      <c r="I62" s="102"/>
      <c r="J62" s="107"/>
      <c r="K62" s="107"/>
      <c r="L62" s="107"/>
      <c r="M62" s="221"/>
      <c r="N62" s="107"/>
      <c r="O62" s="220"/>
      <c r="P62" s="220"/>
      <c r="Q62" s="220"/>
      <c r="R62" s="220"/>
      <c r="S62" s="222"/>
      <c r="T62" s="223"/>
      <c r="U62" s="223"/>
      <c r="V62" s="224"/>
      <c r="X62" s="90"/>
      <c r="Y62" s="90"/>
      <c r="Z62" s="90"/>
      <c r="AA62" s="90"/>
      <c r="AB62" s="90"/>
      <c r="AC62" s="90"/>
      <c r="AD62" s="90"/>
      <c r="AE62" s="90"/>
    </row>
    <row r="63" spans="1:31" s="126" customFormat="1">
      <c r="A63" s="90"/>
      <c r="B63" s="138">
        <v>50</v>
      </c>
      <c r="C63" s="90" t="s">
        <v>1279</v>
      </c>
      <c r="D63" s="90">
        <v>62</v>
      </c>
      <c r="E63" s="206"/>
      <c r="F63" s="206"/>
      <c r="G63" s="102"/>
      <c r="H63" s="102"/>
      <c r="I63" s="102"/>
      <c r="J63" s="107"/>
      <c r="K63" s="107"/>
      <c r="L63" s="107"/>
      <c r="M63" s="221"/>
      <c r="N63" s="107"/>
      <c r="O63" s="220"/>
      <c r="P63" s="220"/>
      <c r="Q63" s="220"/>
      <c r="R63" s="220"/>
      <c r="S63" s="222"/>
      <c r="T63" s="223"/>
      <c r="U63" s="223"/>
      <c r="V63" s="224"/>
      <c r="X63" s="90"/>
      <c r="Y63" s="90"/>
      <c r="Z63" s="90"/>
      <c r="AA63" s="90"/>
      <c r="AB63" s="90"/>
      <c r="AC63" s="90"/>
      <c r="AD63" s="90"/>
      <c r="AE63" s="90"/>
    </row>
    <row r="64" spans="1:31" s="126" customFormat="1">
      <c r="A64" s="90"/>
      <c r="B64" s="90">
        <v>51</v>
      </c>
      <c r="C64" s="90" t="s">
        <v>397</v>
      </c>
      <c r="D64" s="90">
        <v>46</v>
      </c>
      <c r="E64" s="206"/>
      <c r="F64" s="206"/>
      <c r="G64" s="102"/>
      <c r="H64" s="102"/>
      <c r="I64" s="102"/>
      <c r="J64" s="107"/>
      <c r="K64" s="107"/>
      <c r="L64" s="107"/>
      <c r="M64" s="221"/>
      <c r="N64" s="107"/>
      <c r="O64" s="220"/>
      <c r="P64" s="220"/>
      <c r="Q64" s="220"/>
      <c r="R64" s="220"/>
      <c r="S64" s="222"/>
      <c r="T64" s="223"/>
      <c r="U64" s="223"/>
      <c r="V64" s="224"/>
      <c r="X64" s="90"/>
      <c r="Y64" s="90"/>
      <c r="Z64" s="90"/>
      <c r="AA64" s="90"/>
      <c r="AB64" s="90"/>
      <c r="AC64" s="90"/>
      <c r="AD64" s="90"/>
      <c r="AE64" s="90"/>
    </row>
    <row r="65" spans="1:31" s="126" customFormat="1">
      <c r="A65" s="90"/>
      <c r="B65" s="90">
        <v>52</v>
      </c>
      <c r="C65" s="90" t="s">
        <v>1280</v>
      </c>
      <c r="D65" s="90">
        <v>41</v>
      </c>
      <c r="E65" s="206"/>
      <c r="F65" s="206"/>
      <c r="G65" s="102"/>
      <c r="H65" s="102"/>
      <c r="I65" s="102"/>
      <c r="J65" s="107"/>
      <c r="K65" s="107"/>
      <c r="L65" s="107"/>
      <c r="M65" s="221"/>
      <c r="N65" s="107"/>
      <c r="O65" s="220"/>
      <c r="P65" s="220"/>
      <c r="Q65" s="220"/>
      <c r="R65" s="220"/>
      <c r="S65" s="222"/>
      <c r="T65" s="223"/>
      <c r="U65" s="223"/>
      <c r="V65" s="224"/>
      <c r="X65" s="90"/>
      <c r="Y65" s="90"/>
      <c r="Z65" s="90"/>
      <c r="AA65" s="90"/>
      <c r="AB65" s="90"/>
      <c r="AC65" s="90"/>
      <c r="AD65" s="90"/>
      <c r="AE65" s="90"/>
    </row>
    <row r="66" spans="1:31" s="126" customFormat="1">
      <c r="A66" s="90"/>
      <c r="B66" s="90">
        <v>53</v>
      </c>
      <c r="C66" s="90" t="s">
        <v>1281</v>
      </c>
      <c r="D66" s="90">
        <v>61</v>
      </c>
      <c r="E66" s="206"/>
      <c r="F66" s="206"/>
      <c r="G66" s="102"/>
      <c r="H66" s="102"/>
      <c r="I66" s="102"/>
      <c r="J66" s="107"/>
      <c r="K66" s="107"/>
      <c r="L66" s="107"/>
      <c r="M66" s="221"/>
      <c r="N66" s="107"/>
      <c r="O66" s="220"/>
      <c r="P66" s="220"/>
      <c r="Q66" s="220"/>
      <c r="R66" s="220"/>
      <c r="S66" s="222"/>
      <c r="T66" s="223"/>
      <c r="U66" s="223"/>
      <c r="V66" s="224"/>
      <c r="X66" s="90"/>
      <c r="Y66" s="90"/>
      <c r="Z66" s="90"/>
      <c r="AA66" s="90"/>
      <c r="AB66" s="90"/>
      <c r="AC66" s="90"/>
      <c r="AD66" s="90"/>
      <c r="AE66" s="90"/>
    </row>
    <row r="67" spans="1:31" s="126" customFormat="1">
      <c r="A67" s="90"/>
      <c r="B67" s="90">
        <v>54</v>
      </c>
      <c r="C67" s="90" t="s">
        <v>1282</v>
      </c>
      <c r="D67" s="90">
        <v>44</v>
      </c>
      <c r="E67" s="206"/>
      <c r="F67" s="206"/>
      <c r="G67" s="102"/>
      <c r="H67" s="102"/>
      <c r="I67" s="102"/>
      <c r="J67" s="107"/>
      <c r="K67" s="107"/>
      <c r="L67" s="107"/>
      <c r="M67" s="221"/>
      <c r="N67" s="107"/>
      <c r="O67" s="220"/>
      <c r="P67" s="220"/>
      <c r="Q67" s="220"/>
      <c r="R67" s="220"/>
      <c r="S67" s="222"/>
      <c r="T67" s="223"/>
      <c r="U67" s="223"/>
      <c r="V67" s="224"/>
      <c r="X67" s="90"/>
      <c r="Y67" s="90"/>
      <c r="Z67" s="90"/>
      <c r="AA67" s="90"/>
      <c r="AB67" s="90"/>
      <c r="AC67" s="90"/>
      <c r="AD67" s="90"/>
      <c r="AE67" s="90"/>
    </row>
    <row r="68" spans="1:31" s="126" customFormat="1">
      <c r="A68" s="90"/>
      <c r="B68" s="90">
        <v>55</v>
      </c>
      <c r="C68" s="90" t="s">
        <v>1283</v>
      </c>
      <c r="D68" s="90">
        <v>55</v>
      </c>
      <c r="E68" s="206"/>
      <c r="F68" s="206"/>
      <c r="G68" s="102"/>
      <c r="H68" s="102"/>
      <c r="I68" s="102"/>
      <c r="J68" s="107"/>
      <c r="K68" s="107"/>
      <c r="L68" s="107"/>
      <c r="M68" s="221"/>
      <c r="N68" s="107"/>
      <c r="O68" s="220"/>
      <c r="P68" s="220"/>
      <c r="Q68" s="220"/>
      <c r="R68" s="220"/>
      <c r="S68" s="222"/>
      <c r="T68" s="223"/>
      <c r="U68" s="223"/>
      <c r="V68" s="224"/>
      <c r="X68" s="90"/>
      <c r="Y68" s="90"/>
      <c r="Z68" s="90"/>
      <c r="AA68" s="90"/>
      <c r="AB68" s="90"/>
      <c r="AC68" s="90"/>
      <c r="AD68" s="90"/>
      <c r="AE68" s="90"/>
    </row>
    <row r="69" spans="1:31" s="126" customFormat="1">
      <c r="A69" s="90"/>
      <c r="B69" s="90">
        <v>56</v>
      </c>
      <c r="C69" s="90" t="s">
        <v>1284</v>
      </c>
      <c r="D69" s="90">
        <v>58</v>
      </c>
      <c r="E69" s="206"/>
      <c r="F69" s="206"/>
      <c r="G69" s="102"/>
      <c r="H69" s="102"/>
      <c r="I69" s="102"/>
      <c r="J69" s="107"/>
      <c r="K69" s="107"/>
      <c r="L69" s="107"/>
      <c r="M69" s="221"/>
      <c r="N69" s="107"/>
      <c r="O69" s="220"/>
      <c r="P69" s="220"/>
      <c r="Q69" s="220"/>
      <c r="R69" s="220"/>
      <c r="S69" s="222"/>
      <c r="T69" s="223"/>
      <c r="U69" s="223"/>
      <c r="V69" s="224"/>
      <c r="X69" s="90"/>
      <c r="Y69" s="90"/>
      <c r="Z69" s="90"/>
      <c r="AA69" s="90"/>
      <c r="AB69" s="90"/>
      <c r="AC69" s="90"/>
      <c r="AD69" s="90"/>
      <c r="AE69" s="90"/>
    </row>
    <row r="70" spans="1:31" s="126" customFormat="1">
      <c r="A70" s="90"/>
      <c r="B70" s="90">
        <v>57</v>
      </c>
      <c r="C70" s="90" t="s">
        <v>1285</v>
      </c>
      <c r="D70" s="90">
        <v>54</v>
      </c>
      <c r="E70" s="206"/>
      <c r="F70" s="206"/>
      <c r="G70" s="102"/>
      <c r="H70" s="102"/>
      <c r="I70" s="102"/>
      <c r="J70" s="107"/>
      <c r="K70" s="107"/>
      <c r="L70" s="107"/>
      <c r="M70" s="221"/>
      <c r="N70" s="107"/>
      <c r="O70" s="220"/>
      <c r="P70" s="220"/>
      <c r="Q70" s="220"/>
      <c r="R70" s="220"/>
      <c r="S70" s="222"/>
      <c r="T70" s="223"/>
      <c r="U70" s="223"/>
      <c r="V70" s="224"/>
      <c r="X70" s="90"/>
      <c r="Y70" s="90"/>
      <c r="Z70" s="90"/>
      <c r="AA70" s="90"/>
      <c r="AB70" s="90"/>
      <c r="AC70" s="90"/>
      <c r="AD70" s="90"/>
      <c r="AE70" s="90"/>
    </row>
    <row r="71" spans="1:31" s="126" customFormat="1">
      <c r="A71" s="90"/>
      <c r="B71" s="90">
        <v>58</v>
      </c>
      <c r="C71" s="90" t="s">
        <v>1286</v>
      </c>
      <c r="D71" s="90">
        <v>52</v>
      </c>
      <c r="E71" s="206"/>
      <c r="F71" s="206"/>
      <c r="G71" s="102"/>
      <c r="H71" s="102"/>
      <c r="I71" s="102"/>
      <c r="J71" s="107"/>
      <c r="K71" s="107"/>
      <c r="L71" s="107"/>
      <c r="M71" s="221"/>
      <c r="N71" s="107"/>
      <c r="O71" s="220"/>
      <c r="P71" s="220"/>
      <c r="Q71" s="220"/>
      <c r="R71" s="220"/>
      <c r="S71" s="222"/>
      <c r="T71" s="223"/>
      <c r="U71" s="223"/>
      <c r="V71" s="224"/>
      <c r="X71" s="90"/>
      <c r="Y71" s="90"/>
      <c r="Z71" s="90"/>
      <c r="AA71" s="90"/>
      <c r="AB71" s="90"/>
      <c r="AC71" s="90"/>
      <c r="AD71" s="90"/>
      <c r="AE71" s="90"/>
    </row>
    <row r="72" spans="1:31" s="126" customFormat="1">
      <c r="A72" s="90"/>
      <c r="B72" s="90">
        <v>59</v>
      </c>
      <c r="C72" s="90" t="s">
        <v>1287</v>
      </c>
      <c r="D72" s="90">
        <v>57</v>
      </c>
      <c r="E72" s="206"/>
      <c r="F72" s="206"/>
      <c r="G72" s="102"/>
      <c r="H72" s="102"/>
      <c r="I72" s="102"/>
      <c r="J72" s="107"/>
      <c r="K72" s="107"/>
      <c r="L72" s="107"/>
      <c r="M72" s="221"/>
      <c r="N72" s="107"/>
      <c r="O72" s="220"/>
      <c r="P72" s="220"/>
      <c r="Q72" s="220"/>
      <c r="R72" s="220"/>
      <c r="S72" s="222"/>
      <c r="T72" s="223"/>
      <c r="U72" s="223"/>
      <c r="V72" s="224"/>
      <c r="X72" s="90"/>
      <c r="Y72" s="90"/>
      <c r="Z72" s="90"/>
      <c r="AA72" s="90"/>
      <c r="AB72" s="90"/>
      <c r="AC72" s="90"/>
      <c r="AD72" s="90"/>
      <c r="AE72" s="90"/>
    </row>
    <row r="73" spans="1:31">
      <c r="B73" s="90">
        <v>60</v>
      </c>
      <c r="C73" s="90" t="s">
        <v>1288</v>
      </c>
      <c r="D73" s="90">
        <v>73</v>
      </c>
    </row>
    <row r="74" spans="1:31">
      <c r="B74" s="90">
        <v>61</v>
      </c>
      <c r="C74" s="90" t="s">
        <v>1289</v>
      </c>
      <c r="D74" s="90">
        <v>60</v>
      </c>
    </row>
    <row r="75" spans="1:31">
      <c r="B75" s="90">
        <v>62</v>
      </c>
      <c r="C75" s="90" t="s">
        <v>1290</v>
      </c>
      <c r="D75" s="90">
        <v>95</v>
      </c>
    </row>
    <row r="76" spans="1:31">
      <c r="B76" s="90">
        <v>63</v>
      </c>
      <c r="C76" s="90" t="s">
        <v>1291</v>
      </c>
      <c r="D76" s="90">
        <v>56</v>
      </c>
    </row>
    <row r="77" spans="1:31">
      <c r="B77" s="90">
        <v>64</v>
      </c>
      <c r="C77" s="90" t="s">
        <v>1292</v>
      </c>
      <c r="D77" s="90">
        <v>53</v>
      </c>
    </row>
    <row r="78" spans="1:31">
      <c r="B78" s="90">
        <v>65</v>
      </c>
      <c r="C78" s="90" t="s">
        <v>1293</v>
      </c>
      <c r="D78" s="90">
        <v>64</v>
      </c>
    </row>
    <row r="79" spans="1:31">
      <c r="B79" s="90">
        <v>66</v>
      </c>
      <c r="C79" s="90" t="s">
        <v>204</v>
      </c>
      <c r="D79" s="90">
        <v>67</v>
      </c>
    </row>
    <row r="80" spans="1:31">
      <c r="B80" s="90">
        <v>67</v>
      </c>
      <c r="C80" s="90" t="s">
        <v>1294</v>
      </c>
      <c r="D80" s="90">
        <v>59</v>
      </c>
    </row>
    <row r="81" spans="2:11">
      <c r="B81" s="90">
        <v>68</v>
      </c>
      <c r="C81" s="90" t="s">
        <v>1295</v>
      </c>
      <c r="D81" s="90">
        <v>88</v>
      </c>
    </row>
    <row r="82" spans="2:11">
      <c r="B82" s="90">
        <v>69</v>
      </c>
      <c r="C82" s="90" t="s">
        <v>1296</v>
      </c>
      <c r="D82" s="90">
        <v>63</v>
      </c>
    </row>
    <row r="83" spans="2:11">
      <c r="B83" s="90">
        <v>70</v>
      </c>
      <c r="C83" s="90" t="s">
        <v>1297</v>
      </c>
      <c r="D83" s="90">
        <v>65</v>
      </c>
    </row>
    <row r="84" spans="2:11">
      <c r="B84" s="90">
        <v>71</v>
      </c>
      <c r="C84" s="90" t="s">
        <v>1298</v>
      </c>
      <c r="D84" s="90">
        <v>75</v>
      </c>
    </row>
    <row r="85" spans="2:11">
      <c r="B85" s="90">
        <v>72</v>
      </c>
      <c r="C85" s="90" t="s">
        <v>1299</v>
      </c>
      <c r="D85" s="90">
        <v>69</v>
      </c>
    </row>
    <row r="86" spans="2:11">
      <c r="B86" s="90">
        <v>73</v>
      </c>
      <c r="C86" s="90" t="s">
        <v>1300</v>
      </c>
      <c r="D86" s="90">
        <v>68</v>
      </c>
    </row>
    <row r="87" spans="2:11">
      <c r="B87" s="90">
        <v>74</v>
      </c>
      <c r="C87" s="90" t="s">
        <v>1301</v>
      </c>
      <c r="D87" s="90">
        <v>70</v>
      </c>
    </row>
    <row r="88" spans="2:11">
      <c r="B88" s="90">
        <v>75</v>
      </c>
      <c r="C88" s="90" t="s">
        <v>1302</v>
      </c>
      <c r="D88" s="90">
        <v>74</v>
      </c>
    </row>
    <row r="89" spans="2:11">
      <c r="B89" s="90">
        <v>76</v>
      </c>
      <c r="C89" s="90" t="s">
        <v>1303</v>
      </c>
      <c r="D89" s="90">
        <v>72</v>
      </c>
    </row>
    <row r="90" spans="2:11">
      <c r="B90" s="90">
        <v>77</v>
      </c>
      <c r="C90" s="90" t="s">
        <v>1304</v>
      </c>
      <c r="D90" s="90">
        <v>92</v>
      </c>
    </row>
    <row r="91" spans="2:11">
      <c r="B91" s="90">
        <v>78</v>
      </c>
      <c r="C91" s="90" t="s">
        <v>1305</v>
      </c>
      <c r="D91" s="90">
        <v>89</v>
      </c>
    </row>
    <row r="92" spans="2:11">
      <c r="B92" s="90">
        <v>79</v>
      </c>
      <c r="C92" s="90" t="s">
        <v>1306</v>
      </c>
      <c r="D92" s="90">
        <v>71</v>
      </c>
    </row>
    <row r="93" spans="2:11">
      <c r="B93" s="90">
        <v>80</v>
      </c>
      <c r="C93" s="90" t="s">
        <v>1307</v>
      </c>
      <c r="D93" s="90">
        <v>86</v>
      </c>
    </row>
    <row r="95" spans="2:11" ht="16.5">
      <c r="B95" s="7" t="s">
        <v>1270</v>
      </c>
      <c r="C95" s="6"/>
      <c r="D95" s="6"/>
      <c r="E95" s="6"/>
      <c r="F95" s="6"/>
      <c r="G95" s="6"/>
      <c r="H95" s="6"/>
      <c r="I95" s="6"/>
      <c r="J95" s="6"/>
      <c r="K95" s="6"/>
    </row>
    <row r="96" spans="2:11" ht="15">
      <c r="B96" s="262"/>
      <c r="C96" s="262"/>
      <c r="D96" s="262"/>
      <c r="E96" s="262"/>
      <c r="F96" s="262"/>
      <c r="G96" s="262"/>
      <c r="H96" s="262"/>
      <c r="I96" s="262"/>
      <c r="J96" s="262"/>
      <c r="K96" s="262"/>
    </row>
    <row r="97" spans="2:11" ht="15">
      <c r="B97" s="262" t="s">
        <v>1271</v>
      </c>
      <c r="C97" s="262"/>
      <c r="D97" s="262"/>
      <c r="E97" s="262"/>
      <c r="F97" s="262"/>
      <c r="G97" s="262"/>
      <c r="H97" s="262"/>
      <c r="I97" s="262"/>
      <c r="J97" s="262"/>
      <c r="K97" s="262"/>
    </row>
    <row r="98" spans="2:11" ht="15">
      <c r="B98" s="262" t="s">
        <v>20</v>
      </c>
      <c r="C98" s="348" t="s">
        <v>1272</v>
      </c>
      <c r="D98" s="262"/>
      <c r="E98" s="262"/>
      <c r="F98" s="262"/>
      <c r="G98" s="262"/>
      <c r="H98" s="262"/>
      <c r="I98" s="262"/>
      <c r="J98" s="262"/>
      <c r="K98" s="262"/>
    </row>
    <row r="99" spans="2:11" ht="15">
      <c r="B99" s="262"/>
      <c r="C99" s="262"/>
      <c r="D99" s="262"/>
      <c r="E99" s="262"/>
      <c r="F99" s="262"/>
      <c r="G99" s="262"/>
      <c r="H99" s="262"/>
      <c r="I99" s="262"/>
      <c r="J99" s="262"/>
      <c r="K99" s="262"/>
    </row>
    <row r="100" spans="2:11" ht="15">
      <c r="B100" s="262"/>
      <c r="C100" s="262"/>
      <c r="D100" s="262"/>
      <c r="E100" s="262"/>
      <c r="F100" s="262"/>
      <c r="G100" s="262"/>
      <c r="H100" s="262"/>
      <c r="I100" s="262"/>
      <c r="J100" s="262"/>
      <c r="K100" s="262"/>
    </row>
    <row r="101" spans="2:11" ht="15">
      <c r="B101" s="262"/>
      <c r="C101" s="1" t="s">
        <v>329</v>
      </c>
      <c r="D101" s="1" t="s">
        <v>1253</v>
      </c>
      <c r="E101" s="1" t="s">
        <v>1254</v>
      </c>
      <c r="F101" s="1" t="s">
        <v>1255</v>
      </c>
      <c r="G101" s="1" t="s">
        <v>1259</v>
      </c>
      <c r="H101" s="1" t="s">
        <v>1260</v>
      </c>
      <c r="I101" s="262"/>
      <c r="J101" s="262"/>
      <c r="K101" s="262"/>
    </row>
    <row r="102" spans="2:11" ht="15">
      <c r="B102" s="262"/>
      <c r="C102" s="262">
        <v>2012</v>
      </c>
      <c r="D102" s="262" t="s">
        <v>1256</v>
      </c>
      <c r="E102" s="262" t="s">
        <v>1257</v>
      </c>
      <c r="F102" s="262" t="s">
        <v>1258</v>
      </c>
      <c r="G102" s="262" t="s">
        <v>1261</v>
      </c>
      <c r="H102" s="262" t="s">
        <v>399</v>
      </c>
      <c r="I102" s="262"/>
      <c r="J102" s="262"/>
      <c r="K102" s="262"/>
    </row>
    <row r="103" spans="2:11" ht="15">
      <c r="B103" s="262"/>
      <c r="C103" s="262">
        <v>2011</v>
      </c>
      <c r="D103" s="262" t="s">
        <v>729</v>
      </c>
      <c r="E103" s="262" t="s">
        <v>115</v>
      </c>
      <c r="F103" s="262" t="s">
        <v>1262</v>
      </c>
      <c r="G103" s="262"/>
      <c r="H103" s="262"/>
      <c r="I103" s="262"/>
      <c r="J103" s="262"/>
      <c r="K103" s="262"/>
    </row>
    <row r="104" spans="2:11" ht="15">
      <c r="B104" s="262"/>
      <c r="C104" s="262">
        <v>2010</v>
      </c>
      <c r="D104" s="262" t="s">
        <v>729</v>
      </c>
      <c r="E104" s="262" t="s">
        <v>1262</v>
      </c>
      <c r="F104" s="262" t="s">
        <v>399</v>
      </c>
      <c r="G104" s="262"/>
      <c r="H104" s="262"/>
      <c r="I104" s="262"/>
      <c r="J104" s="262"/>
      <c r="K104" s="262"/>
    </row>
    <row r="105" spans="2:11" ht="15">
      <c r="B105" s="262"/>
      <c r="C105" s="262">
        <v>2009</v>
      </c>
      <c r="D105" s="262" t="s">
        <v>1261</v>
      </c>
      <c r="E105" s="262" t="s">
        <v>399</v>
      </c>
      <c r="F105" s="262" t="s">
        <v>1262</v>
      </c>
      <c r="G105" s="262"/>
      <c r="H105" s="262"/>
      <c r="I105" s="262"/>
      <c r="J105" s="262"/>
      <c r="K105" s="262"/>
    </row>
    <row r="106" spans="2:11" ht="15">
      <c r="B106" s="262"/>
      <c r="C106" s="262">
        <v>2008</v>
      </c>
      <c r="D106" s="262" t="s">
        <v>399</v>
      </c>
      <c r="E106" s="262" t="s">
        <v>113</v>
      </c>
      <c r="F106" s="262" t="s">
        <v>1262</v>
      </c>
      <c r="G106" s="262"/>
      <c r="H106" s="262"/>
      <c r="I106" s="262"/>
      <c r="J106" s="262"/>
      <c r="K106" s="262"/>
    </row>
    <row r="107" spans="2:11" ht="15">
      <c r="B107" s="262"/>
      <c r="C107" s="262">
        <v>2007</v>
      </c>
      <c r="D107" s="262" t="s">
        <v>1263</v>
      </c>
      <c r="E107" s="262" t="s">
        <v>399</v>
      </c>
      <c r="F107" s="262" t="s">
        <v>1264</v>
      </c>
      <c r="G107" s="262"/>
      <c r="H107" s="262"/>
      <c r="I107" s="262"/>
      <c r="J107" s="262"/>
      <c r="K107" s="262"/>
    </row>
    <row r="108" spans="2:11" ht="15">
      <c r="B108" s="262"/>
      <c r="C108" s="262">
        <v>2006</v>
      </c>
      <c r="D108" s="262" t="s">
        <v>399</v>
      </c>
      <c r="E108" s="262" t="s">
        <v>391</v>
      </c>
      <c r="F108" s="262" t="s">
        <v>1265</v>
      </c>
      <c r="G108" s="262"/>
      <c r="H108" s="262"/>
      <c r="I108" s="262"/>
      <c r="J108" s="262"/>
      <c r="K108" s="262"/>
    </row>
    <row r="109" spans="2:11" ht="15">
      <c r="B109" s="262"/>
      <c r="C109" s="262"/>
      <c r="D109" s="262"/>
      <c r="E109" s="262"/>
      <c r="F109" s="262"/>
      <c r="G109" s="262"/>
      <c r="H109" s="262"/>
      <c r="I109" s="262"/>
      <c r="J109" s="262"/>
      <c r="K109" s="262"/>
    </row>
    <row r="110" spans="2:11" ht="15">
      <c r="B110" s="262"/>
      <c r="C110" s="262"/>
      <c r="D110" s="262"/>
      <c r="E110" s="262"/>
      <c r="F110" s="262"/>
      <c r="G110" s="262"/>
      <c r="H110" s="262"/>
      <c r="I110" s="262"/>
      <c r="J110" s="262"/>
      <c r="K110" s="262"/>
    </row>
    <row r="111" spans="2:11" ht="15">
      <c r="B111" s="262"/>
      <c r="C111" s="1" t="s">
        <v>1266</v>
      </c>
      <c r="D111" s="1" t="s">
        <v>1253</v>
      </c>
      <c r="E111" s="1" t="s">
        <v>1254</v>
      </c>
      <c r="F111" s="1" t="s">
        <v>1255</v>
      </c>
      <c r="G111" s="262"/>
      <c r="H111" s="262"/>
      <c r="I111" s="262"/>
      <c r="J111" s="262"/>
      <c r="K111" s="262"/>
    </row>
    <row r="112" spans="2:11" ht="15">
      <c r="B112" s="262"/>
      <c r="C112" s="262">
        <v>2012</v>
      </c>
      <c r="D112" s="262" t="s">
        <v>1267</v>
      </c>
      <c r="E112" s="262" t="s">
        <v>1269</v>
      </c>
      <c r="F112" s="262" t="s">
        <v>390</v>
      </c>
      <c r="G112" s="262"/>
      <c r="H112" s="262"/>
      <c r="I112" s="262"/>
      <c r="J112" s="262"/>
      <c r="K112" s="262"/>
    </row>
    <row r="113" spans="2:11" ht="15">
      <c r="B113" s="262"/>
      <c r="C113" s="262">
        <v>2011</v>
      </c>
      <c r="D113" s="262" t="s">
        <v>1267</v>
      </c>
      <c r="E113" s="262" t="s">
        <v>396</v>
      </c>
      <c r="F113" s="262" t="s">
        <v>1268</v>
      </c>
      <c r="G113" s="262"/>
      <c r="H113" s="262"/>
      <c r="I113" s="262"/>
      <c r="J113" s="262"/>
      <c r="K113" s="262"/>
    </row>
    <row r="114" spans="2:11" ht="15">
      <c r="B114" s="262"/>
      <c r="C114" s="262">
        <v>2010</v>
      </c>
      <c r="D114" s="262" t="s">
        <v>1267</v>
      </c>
      <c r="E114" s="262" t="s">
        <v>396</v>
      </c>
      <c r="F114" s="262" t="s">
        <v>394</v>
      </c>
      <c r="G114" s="262"/>
      <c r="H114" s="262"/>
      <c r="I114" s="262"/>
      <c r="J114" s="262"/>
      <c r="K114" s="262"/>
    </row>
    <row r="115" spans="2:11" ht="15">
      <c r="B115" s="262"/>
      <c r="C115" s="262">
        <v>2009</v>
      </c>
      <c r="D115" s="262" t="s">
        <v>1267</v>
      </c>
      <c r="E115" s="262" t="s">
        <v>396</v>
      </c>
      <c r="F115" s="262" t="s">
        <v>394</v>
      </c>
      <c r="G115" s="262"/>
      <c r="H115" s="262"/>
      <c r="I115" s="262"/>
      <c r="J115" s="262"/>
      <c r="K115" s="262"/>
    </row>
    <row r="116" spans="2:11" ht="15">
      <c r="B116" s="262"/>
      <c r="C116" s="262">
        <v>2008</v>
      </c>
      <c r="D116" s="262" t="s">
        <v>1267</v>
      </c>
      <c r="E116" s="262" t="s">
        <v>396</v>
      </c>
      <c r="F116" s="262" t="s">
        <v>394</v>
      </c>
      <c r="G116" s="262"/>
      <c r="H116" s="262"/>
      <c r="I116" s="262"/>
      <c r="J116" s="262"/>
      <c r="K116" s="262"/>
    </row>
    <row r="117" spans="2:11" ht="15">
      <c r="B117" s="262"/>
      <c r="C117" s="262">
        <v>2007</v>
      </c>
      <c r="D117" s="262" t="s">
        <v>1267</v>
      </c>
      <c r="E117" s="262" t="s">
        <v>1060</v>
      </c>
      <c r="F117" s="262" t="s">
        <v>396</v>
      </c>
      <c r="G117" s="262"/>
      <c r="H117" s="262"/>
      <c r="I117" s="262"/>
      <c r="J117" s="262"/>
      <c r="K117" s="262"/>
    </row>
    <row r="118" spans="2:11" ht="15">
      <c r="B118" s="262"/>
      <c r="C118" s="262">
        <v>2006</v>
      </c>
      <c r="D118" s="262" t="s">
        <v>1267</v>
      </c>
      <c r="E118" s="262" t="s">
        <v>394</v>
      </c>
      <c r="F118" s="262" t="s">
        <v>1060</v>
      </c>
      <c r="G118" s="262"/>
      <c r="H118" s="262"/>
      <c r="I118" s="262"/>
      <c r="J118" s="262"/>
      <c r="K118" s="262"/>
    </row>
    <row r="119" spans="2:11" ht="15">
      <c r="B119" s="262"/>
      <c r="C119" s="262"/>
      <c r="D119" s="262"/>
      <c r="E119" s="262"/>
      <c r="F119" s="262"/>
      <c r="G119" s="262"/>
      <c r="H119" s="262"/>
      <c r="I119" s="262"/>
      <c r="J119" s="262"/>
      <c r="K119" s="262"/>
    </row>
    <row r="121" spans="2:11" ht="16.5">
      <c r="B121" s="7" t="s">
        <v>163</v>
      </c>
      <c r="C121" s="6"/>
      <c r="D121" s="6"/>
      <c r="E121" s="6"/>
      <c r="F121" s="6"/>
      <c r="G121" s="6"/>
      <c r="H121" s="6"/>
      <c r="I121" s="6"/>
      <c r="J121" s="6"/>
      <c r="K121" s="6"/>
    </row>
    <row r="130" spans="1:31" s="126" customFormat="1">
      <c r="A130" s="90"/>
      <c r="B130" s="90"/>
      <c r="C130" s="90"/>
      <c r="D130" s="90"/>
      <c r="G130" s="90"/>
      <c r="H130" s="90"/>
      <c r="I130" s="90"/>
      <c r="J130" s="90"/>
      <c r="K130" s="90"/>
      <c r="L130" s="90"/>
      <c r="M130" s="90"/>
      <c r="N130" s="90"/>
      <c r="O130" s="90"/>
      <c r="P130" s="90"/>
      <c r="Q130" s="90"/>
      <c r="R130" s="90"/>
      <c r="S130" s="90"/>
      <c r="T130" s="90"/>
      <c r="U130" s="90"/>
      <c r="V130" s="90"/>
      <c r="X130" s="90"/>
      <c r="Y130" s="90"/>
      <c r="Z130" s="90"/>
      <c r="AA130" s="90"/>
      <c r="AB130" s="90"/>
      <c r="AC130" s="90"/>
      <c r="AD130" s="90"/>
      <c r="AE130" s="90"/>
    </row>
  </sheetData>
  <hyperlinks>
    <hyperlink ref="C98" r:id="rId1"/>
    <hyperlink ref="C10" r:id="rId2"/>
  </hyperlinks>
  <pageMargins left="0.75" right="0.75" top="1" bottom="1" header="0.5" footer="0.5"/>
  <pageSetup paperSize="9" scale="83" orientation="landscape" r:id="rId3"/>
  <headerFooter alignWithMargins="0">
    <oddFooter>&amp;L&amp;F \ &amp;A&amp;R&amp;T  &amp;D</oddFooter>
  </headerFooter>
</worksheet>
</file>

<file path=xl/worksheets/sheet39.xml><?xml version="1.0" encoding="utf-8"?>
<worksheet xmlns="http://schemas.openxmlformats.org/spreadsheetml/2006/main" xmlns:r="http://schemas.openxmlformats.org/officeDocument/2006/relationships">
  <sheetPr>
    <pageSetUpPr autoPageBreaks="0" fitToPage="1"/>
  </sheetPr>
  <dimension ref="A1:AE62"/>
  <sheetViews>
    <sheetView showGridLines="0" zoomScale="70" zoomScaleNormal="70" workbookViewId="0">
      <selection activeCell="K35" sqref="K35"/>
    </sheetView>
  </sheetViews>
  <sheetFormatPr defaultRowHeight="12.75"/>
  <cols>
    <col min="1" max="1" width="8" style="90" customWidth="1"/>
    <col min="2" max="2" width="11.28515625" style="90" customWidth="1"/>
    <col min="3" max="3" width="24.28515625" style="90" customWidth="1"/>
    <col min="4" max="4" width="15.85546875" style="90" customWidth="1"/>
    <col min="5" max="5" width="21.85546875" style="90" customWidth="1"/>
    <col min="6" max="6" width="17.28515625" style="90" customWidth="1"/>
    <col min="7" max="7" width="12.140625" style="90" customWidth="1"/>
    <col min="8" max="22" width="20.7109375" style="90" customWidth="1"/>
    <col min="23" max="23" width="10.7109375" style="126" customWidth="1"/>
    <col min="24" max="28" width="10.7109375" style="90" customWidth="1"/>
    <col min="29" max="16384" width="9.140625" style="90"/>
  </cols>
  <sheetData>
    <row r="1" spans="1:23" ht="12.75" customHeight="1">
      <c r="A1" s="145"/>
    </row>
    <row r="2" spans="1:23">
      <c r="B2" s="146" t="s">
        <v>134</v>
      </c>
      <c r="C2" s="91"/>
      <c r="D2" s="91"/>
      <c r="E2" s="91"/>
      <c r="F2" s="147" t="str">
        <f>Info!$D$10</f>
        <v>Duncan Kernohan</v>
      </c>
      <c r="G2" s="91"/>
      <c r="H2" s="91"/>
      <c r="I2" s="91"/>
      <c r="J2" s="91"/>
      <c r="K2" s="91"/>
      <c r="L2" s="91"/>
      <c r="M2" s="91"/>
      <c r="N2" s="91"/>
      <c r="O2" s="91"/>
      <c r="P2" s="91"/>
      <c r="Q2" s="91"/>
      <c r="R2" s="91"/>
      <c r="S2" s="91"/>
      <c r="T2" s="91"/>
      <c r="U2" s="91"/>
      <c r="V2" s="91"/>
    </row>
    <row r="3" spans="1:23">
      <c r="B3" s="148" t="s">
        <v>137</v>
      </c>
      <c r="C3" s="92"/>
      <c r="D3" s="92"/>
      <c r="E3" s="92"/>
      <c r="F3" s="149" t="str">
        <f>Info!$D$11 &amp; " - " &amp; Info!$D$12</f>
        <v>Airport Opex Benchmarking 2013 - duncan.kernohan@caa.co.uk</v>
      </c>
      <c r="G3" s="92"/>
      <c r="H3" s="92"/>
      <c r="I3" s="92"/>
      <c r="J3" s="92"/>
      <c r="K3" s="92"/>
      <c r="L3" s="92"/>
      <c r="M3" s="92"/>
      <c r="N3" s="92"/>
      <c r="O3" s="92"/>
      <c r="P3" s="92"/>
      <c r="Q3" s="92"/>
      <c r="R3" s="92"/>
      <c r="S3" s="92"/>
      <c r="T3" s="92"/>
      <c r="U3" s="92"/>
      <c r="V3" s="92"/>
    </row>
    <row r="4" spans="1:23">
      <c r="B4" s="148" t="s">
        <v>130</v>
      </c>
      <c r="C4" s="92"/>
      <c r="D4" s="92"/>
      <c r="E4" s="92"/>
      <c r="F4" s="150">
        <f>Info!$D$16</f>
        <v>2.8</v>
      </c>
      <c r="G4" s="92"/>
      <c r="H4" s="92"/>
      <c r="I4" s="92"/>
      <c r="J4" s="92"/>
      <c r="K4" s="92"/>
      <c r="L4" s="92"/>
      <c r="M4" s="92"/>
      <c r="N4" s="92"/>
      <c r="O4" s="92"/>
      <c r="P4" s="92"/>
      <c r="Q4" s="92"/>
      <c r="R4" s="92"/>
      <c r="S4" s="92"/>
      <c r="T4" s="92"/>
      <c r="U4" s="92"/>
      <c r="V4" s="92"/>
    </row>
    <row r="5" spans="1:23">
      <c r="B5" s="151" t="s">
        <v>138</v>
      </c>
      <c r="C5" s="93"/>
      <c r="D5" s="93"/>
      <c r="E5" s="93"/>
      <c r="F5" s="152" t="str">
        <f ca="1">IF(CELL("filename",E1)="","",MID(CELL("filename",A1),FIND("]",CELL("filename",A1))+1,99))</f>
        <v>SDG</v>
      </c>
      <c r="G5" s="93"/>
      <c r="H5" s="93"/>
      <c r="I5" s="93"/>
      <c r="J5" s="93"/>
      <c r="K5" s="93"/>
      <c r="L5" s="93"/>
      <c r="M5" s="93"/>
      <c r="N5" s="93"/>
      <c r="O5" s="93"/>
      <c r="P5" s="93"/>
      <c r="Q5" s="93"/>
      <c r="R5" s="93"/>
      <c r="S5" s="93"/>
      <c r="T5" s="93"/>
      <c r="U5" s="93"/>
      <c r="V5" s="93"/>
    </row>
    <row r="6" spans="1:23">
      <c r="F6" s="126"/>
    </row>
    <row r="7" spans="1:23">
      <c r="F7" s="126"/>
    </row>
    <row r="8" spans="1:23">
      <c r="B8" s="153" t="s">
        <v>1087</v>
      </c>
      <c r="C8" s="94"/>
      <c r="D8" s="94"/>
      <c r="E8" s="94"/>
      <c r="F8" s="94"/>
      <c r="G8" s="94"/>
      <c r="H8" s="94"/>
      <c r="I8" s="94"/>
      <c r="J8" s="94"/>
      <c r="K8" s="94"/>
      <c r="L8" s="94"/>
      <c r="M8" s="94"/>
      <c r="N8" s="94"/>
      <c r="O8" s="94"/>
      <c r="P8" s="94"/>
      <c r="Q8" s="94"/>
      <c r="R8" s="94"/>
      <c r="S8" s="94"/>
      <c r="T8" s="94"/>
      <c r="U8" s="94"/>
      <c r="V8" s="94"/>
    </row>
    <row r="9" spans="1:23" s="133" customFormat="1">
      <c r="B9" s="137"/>
      <c r="C9" s="137"/>
      <c r="D9" s="137"/>
      <c r="E9" s="137"/>
      <c r="F9" s="211"/>
      <c r="G9" s="137"/>
      <c r="H9" s="137"/>
      <c r="I9" s="137"/>
      <c r="J9" s="137"/>
      <c r="K9" s="137"/>
      <c r="L9" s="137"/>
      <c r="M9" s="137"/>
      <c r="N9" s="137"/>
      <c r="O9" s="137"/>
      <c r="P9" s="137"/>
      <c r="Q9" s="137"/>
      <c r="R9" s="137"/>
      <c r="S9" s="137"/>
      <c r="T9" s="137"/>
      <c r="U9" s="137"/>
      <c r="V9" s="137"/>
      <c r="W9" s="131"/>
    </row>
    <row r="10" spans="1:23">
      <c r="B10" s="90" t="s">
        <v>20</v>
      </c>
      <c r="D10" s="82"/>
      <c r="E10" s="82"/>
      <c r="F10" s="102"/>
      <c r="G10" s="226"/>
      <c r="H10" s="226"/>
      <c r="I10" s="102"/>
      <c r="J10" s="102"/>
      <c r="K10" s="102"/>
      <c r="L10" s="102"/>
      <c r="M10" s="102"/>
      <c r="N10" s="102"/>
      <c r="O10" s="102"/>
      <c r="P10" s="102"/>
      <c r="Q10" s="102"/>
      <c r="R10" s="220"/>
      <c r="S10" s="220"/>
      <c r="T10" s="220"/>
      <c r="U10" s="220"/>
      <c r="V10" s="66"/>
    </row>
    <row r="11" spans="1:23" ht="48" customHeight="1">
      <c r="B11" s="167" t="s">
        <v>142</v>
      </c>
      <c r="C11" s="167" t="s">
        <v>1088</v>
      </c>
      <c r="D11" s="167" t="s">
        <v>1089</v>
      </c>
      <c r="E11" s="225" t="s">
        <v>1090</v>
      </c>
      <c r="F11" s="225"/>
      <c r="G11" s="219"/>
      <c r="H11" s="219"/>
      <c r="I11" s="219"/>
      <c r="J11" s="219"/>
      <c r="K11" s="219"/>
      <c r="L11" s="219"/>
      <c r="M11" s="219"/>
      <c r="N11" s="219"/>
      <c r="O11" s="219"/>
      <c r="P11" s="219"/>
      <c r="Q11" s="219"/>
      <c r="R11" s="219"/>
      <c r="S11" s="219"/>
      <c r="T11" s="219"/>
      <c r="U11" s="219"/>
      <c r="V11" s="139"/>
    </row>
    <row r="12" spans="1:23">
      <c r="B12" s="90" t="s">
        <v>105</v>
      </c>
      <c r="C12" s="90">
        <v>13.59</v>
      </c>
      <c r="D12" s="180">
        <v>1989</v>
      </c>
      <c r="E12" s="102">
        <v>47009</v>
      </c>
      <c r="F12" s="227"/>
      <c r="G12" s="228"/>
      <c r="H12" s="229"/>
      <c r="I12" s="229"/>
      <c r="J12" s="230"/>
      <c r="K12" s="107"/>
      <c r="L12" s="107"/>
      <c r="M12" s="221"/>
      <c r="N12" s="107"/>
      <c r="O12" s="220"/>
      <c r="P12" s="220"/>
      <c r="Q12" s="220"/>
      <c r="R12" s="220"/>
      <c r="S12" s="222"/>
      <c r="T12" s="223"/>
      <c r="U12" s="223"/>
      <c r="V12" s="224"/>
    </row>
    <row r="13" spans="1:23">
      <c r="B13" s="90" t="s">
        <v>116</v>
      </c>
      <c r="C13" s="90">
        <v>12.13</v>
      </c>
      <c r="D13" s="180">
        <v>381</v>
      </c>
      <c r="E13" s="102">
        <v>46329</v>
      </c>
      <c r="F13" s="227"/>
      <c r="G13" s="228"/>
      <c r="H13" s="229"/>
      <c r="I13" s="229"/>
      <c r="J13" s="230"/>
      <c r="K13" s="107"/>
      <c r="L13" s="107"/>
      <c r="M13" s="221"/>
      <c r="N13" s="107"/>
      <c r="O13" s="220"/>
      <c r="P13" s="220"/>
      <c r="Q13" s="220"/>
      <c r="R13" s="220"/>
      <c r="S13" s="222"/>
      <c r="T13" s="223"/>
      <c r="U13" s="223"/>
      <c r="V13" s="224"/>
    </row>
    <row r="14" spans="1:23">
      <c r="B14" s="90" t="s">
        <v>113</v>
      </c>
      <c r="C14" s="90">
        <v>10.02</v>
      </c>
      <c r="D14" s="180">
        <v>431</v>
      </c>
      <c r="E14" s="102">
        <v>40829</v>
      </c>
      <c r="F14" s="227"/>
      <c r="G14" s="228"/>
      <c r="H14" s="229"/>
      <c r="I14" s="229"/>
      <c r="J14" s="230"/>
      <c r="K14" s="107"/>
      <c r="L14" s="107"/>
      <c r="M14" s="221"/>
      <c r="N14" s="107"/>
      <c r="O14" s="220"/>
      <c r="P14" s="220"/>
      <c r="Q14" s="220"/>
      <c r="R14" s="220"/>
      <c r="S14" s="222"/>
      <c r="T14" s="223"/>
      <c r="U14" s="223"/>
      <c r="V14" s="224"/>
    </row>
    <row r="15" spans="1:23">
      <c r="B15" s="90" t="s">
        <v>204</v>
      </c>
      <c r="C15" s="90">
        <v>9.43</v>
      </c>
      <c r="D15" s="180">
        <v>1110</v>
      </c>
      <c r="E15" s="102">
        <v>25153</v>
      </c>
      <c r="F15" s="227"/>
      <c r="G15" s="228"/>
      <c r="H15" s="229"/>
      <c r="I15" s="229"/>
      <c r="J15" s="230"/>
      <c r="K15" s="107"/>
      <c r="L15" s="107"/>
      <c r="M15" s="221"/>
      <c r="N15" s="107"/>
      <c r="O15" s="220"/>
      <c r="P15" s="220"/>
      <c r="Q15" s="220"/>
      <c r="R15" s="220"/>
      <c r="S15" s="222"/>
      <c r="T15" s="223"/>
      <c r="U15" s="223"/>
      <c r="V15" s="224"/>
    </row>
    <row r="16" spans="1:23">
      <c r="B16" s="90" t="s">
        <v>107</v>
      </c>
      <c r="C16" s="90">
        <v>9.0500000000000007</v>
      </c>
      <c r="D16" s="180">
        <v>1216</v>
      </c>
      <c r="E16" s="102">
        <v>50464</v>
      </c>
      <c r="F16" s="227"/>
      <c r="G16" s="228"/>
      <c r="H16" s="229"/>
      <c r="I16" s="229"/>
      <c r="J16" s="230"/>
      <c r="K16" s="107"/>
      <c r="L16" s="107"/>
      <c r="M16" s="221"/>
      <c r="N16" s="107"/>
      <c r="O16" s="220"/>
      <c r="P16" s="220"/>
      <c r="Q16" s="220"/>
      <c r="R16" s="220"/>
      <c r="S16" s="222"/>
      <c r="T16" s="223"/>
      <c r="U16" s="223"/>
      <c r="V16" s="224"/>
    </row>
    <row r="17" spans="1:31">
      <c r="B17" s="90" t="s">
        <v>156</v>
      </c>
      <c r="C17" s="90">
        <v>7.86</v>
      </c>
      <c r="D17" s="180">
        <v>1001</v>
      </c>
      <c r="E17" s="102">
        <v>36479</v>
      </c>
      <c r="F17" s="227"/>
      <c r="G17" s="228"/>
      <c r="H17" s="229"/>
      <c r="I17" s="229"/>
      <c r="J17" s="230"/>
      <c r="K17" s="107"/>
      <c r="L17" s="107"/>
      <c r="M17" s="221"/>
      <c r="N17" s="107"/>
      <c r="O17" s="220"/>
      <c r="P17" s="220"/>
      <c r="Q17" s="220"/>
      <c r="R17" s="220"/>
      <c r="S17" s="222"/>
      <c r="T17" s="223"/>
      <c r="U17" s="223"/>
      <c r="V17" s="224"/>
    </row>
    <row r="18" spans="1:31">
      <c r="B18" s="90" t="s">
        <v>112</v>
      </c>
      <c r="C18" s="90">
        <v>7.73</v>
      </c>
      <c r="D18" s="180">
        <v>1003</v>
      </c>
      <c r="E18" s="102">
        <v>44871</v>
      </c>
      <c r="F18" s="227"/>
      <c r="G18" s="228"/>
      <c r="H18" s="229"/>
      <c r="I18" s="229"/>
      <c r="J18" s="230"/>
      <c r="K18" s="107"/>
      <c r="L18" s="107"/>
      <c r="M18" s="221"/>
      <c r="N18" s="107"/>
      <c r="O18" s="220"/>
      <c r="P18" s="220"/>
      <c r="Q18" s="220"/>
      <c r="R18" s="220"/>
      <c r="S18" s="222"/>
      <c r="T18" s="223"/>
      <c r="U18" s="223"/>
      <c r="V18" s="224"/>
    </row>
    <row r="19" spans="1:31">
      <c r="B19" s="90" t="s">
        <v>155</v>
      </c>
      <c r="C19" s="90">
        <v>7.38</v>
      </c>
      <c r="D19" s="180">
        <v>747</v>
      </c>
      <c r="E19" s="102">
        <v>36781</v>
      </c>
      <c r="F19" s="227"/>
      <c r="G19" s="228"/>
      <c r="H19" s="229"/>
      <c r="I19" s="229"/>
      <c r="J19" s="230"/>
      <c r="K19" s="107"/>
      <c r="L19" s="107"/>
      <c r="M19" s="221"/>
      <c r="N19" s="107"/>
      <c r="O19" s="220"/>
      <c r="P19" s="220"/>
      <c r="Q19" s="220"/>
      <c r="R19" s="220"/>
      <c r="S19" s="222"/>
      <c r="T19" s="223"/>
      <c r="U19" s="223"/>
      <c r="V19" s="224"/>
    </row>
    <row r="20" spans="1:31">
      <c r="B20" s="90" t="s">
        <v>114</v>
      </c>
      <c r="C20" s="90">
        <v>6.2</v>
      </c>
      <c r="D20" s="180">
        <v>587</v>
      </c>
      <c r="E20" s="102">
        <v>46965</v>
      </c>
      <c r="F20" s="227"/>
      <c r="G20" s="228"/>
      <c r="H20" s="229"/>
      <c r="I20" s="229"/>
      <c r="J20" s="230"/>
      <c r="K20" s="107"/>
      <c r="L20" s="107"/>
      <c r="M20" s="221"/>
      <c r="N20" s="107"/>
      <c r="O20" s="220"/>
      <c r="P20" s="220"/>
      <c r="Q20" s="220"/>
      <c r="R20" s="220"/>
      <c r="S20" s="222"/>
      <c r="T20" s="223"/>
      <c r="U20" s="223"/>
      <c r="V20" s="224"/>
    </row>
    <row r="21" spans="1:31">
      <c r="B21" s="90" t="s">
        <v>115</v>
      </c>
      <c r="C21" s="90">
        <v>5.97</v>
      </c>
      <c r="D21" s="180">
        <v>510</v>
      </c>
      <c r="E21" s="102">
        <v>44756</v>
      </c>
      <c r="F21" s="227"/>
      <c r="G21" s="228"/>
      <c r="H21" s="229"/>
      <c r="I21" s="229"/>
      <c r="J21" s="230"/>
      <c r="K21" s="107"/>
      <c r="L21" s="107"/>
      <c r="M21" s="221"/>
      <c r="N21" s="107"/>
      <c r="O21" s="220"/>
      <c r="P21" s="220"/>
      <c r="Q21" s="220"/>
      <c r="R21" s="220"/>
      <c r="S21" s="222"/>
      <c r="T21" s="223"/>
      <c r="U21" s="223"/>
      <c r="V21" s="224"/>
    </row>
    <row r="22" spans="1:31">
      <c r="B22" s="30"/>
      <c r="C22" s="30"/>
      <c r="D22" s="70"/>
      <c r="E22" s="227"/>
      <c r="F22" s="227"/>
      <c r="G22" s="228"/>
      <c r="H22" s="229"/>
      <c r="I22" s="229"/>
      <c r="J22" s="230"/>
      <c r="K22" s="107"/>
      <c r="L22" s="107"/>
      <c r="M22" s="221"/>
      <c r="N22" s="107"/>
      <c r="O22" s="220"/>
      <c r="P22" s="220"/>
      <c r="Q22" s="220"/>
      <c r="R22" s="220"/>
      <c r="S22" s="222"/>
      <c r="T22" s="223"/>
      <c r="U22" s="223"/>
      <c r="V22" s="224"/>
    </row>
    <row r="23" spans="1:31">
      <c r="B23" s="30"/>
      <c r="C23" s="30"/>
      <c r="D23" s="70"/>
      <c r="E23" s="227"/>
      <c r="F23" s="227"/>
      <c r="G23" s="228"/>
      <c r="H23" s="229"/>
      <c r="I23" s="229"/>
      <c r="J23" s="230"/>
      <c r="K23" s="107"/>
      <c r="L23" s="107"/>
      <c r="M23" s="221"/>
      <c r="N23" s="107"/>
      <c r="O23" s="220"/>
      <c r="P23" s="220"/>
      <c r="Q23" s="220"/>
      <c r="R23" s="220"/>
      <c r="S23" s="222"/>
      <c r="T23" s="223"/>
      <c r="U23" s="223"/>
      <c r="V23" s="224"/>
    </row>
    <row r="24" spans="1:31">
      <c r="B24" s="30"/>
      <c r="C24" s="30"/>
      <c r="D24" s="70"/>
      <c r="E24" s="227"/>
      <c r="F24" s="227"/>
      <c r="G24" s="228"/>
      <c r="H24" s="229"/>
      <c r="I24" s="229"/>
      <c r="J24" s="230"/>
      <c r="K24" s="107"/>
      <c r="L24" s="107"/>
      <c r="M24" s="221"/>
      <c r="N24" s="107"/>
      <c r="O24" s="220"/>
      <c r="P24" s="220"/>
      <c r="Q24" s="220"/>
      <c r="R24" s="220"/>
      <c r="S24" s="222"/>
      <c r="T24" s="223"/>
      <c r="U24" s="223"/>
      <c r="V24" s="224"/>
    </row>
    <row r="25" spans="1:31">
      <c r="B25" s="30"/>
      <c r="C25" s="30"/>
      <c r="D25" s="70"/>
      <c r="E25" s="227"/>
      <c r="F25" s="227"/>
      <c r="G25" s="228"/>
      <c r="H25" s="229"/>
      <c r="I25" s="229"/>
      <c r="J25" s="230"/>
      <c r="K25" s="107"/>
      <c r="L25" s="107"/>
      <c r="M25" s="221"/>
      <c r="N25" s="107"/>
      <c r="O25" s="220"/>
      <c r="P25" s="220"/>
      <c r="Q25" s="220"/>
      <c r="R25" s="220"/>
      <c r="S25" s="222"/>
      <c r="T25" s="223"/>
      <c r="U25" s="223"/>
      <c r="V25" s="224"/>
    </row>
    <row r="26" spans="1:31">
      <c r="B26" s="30"/>
      <c r="C26" s="30"/>
      <c r="D26" s="70"/>
      <c r="E26" s="227"/>
      <c r="F26" s="227"/>
      <c r="G26" s="228"/>
      <c r="H26" s="229"/>
      <c r="I26" s="229"/>
      <c r="J26" s="230"/>
      <c r="K26" s="107"/>
      <c r="L26" s="107"/>
      <c r="M26" s="221"/>
      <c r="N26" s="107"/>
      <c r="O26" s="220"/>
      <c r="P26" s="220"/>
      <c r="Q26" s="220"/>
      <c r="R26" s="220"/>
      <c r="S26" s="222"/>
      <c r="T26" s="223"/>
      <c r="U26" s="223"/>
      <c r="V26" s="224"/>
    </row>
    <row r="28" spans="1:31" s="126" customFormat="1">
      <c r="A28" s="90"/>
      <c r="B28" s="153" t="s">
        <v>163</v>
      </c>
      <c r="C28" s="94"/>
      <c r="D28" s="94"/>
      <c r="E28" s="94"/>
      <c r="F28" s="94"/>
      <c r="G28" s="94"/>
      <c r="H28" s="94"/>
      <c r="I28" s="94"/>
      <c r="J28" s="94"/>
      <c r="K28" s="94"/>
      <c r="L28" s="94"/>
      <c r="M28" s="94"/>
      <c r="N28" s="94"/>
      <c r="O28" s="94"/>
      <c r="P28" s="94"/>
      <c r="Q28" s="94"/>
      <c r="R28" s="94"/>
      <c r="S28" s="94"/>
      <c r="T28" s="94"/>
      <c r="U28" s="94"/>
      <c r="V28" s="94"/>
      <c r="X28" s="90"/>
      <c r="Y28" s="90"/>
      <c r="Z28" s="90"/>
      <c r="AA28" s="90"/>
      <c r="AB28" s="90"/>
      <c r="AC28" s="90"/>
      <c r="AD28" s="90"/>
      <c r="AE28" s="90"/>
    </row>
    <row r="62" spans="1:31" s="126" customFormat="1">
      <c r="A62" s="90"/>
      <c r="B62" s="90"/>
      <c r="C62" s="90"/>
      <c r="D62" s="90"/>
      <c r="G62" s="90"/>
      <c r="H62" s="90"/>
      <c r="I62" s="90"/>
      <c r="J62" s="90"/>
      <c r="K62" s="90"/>
      <c r="L62" s="90"/>
      <c r="M62" s="90"/>
      <c r="N62" s="90"/>
      <c r="O62" s="90"/>
      <c r="P62" s="90"/>
      <c r="Q62" s="90"/>
      <c r="R62" s="90"/>
      <c r="S62" s="90"/>
      <c r="T62" s="90"/>
      <c r="U62" s="90"/>
      <c r="V62" s="90"/>
      <c r="X62" s="90"/>
      <c r="Y62" s="90"/>
      <c r="Z62" s="90"/>
      <c r="AA62" s="90"/>
      <c r="AB62" s="90"/>
      <c r="AC62" s="90"/>
      <c r="AD62" s="90"/>
      <c r="AE62" s="90"/>
    </row>
  </sheetData>
  <pageMargins left="0.75" right="0.75" top="1" bottom="1" header="0.5" footer="0.5"/>
  <pageSetup paperSize="9" scale="83" orientation="landscape" r:id="rId1"/>
  <headerFooter alignWithMargins="0">
    <oddFooter>&amp;L&amp;F \ &amp;A&amp;R&amp;T  &amp;D</oddFooter>
  </headerFooter>
  <drawing r:id="rId2"/>
</worksheet>
</file>

<file path=xl/worksheets/sheet4.xml><?xml version="1.0" encoding="utf-8"?>
<worksheet xmlns="http://schemas.openxmlformats.org/spreadsheetml/2006/main" xmlns:r="http://schemas.openxmlformats.org/officeDocument/2006/relationships">
  <sheetPr>
    <pageSetUpPr autoPageBreaks="0" fitToPage="1"/>
  </sheetPr>
  <dimension ref="A1:DP257"/>
  <sheetViews>
    <sheetView showGridLines="0" zoomScale="70" zoomScaleNormal="70" workbookViewId="0">
      <selection activeCell="U114" sqref="U114"/>
    </sheetView>
  </sheetViews>
  <sheetFormatPr defaultRowHeight="12.75"/>
  <cols>
    <col min="1" max="1" width="3.140625" style="5" customWidth="1"/>
    <col min="2" max="2" width="22.28515625" style="5" customWidth="1"/>
    <col min="3" max="16" width="10.7109375" style="5" customWidth="1"/>
    <col min="17" max="17" width="10.7109375" style="83" customWidth="1"/>
    <col min="18" max="20" width="10.7109375" style="5" customWidth="1"/>
    <col min="21" max="21" width="9.140625" style="5"/>
    <col min="22" max="22" width="20.5703125" style="5" customWidth="1"/>
    <col min="23" max="23" width="9.28515625" style="5" bestFit="1" customWidth="1"/>
    <col min="24" max="43" width="9.140625" style="5"/>
    <col min="44" max="44" width="15.85546875" style="5" customWidth="1"/>
    <col min="45" max="45" width="11.42578125" style="5" customWidth="1"/>
    <col min="46" max="46" width="12.42578125" style="5" customWidth="1"/>
    <col min="47" max="47" width="14.140625" style="5" customWidth="1"/>
    <col min="48" max="48" width="12.5703125" style="5" customWidth="1"/>
    <col min="49" max="16384" width="9.140625" style="5"/>
  </cols>
  <sheetData>
    <row r="1" spans="1:120" ht="12.75" customHeight="1">
      <c r="A1" s="59"/>
    </row>
    <row r="2" spans="1:120">
      <c r="B2" s="57" t="s">
        <v>134</v>
      </c>
      <c r="C2" s="56"/>
      <c r="D2" s="55" t="str">
        <f>Info!$D$10</f>
        <v>Duncan Kernohan</v>
      </c>
      <c r="E2" s="54"/>
      <c r="F2" s="54"/>
      <c r="G2" s="54"/>
      <c r="H2" s="54"/>
      <c r="I2" s="54"/>
      <c r="J2" s="54"/>
      <c r="K2" s="54"/>
      <c r="L2" s="54"/>
      <c r="M2" s="54"/>
      <c r="N2" s="54"/>
      <c r="O2" s="54"/>
      <c r="P2" s="54"/>
      <c r="Q2" s="254"/>
      <c r="R2" s="54"/>
      <c r="S2" s="54"/>
      <c r="T2" s="54"/>
      <c r="V2" s="54"/>
      <c r="W2" s="54"/>
      <c r="X2" s="54"/>
      <c r="Y2" s="54"/>
      <c r="Z2" s="54"/>
      <c r="AA2" s="54"/>
      <c r="AB2" s="54"/>
      <c r="AC2" s="54"/>
      <c r="AD2" s="54"/>
      <c r="AE2" s="54"/>
      <c r="AF2" s="54"/>
      <c r="AG2" s="54"/>
      <c r="AH2" s="54"/>
      <c r="AI2" s="54"/>
      <c r="AJ2" s="54"/>
      <c r="AK2" s="54"/>
      <c r="AL2" s="54"/>
      <c r="AM2" s="54"/>
      <c r="AN2" s="54"/>
      <c r="AP2" s="54"/>
      <c r="AQ2" s="54"/>
      <c r="AR2" s="54"/>
      <c r="AS2" s="54"/>
      <c r="AT2" s="54"/>
      <c r="AU2" s="54"/>
      <c r="AV2" s="54"/>
      <c r="AW2" s="54"/>
      <c r="AY2" s="54"/>
      <c r="AZ2" s="54"/>
      <c r="BA2" s="54"/>
      <c r="BB2" s="54"/>
      <c r="BC2" s="54"/>
      <c r="BD2" s="54"/>
      <c r="BE2" s="54"/>
      <c r="BF2" s="54"/>
      <c r="BG2" s="54"/>
      <c r="BH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row>
    <row r="3" spans="1:120">
      <c r="B3" s="52" t="s">
        <v>137</v>
      </c>
      <c r="C3" s="51"/>
      <c r="D3" s="53" t="str">
        <f>Info!$D$11 &amp; " - " &amp; Info!$D$12</f>
        <v>Airport Opex Benchmarking 2013 - duncan.kernohan@caa.co.uk</v>
      </c>
      <c r="E3" s="49"/>
      <c r="F3" s="49"/>
      <c r="G3" s="49"/>
      <c r="H3" s="49"/>
      <c r="I3" s="49"/>
      <c r="J3" s="49"/>
      <c r="K3" s="49"/>
      <c r="L3" s="49"/>
      <c r="M3" s="49"/>
      <c r="N3" s="49"/>
      <c r="O3" s="49"/>
      <c r="P3" s="49"/>
      <c r="Q3" s="255"/>
      <c r="R3" s="49"/>
      <c r="S3" s="49"/>
      <c r="T3" s="49"/>
      <c r="V3" s="49"/>
      <c r="W3" s="49"/>
      <c r="X3" s="49"/>
      <c r="Y3" s="49"/>
      <c r="Z3" s="49"/>
      <c r="AA3" s="49"/>
      <c r="AB3" s="49"/>
      <c r="AC3" s="49"/>
      <c r="AD3" s="49"/>
      <c r="AE3" s="49"/>
      <c r="AF3" s="49"/>
      <c r="AG3" s="49"/>
      <c r="AH3" s="49"/>
      <c r="AI3" s="49"/>
      <c r="AJ3" s="49"/>
      <c r="AK3" s="49"/>
      <c r="AL3" s="49"/>
      <c r="AM3" s="49"/>
      <c r="AN3" s="49"/>
      <c r="AP3" s="49"/>
      <c r="AQ3" s="49"/>
      <c r="AR3" s="49"/>
      <c r="AS3" s="49"/>
      <c r="AT3" s="49"/>
      <c r="AU3" s="49"/>
      <c r="AV3" s="49"/>
      <c r="AW3" s="49"/>
      <c r="AY3" s="49"/>
      <c r="AZ3" s="49"/>
      <c r="BA3" s="49"/>
      <c r="BB3" s="49"/>
      <c r="BC3" s="49"/>
      <c r="BD3" s="49"/>
      <c r="BE3" s="49"/>
      <c r="BF3" s="49"/>
      <c r="BG3" s="49"/>
      <c r="BH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row>
    <row r="4" spans="1:120">
      <c r="B4" s="52" t="s">
        <v>130</v>
      </c>
      <c r="C4" s="51"/>
      <c r="D4" s="63">
        <f>Info!$D$16</f>
        <v>2.8</v>
      </c>
      <c r="E4" s="49"/>
      <c r="F4" s="49"/>
      <c r="G4" s="49"/>
      <c r="H4" s="49"/>
      <c r="I4" s="49"/>
      <c r="J4" s="49"/>
      <c r="K4" s="49"/>
      <c r="L4" s="49"/>
      <c r="M4" s="49"/>
      <c r="N4" s="49"/>
      <c r="O4" s="49"/>
      <c r="P4" s="49"/>
      <c r="Q4" s="255"/>
      <c r="R4" s="49"/>
      <c r="S4" s="49"/>
      <c r="T4" s="49"/>
      <c r="V4" s="49"/>
      <c r="W4" s="49"/>
      <c r="X4" s="49"/>
      <c r="Y4" s="49"/>
      <c r="Z4" s="49"/>
      <c r="AA4" s="49"/>
      <c r="AB4" s="49"/>
      <c r="AC4" s="49"/>
      <c r="AD4" s="49"/>
      <c r="AE4" s="49"/>
      <c r="AF4" s="49"/>
      <c r="AG4" s="49"/>
      <c r="AH4" s="49"/>
      <c r="AI4" s="49"/>
      <c r="AJ4" s="49"/>
      <c r="AK4" s="49"/>
      <c r="AL4" s="49"/>
      <c r="AM4" s="49"/>
      <c r="AN4" s="49"/>
      <c r="AP4" s="49"/>
      <c r="AQ4" s="49"/>
      <c r="AR4" s="49"/>
      <c r="AS4" s="49"/>
      <c r="AT4" s="49"/>
      <c r="AU4" s="49"/>
      <c r="AV4" s="49"/>
      <c r="AW4" s="49"/>
      <c r="AY4" s="49"/>
      <c r="AZ4" s="49"/>
      <c r="BA4" s="49"/>
      <c r="BB4" s="49"/>
      <c r="BC4" s="49"/>
      <c r="BD4" s="49"/>
      <c r="BE4" s="49"/>
      <c r="BF4" s="49"/>
      <c r="BG4" s="49"/>
      <c r="BH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row>
    <row r="5" spans="1:120">
      <c r="B5" s="48" t="s">
        <v>138</v>
      </c>
      <c r="C5" s="47"/>
      <c r="D5" s="46" t="str">
        <f ca="1">IF(CELL("filename",C1)="","",MID(CELL("filename",A1),FIND("]",CELL("filename",A1))+1,99))</f>
        <v>Int Analysis</v>
      </c>
      <c r="E5" s="45"/>
      <c r="F5" s="45"/>
      <c r="G5" s="45"/>
      <c r="H5" s="45"/>
      <c r="I5" s="45"/>
      <c r="J5" s="45"/>
      <c r="K5" s="45"/>
      <c r="L5" s="45"/>
      <c r="M5" s="45"/>
      <c r="N5" s="45"/>
      <c r="O5" s="45"/>
      <c r="P5" s="45"/>
      <c r="Q5" s="256"/>
      <c r="R5" s="45"/>
      <c r="S5" s="45"/>
      <c r="T5" s="45"/>
      <c r="V5" s="45"/>
      <c r="W5" s="45"/>
      <c r="X5" s="45"/>
      <c r="Y5" s="45"/>
      <c r="Z5" s="45"/>
      <c r="AA5" s="45"/>
      <c r="AB5" s="45"/>
      <c r="AC5" s="45"/>
      <c r="AD5" s="45"/>
      <c r="AE5" s="45"/>
      <c r="AF5" s="45"/>
      <c r="AG5" s="45"/>
      <c r="AH5" s="45"/>
      <c r="AI5" s="45"/>
      <c r="AJ5" s="45"/>
      <c r="AK5" s="45"/>
      <c r="AL5" s="45"/>
      <c r="AM5" s="45"/>
      <c r="AN5" s="45"/>
      <c r="AP5" s="45"/>
      <c r="AQ5" s="45"/>
      <c r="AR5" s="45"/>
      <c r="AS5" s="45"/>
      <c r="AT5" s="45"/>
      <c r="AU5" s="45"/>
      <c r="AV5" s="45"/>
      <c r="AW5" s="45"/>
      <c r="AY5" s="45"/>
      <c r="AZ5" s="45"/>
      <c r="BA5" s="45"/>
      <c r="BB5" s="45"/>
      <c r="BC5" s="45"/>
      <c r="BD5" s="45"/>
      <c r="BE5" s="45"/>
      <c r="BF5" s="45"/>
      <c r="BG5" s="45"/>
      <c r="BH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row>
    <row r="6" spans="1:120">
      <c r="B6" s="237"/>
      <c r="C6" s="236"/>
      <c r="D6" s="201"/>
    </row>
    <row r="7" spans="1:120">
      <c r="B7" s="235"/>
      <c r="C7" s="236"/>
      <c r="D7" s="201"/>
    </row>
    <row r="9" spans="1:120" ht="16.5">
      <c r="B9" s="7" t="s">
        <v>1124</v>
      </c>
      <c r="C9" s="6"/>
      <c r="D9" s="6"/>
      <c r="E9" s="6"/>
      <c r="F9" s="6"/>
      <c r="G9" s="6"/>
      <c r="H9" s="6"/>
      <c r="I9" s="6"/>
      <c r="J9" s="6"/>
      <c r="K9" s="6"/>
      <c r="L9" s="6"/>
      <c r="M9" s="6"/>
      <c r="N9" s="6"/>
      <c r="O9" s="6"/>
      <c r="P9" s="6"/>
      <c r="Q9" s="257"/>
      <c r="R9" s="6"/>
      <c r="S9" s="6"/>
      <c r="T9" s="6"/>
      <c r="V9" s="6"/>
      <c r="W9" s="6"/>
      <c r="X9" s="6"/>
      <c r="Y9" s="6"/>
      <c r="Z9" s="6"/>
      <c r="AA9" s="6"/>
      <c r="AB9" s="6"/>
      <c r="AC9" s="6"/>
      <c r="AD9" s="6"/>
      <c r="AE9" s="6"/>
      <c r="AF9" s="6"/>
      <c r="AG9" s="6"/>
      <c r="AH9" s="6"/>
      <c r="AI9" s="6"/>
      <c r="AJ9" s="6"/>
      <c r="AK9" s="6"/>
      <c r="AL9" s="6"/>
      <c r="AM9" s="6"/>
      <c r="AN9" s="6"/>
      <c r="AP9" s="6"/>
      <c r="AQ9" s="6"/>
      <c r="AR9" s="6"/>
      <c r="AS9" s="6"/>
      <c r="AT9" s="6"/>
      <c r="AU9" s="6"/>
      <c r="AV9" s="6"/>
      <c r="AW9" s="6"/>
      <c r="AY9" s="6"/>
      <c r="AZ9" s="6"/>
      <c r="BA9" s="6"/>
      <c r="BB9" s="6"/>
      <c r="BC9" s="6"/>
      <c r="BD9" s="6"/>
      <c r="BE9" s="6"/>
      <c r="BF9" s="6"/>
      <c r="BG9" s="6"/>
      <c r="BH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row>
    <row r="10" spans="1:120" s="60" customFormat="1" ht="16.5">
      <c r="B10" s="64"/>
      <c r="C10" s="35"/>
      <c r="D10" s="35"/>
      <c r="E10" s="35"/>
      <c r="F10" s="35"/>
      <c r="G10" s="35"/>
      <c r="H10" s="35"/>
      <c r="I10" s="35"/>
      <c r="J10" s="35"/>
      <c r="K10" s="35"/>
      <c r="L10" s="35"/>
      <c r="M10" s="35"/>
      <c r="N10" s="35"/>
      <c r="O10" s="35"/>
      <c r="P10" s="35"/>
      <c r="Q10" s="258"/>
      <c r="R10" s="35"/>
      <c r="S10" s="35"/>
      <c r="T10" s="35"/>
      <c r="V10" s="35"/>
      <c r="W10" s="35"/>
      <c r="X10" s="35"/>
      <c r="Y10" s="35"/>
      <c r="Z10" s="35"/>
      <c r="AA10" s="35"/>
      <c r="AB10" s="35"/>
      <c r="AC10" s="35"/>
      <c r="AD10" s="35"/>
      <c r="AE10" s="35"/>
      <c r="AF10" s="35"/>
      <c r="AG10" s="35"/>
      <c r="AH10" s="35"/>
      <c r="AI10" s="35"/>
      <c r="AJ10" s="35"/>
      <c r="AK10" s="35"/>
      <c r="AL10" s="35"/>
      <c r="AM10" s="35"/>
      <c r="AN10" s="35"/>
      <c r="AP10" s="35"/>
      <c r="AQ10" s="35"/>
      <c r="AR10" s="35"/>
      <c r="AS10" s="35"/>
      <c r="AT10" s="35"/>
      <c r="AU10" s="35"/>
      <c r="AV10" s="35"/>
      <c r="AW10" s="35"/>
      <c r="AY10" s="35"/>
      <c r="AZ10" s="35"/>
      <c r="BA10" s="35"/>
      <c r="BB10" s="35"/>
      <c r="BC10" s="35"/>
      <c r="BD10" s="35"/>
      <c r="BE10" s="35"/>
      <c r="BF10" s="35"/>
      <c r="BG10" s="35"/>
      <c r="BH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row>
    <row r="11" spans="1:120" ht="15">
      <c r="B11" s="5" t="s">
        <v>1335</v>
      </c>
      <c r="X11" s="233"/>
    </row>
    <row r="12" spans="1:120" ht="15">
      <c r="X12" s="262"/>
    </row>
    <row r="13" spans="1:120" ht="16.5">
      <c r="B13" s="7" t="s">
        <v>228</v>
      </c>
      <c r="C13" s="6"/>
      <c r="D13" s="6"/>
      <c r="E13" s="6"/>
      <c r="F13" s="6"/>
      <c r="G13" s="6"/>
      <c r="H13" s="6"/>
      <c r="I13" s="6"/>
      <c r="J13" s="6"/>
      <c r="K13" s="6"/>
      <c r="L13" s="6"/>
      <c r="M13" s="6"/>
      <c r="N13" s="6"/>
      <c r="O13" s="6"/>
      <c r="P13" s="6"/>
      <c r="Q13" s="257"/>
      <c r="R13" s="6"/>
      <c r="S13" s="6"/>
      <c r="T13" s="6"/>
      <c r="V13" s="7"/>
      <c r="W13" s="6"/>
      <c r="X13" s="6"/>
      <c r="Y13" s="6"/>
      <c r="Z13" s="6"/>
      <c r="AA13" s="6"/>
      <c r="AB13" s="6"/>
      <c r="AC13" s="6"/>
      <c r="AD13" s="6"/>
      <c r="AE13" s="6"/>
      <c r="AF13" s="6"/>
      <c r="AG13" s="6"/>
      <c r="AH13" s="6"/>
      <c r="AI13" s="6"/>
      <c r="AJ13" s="6"/>
      <c r="AK13" s="6"/>
      <c r="AL13" s="6"/>
      <c r="AM13" s="6"/>
      <c r="AN13" s="6"/>
      <c r="AP13" s="7" t="s">
        <v>1158</v>
      </c>
      <c r="AQ13" s="6"/>
      <c r="AR13" s="6"/>
      <c r="AS13" s="6"/>
      <c r="AT13" s="6"/>
      <c r="AU13" s="6"/>
      <c r="AV13" s="6"/>
      <c r="AW13" s="6"/>
      <c r="AY13" s="7" t="s">
        <v>1159</v>
      </c>
      <c r="AZ13" s="6"/>
      <c r="BA13" s="6"/>
      <c r="BB13" s="6"/>
      <c r="BC13" s="6"/>
      <c r="BD13" s="6"/>
      <c r="BE13" s="6"/>
      <c r="BF13" s="6"/>
      <c r="BG13" s="6"/>
      <c r="BH13" s="6"/>
    </row>
    <row r="14" spans="1:120" ht="15">
      <c r="X14" s="262"/>
    </row>
    <row r="15" spans="1:120">
      <c r="Q15" s="5"/>
      <c r="AP15" s="30" t="s">
        <v>1138</v>
      </c>
    </row>
    <row r="16" spans="1:120">
      <c r="B16" s="30" t="s">
        <v>1126</v>
      </c>
      <c r="C16" s="239">
        <v>2000</v>
      </c>
      <c r="D16" s="239">
        <v>2001</v>
      </c>
      <c r="E16" s="239">
        <v>2002</v>
      </c>
      <c r="F16" s="239">
        <v>2003</v>
      </c>
      <c r="G16" s="239">
        <v>2004</v>
      </c>
      <c r="H16" s="239">
        <v>2005</v>
      </c>
      <c r="I16" s="239">
        <v>2006</v>
      </c>
      <c r="J16" s="239">
        <v>2007</v>
      </c>
      <c r="K16" s="239">
        <v>2008</v>
      </c>
      <c r="L16" s="239">
        <v>2009</v>
      </c>
      <c r="M16" s="239">
        <v>2010</v>
      </c>
      <c r="N16" s="239">
        <v>2011</v>
      </c>
      <c r="O16" s="239">
        <v>2012</v>
      </c>
      <c r="Q16" s="30" t="s">
        <v>1174</v>
      </c>
      <c r="V16" s="30"/>
      <c r="W16" s="239"/>
      <c r="X16" s="239"/>
      <c r="Y16" s="239"/>
      <c r="Z16" s="239"/>
      <c r="AA16" s="239"/>
      <c r="AB16" s="239"/>
      <c r="AC16" s="239"/>
      <c r="AD16" s="239"/>
      <c r="AE16" s="239"/>
      <c r="AF16" s="239"/>
      <c r="AG16" s="239"/>
      <c r="AH16" s="239"/>
      <c r="AP16" s="30" t="s">
        <v>324</v>
      </c>
      <c r="AQ16" s="30" t="s">
        <v>243</v>
      </c>
      <c r="AR16" s="30" t="s">
        <v>142</v>
      </c>
      <c r="AS16" s="69">
        <v>2011</v>
      </c>
      <c r="AT16" s="69">
        <v>2005</v>
      </c>
      <c r="AU16" s="69" t="s">
        <v>1128</v>
      </c>
      <c r="AV16" s="69" t="s">
        <v>1129</v>
      </c>
      <c r="AW16" s="69"/>
      <c r="AX16" s="69"/>
      <c r="AY16" s="69"/>
      <c r="AZ16" s="69"/>
      <c r="BA16" s="69"/>
      <c r="BB16" s="69"/>
      <c r="BC16" s="69"/>
      <c r="BD16" s="69"/>
      <c r="BE16" s="69"/>
      <c r="BF16" s="69"/>
      <c r="BG16" s="69"/>
      <c r="BH16" s="69"/>
      <c r="BI16" s="69"/>
      <c r="BJ16" s="69"/>
      <c r="BK16" s="69"/>
      <c r="BL16" s="69"/>
      <c r="BM16" s="69"/>
      <c r="BN16" s="69"/>
      <c r="BO16" s="69"/>
      <c r="BP16" s="69"/>
    </row>
    <row r="17" spans="2:68">
      <c r="B17" s="238" t="s">
        <v>116</v>
      </c>
      <c r="C17" s="80">
        <f>ABD!D59</f>
        <v>2486208</v>
      </c>
      <c r="D17" s="80">
        <f>ABD!E59</f>
        <v>2513345</v>
      </c>
      <c r="E17" s="80">
        <f>ABD!F59</f>
        <v>2550059</v>
      </c>
      <c r="F17" s="80">
        <f>ABD!G59</f>
        <v>2520730</v>
      </c>
      <c r="G17" s="80">
        <f>ABD!H59</f>
        <v>2676866</v>
      </c>
      <c r="H17" s="80">
        <f>ABD!I59</f>
        <v>2926958</v>
      </c>
      <c r="I17" s="80">
        <f>ABD!J59</f>
        <v>2487135</v>
      </c>
      <c r="J17" s="80">
        <f>ABD!K59</f>
        <v>3411140</v>
      </c>
      <c r="K17" s="80">
        <f>ABD!L59</f>
        <v>3290236</v>
      </c>
      <c r="L17" s="80">
        <f>ABD!M59</f>
        <v>2983793</v>
      </c>
      <c r="M17" s="80">
        <f>ABD!N59</f>
        <v>2763491</v>
      </c>
      <c r="N17" s="80">
        <f>ABD!O59</f>
        <v>3082575</v>
      </c>
      <c r="O17" s="80">
        <f>N17</f>
        <v>3082575</v>
      </c>
      <c r="Q17" s="341">
        <f>(O17/H17)-1</f>
        <v>5.3166803213438696E-2</v>
      </c>
      <c r="R17" s="240"/>
      <c r="S17" s="240"/>
      <c r="V17" s="238"/>
      <c r="W17" s="110"/>
      <c r="X17" s="110"/>
      <c r="Y17" s="110"/>
      <c r="Z17" s="110"/>
      <c r="AA17" s="110"/>
      <c r="AB17" s="110"/>
      <c r="AC17" s="110"/>
      <c r="AD17" s="110"/>
      <c r="AE17" s="110"/>
      <c r="AF17" s="110"/>
      <c r="AG17" s="110"/>
      <c r="AH17" s="110"/>
      <c r="AP17" s="337">
        <f>RANK(O17,$O$17:$O$32)</f>
        <v>15</v>
      </c>
      <c r="AQ17" s="337">
        <v>1</v>
      </c>
      <c r="AR17" s="337" t="str">
        <f t="shared" ref="AR17:AR32" si="0">INDEX($B$17:$B$32,MATCH(AQ17,$AP$17:$AP$32,0),0)</f>
        <v>Heathrow</v>
      </c>
      <c r="AS17" s="336">
        <f>VLOOKUP(AR17,$B$17:$O$32,14,FALSE)</f>
        <v>69983531</v>
      </c>
      <c r="AT17" s="305">
        <f t="shared" ref="AT17:AT32" si="1">VLOOKUP(AR17,$B$17:$N$32,7,FALSE)</f>
        <v>67419390</v>
      </c>
      <c r="AU17" s="305">
        <f>$O$34</f>
        <v>24598796.125</v>
      </c>
      <c r="AV17" s="365">
        <f t="shared" ref="AV17:AV32" si="2">$H$34</f>
        <v>22375264.875</v>
      </c>
      <c r="AW17" s="240"/>
      <c r="AX17" s="240"/>
      <c r="AY17" s="240"/>
      <c r="AZ17" s="240"/>
      <c r="BA17" s="240"/>
      <c r="BB17" s="240"/>
      <c r="BC17" s="240"/>
      <c r="BD17" s="240"/>
      <c r="BE17" s="240"/>
      <c r="BF17" s="240"/>
      <c r="BG17" s="240"/>
      <c r="BH17" s="240"/>
      <c r="BI17" s="240"/>
      <c r="BJ17" s="240"/>
      <c r="BK17" s="240"/>
      <c r="BL17" s="240"/>
      <c r="BM17" s="240"/>
      <c r="BN17" s="240"/>
      <c r="BO17" s="240"/>
      <c r="BP17" s="240"/>
    </row>
    <row r="18" spans="2:68">
      <c r="B18" s="238" t="s">
        <v>1051</v>
      </c>
      <c r="C18" s="80">
        <f>Amsterdam!D75</f>
        <v>39587974.5</v>
      </c>
      <c r="D18" s="80">
        <f>Amsterdam!E75</f>
        <v>39832344.5</v>
      </c>
      <c r="E18" s="80">
        <f>Amsterdam!F75</f>
        <v>40542106.75</v>
      </c>
      <c r="F18" s="80">
        <f>Amsterdam!G75</f>
        <v>40605595</v>
      </c>
      <c r="G18" s="80">
        <f>Amsterdam!H75</f>
        <v>42946659.5</v>
      </c>
      <c r="H18" s="80">
        <f>Amsterdam!I75</f>
        <v>44638836</v>
      </c>
      <c r="I18" s="80">
        <f>Amsterdam!J75</f>
        <v>46498286</v>
      </c>
      <c r="J18" s="80">
        <f>Amsterdam!K75</f>
        <v>47703750.25</v>
      </c>
      <c r="K18" s="80">
        <f>Amsterdam!L75</f>
        <v>46465106.75</v>
      </c>
      <c r="L18" s="80">
        <f>Amsterdam!M75</f>
        <v>43980714.75</v>
      </c>
      <c r="M18" s="80">
        <f>Amsterdam!N75</f>
        <v>46347624.75</v>
      </c>
      <c r="N18" s="80">
        <f>Amsterdam!O75</f>
        <v>50891127.75</v>
      </c>
      <c r="O18" s="80">
        <f>Amsterdam!P75</f>
        <v>50976000</v>
      </c>
      <c r="Q18" s="341">
        <f t="shared" ref="Q18:Q30" si="3">(O18/H18)-1</f>
        <v>0.14196526092212625</v>
      </c>
      <c r="R18" s="240"/>
      <c r="S18" s="240"/>
      <c r="V18" s="238"/>
      <c r="W18" s="110"/>
      <c r="X18" s="110"/>
      <c r="Y18" s="110"/>
      <c r="Z18" s="110"/>
      <c r="AA18" s="110"/>
      <c r="AB18" s="110"/>
      <c r="AC18" s="110"/>
      <c r="AD18" s="110"/>
      <c r="AE18" s="110"/>
      <c r="AF18" s="110"/>
      <c r="AG18" s="110"/>
      <c r="AH18" s="110"/>
      <c r="AP18" s="337">
        <f t="shared" ref="AP18:AP32" si="4">RANK(O18,$O$17:$O$32)</f>
        <v>3</v>
      </c>
      <c r="AQ18" s="337">
        <v>2</v>
      </c>
      <c r="AR18" s="337" t="str">
        <f t="shared" si="0"/>
        <v>Hong Kong</v>
      </c>
      <c r="AS18" s="336">
        <f t="shared" ref="AS18:AS32" si="5">VLOOKUP(AR18,$B$17:$O$32,14,FALSE)</f>
        <v>57200000</v>
      </c>
      <c r="AT18" s="305">
        <f t="shared" si="1"/>
        <v>41600000</v>
      </c>
      <c r="AU18" s="305">
        <f t="shared" ref="AU18:AU32" si="6">$O$34</f>
        <v>24598796.125</v>
      </c>
      <c r="AV18" s="365">
        <f t="shared" si="2"/>
        <v>22375264.875</v>
      </c>
      <c r="AW18" s="240"/>
      <c r="AX18" s="240"/>
      <c r="AY18" s="240"/>
      <c r="AZ18" s="240"/>
      <c r="BA18" s="240"/>
      <c r="BB18" s="240"/>
      <c r="BC18" s="240"/>
      <c r="BD18" s="240"/>
      <c r="BE18" s="240"/>
      <c r="BF18" s="240"/>
      <c r="BG18" s="240"/>
      <c r="BH18" s="240"/>
      <c r="BI18" s="240"/>
      <c r="BJ18" s="240"/>
      <c r="BK18" s="240"/>
      <c r="BL18" s="240"/>
      <c r="BM18" s="240"/>
      <c r="BN18" s="240"/>
      <c r="BO18" s="240"/>
      <c r="BP18" s="240"/>
    </row>
    <row r="19" spans="2:68">
      <c r="B19" s="238" t="s">
        <v>155</v>
      </c>
      <c r="C19" s="80">
        <f>BIR!D55</f>
        <v>7609661</v>
      </c>
      <c r="D19" s="80">
        <f>BIR!E55</f>
        <v>7657480</v>
      </c>
      <c r="E19" s="80">
        <f>BIR!F55</f>
        <v>8136060</v>
      </c>
      <c r="F19" s="80">
        <f>BIR!G55</f>
        <v>9058177</v>
      </c>
      <c r="G19" s="80">
        <f>BIR!H55</f>
        <v>8766972</v>
      </c>
      <c r="H19" s="80">
        <f>BIR!I55</f>
        <v>9379136</v>
      </c>
      <c r="I19" s="80">
        <f>BIR!J55</f>
        <v>9038805</v>
      </c>
      <c r="J19" s="80">
        <f>BIR!K55</f>
        <v>9251340</v>
      </c>
      <c r="K19" s="80">
        <f>BIR!L55</f>
        <v>9477197</v>
      </c>
      <c r="L19" s="80">
        <f>BIR!M55</f>
        <v>9002237</v>
      </c>
      <c r="M19" s="80">
        <f>BIR!N55</f>
        <v>8513165</v>
      </c>
      <c r="N19" s="80">
        <f>M19</f>
        <v>8513165</v>
      </c>
      <c r="O19" s="80">
        <f>N19</f>
        <v>8513165</v>
      </c>
      <c r="Q19" s="341">
        <f t="shared" si="3"/>
        <v>-9.2329506683771267E-2</v>
      </c>
      <c r="V19" s="238"/>
      <c r="W19" s="110"/>
      <c r="X19" s="110"/>
      <c r="Y19" s="110"/>
      <c r="Z19" s="110"/>
      <c r="AA19" s="110"/>
      <c r="AB19" s="110"/>
      <c r="AC19" s="110"/>
      <c r="AD19" s="110"/>
      <c r="AE19" s="110"/>
      <c r="AF19" s="110"/>
      <c r="AG19" s="110"/>
      <c r="AH19" s="110"/>
      <c r="AP19" s="337">
        <f t="shared" si="4"/>
        <v>13</v>
      </c>
      <c r="AQ19" s="337">
        <v>3</v>
      </c>
      <c r="AR19" s="337" t="str">
        <f t="shared" si="0"/>
        <v>Amsterdam</v>
      </c>
      <c r="AS19" s="336">
        <f t="shared" si="5"/>
        <v>50976000</v>
      </c>
      <c r="AT19" s="305">
        <f t="shared" si="1"/>
        <v>44638836</v>
      </c>
      <c r="AU19" s="305">
        <f t="shared" si="6"/>
        <v>24598796.125</v>
      </c>
      <c r="AV19" s="365">
        <f t="shared" si="2"/>
        <v>22375264.875</v>
      </c>
      <c r="AW19" s="240"/>
      <c r="AX19" s="240"/>
      <c r="AY19" s="240"/>
      <c r="AZ19" s="240"/>
      <c r="BA19" s="240"/>
      <c r="BB19" s="240"/>
      <c r="BC19" s="240"/>
      <c r="BD19" s="240"/>
      <c r="BE19" s="240"/>
      <c r="BF19" s="240"/>
      <c r="BG19" s="240"/>
      <c r="BH19" s="240"/>
      <c r="BI19" s="240"/>
      <c r="BJ19" s="240"/>
      <c r="BK19" s="240"/>
      <c r="BL19" s="240"/>
      <c r="BM19" s="240"/>
      <c r="BN19" s="240"/>
      <c r="BO19" s="240"/>
      <c r="BP19" s="240"/>
    </row>
    <row r="20" spans="2:68">
      <c r="B20" s="238" t="s">
        <v>115</v>
      </c>
      <c r="C20" s="80">
        <f>EDIN!D60</f>
        <v>5604877</v>
      </c>
      <c r="D20" s="80">
        <f>EDIN!E60</f>
        <v>6254198</v>
      </c>
      <c r="E20" s="80">
        <f>EDIN!F60</f>
        <v>7071563</v>
      </c>
      <c r="F20" s="80">
        <f>EDIN!G60</f>
        <v>7576192</v>
      </c>
      <c r="G20" s="80">
        <f>EDIN!H60</f>
        <v>8040975</v>
      </c>
      <c r="H20" s="80">
        <f>EDIN!I60</f>
        <v>8492266</v>
      </c>
      <c r="I20" s="80">
        <f>EDIN!J60</f>
        <v>6792799</v>
      </c>
      <c r="J20" s="80">
        <f>EDIN!K60</f>
        <v>9037200</v>
      </c>
      <c r="K20" s="80">
        <f>EDIN!L60</f>
        <v>8992178</v>
      </c>
      <c r="L20" s="80">
        <f>EDIN!M60</f>
        <v>9043452</v>
      </c>
      <c r="M20" s="80">
        <f>EDIN!N60</f>
        <v>8594449</v>
      </c>
      <c r="N20" s="80">
        <f>EDIN!O60</f>
        <v>9383695</v>
      </c>
      <c r="O20" s="80">
        <f>EDIN!P60</f>
        <v>9194239</v>
      </c>
      <c r="Q20" s="341">
        <f t="shared" si="3"/>
        <v>8.26602699444412E-2</v>
      </c>
      <c r="V20" s="238"/>
      <c r="W20" s="110"/>
      <c r="X20" s="110"/>
      <c r="Y20" s="110"/>
      <c r="Z20" s="110"/>
      <c r="AA20" s="110"/>
      <c r="AB20" s="110"/>
      <c r="AC20" s="110"/>
      <c r="AD20" s="110"/>
      <c r="AE20" s="110"/>
      <c r="AF20" s="110"/>
      <c r="AG20" s="110"/>
      <c r="AH20" s="110"/>
      <c r="AP20" s="337">
        <f t="shared" si="4"/>
        <v>12</v>
      </c>
      <c r="AQ20" s="337">
        <v>4</v>
      </c>
      <c r="AR20" s="337" t="str">
        <f t="shared" si="0"/>
        <v>Munich</v>
      </c>
      <c r="AS20" s="336">
        <f t="shared" si="5"/>
        <v>37800000</v>
      </c>
      <c r="AT20" s="305">
        <f t="shared" si="1"/>
        <v>28620000</v>
      </c>
      <c r="AU20" s="305">
        <f t="shared" si="6"/>
        <v>24598796.125</v>
      </c>
      <c r="AV20" s="365">
        <f t="shared" si="2"/>
        <v>22375264.875</v>
      </c>
      <c r="AW20" s="240"/>
      <c r="AX20" s="240"/>
      <c r="AY20" s="240"/>
      <c r="AZ20" s="240"/>
      <c r="BA20" s="240"/>
      <c r="BB20" s="240"/>
      <c r="BC20" s="240"/>
      <c r="BD20" s="240"/>
      <c r="BE20" s="240"/>
      <c r="BF20" s="240"/>
      <c r="BG20" s="240"/>
      <c r="BH20" s="240"/>
      <c r="BI20" s="240"/>
      <c r="BJ20" s="240"/>
      <c r="BK20" s="240"/>
      <c r="BL20" s="240"/>
      <c r="BM20" s="240"/>
      <c r="BN20" s="240"/>
      <c r="BO20" s="240"/>
      <c r="BP20" s="240"/>
    </row>
    <row r="21" spans="2:68">
      <c r="B21" s="238" t="s">
        <v>107</v>
      </c>
      <c r="C21" s="80">
        <f>GAT!D62</f>
        <v>32130643</v>
      </c>
      <c r="D21" s="80">
        <f>GAT!E62</f>
        <v>30487501</v>
      </c>
      <c r="E21" s="80">
        <f>GAT!F62</f>
        <v>29639827</v>
      </c>
      <c r="F21" s="80">
        <f>GAT!G62</f>
        <v>30051950</v>
      </c>
      <c r="G21" s="80">
        <f>GAT!H62</f>
        <v>32013832</v>
      </c>
      <c r="H21" s="80">
        <f>GAT!I62</f>
        <v>32831514</v>
      </c>
      <c r="I21" s="80">
        <f>GAT!J62</f>
        <v>27409255</v>
      </c>
      <c r="J21" s="80">
        <f>GAT!K62</f>
        <v>35165530</v>
      </c>
      <c r="K21" s="80">
        <f>GAT!L62</f>
        <v>34162014</v>
      </c>
      <c r="L21" s="80">
        <f>GAT!M62</f>
        <v>32389927</v>
      </c>
      <c r="M21" s="80">
        <f>GAT!N62</f>
        <v>31640312</v>
      </c>
      <c r="N21" s="80">
        <f>GAT!O62</f>
        <v>33806458</v>
      </c>
      <c r="O21" s="80">
        <f>GAT!P62</f>
        <v>34256770</v>
      </c>
      <c r="Q21" s="341">
        <f>(O21/H21)-1</f>
        <v>4.3411217648994249E-2</v>
      </c>
      <c r="V21" s="238"/>
      <c r="W21" s="110"/>
      <c r="X21" s="110"/>
      <c r="Y21" s="110"/>
      <c r="Z21" s="110"/>
      <c r="AA21" s="110"/>
      <c r="AB21" s="110"/>
      <c r="AC21" s="110"/>
      <c r="AD21" s="110"/>
      <c r="AE21" s="110"/>
      <c r="AF21" s="110"/>
      <c r="AG21" s="110"/>
      <c r="AH21" s="110"/>
      <c r="AP21" s="337">
        <f t="shared" si="4"/>
        <v>5</v>
      </c>
      <c r="AQ21" s="337">
        <v>5</v>
      </c>
      <c r="AR21" s="337" t="str">
        <f t="shared" si="0"/>
        <v>Gatwick</v>
      </c>
      <c r="AS21" s="336">
        <f t="shared" si="5"/>
        <v>34256770</v>
      </c>
      <c r="AT21" s="305">
        <f t="shared" si="1"/>
        <v>32831514</v>
      </c>
      <c r="AU21" s="305">
        <f t="shared" si="6"/>
        <v>24598796.125</v>
      </c>
      <c r="AV21" s="365">
        <f t="shared" si="2"/>
        <v>22375264.875</v>
      </c>
      <c r="AW21" s="240"/>
      <c r="AX21" s="240"/>
      <c r="AY21" s="240"/>
      <c r="AZ21" s="240"/>
      <c r="BA21" s="240"/>
      <c r="BB21" s="240"/>
      <c r="BC21" s="240"/>
      <c r="BD21" s="240"/>
      <c r="BE21" s="240"/>
      <c r="BF21" s="240"/>
      <c r="BG21" s="240"/>
      <c r="BH21" s="240"/>
      <c r="BI21" s="240"/>
      <c r="BJ21" s="240"/>
      <c r="BK21" s="240"/>
      <c r="BL21" s="240"/>
      <c r="BM21" s="240"/>
      <c r="BN21" s="240"/>
      <c r="BO21" s="240"/>
      <c r="BP21" s="240"/>
    </row>
    <row r="22" spans="2:68">
      <c r="B22" s="238" t="s">
        <v>114</v>
      </c>
      <c r="C22" s="80">
        <f>GLAS!D60</f>
        <v>6962597</v>
      </c>
      <c r="D22" s="80">
        <f>GLAS!E60</f>
        <v>7326909</v>
      </c>
      <c r="E22" s="80">
        <f>GLAS!F60</f>
        <v>7897871</v>
      </c>
      <c r="F22" s="80">
        <f>GLAS!G60</f>
        <v>8142365</v>
      </c>
      <c r="G22" s="80">
        <f>GLAS!H60</f>
        <v>8606282</v>
      </c>
      <c r="H22" s="80">
        <f>GLAS!I60</f>
        <v>8813661</v>
      </c>
      <c r="I22" s="80">
        <f>GLAS!J60</f>
        <v>7168843</v>
      </c>
      <c r="J22" s="80">
        <f>GLAS!K60</f>
        <v>8726013</v>
      </c>
      <c r="K22" s="80">
        <f>GLAS!L60</f>
        <v>8135260</v>
      </c>
      <c r="L22" s="80">
        <f>GLAS!M60</f>
        <v>7213397</v>
      </c>
      <c r="M22" s="80">
        <f>GLAS!N60</f>
        <v>6521765</v>
      </c>
      <c r="N22" s="80">
        <f>GLAS!O60</f>
        <v>6858268</v>
      </c>
      <c r="O22" s="80">
        <f>N22</f>
        <v>6858268</v>
      </c>
      <c r="Q22" s="341">
        <f t="shared" si="3"/>
        <v>-0.22185933858813045</v>
      </c>
      <c r="V22" s="238"/>
      <c r="W22" s="110"/>
      <c r="X22" s="110"/>
      <c r="Y22" s="110"/>
      <c r="Z22" s="110"/>
      <c r="AA22" s="110"/>
      <c r="AB22" s="110"/>
      <c r="AC22" s="110"/>
      <c r="AD22" s="110"/>
      <c r="AE22" s="110"/>
      <c r="AF22" s="110"/>
      <c r="AG22" s="110"/>
      <c r="AH22" s="110"/>
      <c r="AP22" s="337">
        <f t="shared" si="4"/>
        <v>14</v>
      </c>
      <c r="AQ22" s="337">
        <v>6</v>
      </c>
      <c r="AR22" s="337" t="str">
        <f t="shared" si="0"/>
        <v>Zurich</v>
      </c>
      <c r="AS22" s="336">
        <f t="shared" si="5"/>
        <v>24802400</v>
      </c>
      <c r="AT22" s="305">
        <f t="shared" si="1"/>
        <v>17884652</v>
      </c>
      <c r="AU22" s="305">
        <f t="shared" si="6"/>
        <v>24598796.125</v>
      </c>
      <c r="AV22" s="365">
        <f t="shared" si="2"/>
        <v>22375264.875</v>
      </c>
      <c r="AW22" s="240"/>
      <c r="AX22" s="240"/>
      <c r="AY22" s="240"/>
      <c r="AZ22" s="240"/>
      <c r="BA22" s="240"/>
      <c r="BB22" s="240"/>
      <c r="BC22" s="240"/>
      <c r="BD22" s="240"/>
      <c r="BE22" s="240"/>
      <c r="BF22" s="240"/>
      <c r="BG22" s="240"/>
      <c r="BH22" s="240"/>
      <c r="BI22" s="240"/>
      <c r="BJ22" s="240"/>
      <c r="BK22" s="240"/>
      <c r="BL22" s="240"/>
      <c r="BM22" s="240"/>
      <c r="BN22" s="240"/>
      <c r="BO22" s="240"/>
      <c r="BP22" s="240"/>
    </row>
    <row r="23" spans="2:68">
      <c r="B23" s="238" t="s">
        <v>105</v>
      </c>
      <c r="C23" s="80">
        <f>HTROW!D61</f>
        <v>64327303</v>
      </c>
      <c r="D23" s="80">
        <f>HTROW!E61</f>
        <v>60385086</v>
      </c>
      <c r="E23" s="80">
        <f>HTROW!F61</f>
        <v>62979337</v>
      </c>
      <c r="F23" s="80">
        <f>HTROW!G61</f>
        <v>64260395</v>
      </c>
      <c r="G23" s="80">
        <f>HTROW!H61</f>
        <v>67651563</v>
      </c>
      <c r="H23" s="80">
        <f>HTROW!I61</f>
        <v>67419390</v>
      </c>
      <c r="I23" s="80">
        <f>HTROW!J61</f>
        <v>34351288</v>
      </c>
      <c r="J23" s="80">
        <f>HTROW!K61</f>
        <v>67852387</v>
      </c>
      <c r="K23" s="80">
        <f>HTROW!L61</f>
        <v>66906954</v>
      </c>
      <c r="L23" s="80">
        <f>HTROW!M61</f>
        <v>65906643</v>
      </c>
      <c r="M23" s="80">
        <f>HTROW!N61</f>
        <v>65745250</v>
      </c>
      <c r="N23" s="80">
        <f>HTROW!O61</f>
        <v>69390591</v>
      </c>
      <c r="O23" s="80">
        <f>HTROW!P61</f>
        <v>69983531</v>
      </c>
      <c r="Q23" s="341">
        <f t="shared" si="3"/>
        <v>3.8032693561896647E-2</v>
      </c>
      <c r="V23" s="238"/>
      <c r="W23" s="110"/>
      <c r="X23" s="110"/>
      <c r="Y23" s="110"/>
      <c r="Z23" s="110"/>
      <c r="AA23" s="110"/>
      <c r="AB23" s="110"/>
      <c r="AC23" s="110"/>
      <c r="AD23" s="110"/>
      <c r="AE23" s="110"/>
      <c r="AF23" s="110"/>
      <c r="AG23" s="110"/>
      <c r="AH23" s="110"/>
      <c r="AP23" s="337">
        <f t="shared" si="4"/>
        <v>1</v>
      </c>
      <c r="AQ23" s="337">
        <v>7</v>
      </c>
      <c r="AR23" s="337" t="str">
        <f t="shared" si="0"/>
        <v>Copenhagen</v>
      </c>
      <c r="AS23" s="336">
        <f t="shared" si="5"/>
        <v>23300000</v>
      </c>
      <c r="AT23" s="305">
        <f t="shared" si="1"/>
        <v>20000000</v>
      </c>
      <c r="AU23" s="305">
        <f t="shared" si="6"/>
        <v>24598796.125</v>
      </c>
      <c r="AV23" s="365">
        <f t="shared" si="2"/>
        <v>22375264.875</v>
      </c>
      <c r="AW23" s="240"/>
      <c r="AX23" s="240"/>
      <c r="AY23" s="240"/>
      <c r="AZ23" s="240"/>
      <c r="BA23" s="240"/>
      <c r="BB23" s="240"/>
      <c r="BC23" s="240"/>
      <c r="BD23" s="240"/>
      <c r="BE23" s="240"/>
      <c r="BF23" s="240"/>
      <c r="BG23" s="240"/>
      <c r="BH23" s="240"/>
      <c r="BI23" s="240"/>
      <c r="BJ23" s="240"/>
      <c r="BK23" s="240"/>
      <c r="BL23" s="240"/>
      <c r="BM23" s="240"/>
      <c r="BN23" s="240"/>
      <c r="BO23" s="240"/>
      <c r="BP23" s="240"/>
    </row>
    <row r="24" spans="2:68">
      <c r="B24" s="238" t="s">
        <v>156</v>
      </c>
      <c r="C24" s="80">
        <f>LTN!D55</f>
        <v>6323512</v>
      </c>
      <c r="D24" s="80">
        <f>LTN!E55</f>
        <v>6533988</v>
      </c>
      <c r="E24" s="80">
        <f>LTN!F55</f>
        <v>6566319</v>
      </c>
      <c r="F24" s="80">
        <f>LTN!G55</f>
        <v>6871808</v>
      </c>
      <c r="G24" s="80">
        <f>LTN!H55</f>
        <v>6012345</v>
      </c>
      <c r="H24" s="80">
        <f>LTN!I55</f>
        <v>9134748</v>
      </c>
      <c r="I24" s="80">
        <f>LTN!J55</f>
        <v>9414829</v>
      </c>
      <c r="J24" s="80">
        <f>LTN!K55</f>
        <v>9919361</v>
      </c>
      <c r="K24" s="80">
        <f>LTN!L55</f>
        <v>10173902</v>
      </c>
      <c r="L24" s="80">
        <f>LTN!M55</f>
        <v>9115316</v>
      </c>
      <c r="M24" s="80">
        <f>LTN!N55</f>
        <v>8733837</v>
      </c>
      <c r="N24" s="80">
        <f>LTN!O55</f>
        <v>9509915</v>
      </c>
      <c r="O24" s="80">
        <f>LTN!P55</f>
        <v>9614175</v>
      </c>
      <c r="Q24" s="341">
        <f t="shared" si="3"/>
        <v>5.2483878044583099E-2</v>
      </c>
      <c r="V24" s="238"/>
      <c r="W24" s="110"/>
      <c r="X24" s="110"/>
      <c r="Y24" s="110"/>
      <c r="Z24" s="110"/>
      <c r="AA24" s="110"/>
      <c r="AB24" s="110"/>
      <c r="AC24" s="110"/>
      <c r="AD24" s="110"/>
      <c r="AE24" s="110"/>
      <c r="AF24" s="110"/>
      <c r="AG24" s="110"/>
      <c r="AH24" s="110"/>
      <c r="AP24" s="337">
        <f t="shared" si="4"/>
        <v>11</v>
      </c>
      <c r="AQ24" s="337">
        <v>8</v>
      </c>
      <c r="AR24" s="337" t="str">
        <f t="shared" si="0"/>
        <v>Manchester</v>
      </c>
      <c r="AS24" s="336">
        <f t="shared" si="5"/>
        <v>19119010</v>
      </c>
      <c r="AT24" s="305">
        <f t="shared" si="1"/>
        <v>22036529</v>
      </c>
      <c r="AU24" s="305">
        <f t="shared" si="6"/>
        <v>24598796.125</v>
      </c>
      <c r="AV24" s="365">
        <f t="shared" si="2"/>
        <v>22375264.875</v>
      </c>
      <c r="AW24" s="240"/>
      <c r="AX24" s="240"/>
      <c r="AY24" s="240"/>
      <c r="AZ24" s="240"/>
      <c r="BA24" s="240"/>
      <c r="BB24" s="240"/>
      <c r="BC24" s="240"/>
      <c r="BD24" s="240"/>
      <c r="BE24" s="240"/>
      <c r="BF24" s="240"/>
      <c r="BG24" s="240"/>
      <c r="BH24" s="240"/>
      <c r="BI24" s="240"/>
      <c r="BJ24" s="240"/>
      <c r="BK24" s="240"/>
      <c r="BL24" s="240"/>
      <c r="BM24" s="240"/>
      <c r="BN24" s="240"/>
      <c r="BO24" s="240"/>
      <c r="BP24" s="240"/>
    </row>
    <row r="25" spans="2:68">
      <c r="B25" s="238" t="s">
        <v>204</v>
      </c>
      <c r="C25" s="80">
        <f>MAN!D61</f>
        <v>18602363</v>
      </c>
      <c r="D25" s="80">
        <f>MAN!E61</f>
        <v>19002040</v>
      </c>
      <c r="E25" s="80">
        <f>MAN!F61</f>
        <v>18597013</v>
      </c>
      <c r="F25" s="80">
        <f>MAN!G61</f>
        <v>20100110</v>
      </c>
      <c r="G25" s="80">
        <f>MAN!H61</f>
        <v>21290760</v>
      </c>
      <c r="H25" s="80">
        <f>MAN!I61</f>
        <v>22036529</v>
      </c>
      <c r="I25" s="80">
        <f>MAN!J61</f>
        <v>22135847</v>
      </c>
      <c r="J25" s="80">
        <f>MAN!K61</f>
        <v>21996482</v>
      </c>
      <c r="K25" s="80">
        <f>MAN!L61</f>
        <v>20400053</v>
      </c>
      <c r="L25" s="80">
        <f>MAN!M61</f>
        <v>18249743</v>
      </c>
      <c r="M25" s="80">
        <f>MAN!N61</f>
        <v>17719594</v>
      </c>
      <c r="N25" s="80">
        <f>MAN!O61</f>
        <v>19119010</v>
      </c>
      <c r="O25" s="80">
        <f>N25</f>
        <v>19119010</v>
      </c>
      <c r="Q25" s="341">
        <f t="shared" si="3"/>
        <v>-0.13239467068520638</v>
      </c>
      <c r="V25" s="238"/>
      <c r="W25" s="110"/>
      <c r="X25" s="110"/>
      <c r="Y25" s="110"/>
      <c r="Z25" s="110"/>
      <c r="AA25" s="110"/>
      <c r="AB25" s="110"/>
      <c r="AC25" s="110"/>
      <c r="AD25" s="110"/>
      <c r="AE25" s="110"/>
      <c r="AF25" s="110"/>
      <c r="AG25" s="110"/>
      <c r="AH25" s="110"/>
      <c r="AP25" s="337">
        <f t="shared" si="4"/>
        <v>8</v>
      </c>
      <c r="AQ25" s="337">
        <v>9</v>
      </c>
      <c r="AR25" s="337" t="str">
        <f t="shared" si="0"/>
        <v>Dublin</v>
      </c>
      <c r="AS25" s="336">
        <f t="shared" si="5"/>
        <v>19099649</v>
      </c>
      <c r="AT25" s="305">
        <f t="shared" si="1"/>
        <v>21196382</v>
      </c>
      <c r="AU25" s="305">
        <f t="shared" si="6"/>
        <v>24598796.125</v>
      </c>
      <c r="AV25" s="365">
        <f t="shared" si="2"/>
        <v>22375264.875</v>
      </c>
      <c r="AW25" s="240"/>
      <c r="AX25" s="240"/>
      <c r="AY25" s="240"/>
      <c r="AZ25" s="240"/>
      <c r="BA25" s="240"/>
      <c r="BB25" s="240"/>
      <c r="BC25" s="240"/>
      <c r="BD25" s="240"/>
      <c r="BE25" s="240"/>
      <c r="BF25" s="240"/>
      <c r="BG25" s="240"/>
      <c r="BH25" s="240"/>
      <c r="BI25" s="240"/>
      <c r="BJ25" s="240"/>
      <c r="BK25" s="240"/>
      <c r="BL25" s="240"/>
      <c r="BM25" s="240"/>
      <c r="BN25" s="240"/>
      <c r="BO25" s="240"/>
      <c r="BP25" s="240"/>
    </row>
    <row r="26" spans="2:68">
      <c r="B26" s="238" t="s">
        <v>113</v>
      </c>
      <c r="C26" s="80">
        <f>STHAM!D57</f>
        <v>865005</v>
      </c>
      <c r="D26" s="80">
        <f>STHAM!E57</f>
        <v>840165</v>
      </c>
      <c r="E26" s="80">
        <f>STHAM!F57</f>
        <v>792217</v>
      </c>
      <c r="F26" s="80">
        <f>STHAM!G57</f>
        <v>1371067</v>
      </c>
      <c r="G26" s="80">
        <f>STHAM!H57</f>
        <v>1547746</v>
      </c>
      <c r="H26" s="80">
        <f>STHAM!I57</f>
        <v>1859151</v>
      </c>
      <c r="I26" s="80">
        <f>STHAM!J57</f>
        <v>1548367</v>
      </c>
      <c r="J26" s="80">
        <f>STHAM!K57</f>
        <v>1965422</v>
      </c>
      <c r="K26" s="80">
        <f>STHAM!L57</f>
        <v>1945767</v>
      </c>
      <c r="L26" s="80">
        <f>STHAM!M57</f>
        <v>1789443</v>
      </c>
      <c r="M26" s="80">
        <f>STHAM!N57</f>
        <v>1733553</v>
      </c>
      <c r="N26" s="80">
        <f>M26</f>
        <v>1733553</v>
      </c>
      <c r="O26" s="80">
        <f>N26</f>
        <v>1733553</v>
      </c>
      <c r="Q26" s="341">
        <f t="shared" si="3"/>
        <v>-6.7556642790176813E-2</v>
      </c>
      <c r="V26" s="238"/>
      <c r="W26" s="110"/>
      <c r="X26" s="110"/>
      <c r="Y26" s="110"/>
      <c r="Z26" s="110"/>
      <c r="AA26" s="110"/>
      <c r="AB26" s="110"/>
      <c r="AC26" s="110"/>
      <c r="AD26" s="110"/>
      <c r="AE26" s="110"/>
      <c r="AF26" s="110"/>
      <c r="AG26" s="110"/>
      <c r="AH26" s="110"/>
      <c r="AP26" s="337">
        <f t="shared" si="4"/>
        <v>16</v>
      </c>
      <c r="AQ26" s="337">
        <v>10</v>
      </c>
      <c r="AR26" s="337" t="str">
        <f t="shared" si="0"/>
        <v>Stansted</v>
      </c>
      <c r="AS26" s="336">
        <f t="shared" si="5"/>
        <v>18047403</v>
      </c>
      <c r="AT26" s="305">
        <f t="shared" si="1"/>
        <v>21171015</v>
      </c>
      <c r="AU26" s="305">
        <f t="shared" si="6"/>
        <v>24598796.125</v>
      </c>
      <c r="AV26" s="365">
        <f t="shared" si="2"/>
        <v>22375264.875</v>
      </c>
      <c r="AW26" s="240"/>
      <c r="AX26" s="240"/>
      <c r="AY26" s="240"/>
      <c r="AZ26" s="240"/>
      <c r="BA26" s="240"/>
      <c r="BB26" s="240"/>
      <c r="BC26" s="240"/>
      <c r="BD26" s="240"/>
      <c r="BE26" s="240"/>
      <c r="BF26" s="240"/>
      <c r="BG26" s="240"/>
      <c r="BH26" s="240"/>
      <c r="BI26" s="240"/>
      <c r="BJ26" s="240"/>
      <c r="BK26" s="240"/>
      <c r="BL26" s="240"/>
      <c r="BM26" s="240"/>
      <c r="BN26" s="240"/>
      <c r="BO26" s="240"/>
      <c r="BP26" s="240"/>
    </row>
    <row r="27" spans="2:68">
      <c r="B27" s="238" t="s">
        <v>112</v>
      </c>
      <c r="C27" s="80">
        <f>STAN!D61</f>
        <v>9892967</v>
      </c>
      <c r="D27" s="80">
        <f>STAN!E61</f>
        <v>12264092</v>
      </c>
      <c r="E27" s="80">
        <f>STAN!F61</f>
        <v>14088383</v>
      </c>
      <c r="F27" s="80">
        <f>STAN!G61</f>
        <v>16750604</v>
      </c>
      <c r="G27" s="80">
        <f>STAN!H61</f>
        <v>19412575</v>
      </c>
      <c r="H27" s="80">
        <f>STAN!I61</f>
        <v>21171015</v>
      </c>
      <c r="I27" s="80">
        <f>STAN!J61</f>
        <v>22213307</v>
      </c>
      <c r="J27" s="80">
        <f>STAN!K61</f>
        <v>18805061</v>
      </c>
      <c r="K27" s="80">
        <f>STAN!L61</f>
        <v>23759250</v>
      </c>
      <c r="L27" s="80">
        <f>STAN!M61</f>
        <v>22340375</v>
      </c>
      <c r="M27" s="80">
        <f>STAN!N61</f>
        <v>19949689</v>
      </c>
      <c r="N27" s="80">
        <f>STAN!O61</f>
        <v>18561598</v>
      </c>
      <c r="O27" s="80">
        <f>STAN!P61</f>
        <v>18047403</v>
      </c>
      <c r="Q27" s="341">
        <f t="shared" si="3"/>
        <v>-0.14754191048468857</v>
      </c>
      <c r="V27" s="238"/>
      <c r="W27" s="110"/>
      <c r="X27" s="110"/>
      <c r="Y27" s="110"/>
      <c r="Z27" s="110"/>
      <c r="AA27" s="110"/>
      <c r="AB27" s="110"/>
      <c r="AC27" s="110"/>
      <c r="AD27" s="110"/>
      <c r="AE27" s="110"/>
      <c r="AF27" s="110"/>
      <c r="AG27" s="110"/>
      <c r="AH27" s="110"/>
      <c r="AP27" s="337">
        <f t="shared" si="4"/>
        <v>10</v>
      </c>
      <c r="AQ27" s="337">
        <v>11</v>
      </c>
      <c r="AR27" s="337" t="str">
        <f t="shared" si="0"/>
        <v>Luton</v>
      </c>
      <c r="AS27" s="336">
        <f t="shared" si="5"/>
        <v>9614175</v>
      </c>
      <c r="AT27" s="305">
        <f t="shared" si="1"/>
        <v>9134748</v>
      </c>
      <c r="AU27" s="305">
        <f t="shared" si="6"/>
        <v>24598796.125</v>
      </c>
      <c r="AV27" s="365">
        <f t="shared" si="2"/>
        <v>22375264.875</v>
      </c>
      <c r="AW27" s="240"/>
      <c r="AX27" s="240"/>
      <c r="AY27" s="240"/>
      <c r="AZ27" s="240"/>
      <c r="BA27" s="240"/>
      <c r="BB27" s="240"/>
      <c r="BC27" s="240"/>
      <c r="BD27" s="240"/>
      <c r="BE27" s="240"/>
      <c r="BF27" s="240"/>
      <c r="BG27" s="240"/>
      <c r="BH27" s="240"/>
      <c r="BI27" s="240"/>
      <c r="BJ27" s="240"/>
      <c r="BK27" s="240"/>
      <c r="BL27" s="240"/>
      <c r="BM27" s="240"/>
      <c r="BN27" s="240"/>
      <c r="BO27" s="240"/>
      <c r="BP27" s="240"/>
    </row>
    <row r="28" spans="2:68">
      <c r="B28" s="5" t="s">
        <v>392</v>
      </c>
      <c r="C28" s="80">
        <f>Copenhagen!D59</f>
        <v>18400000</v>
      </c>
      <c r="D28" s="80">
        <f>Copenhagen!E59</f>
        <v>18100000</v>
      </c>
      <c r="E28" s="80">
        <f>Copenhagen!F59</f>
        <v>18300000</v>
      </c>
      <c r="F28" s="80">
        <f>Copenhagen!G59</f>
        <v>17700000</v>
      </c>
      <c r="G28" s="80">
        <f>Copenhagen!H59</f>
        <v>19000000</v>
      </c>
      <c r="H28" s="80">
        <f>Copenhagen!I59</f>
        <v>20000000</v>
      </c>
      <c r="I28" s="80">
        <f>Copenhagen!J59</f>
        <v>20900000</v>
      </c>
      <c r="J28" s="80">
        <f>Copenhagen!K59</f>
        <v>21400000</v>
      </c>
      <c r="K28" s="80">
        <f>Copenhagen!L59</f>
        <v>21500000</v>
      </c>
      <c r="L28" s="80">
        <f>Copenhagen!M59</f>
        <v>19700000</v>
      </c>
      <c r="M28" s="80">
        <f>Copenhagen!N59</f>
        <v>21500000</v>
      </c>
      <c r="N28" s="80">
        <f>Copenhagen!O59</f>
        <v>22700000</v>
      </c>
      <c r="O28" s="80">
        <f>Copenhagen!P59</f>
        <v>23300000</v>
      </c>
      <c r="Q28" s="341">
        <f>(O28/H28)-1</f>
        <v>0.16500000000000004</v>
      </c>
      <c r="W28" s="110"/>
      <c r="X28" s="110"/>
      <c r="Y28" s="110"/>
      <c r="Z28" s="110"/>
      <c r="AA28" s="110"/>
      <c r="AB28" s="110"/>
      <c r="AC28" s="110"/>
      <c r="AD28" s="110"/>
      <c r="AE28" s="110"/>
      <c r="AF28" s="110"/>
      <c r="AG28" s="110"/>
      <c r="AH28" s="110"/>
      <c r="AP28" s="337">
        <f t="shared" si="4"/>
        <v>7</v>
      </c>
      <c r="AQ28" s="337">
        <v>12</v>
      </c>
      <c r="AR28" s="337" t="str">
        <f t="shared" si="0"/>
        <v>Edinburgh</v>
      </c>
      <c r="AS28" s="336">
        <f t="shared" si="5"/>
        <v>9194239</v>
      </c>
      <c r="AT28" s="305">
        <f t="shared" si="1"/>
        <v>8492266</v>
      </c>
      <c r="AU28" s="305">
        <f t="shared" si="6"/>
        <v>24598796.125</v>
      </c>
      <c r="AV28" s="365">
        <f t="shared" si="2"/>
        <v>22375264.875</v>
      </c>
      <c r="AW28" s="240"/>
      <c r="AX28" s="240"/>
      <c r="AY28" s="240"/>
      <c r="AZ28" s="240"/>
      <c r="BA28" s="240"/>
      <c r="BB28" s="240"/>
      <c r="BC28" s="240"/>
      <c r="BD28" s="240"/>
      <c r="BE28" s="240"/>
      <c r="BF28" s="240"/>
      <c r="BG28" s="240"/>
      <c r="BH28" s="240"/>
      <c r="BI28" s="240"/>
      <c r="BJ28" s="240"/>
      <c r="BK28" s="240"/>
      <c r="BL28" s="240"/>
      <c r="BM28" s="240"/>
      <c r="BN28" s="240"/>
      <c r="BO28" s="240"/>
      <c r="BP28" s="240"/>
    </row>
    <row r="29" spans="2:68">
      <c r="B29" s="238" t="s">
        <v>1053</v>
      </c>
      <c r="C29" s="376">
        <f>$I$29</f>
        <v>21196382</v>
      </c>
      <c r="D29" s="376">
        <f t="shared" ref="D29:H29" si="7">$I$29</f>
        <v>21196382</v>
      </c>
      <c r="E29" s="376">
        <f t="shared" si="7"/>
        <v>21196382</v>
      </c>
      <c r="F29" s="376">
        <f t="shared" si="7"/>
        <v>21196382</v>
      </c>
      <c r="G29" s="376">
        <f t="shared" si="7"/>
        <v>21196382</v>
      </c>
      <c r="H29" s="376">
        <f t="shared" si="7"/>
        <v>21196382</v>
      </c>
      <c r="I29" s="80">
        <f>Dublin!J71</f>
        <v>21196382</v>
      </c>
      <c r="J29" s="80">
        <f>Dublin!K71</f>
        <v>23287438</v>
      </c>
      <c r="K29" s="80">
        <f>Dublin!L71</f>
        <v>20503677</v>
      </c>
      <c r="L29" s="80">
        <f>Dublin!M71</f>
        <v>23466711</v>
      </c>
      <c r="M29" s="80">
        <f>Dublin!N71</f>
        <v>18431064</v>
      </c>
      <c r="N29" s="80">
        <f>Dublin!O71</f>
        <v>18740593</v>
      </c>
      <c r="O29" s="80">
        <f>Dublin!P71</f>
        <v>19099649</v>
      </c>
      <c r="Q29" s="341">
        <f t="shared" si="3"/>
        <v>-9.8919381618995161E-2</v>
      </c>
      <c r="V29" s="238"/>
      <c r="W29" s="110"/>
      <c r="X29" s="110"/>
      <c r="Y29" s="110"/>
      <c r="Z29" s="110"/>
      <c r="AA29" s="110"/>
      <c r="AB29" s="110"/>
      <c r="AC29" s="110"/>
      <c r="AD29" s="110"/>
      <c r="AE29" s="110"/>
      <c r="AF29" s="110"/>
      <c r="AG29" s="110"/>
      <c r="AH29" s="110"/>
      <c r="AP29" s="337">
        <f t="shared" si="4"/>
        <v>9</v>
      </c>
      <c r="AQ29" s="337">
        <v>13</v>
      </c>
      <c r="AR29" s="337" t="str">
        <f t="shared" si="0"/>
        <v>Birmingham</v>
      </c>
      <c r="AS29" s="336">
        <f t="shared" si="5"/>
        <v>8513165</v>
      </c>
      <c r="AT29" s="305">
        <f t="shared" si="1"/>
        <v>9379136</v>
      </c>
      <c r="AU29" s="305">
        <f t="shared" si="6"/>
        <v>24598796.125</v>
      </c>
      <c r="AV29" s="365">
        <f t="shared" si="2"/>
        <v>22375264.875</v>
      </c>
      <c r="AW29" s="240"/>
      <c r="AX29" s="240"/>
      <c r="AY29" s="240"/>
      <c r="AZ29" s="240"/>
      <c r="BA29" s="240"/>
      <c r="BB29" s="240"/>
      <c r="BC29" s="240"/>
      <c r="BD29" s="240"/>
      <c r="BE29" s="240"/>
      <c r="BF29" s="240"/>
      <c r="BG29" s="240"/>
      <c r="BH29" s="240"/>
      <c r="BI29" s="240"/>
      <c r="BJ29" s="240"/>
      <c r="BK29" s="240"/>
      <c r="BL29" s="240"/>
      <c r="BM29" s="240"/>
      <c r="BN29" s="240"/>
      <c r="BO29" s="240"/>
      <c r="BP29" s="240"/>
    </row>
    <row r="30" spans="2:68">
      <c r="B30" s="238" t="s">
        <v>394</v>
      </c>
      <c r="C30" s="80">
        <f>'Hong Kong'!D57</f>
        <v>33844000</v>
      </c>
      <c r="D30" s="80">
        <f>'Hong Kong'!E57</f>
        <v>33101000</v>
      </c>
      <c r="E30" s="80">
        <f>'Hong Kong'!F57</f>
        <v>34198000</v>
      </c>
      <c r="F30" s="80">
        <f>'Hong Kong'!G57</f>
        <v>27673000</v>
      </c>
      <c r="G30" s="80">
        <f>'Hong Kong'!H57</f>
        <v>38300000</v>
      </c>
      <c r="H30" s="80">
        <f>'Hong Kong'!I57</f>
        <v>41600000</v>
      </c>
      <c r="I30" s="80">
        <f>'Hong Kong'!J57</f>
        <v>45100000</v>
      </c>
      <c r="J30" s="80">
        <f>'Hong Kong'!K57</f>
        <v>48900000</v>
      </c>
      <c r="K30" s="80">
        <f>'Hong Kong'!L57</f>
        <v>47700000</v>
      </c>
      <c r="L30" s="80">
        <f>'Hong Kong'!M57</f>
        <v>46900000</v>
      </c>
      <c r="M30" s="80">
        <f>'Hong Kong'!N57</f>
        <v>51500000</v>
      </c>
      <c r="N30" s="80">
        <f>'Hong Kong'!O57</f>
        <v>54900000</v>
      </c>
      <c r="O30" s="80">
        <f>'Hong Kong'!P57</f>
        <v>57200000</v>
      </c>
      <c r="Q30" s="341">
        <f t="shared" si="3"/>
        <v>0.375</v>
      </c>
      <c r="V30" s="238"/>
      <c r="W30" s="110"/>
      <c r="X30" s="110"/>
      <c r="Y30" s="110"/>
      <c r="Z30" s="110"/>
      <c r="AA30" s="110"/>
      <c r="AB30" s="110"/>
      <c r="AC30" s="110"/>
      <c r="AD30" s="110"/>
      <c r="AE30" s="110"/>
      <c r="AF30" s="110"/>
      <c r="AG30" s="110"/>
      <c r="AH30" s="110"/>
      <c r="AP30" s="337">
        <f t="shared" si="4"/>
        <v>2</v>
      </c>
      <c r="AQ30" s="337">
        <v>14</v>
      </c>
      <c r="AR30" s="337" t="str">
        <f t="shared" si="0"/>
        <v>Glasgow</v>
      </c>
      <c r="AS30" s="336">
        <f t="shared" si="5"/>
        <v>6858268</v>
      </c>
      <c r="AT30" s="305">
        <f t="shared" si="1"/>
        <v>8813661</v>
      </c>
      <c r="AU30" s="305">
        <f t="shared" si="6"/>
        <v>24598796.125</v>
      </c>
      <c r="AV30" s="365">
        <f t="shared" si="2"/>
        <v>22375264.875</v>
      </c>
      <c r="AW30" s="240"/>
      <c r="AX30" s="240"/>
      <c r="AY30" s="240"/>
      <c r="AZ30" s="240"/>
      <c r="BA30" s="240"/>
      <c r="BB30" s="240"/>
      <c r="BC30" s="240"/>
      <c r="BD30" s="240"/>
      <c r="BE30" s="240"/>
      <c r="BF30" s="240"/>
      <c r="BG30" s="240"/>
      <c r="BH30" s="240"/>
      <c r="BI30" s="240"/>
      <c r="BJ30" s="240"/>
      <c r="BK30" s="240"/>
      <c r="BL30" s="240"/>
      <c r="BM30" s="240"/>
      <c r="BN30" s="240"/>
      <c r="BO30" s="240"/>
      <c r="BP30" s="240"/>
    </row>
    <row r="31" spans="2:68">
      <c r="B31" s="5" t="s">
        <v>1050</v>
      </c>
      <c r="C31" s="80">
        <f>Munich!D55</f>
        <v>23125872</v>
      </c>
      <c r="D31" s="80">
        <f>Munich!E55</f>
        <v>23650000</v>
      </c>
      <c r="E31" s="80">
        <f>Munich!F55</f>
        <v>23160000</v>
      </c>
      <c r="F31" s="80">
        <f>Munich!G55</f>
        <v>24214250</v>
      </c>
      <c r="G31" s="80">
        <f>Munich!H55</f>
        <v>26835231</v>
      </c>
      <c r="H31" s="80">
        <f>Munich!I55</f>
        <v>28620000</v>
      </c>
      <c r="I31" s="80">
        <f>Munich!J55</f>
        <v>30760000</v>
      </c>
      <c r="J31" s="80">
        <f>Munich!K55</f>
        <v>34000000</v>
      </c>
      <c r="K31" s="80">
        <f>Munich!L55</f>
        <v>34500000</v>
      </c>
      <c r="L31" s="80">
        <f>Munich!M55</f>
        <v>32701759</v>
      </c>
      <c r="M31" s="80">
        <f>Munich!N55</f>
        <v>34742222</v>
      </c>
      <c r="N31" s="80">
        <f>Munich!O55</f>
        <v>37800000</v>
      </c>
      <c r="O31" s="80">
        <f>N31</f>
        <v>37800000</v>
      </c>
      <c r="Q31" s="341">
        <f>(O31/H31)-1</f>
        <v>0.320754716981132</v>
      </c>
      <c r="W31" s="110"/>
      <c r="X31" s="110"/>
      <c r="Y31" s="110"/>
      <c r="Z31" s="110"/>
      <c r="AA31" s="110"/>
      <c r="AB31" s="110"/>
      <c r="AC31" s="110"/>
      <c r="AD31" s="110"/>
      <c r="AE31" s="110"/>
      <c r="AF31" s="110"/>
      <c r="AG31" s="110"/>
      <c r="AH31" s="110"/>
      <c r="AP31" s="337">
        <f t="shared" si="4"/>
        <v>4</v>
      </c>
      <c r="AQ31" s="337">
        <v>15</v>
      </c>
      <c r="AR31" s="337" t="str">
        <f t="shared" si="0"/>
        <v>Aberdeen</v>
      </c>
      <c r="AS31" s="336">
        <f t="shared" si="5"/>
        <v>3082575</v>
      </c>
      <c r="AT31" s="305">
        <f t="shared" si="1"/>
        <v>2926958</v>
      </c>
      <c r="AU31" s="305">
        <f t="shared" si="6"/>
        <v>24598796.125</v>
      </c>
      <c r="AV31" s="365">
        <f t="shared" si="2"/>
        <v>22375264.875</v>
      </c>
      <c r="AW31" s="240"/>
      <c r="AX31" s="240"/>
      <c r="AY31" s="240"/>
      <c r="AZ31" s="240"/>
      <c r="BA31" s="240"/>
      <c r="BB31" s="240"/>
      <c r="BC31" s="240"/>
      <c r="BD31" s="240"/>
      <c r="BE31" s="240"/>
      <c r="BF31" s="240"/>
      <c r="BG31" s="240"/>
      <c r="BH31" s="240"/>
      <c r="BI31" s="240"/>
      <c r="BJ31" s="240"/>
      <c r="BK31" s="240"/>
      <c r="BL31" s="240"/>
      <c r="BM31" s="240"/>
      <c r="BN31" s="240"/>
      <c r="BO31" s="240"/>
      <c r="BP31" s="240"/>
    </row>
    <row r="32" spans="2:68">
      <c r="B32" s="5" t="s">
        <v>399</v>
      </c>
      <c r="C32" s="80">
        <f>Zurich!D59</f>
        <v>22675366</v>
      </c>
      <c r="D32" s="80">
        <f>Zurich!E59</f>
        <v>21012282</v>
      </c>
      <c r="E32" s="80">
        <f>Zurich!F59</f>
        <v>18401178</v>
      </c>
      <c r="F32" s="80">
        <f>Zurich!G59</f>
        <v>17463807</v>
      </c>
      <c r="G32" s="80">
        <f>Zurich!H59</f>
        <v>17721550</v>
      </c>
      <c r="H32" s="80">
        <f>Zurich!I59</f>
        <v>17884652</v>
      </c>
      <c r="I32" s="80">
        <f>Zurich!J59</f>
        <v>19237216</v>
      </c>
      <c r="J32" s="80">
        <f>Zurich!K59</f>
        <v>20739113</v>
      </c>
      <c r="K32" s="80">
        <f>Zurich!L59</f>
        <v>22099233</v>
      </c>
      <c r="L32" s="80">
        <f>Zurich!M59</f>
        <v>21926872</v>
      </c>
      <c r="M32" s="80">
        <f>Zurich!N59</f>
        <v>22878251</v>
      </c>
      <c r="N32" s="80">
        <f>Zurich!O59</f>
        <v>24337954</v>
      </c>
      <c r="O32" s="80">
        <f>Zurich!P59</f>
        <v>24802400</v>
      </c>
      <c r="Q32" s="341">
        <f>(O32/H32)-1</f>
        <v>0.38679802100706229</v>
      </c>
      <c r="W32" s="110"/>
      <c r="X32" s="110"/>
      <c r="Y32" s="110"/>
      <c r="Z32" s="110"/>
      <c r="AA32" s="110"/>
      <c r="AB32" s="110"/>
      <c r="AC32" s="110"/>
      <c r="AD32" s="110"/>
      <c r="AE32" s="110"/>
      <c r="AF32" s="110"/>
      <c r="AG32" s="110"/>
      <c r="AH32" s="110"/>
      <c r="AP32" s="337">
        <f t="shared" si="4"/>
        <v>6</v>
      </c>
      <c r="AQ32" s="337">
        <v>16</v>
      </c>
      <c r="AR32" s="337" t="str">
        <f t="shared" si="0"/>
        <v>Southampton</v>
      </c>
      <c r="AS32" s="336">
        <f t="shared" si="5"/>
        <v>1733553</v>
      </c>
      <c r="AT32" s="305">
        <f t="shared" si="1"/>
        <v>1859151</v>
      </c>
      <c r="AU32" s="305">
        <f t="shared" si="6"/>
        <v>24598796.125</v>
      </c>
      <c r="AV32" s="365">
        <f t="shared" si="2"/>
        <v>22375264.875</v>
      </c>
      <c r="AW32" s="240"/>
      <c r="AX32" s="240"/>
      <c r="AY32" s="240"/>
      <c r="AZ32" s="240"/>
      <c r="BA32" s="240"/>
      <c r="BB32" s="240"/>
      <c r="BC32" s="240"/>
      <c r="BD32" s="240"/>
      <c r="BE32" s="240"/>
      <c r="BF32" s="240"/>
      <c r="BG32" s="240"/>
      <c r="BH32" s="240"/>
      <c r="BI32" s="240"/>
      <c r="BJ32" s="240"/>
      <c r="BK32" s="240"/>
      <c r="BL32" s="240"/>
      <c r="BM32" s="240"/>
      <c r="BN32" s="240"/>
      <c r="BO32" s="240"/>
      <c r="BP32" s="240"/>
    </row>
    <row r="33" spans="2:64">
      <c r="C33" s="103"/>
      <c r="D33" s="103"/>
      <c r="E33" s="103"/>
      <c r="F33" s="103"/>
      <c r="G33" s="103"/>
      <c r="H33" s="103"/>
      <c r="I33" s="103"/>
      <c r="J33" s="103"/>
      <c r="K33" s="103"/>
      <c r="L33" s="103"/>
      <c r="M33" s="103"/>
      <c r="N33" s="103"/>
      <c r="O33" s="103"/>
      <c r="Q33" s="224"/>
      <c r="W33" s="110"/>
      <c r="X33" s="110"/>
      <c r="Y33" s="110"/>
      <c r="Z33" s="110"/>
      <c r="AA33" s="110"/>
      <c r="AB33" s="110"/>
      <c r="AC33" s="110"/>
      <c r="AD33" s="110"/>
      <c r="AE33" s="110"/>
      <c r="AF33" s="110"/>
      <c r="AG33" s="110"/>
      <c r="AH33" s="110"/>
    </row>
    <row r="34" spans="2:64">
      <c r="B34" s="5" t="s">
        <v>1137</v>
      </c>
      <c r="C34" s="89">
        <f t="shared" ref="C34:O34" si="8">AVERAGE(C17:C32)</f>
        <v>19602170.65625</v>
      </c>
      <c r="D34" s="89">
        <f t="shared" si="8"/>
        <v>19384800.78125</v>
      </c>
      <c r="E34" s="89">
        <f t="shared" si="8"/>
        <v>19632269.734375</v>
      </c>
      <c r="F34" s="89">
        <f t="shared" si="8"/>
        <v>19722277</v>
      </c>
      <c r="G34" s="89">
        <f t="shared" si="8"/>
        <v>21376233.65625</v>
      </c>
      <c r="H34" s="89">
        <f t="shared" si="8"/>
        <v>22375264.875</v>
      </c>
      <c r="I34" s="89">
        <f t="shared" si="8"/>
        <v>20390772.4375</v>
      </c>
      <c r="J34" s="89">
        <f t="shared" si="8"/>
        <v>23885014.828125</v>
      </c>
      <c r="K34" s="89">
        <f t="shared" si="8"/>
        <v>23750676.734375</v>
      </c>
      <c r="L34" s="89">
        <f t="shared" si="8"/>
        <v>22919398.921875</v>
      </c>
      <c r="M34" s="89">
        <f t="shared" si="8"/>
        <v>22957141.671875</v>
      </c>
      <c r="N34" s="89">
        <f t="shared" si="8"/>
        <v>24333031.421875</v>
      </c>
      <c r="O34" s="89">
        <f t="shared" si="8"/>
        <v>24598796.125</v>
      </c>
      <c r="Q34" s="341">
        <f>(O34/H34)-1</f>
        <v>9.9374521929542103E-2</v>
      </c>
      <c r="W34" s="110"/>
      <c r="X34" s="110"/>
      <c r="Y34" s="110"/>
      <c r="Z34" s="110"/>
      <c r="AA34" s="110"/>
      <c r="AB34" s="110"/>
      <c r="AC34" s="110"/>
      <c r="AD34" s="110"/>
      <c r="AE34" s="110"/>
      <c r="AF34" s="110"/>
      <c r="AG34" s="110"/>
      <c r="AH34" s="110"/>
    </row>
    <row r="35" spans="2:64">
      <c r="B35" s="5" t="s">
        <v>1142</v>
      </c>
      <c r="C35" s="89">
        <f t="shared" ref="C35:O35" si="9">MIN(C17:C32)</f>
        <v>865005</v>
      </c>
      <c r="D35" s="89">
        <f t="shared" si="9"/>
        <v>840165</v>
      </c>
      <c r="E35" s="89">
        <f t="shared" si="9"/>
        <v>792217</v>
      </c>
      <c r="F35" s="89">
        <f t="shared" si="9"/>
        <v>1371067</v>
      </c>
      <c r="G35" s="89">
        <f t="shared" si="9"/>
        <v>1547746</v>
      </c>
      <c r="H35" s="89">
        <f t="shared" si="9"/>
        <v>1859151</v>
      </c>
      <c r="I35" s="89">
        <f t="shared" si="9"/>
        <v>1548367</v>
      </c>
      <c r="J35" s="89">
        <f t="shared" si="9"/>
        <v>1965422</v>
      </c>
      <c r="K35" s="89">
        <f t="shared" si="9"/>
        <v>1945767</v>
      </c>
      <c r="L35" s="89">
        <f t="shared" si="9"/>
        <v>1789443</v>
      </c>
      <c r="M35" s="89">
        <f t="shared" si="9"/>
        <v>1733553</v>
      </c>
      <c r="N35" s="89">
        <f t="shared" si="9"/>
        <v>1733553</v>
      </c>
      <c r="O35" s="89">
        <f t="shared" si="9"/>
        <v>1733553</v>
      </c>
      <c r="Q35" s="341">
        <f t="shared" ref="Q35:Q36" si="10">(O35/H35)-1</f>
        <v>-6.7556642790176813E-2</v>
      </c>
      <c r="W35" s="110"/>
      <c r="X35" s="110"/>
      <c r="Y35" s="110"/>
      <c r="Z35" s="110"/>
      <c r="AA35" s="110"/>
      <c r="AB35" s="110"/>
      <c r="AC35" s="110"/>
      <c r="AD35" s="110"/>
      <c r="AE35" s="110"/>
      <c r="AF35" s="110"/>
      <c r="AG35" s="110"/>
      <c r="AH35" s="110"/>
      <c r="AY35" s="5" t="s">
        <v>1130</v>
      </c>
    </row>
    <row r="36" spans="2:64">
      <c r="B36" s="5" t="s">
        <v>1143</v>
      </c>
      <c r="C36" s="89">
        <f t="shared" ref="C36:O36" si="11">MAX(C17:C32)</f>
        <v>64327303</v>
      </c>
      <c r="D36" s="89">
        <f t="shared" si="11"/>
        <v>60385086</v>
      </c>
      <c r="E36" s="89">
        <f t="shared" si="11"/>
        <v>62979337</v>
      </c>
      <c r="F36" s="89">
        <f t="shared" si="11"/>
        <v>64260395</v>
      </c>
      <c r="G36" s="89">
        <f t="shared" si="11"/>
        <v>67651563</v>
      </c>
      <c r="H36" s="89">
        <f t="shared" si="11"/>
        <v>67419390</v>
      </c>
      <c r="I36" s="89">
        <f t="shared" si="11"/>
        <v>46498286</v>
      </c>
      <c r="J36" s="89">
        <f t="shared" si="11"/>
        <v>67852387</v>
      </c>
      <c r="K36" s="89">
        <f t="shared" si="11"/>
        <v>66906954</v>
      </c>
      <c r="L36" s="89">
        <f t="shared" si="11"/>
        <v>65906643</v>
      </c>
      <c r="M36" s="89">
        <f t="shared" si="11"/>
        <v>65745250</v>
      </c>
      <c r="N36" s="89">
        <f t="shared" si="11"/>
        <v>69390591</v>
      </c>
      <c r="O36" s="89">
        <f t="shared" si="11"/>
        <v>69983531</v>
      </c>
      <c r="Q36" s="341">
        <f t="shared" si="10"/>
        <v>3.8032693561896647E-2</v>
      </c>
      <c r="W36" s="110"/>
      <c r="X36" s="110"/>
      <c r="Y36" s="110"/>
      <c r="Z36" s="110"/>
      <c r="AA36" s="110"/>
      <c r="AB36" s="110"/>
      <c r="AC36" s="110"/>
      <c r="AD36" s="110"/>
      <c r="AE36" s="110"/>
      <c r="AF36" s="110"/>
      <c r="AG36" s="110"/>
      <c r="AH36" s="110"/>
    </row>
    <row r="37" spans="2:64" ht="15">
      <c r="X37" s="262"/>
    </row>
    <row r="38" spans="2:64" ht="16.5">
      <c r="B38" s="7" t="s">
        <v>1338</v>
      </c>
      <c r="C38" s="6"/>
      <c r="D38" s="6"/>
      <c r="E38" s="6"/>
      <c r="F38" s="6"/>
      <c r="G38" s="6"/>
      <c r="H38" s="6"/>
      <c r="I38" s="6"/>
      <c r="J38" s="6"/>
      <c r="K38" s="6"/>
      <c r="L38" s="6"/>
      <c r="M38" s="6"/>
      <c r="N38" s="6"/>
      <c r="O38" s="6"/>
      <c r="P38" s="6"/>
      <c r="Q38" s="257"/>
      <c r="R38" s="6"/>
      <c r="S38" s="6"/>
      <c r="T38" s="6"/>
      <c r="V38" s="7" t="s">
        <v>1337</v>
      </c>
      <c r="W38" s="6"/>
      <c r="X38" s="6"/>
      <c r="Y38" s="6"/>
      <c r="Z38" s="6"/>
      <c r="AA38" s="6"/>
      <c r="AB38" s="6"/>
      <c r="AC38" s="6"/>
      <c r="AD38" s="6"/>
      <c r="AE38" s="6"/>
      <c r="AF38" s="6"/>
      <c r="AG38" s="6"/>
      <c r="AH38" s="6"/>
      <c r="AI38" s="6"/>
      <c r="AJ38" s="6"/>
      <c r="AK38" s="6"/>
      <c r="AL38" s="6"/>
      <c r="AM38" s="6"/>
      <c r="AN38" s="6"/>
      <c r="AP38" s="7" t="s">
        <v>1158</v>
      </c>
      <c r="AQ38" s="6"/>
      <c r="AR38" s="6"/>
      <c r="AS38" s="6"/>
      <c r="AT38" s="6"/>
      <c r="AU38" s="6"/>
      <c r="AV38" s="6"/>
      <c r="AW38" s="6"/>
      <c r="AY38" s="7" t="s">
        <v>1159</v>
      </c>
      <c r="AZ38" s="6"/>
      <c r="BA38" s="6"/>
      <c r="BB38" s="6"/>
      <c r="BC38" s="6"/>
      <c r="BD38" s="6"/>
      <c r="BE38" s="6"/>
      <c r="BF38" s="6"/>
      <c r="BG38" s="6"/>
      <c r="BH38" s="6"/>
    </row>
    <row r="39" spans="2:64" s="60" customFormat="1" ht="16.5">
      <c r="B39" s="64"/>
      <c r="C39" s="35"/>
      <c r="D39" s="35"/>
      <c r="E39" s="35"/>
      <c r="F39" s="35"/>
      <c r="G39" s="35"/>
      <c r="H39" s="35"/>
      <c r="I39" s="35"/>
      <c r="J39" s="35"/>
      <c r="K39" s="35"/>
      <c r="L39" s="35"/>
      <c r="M39" s="35"/>
      <c r="N39" s="35"/>
      <c r="O39" s="35"/>
      <c r="P39" s="35"/>
      <c r="Q39" s="258"/>
      <c r="R39" s="35"/>
      <c r="S39" s="35"/>
      <c r="T39" s="35"/>
      <c r="V39" s="64"/>
      <c r="W39" s="35"/>
      <c r="X39" s="35"/>
      <c r="Y39" s="35"/>
      <c r="Z39" s="35"/>
      <c r="AA39" s="35"/>
      <c r="AB39" s="35"/>
      <c r="AC39" s="35"/>
      <c r="AD39" s="35"/>
      <c r="AE39" s="35"/>
      <c r="AF39" s="35"/>
      <c r="AG39" s="35"/>
      <c r="AH39" s="35"/>
      <c r="AI39" s="35"/>
      <c r="AJ39" s="35"/>
      <c r="AK39" s="35"/>
      <c r="AL39" s="35"/>
      <c r="AM39" s="35"/>
      <c r="AN39" s="35"/>
      <c r="AP39" s="64"/>
      <c r="AQ39" s="35"/>
      <c r="AR39" s="35"/>
      <c r="AS39" s="35"/>
      <c r="AT39" s="35"/>
      <c r="AU39" s="35"/>
      <c r="AV39" s="35"/>
      <c r="AW39" s="35"/>
    </row>
    <row r="40" spans="2:64">
      <c r="AP40" s="30" t="s">
        <v>1138</v>
      </c>
      <c r="AY40" s="30" t="s">
        <v>1138</v>
      </c>
    </row>
    <row r="41" spans="2:64">
      <c r="B41" s="30" t="s">
        <v>1126</v>
      </c>
      <c r="C41" s="239">
        <v>2000</v>
      </c>
      <c r="D41" s="239">
        <v>2001</v>
      </c>
      <c r="E41" s="239">
        <v>2002</v>
      </c>
      <c r="F41" s="239">
        <v>2003</v>
      </c>
      <c r="G41" s="239">
        <v>2004</v>
      </c>
      <c r="H41" s="239">
        <v>2005</v>
      </c>
      <c r="I41" s="239">
        <v>2006</v>
      </c>
      <c r="J41" s="239">
        <v>2007</v>
      </c>
      <c r="K41" s="239">
        <v>2008</v>
      </c>
      <c r="L41" s="239">
        <v>2009</v>
      </c>
      <c r="M41" s="239">
        <v>2010</v>
      </c>
      <c r="N41" s="239">
        <v>2011</v>
      </c>
      <c r="O41" s="239">
        <v>2012</v>
      </c>
      <c r="Q41" s="69" t="s">
        <v>1144</v>
      </c>
      <c r="V41" s="30" t="s">
        <v>1126</v>
      </c>
      <c r="W41" s="239">
        <v>2000</v>
      </c>
      <c r="X41" s="239">
        <v>2001</v>
      </c>
      <c r="Y41" s="239">
        <v>2002</v>
      </c>
      <c r="Z41" s="239">
        <v>2003</v>
      </c>
      <c r="AA41" s="239">
        <v>2004</v>
      </c>
      <c r="AB41" s="239">
        <v>2005</v>
      </c>
      <c r="AC41" s="239">
        <v>2006</v>
      </c>
      <c r="AD41" s="239">
        <v>2007</v>
      </c>
      <c r="AE41" s="239">
        <v>2008</v>
      </c>
      <c r="AF41" s="239">
        <v>2009</v>
      </c>
      <c r="AG41" s="239">
        <v>2010</v>
      </c>
      <c r="AH41" s="239">
        <v>2011</v>
      </c>
      <c r="AI41" s="239">
        <v>2012</v>
      </c>
      <c r="AK41" s="69" t="s">
        <v>1144</v>
      </c>
      <c r="AP41" s="30" t="s">
        <v>324</v>
      </c>
      <c r="AQ41" s="30" t="s">
        <v>243</v>
      </c>
      <c r="AR41" s="30" t="s">
        <v>142</v>
      </c>
      <c r="AS41" s="69">
        <v>2012</v>
      </c>
      <c r="AT41" s="69">
        <v>2005</v>
      </c>
      <c r="AU41" s="69" t="s">
        <v>1238</v>
      </c>
      <c r="AV41" s="69" t="s">
        <v>1239</v>
      </c>
      <c r="AW41" s="69" t="s">
        <v>1129</v>
      </c>
      <c r="AX41" s="69"/>
      <c r="AY41" s="30" t="s">
        <v>324</v>
      </c>
      <c r="AZ41" s="30" t="s">
        <v>243</v>
      </c>
      <c r="BA41" s="30" t="s">
        <v>142</v>
      </c>
      <c r="BB41" s="69">
        <v>2012</v>
      </c>
      <c r="BC41" s="69">
        <v>2005</v>
      </c>
      <c r="BD41" s="69" t="s">
        <v>1238</v>
      </c>
      <c r="BE41" s="69" t="s">
        <v>1239</v>
      </c>
      <c r="BF41" s="69" t="s">
        <v>1129</v>
      </c>
      <c r="BG41" s="69"/>
      <c r="BH41" s="69"/>
      <c r="BI41" s="69"/>
      <c r="BJ41" s="69"/>
      <c r="BK41" s="69"/>
      <c r="BL41" s="69"/>
    </row>
    <row r="42" spans="2:64">
      <c r="B42" s="238" t="s">
        <v>116</v>
      </c>
      <c r="C42" s="339">
        <f>W42</f>
        <v>8.9497209555026256</v>
      </c>
      <c r="D42" s="339">
        <f t="shared" ref="D42:M42" si="12">X42</f>
        <v>9.8019801786203278</v>
      </c>
      <c r="E42" s="339">
        <f t="shared" si="12"/>
        <v>9.4673890183388618</v>
      </c>
      <c r="F42" s="339">
        <f t="shared" si="12"/>
        <v>10.414298117653756</v>
      </c>
      <c r="G42" s="339">
        <f t="shared" si="12"/>
        <v>9.7250019635022547</v>
      </c>
      <c r="H42" s="339">
        <f t="shared" si="12"/>
        <v>9.6621349783328903</v>
      </c>
      <c r="I42" s="339">
        <f t="shared" si="12"/>
        <v>8.6258231266970391</v>
      </c>
      <c r="J42" s="339">
        <f t="shared" si="12"/>
        <v>8.7340555024333995</v>
      </c>
      <c r="K42" s="339">
        <f t="shared" si="12"/>
        <v>8.7760934463461169</v>
      </c>
      <c r="L42" s="339">
        <f t="shared" si="12"/>
        <v>15.246613420549238</v>
      </c>
      <c r="M42" s="339">
        <f t="shared" si="12"/>
        <v>14.264285387201415</v>
      </c>
      <c r="N42" s="339">
        <f>AH42</f>
        <v>12.64051720447778</v>
      </c>
      <c r="O42" s="363">
        <f>AI42</f>
        <v>12.64051720447778</v>
      </c>
      <c r="Q42" s="341">
        <f>(O42/H42)-1</f>
        <v>0.30825301373079972</v>
      </c>
      <c r="R42" s="240"/>
      <c r="S42" s="240"/>
      <c r="V42" s="238" t="s">
        <v>116</v>
      </c>
      <c r="W42" s="339">
        <f>ABD!D99</f>
        <v>8.9497209555026256</v>
      </c>
      <c r="X42" s="339">
        <f>ABD!E99</f>
        <v>9.8019801786203278</v>
      </c>
      <c r="Y42" s="339">
        <f>ABD!F99</f>
        <v>9.4673890183388618</v>
      </c>
      <c r="Z42" s="339">
        <f>ABD!G99</f>
        <v>10.414298117653756</v>
      </c>
      <c r="AA42" s="339">
        <f>ABD!H99</f>
        <v>9.7250019635022547</v>
      </c>
      <c r="AB42" s="339">
        <f>ABD!I99</f>
        <v>9.6621349783328903</v>
      </c>
      <c r="AC42" s="339">
        <f>ABD!J99</f>
        <v>8.6258231266970391</v>
      </c>
      <c r="AD42" s="339">
        <f>ABD!K99</f>
        <v>8.7340555024333995</v>
      </c>
      <c r="AE42" s="339">
        <f>ABD!L99</f>
        <v>8.7760934463461169</v>
      </c>
      <c r="AF42" s="339">
        <f>ABD!M99</f>
        <v>15.246613420549238</v>
      </c>
      <c r="AG42" s="339">
        <f>ABD!N99</f>
        <v>14.264285387201415</v>
      </c>
      <c r="AH42" s="339">
        <f>ABD!O99</f>
        <v>12.64051720447778</v>
      </c>
      <c r="AI42" s="363">
        <f>AH42</f>
        <v>12.64051720447778</v>
      </c>
      <c r="AK42" s="341">
        <f>AI42/AB42</f>
        <v>1.3082530137307997</v>
      </c>
      <c r="AP42" s="337">
        <f>RANK(O42,$O$42:$O$57)</f>
        <v>6</v>
      </c>
      <c r="AQ42" s="337">
        <v>1</v>
      </c>
      <c r="AR42" s="337" t="str">
        <f>INDEX($B$42:$B$57,MATCH(AQ42,$AP$42:$AP$57,0),0)</f>
        <v>Heathrow</v>
      </c>
      <c r="AS42" s="342">
        <f>VLOOKUP(AR42,$B$42:$O$57,14,FALSE)</f>
        <v>23.495588412825093</v>
      </c>
      <c r="AT42" s="343">
        <f>VLOOKUP(AR42,$B$42:$N$57,7,FALSE)</f>
        <v>14.224917631184006</v>
      </c>
      <c r="AU42" s="343">
        <f>$O$59</f>
        <v>13.208875461824752</v>
      </c>
      <c r="AV42" s="343">
        <f>$O$63</f>
        <v>12.273121561355429</v>
      </c>
      <c r="AW42" s="344">
        <f>$H$59</f>
        <v>12.651030867624501</v>
      </c>
      <c r="AX42" s="240"/>
      <c r="AY42" s="337">
        <f>RANK(AI42,$AI$42:$AI$57)</f>
        <v>6</v>
      </c>
      <c r="AZ42" s="337">
        <v>1</v>
      </c>
      <c r="BA42" s="337" t="str">
        <f t="shared" ref="BA42:BA57" si="13">INDEX($V$42:$V$57,MATCH(AZ42,$AY$42:$AY$57,0),0)</f>
        <v>Heathrow</v>
      </c>
      <c r="BB42" s="342">
        <f>VLOOKUP(BA42,$V$42:$AI$57,14,FALSE)</f>
        <v>23.495588412825093</v>
      </c>
      <c r="BC42" s="343">
        <f>VLOOKUP(BA42,$B$42:$N$57,7,FALSE)</f>
        <v>14.224917631184006</v>
      </c>
      <c r="BD42" s="343">
        <f>$AI$59</f>
        <v>12.393729166909516</v>
      </c>
      <c r="BE42" s="343">
        <f>$AI$63</f>
        <v>11.543547234260634</v>
      </c>
      <c r="BF42" s="344">
        <f>$AB$59</f>
        <v>12.741310971287444</v>
      </c>
      <c r="BG42" s="240"/>
      <c r="BH42" s="240"/>
      <c r="BI42" s="240"/>
      <c r="BJ42" s="240"/>
      <c r="BK42" s="240"/>
      <c r="BL42" s="240"/>
    </row>
    <row r="43" spans="2:64">
      <c r="B43" s="90" t="s">
        <v>1051</v>
      </c>
      <c r="C43" s="340">
        <f>Amsterdam!D124</f>
        <v>12.748847085434068</v>
      </c>
      <c r="D43" s="340">
        <f>Amsterdam!E124</f>
        <v>13.207080267420293</v>
      </c>
      <c r="E43" s="340">
        <f>Amsterdam!F124</f>
        <v>14.073451862774725</v>
      </c>
      <c r="F43" s="340">
        <f>Amsterdam!G124</f>
        <v>16.010514330066076</v>
      </c>
      <c r="G43" s="340">
        <f>Amsterdam!H124</f>
        <v>15.136589690451521</v>
      </c>
      <c r="H43" s="340">
        <f>Amsterdam!I124</f>
        <v>14.323144034122201</v>
      </c>
      <c r="I43" s="340">
        <f>Amsterdam!J124</f>
        <v>15.281884437252153</v>
      </c>
      <c r="J43" s="340">
        <f>Amsterdam!K124</f>
        <v>15.542007610367257</v>
      </c>
      <c r="K43" s="340">
        <f>Amsterdam!L124</f>
        <v>15.773829910808018</v>
      </c>
      <c r="L43" s="340">
        <f>Amsterdam!M124</f>
        <v>18.055062924959088</v>
      </c>
      <c r="M43" s="340">
        <f>Amsterdam!N124</f>
        <v>16.13641950105146</v>
      </c>
      <c r="N43" s="340">
        <f>Amsterdam!O124</f>
        <v>14.897677108651857</v>
      </c>
      <c r="O43" s="340">
        <f>Amsterdam!P124</f>
        <v>14.972062407509178</v>
      </c>
      <c r="Q43" s="341">
        <f t="shared" ref="Q43:Q57" si="14">(O43/H43)-1</f>
        <v>4.5305581780162862E-2</v>
      </c>
      <c r="V43" s="90" t="s">
        <v>1051</v>
      </c>
      <c r="W43" s="340">
        <f>Amsterdam!D163</f>
        <v>14.935000473791932</v>
      </c>
      <c r="X43" s="340">
        <f>Amsterdam!E163</f>
        <v>14.581939248281573</v>
      </c>
      <c r="Y43" s="340">
        <f>Amsterdam!F163</f>
        <v>15.659897021631199</v>
      </c>
      <c r="Z43" s="340">
        <f>Amsterdam!G163</f>
        <v>15.945116952380531</v>
      </c>
      <c r="AA43" s="340">
        <f>Amsterdam!H163</f>
        <v>15.893982900906192</v>
      </c>
      <c r="AB43" s="340">
        <f>Amsterdam!I163</f>
        <v>15.163541348466431</v>
      </c>
      <c r="AC43" s="340">
        <f>Amsterdam!J163</f>
        <v>16.541362820351612</v>
      </c>
      <c r="AD43" s="340">
        <f>Amsterdam!K163</f>
        <v>17.662826208688273</v>
      </c>
      <c r="AE43" s="340">
        <f>Amsterdam!L163</f>
        <v>15.982762203007058</v>
      </c>
      <c r="AF43" s="340">
        <f>Amsterdam!M163</f>
        <v>16.096471905615335</v>
      </c>
      <c r="AG43" s="340">
        <f>Amsterdam!N163</f>
        <v>14.965889221849951</v>
      </c>
      <c r="AH43" s="340">
        <f>Amsterdam!O163</f>
        <v>14.214953617154881</v>
      </c>
      <c r="AI43" s="340">
        <f>Amsterdam!P163</f>
        <v>13.602910922382113</v>
      </c>
      <c r="AK43" s="341">
        <f t="shared" ref="AK43:AK57" si="15">AI43/AB43</f>
        <v>0.89708008240158543</v>
      </c>
      <c r="AP43" s="337">
        <f t="shared" ref="AP43:AP57" si="16">RANK(O43,$O$42:$O$57)</f>
        <v>4</v>
      </c>
      <c r="AQ43" s="337">
        <v>2</v>
      </c>
      <c r="AR43" s="337" t="str">
        <f>INDEX($B$42:$B$57,MATCH(AQ43,$AP$42:$AP$57,0),0)</f>
        <v>Zurich</v>
      </c>
      <c r="AS43" s="342">
        <f t="shared" ref="AS43:AS57" si="17">VLOOKUP(AR43,$B$42:$O$57,14,FALSE)</f>
        <v>21.135179450154844</v>
      </c>
      <c r="AT43" s="343">
        <f>VLOOKUP(AR43,$B$42:$N$57,7,FALSE)</f>
        <v>24.532149796526539</v>
      </c>
      <c r="AU43" s="343">
        <f t="shared" ref="AU43:AU57" si="18">$O$59</f>
        <v>13.208875461824752</v>
      </c>
      <c r="AV43" s="343">
        <f t="shared" ref="AV43:AV57" si="19">$O$63</f>
        <v>12.273121561355429</v>
      </c>
      <c r="AW43" s="344">
        <f>$H$59</f>
        <v>12.651030867624501</v>
      </c>
      <c r="AX43" s="240"/>
      <c r="AY43" s="337">
        <f t="shared" ref="AY43:AY57" si="20">RANK(AI43,$AI$42:$AI$57)</f>
        <v>3</v>
      </c>
      <c r="AZ43" s="337">
        <v>2</v>
      </c>
      <c r="BA43" s="337" t="str">
        <f t="shared" si="13"/>
        <v>Munich</v>
      </c>
      <c r="BB43" s="342">
        <f t="shared" ref="BB43:BB57" si="21">VLOOKUP(BA43,$V$42:$AI$57,14,FALSE)</f>
        <v>18.727779641016422</v>
      </c>
      <c r="BC43" s="343">
        <f>VLOOKUP(BA43,$B$42:$N$57,7,FALSE)</f>
        <v>33.547845278699874</v>
      </c>
      <c r="BD43" s="343">
        <f t="shared" ref="BD43:BD57" si="22">$AI$59</f>
        <v>12.393729166909516</v>
      </c>
      <c r="BE43" s="343">
        <f t="shared" ref="BE43:BE57" si="23">$AI$63</f>
        <v>11.543547234260634</v>
      </c>
      <c r="BF43" s="344">
        <f>$AB$59</f>
        <v>12.741310971287444</v>
      </c>
      <c r="BG43" s="240"/>
      <c r="BH43" s="240"/>
      <c r="BI43" s="240"/>
      <c r="BJ43" s="240"/>
      <c r="BK43" s="240"/>
      <c r="BL43" s="240"/>
    </row>
    <row r="44" spans="2:64">
      <c r="B44" s="238" t="s">
        <v>155</v>
      </c>
      <c r="C44" s="339">
        <f t="shared" ref="C44:C52" si="24">W44</f>
        <v>11.651875133227167</v>
      </c>
      <c r="D44" s="339">
        <f t="shared" ref="D44:D52" si="25">X44</f>
        <v>12.233010007887412</v>
      </c>
      <c r="E44" s="339">
        <f t="shared" ref="E44:E52" si="26">Y44</f>
        <v>11.561375458019693</v>
      </c>
      <c r="F44" s="339">
        <f t="shared" ref="F44:F52" si="27">Z44</f>
        <v>10.371639847421712</v>
      </c>
      <c r="G44" s="339">
        <f t="shared" ref="G44:G52" si="28">AA44</f>
        <v>10.933793689799927</v>
      </c>
      <c r="H44" s="339">
        <f t="shared" ref="H44:H52" si="29">AB44</f>
        <v>9.9109600109400198</v>
      </c>
      <c r="I44" s="339">
        <f t="shared" ref="I44:I52" si="30">AC44</f>
        <v>11.302225767300401</v>
      </c>
      <c r="J44" s="339">
        <f t="shared" ref="J44:J52" si="31">AD44</f>
        <v>10.563551104643565</v>
      </c>
      <c r="K44" s="339">
        <f t="shared" ref="K44:K52" si="32">AE44</f>
        <v>10.082867776356624</v>
      </c>
      <c r="L44" s="339">
        <f t="shared" ref="L44:L52" si="33">AF44</f>
        <v>10.396742805398612</v>
      </c>
      <c r="M44" s="339">
        <f t="shared" ref="M44:M52" si="34">AG44</f>
        <v>10.447115630182948</v>
      </c>
      <c r="N44" s="339">
        <f>M44</f>
        <v>10.447115630182948</v>
      </c>
      <c r="O44" s="363">
        <f>N44</f>
        <v>10.447115630182948</v>
      </c>
      <c r="Q44" s="341">
        <f t="shared" si="14"/>
        <v>5.4097243723221888E-2</v>
      </c>
      <c r="V44" s="238" t="s">
        <v>155</v>
      </c>
      <c r="W44" s="339">
        <f>BIR!D95</f>
        <v>11.651875133227167</v>
      </c>
      <c r="X44" s="339">
        <f>BIR!E95</f>
        <v>12.233010007887412</v>
      </c>
      <c r="Y44" s="339">
        <f>BIR!F95</f>
        <v>11.561375458019693</v>
      </c>
      <c r="Z44" s="339">
        <f>BIR!G95</f>
        <v>10.371639847421712</v>
      </c>
      <c r="AA44" s="339">
        <f>BIR!H95</f>
        <v>10.933793689799927</v>
      </c>
      <c r="AB44" s="339">
        <f>BIR!I95</f>
        <v>9.9109600109400198</v>
      </c>
      <c r="AC44" s="339">
        <f>BIR!J95</f>
        <v>11.302225767300401</v>
      </c>
      <c r="AD44" s="339">
        <f>BIR!K95</f>
        <v>10.563551104643565</v>
      </c>
      <c r="AE44" s="339">
        <f>BIR!L95</f>
        <v>10.082867776356624</v>
      </c>
      <c r="AF44" s="339">
        <f>BIR!M95</f>
        <v>10.396742805398612</v>
      </c>
      <c r="AG44" s="339">
        <f>BIR!N95</f>
        <v>10.447115630182948</v>
      </c>
      <c r="AH44" s="339">
        <f>AG44</f>
        <v>10.447115630182948</v>
      </c>
      <c r="AI44" s="363">
        <f>AH44</f>
        <v>10.447115630182948</v>
      </c>
      <c r="AK44" s="341">
        <f t="shared" si="15"/>
        <v>1.0540972437232219</v>
      </c>
      <c r="AP44" s="337">
        <f t="shared" si="16"/>
        <v>13</v>
      </c>
      <c r="AQ44" s="337">
        <v>3</v>
      </c>
      <c r="AR44" s="337" t="str">
        <f t="shared" ref="AR44:AR57" si="35">INDEX($B$42:$B$57,MATCH(AQ44,$AP$42:$AP$57,0),0)</f>
        <v>Munich</v>
      </c>
      <c r="AS44" s="342">
        <f t="shared" si="17"/>
        <v>19.712288872091278</v>
      </c>
      <c r="AT44" s="343">
        <f t="shared" ref="AT44:AT57" si="36">VLOOKUP(AR44,$B$42:$N$57,7,FALSE)</f>
        <v>33.547845278699874</v>
      </c>
      <c r="AU44" s="343">
        <f t="shared" si="18"/>
        <v>13.208875461824752</v>
      </c>
      <c r="AV44" s="343">
        <f t="shared" si="19"/>
        <v>12.273121561355429</v>
      </c>
      <c r="AW44" s="344">
        <f t="shared" ref="AW44:AW57" si="37">$H$59</f>
        <v>12.651030867624501</v>
      </c>
      <c r="AX44" s="240"/>
      <c r="AY44" s="337">
        <f t="shared" si="20"/>
        <v>12</v>
      </c>
      <c r="AZ44" s="337">
        <v>3</v>
      </c>
      <c r="BA44" s="337" t="str">
        <f t="shared" si="13"/>
        <v>Amsterdam</v>
      </c>
      <c r="BB44" s="342">
        <f t="shared" si="21"/>
        <v>13.602910922382113</v>
      </c>
      <c r="BC44" s="343">
        <f t="shared" ref="BC44:BC57" si="38">VLOOKUP(BA44,$B$42:$N$57,7,FALSE)</f>
        <v>14.323144034122201</v>
      </c>
      <c r="BD44" s="343">
        <f t="shared" si="22"/>
        <v>12.393729166909516</v>
      </c>
      <c r="BE44" s="343">
        <f t="shared" si="23"/>
        <v>11.543547234260634</v>
      </c>
      <c r="BF44" s="344">
        <f t="shared" ref="BF44:BF57" si="39">$AB$59</f>
        <v>12.741310971287444</v>
      </c>
      <c r="BG44" s="240"/>
      <c r="BH44" s="240"/>
      <c r="BI44" s="240"/>
      <c r="BJ44" s="240"/>
      <c r="BK44" s="240"/>
      <c r="BL44" s="240"/>
    </row>
    <row r="45" spans="2:64">
      <c r="B45" s="238" t="s">
        <v>115</v>
      </c>
      <c r="C45" s="339">
        <f t="shared" si="24"/>
        <v>8.1684626229908694</v>
      </c>
      <c r="D45" s="339">
        <f t="shared" si="25"/>
        <v>8.1795617832378653</v>
      </c>
      <c r="E45" s="339">
        <f t="shared" si="26"/>
        <v>7.6370484916511314</v>
      </c>
      <c r="F45" s="339">
        <f t="shared" si="27"/>
        <v>7.2462684146339846</v>
      </c>
      <c r="G45" s="339">
        <f t="shared" si="28"/>
        <v>6.8207261240327757</v>
      </c>
      <c r="H45" s="339">
        <f t="shared" si="29"/>
        <v>6.6574392924329091</v>
      </c>
      <c r="I45" s="339">
        <f t="shared" si="30"/>
        <v>6.4113597878744901</v>
      </c>
      <c r="J45" s="339">
        <f t="shared" si="31"/>
        <v>6.595085685224638</v>
      </c>
      <c r="K45" s="339">
        <f t="shared" si="32"/>
        <v>6.4863535046705962</v>
      </c>
      <c r="L45" s="339">
        <f t="shared" si="33"/>
        <v>9.5429913356984617</v>
      </c>
      <c r="M45" s="339">
        <f t="shared" si="34"/>
        <v>8.0194317731402371</v>
      </c>
      <c r="N45" s="339">
        <f t="shared" ref="N45:O52" si="40">AH45</f>
        <v>9.0023385275337944</v>
      </c>
      <c r="O45" s="339">
        <f t="shared" si="40"/>
        <v>11.112244607329567</v>
      </c>
      <c r="Q45" s="341">
        <f t="shared" si="14"/>
        <v>0.66914696765769288</v>
      </c>
      <c r="V45" s="238" t="s">
        <v>115</v>
      </c>
      <c r="W45" s="339">
        <f>EDIN!D100</f>
        <v>8.1684626229908694</v>
      </c>
      <c r="X45" s="339">
        <f>EDIN!E100</f>
        <v>8.1795617832378653</v>
      </c>
      <c r="Y45" s="339">
        <f>EDIN!F100</f>
        <v>7.6370484916511314</v>
      </c>
      <c r="Z45" s="339">
        <f>EDIN!G100</f>
        <v>7.2462684146339846</v>
      </c>
      <c r="AA45" s="339">
        <f>EDIN!H100</f>
        <v>6.8207261240327757</v>
      </c>
      <c r="AB45" s="339">
        <f>EDIN!I100</f>
        <v>6.6574392924329091</v>
      </c>
      <c r="AC45" s="339">
        <f>EDIN!J100</f>
        <v>6.4113597878744901</v>
      </c>
      <c r="AD45" s="339">
        <f>EDIN!K100</f>
        <v>6.595085685224638</v>
      </c>
      <c r="AE45" s="339">
        <f>EDIN!L100</f>
        <v>6.4863535046705962</v>
      </c>
      <c r="AF45" s="339">
        <f>EDIN!M100</f>
        <v>9.5429913356984617</v>
      </c>
      <c r="AG45" s="339">
        <f>EDIN!N100</f>
        <v>8.0194317731402371</v>
      </c>
      <c r="AH45" s="339">
        <f>EDIN!O100</f>
        <v>9.0023385275337944</v>
      </c>
      <c r="AI45" s="339">
        <f>EDIN!P100</f>
        <v>11.112244607329567</v>
      </c>
      <c r="AK45" s="341">
        <f t="shared" si="15"/>
        <v>1.6691469676576929</v>
      </c>
      <c r="AP45" s="337">
        <f t="shared" si="16"/>
        <v>10</v>
      </c>
      <c r="AQ45" s="337">
        <v>4</v>
      </c>
      <c r="AR45" s="337" t="str">
        <f t="shared" si="35"/>
        <v>Amsterdam</v>
      </c>
      <c r="AS45" s="342">
        <f t="shared" si="17"/>
        <v>14.972062407509178</v>
      </c>
      <c r="AT45" s="343">
        <f>VLOOKUP(AR45,$B$42:$N$57,7,FALSE)</f>
        <v>14.323144034122201</v>
      </c>
      <c r="AU45" s="343">
        <f t="shared" si="18"/>
        <v>13.208875461824752</v>
      </c>
      <c r="AV45" s="343">
        <f t="shared" si="19"/>
        <v>12.273121561355429</v>
      </c>
      <c r="AW45" s="344">
        <f t="shared" si="37"/>
        <v>12.651030867624501</v>
      </c>
      <c r="AX45" s="240"/>
      <c r="AY45" s="337">
        <f t="shared" si="20"/>
        <v>10</v>
      </c>
      <c r="AZ45" s="337">
        <v>4</v>
      </c>
      <c r="BA45" s="337" t="str">
        <f t="shared" si="13"/>
        <v>Hong Kong</v>
      </c>
      <c r="BB45" s="342">
        <f t="shared" si="21"/>
        <v>12.73356850328163</v>
      </c>
      <c r="BC45" s="343">
        <f t="shared" si="38"/>
        <v>11.159174322419481</v>
      </c>
      <c r="BD45" s="343">
        <f t="shared" si="22"/>
        <v>12.393729166909516</v>
      </c>
      <c r="BE45" s="343">
        <f t="shared" si="23"/>
        <v>11.543547234260634</v>
      </c>
      <c r="BF45" s="344">
        <f t="shared" si="39"/>
        <v>12.741310971287444</v>
      </c>
      <c r="BG45" s="240"/>
      <c r="BH45" s="240"/>
      <c r="BI45" s="240"/>
      <c r="BJ45" s="240"/>
      <c r="BK45" s="240"/>
      <c r="BL45" s="240"/>
    </row>
    <row r="46" spans="2:64">
      <c r="B46" s="238" t="s">
        <v>107</v>
      </c>
      <c r="C46" s="339">
        <f>W46</f>
        <v>8.8822332909155879</v>
      </c>
      <c r="D46" s="339">
        <f t="shared" si="25"/>
        <v>9.8858515867401664</v>
      </c>
      <c r="E46" s="339">
        <f t="shared" si="26"/>
        <v>9.9599752232226795</v>
      </c>
      <c r="F46" s="339">
        <f t="shared" si="27"/>
        <v>10.244628535898256</v>
      </c>
      <c r="G46" s="339">
        <f t="shared" si="28"/>
        <v>9.7601863603050045</v>
      </c>
      <c r="H46" s="339">
        <f t="shared" si="29"/>
        <v>10.515593784088949</v>
      </c>
      <c r="I46" s="339">
        <f t="shared" si="30"/>
        <v>9.7138946063582594</v>
      </c>
      <c r="J46" s="339">
        <f t="shared" si="31"/>
        <v>10.745903408265516</v>
      </c>
      <c r="K46" s="339">
        <f t="shared" si="32"/>
        <v>11.687829005455262</v>
      </c>
      <c r="L46" s="339">
        <f t="shared" si="33"/>
        <v>20.386750579786764</v>
      </c>
      <c r="M46" s="339">
        <f t="shared" si="34"/>
        <v>12.59950462636262</v>
      </c>
      <c r="N46" s="339">
        <f t="shared" si="40"/>
        <v>11.867555009755828</v>
      </c>
      <c r="O46" s="339">
        <f t="shared" si="40"/>
        <v>11.963677356755834</v>
      </c>
      <c r="Q46" s="341">
        <f t="shared" si="14"/>
        <v>0.13770820767705638</v>
      </c>
      <c r="V46" s="238" t="s">
        <v>107</v>
      </c>
      <c r="W46" s="339">
        <f>GAT!D114</f>
        <v>8.8822332909155879</v>
      </c>
      <c r="X46" s="339">
        <f>GAT!E114</f>
        <v>9.8858515867401664</v>
      </c>
      <c r="Y46" s="339">
        <f>GAT!F114</f>
        <v>9.9599752232226795</v>
      </c>
      <c r="Z46" s="339">
        <f>GAT!G114</f>
        <v>10.244628535898256</v>
      </c>
      <c r="AA46" s="339">
        <f>GAT!H114</f>
        <v>9.7601863603050045</v>
      </c>
      <c r="AB46" s="339">
        <f>GAT!I114</f>
        <v>10.515593784088949</v>
      </c>
      <c r="AC46" s="339">
        <f>GAT!J114</f>
        <v>9.7138946063582594</v>
      </c>
      <c r="AD46" s="339">
        <f>GAT!K114</f>
        <v>10.745903408265516</v>
      </c>
      <c r="AE46" s="339">
        <f>GAT!L114</f>
        <v>11.687829005455262</v>
      </c>
      <c r="AF46" s="339">
        <f>GAT!M114</f>
        <v>20.386750579786764</v>
      </c>
      <c r="AG46" s="339">
        <f>GAT!N114</f>
        <v>12.59950462636262</v>
      </c>
      <c r="AH46" s="339">
        <f>GAT!O114</f>
        <v>11.867555009755828</v>
      </c>
      <c r="AI46" s="339">
        <f>GAT!P114</f>
        <v>11.963677356755834</v>
      </c>
      <c r="AK46" s="341">
        <f t="shared" si="15"/>
        <v>1.1377082076770564</v>
      </c>
      <c r="AP46" s="337">
        <f t="shared" si="16"/>
        <v>8</v>
      </c>
      <c r="AQ46" s="337">
        <v>5</v>
      </c>
      <c r="AR46" s="337" t="str">
        <f t="shared" si="35"/>
        <v>Dublin</v>
      </c>
      <c r="AS46" s="342">
        <f t="shared" si="17"/>
        <v>12.676443178925842</v>
      </c>
      <c r="AT46" s="343">
        <f t="shared" si="36"/>
        <v>10.700570955760014</v>
      </c>
      <c r="AU46" s="343">
        <f t="shared" si="18"/>
        <v>13.208875461824752</v>
      </c>
      <c r="AV46" s="343">
        <f t="shared" si="19"/>
        <v>12.273121561355429</v>
      </c>
      <c r="AW46" s="344">
        <f t="shared" si="37"/>
        <v>12.651030867624501</v>
      </c>
      <c r="AX46" s="240"/>
      <c r="AY46" s="337">
        <f t="shared" si="20"/>
        <v>8</v>
      </c>
      <c r="AZ46" s="337">
        <v>5</v>
      </c>
      <c r="BA46" s="337" t="str">
        <f t="shared" si="13"/>
        <v>Zurich</v>
      </c>
      <c r="BB46" s="342">
        <f t="shared" si="21"/>
        <v>12.648154884484711</v>
      </c>
      <c r="BC46" s="343">
        <f t="shared" si="38"/>
        <v>24.532149796526539</v>
      </c>
      <c r="BD46" s="343">
        <f t="shared" si="22"/>
        <v>12.393729166909516</v>
      </c>
      <c r="BE46" s="343">
        <f t="shared" si="23"/>
        <v>11.543547234260634</v>
      </c>
      <c r="BF46" s="344">
        <f t="shared" si="39"/>
        <v>12.741310971287444</v>
      </c>
      <c r="BG46" s="240"/>
      <c r="BH46" s="240"/>
      <c r="BI46" s="240"/>
      <c r="BJ46" s="240"/>
      <c r="BK46" s="240"/>
      <c r="BL46" s="240"/>
    </row>
    <row r="47" spans="2:64">
      <c r="B47" s="238" t="s">
        <v>114</v>
      </c>
      <c r="C47" s="339">
        <f t="shared" si="24"/>
        <v>8.6021783142431545</v>
      </c>
      <c r="D47" s="339">
        <f t="shared" si="25"/>
        <v>8.5188164159191739</v>
      </c>
      <c r="E47" s="339">
        <f t="shared" si="26"/>
        <v>8.3609389143378952</v>
      </c>
      <c r="F47" s="339">
        <f t="shared" si="27"/>
        <v>8.3827989068587474</v>
      </c>
      <c r="G47" s="339">
        <f t="shared" si="28"/>
        <v>8.0015706185653173</v>
      </c>
      <c r="H47" s="339">
        <f t="shared" si="29"/>
        <v>7.9243512386500434</v>
      </c>
      <c r="I47" s="339">
        <f t="shared" si="30"/>
        <v>7.0376673689034641</v>
      </c>
      <c r="J47" s="339">
        <f t="shared" si="31"/>
        <v>7.7784211296602219</v>
      </c>
      <c r="K47" s="339">
        <f t="shared" si="32"/>
        <v>7.1995989283702189</v>
      </c>
      <c r="L47" s="339">
        <f t="shared" si="33"/>
        <v>11.297645450781586</v>
      </c>
      <c r="M47" s="339">
        <f t="shared" si="34"/>
        <v>11.251792338106968</v>
      </c>
      <c r="N47" s="339">
        <f t="shared" si="40"/>
        <v>9.7420497702346776</v>
      </c>
      <c r="O47" s="363">
        <f t="shared" si="40"/>
        <v>9.7420497702346776</v>
      </c>
      <c r="Q47" s="341">
        <f t="shared" si="14"/>
        <v>0.22938136849853841</v>
      </c>
      <c r="V47" s="238" t="s">
        <v>114</v>
      </c>
      <c r="W47" s="339">
        <f>GLAS!D100</f>
        <v>8.6021783142431545</v>
      </c>
      <c r="X47" s="339">
        <f>GLAS!E100</f>
        <v>8.5188164159191739</v>
      </c>
      <c r="Y47" s="339">
        <f>GLAS!F100</f>
        <v>8.3609389143378952</v>
      </c>
      <c r="Z47" s="339">
        <f>GLAS!G100</f>
        <v>8.3827989068587474</v>
      </c>
      <c r="AA47" s="339">
        <f>GLAS!H100</f>
        <v>8.0015706185653173</v>
      </c>
      <c r="AB47" s="339">
        <f>GLAS!I100</f>
        <v>7.9243512386500434</v>
      </c>
      <c r="AC47" s="339">
        <f>GLAS!J100</f>
        <v>7.0376673689034641</v>
      </c>
      <c r="AD47" s="339">
        <f>GLAS!K100</f>
        <v>7.7784211296602219</v>
      </c>
      <c r="AE47" s="339">
        <f>GLAS!L100</f>
        <v>7.1995989283702189</v>
      </c>
      <c r="AF47" s="339">
        <f>GLAS!M100</f>
        <v>11.297645450781586</v>
      </c>
      <c r="AG47" s="339">
        <f>GLAS!N100</f>
        <v>11.251792338106968</v>
      </c>
      <c r="AH47" s="339">
        <f>GLAS!O100</f>
        <v>9.7420497702346776</v>
      </c>
      <c r="AI47" s="363">
        <f>AH47</f>
        <v>9.7420497702346776</v>
      </c>
      <c r="AK47" s="341">
        <f t="shared" si="15"/>
        <v>1.2293813684985384</v>
      </c>
      <c r="AP47" s="337">
        <f t="shared" si="16"/>
        <v>14</v>
      </c>
      <c r="AQ47" s="337">
        <v>6</v>
      </c>
      <c r="AR47" s="337" t="str">
        <f t="shared" si="35"/>
        <v>Aberdeen</v>
      </c>
      <c r="AS47" s="342">
        <f t="shared" si="17"/>
        <v>12.64051720447778</v>
      </c>
      <c r="AT47" s="343">
        <f t="shared" si="36"/>
        <v>9.6621349783328903</v>
      </c>
      <c r="AU47" s="343">
        <f t="shared" si="18"/>
        <v>13.208875461824752</v>
      </c>
      <c r="AV47" s="343">
        <f t="shared" si="19"/>
        <v>12.273121561355429</v>
      </c>
      <c r="AW47" s="344">
        <f t="shared" si="37"/>
        <v>12.651030867624501</v>
      </c>
      <c r="AX47" s="240"/>
      <c r="AY47" s="337">
        <f t="shared" si="20"/>
        <v>14</v>
      </c>
      <c r="AZ47" s="337">
        <v>6</v>
      </c>
      <c r="BA47" s="337" t="str">
        <f t="shared" si="13"/>
        <v>Aberdeen</v>
      </c>
      <c r="BB47" s="342">
        <f t="shared" si="21"/>
        <v>12.64051720447778</v>
      </c>
      <c r="BC47" s="343">
        <f t="shared" si="38"/>
        <v>9.6621349783328903</v>
      </c>
      <c r="BD47" s="343">
        <f t="shared" si="22"/>
        <v>12.393729166909516</v>
      </c>
      <c r="BE47" s="343">
        <f t="shared" si="23"/>
        <v>11.543547234260634</v>
      </c>
      <c r="BF47" s="344">
        <f t="shared" si="39"/>
        <v>12.741310971287444</v>
      </c>
      <c r="BG47" s="240"/>
      <c r="BH47" s="240"/>
      <c r="BI47" s="240"/>
      <c r="BJ47" s="240"/>
      <c r="BK47" s="240"/>
      <c r="BL47" s="240"/>
    </row>
    <row r="48" spans="2:64">
      <c r="B48" s="238" t="s">
        <v>105</v>
      </c>
      <c r="C48" s="339">
        <f>W48</f>
        <v>11.72457597361853</v>
      </c>
      <c r="D48" s="339">
        <f t="shared" si="25"/>
        <v>13.264694762615946</v>
      </c>
      <c r="E48" s="339">
        <f t="shared" si="26"/>
        <v>12.777947880861403</v>
      </c>
      <c r="F48" s="339">
        <f t="shared" si="27"/>
        <v>12.960170842151593</v>
      </c>
      <c r="G48" s="339">
        <f t="shared" si="28"/>
        <v>13.08222187788328</v>
      </c>
      <c r="H48" s="339">
        <f t="shared" si="29"/>
        <v>14.224917631184006</v>
      </c>
      <c r="I48" s="339">
        <f t="shared" si="30"/>
        <v>15.154366893917214</v>
      </c>
      <c r="J48" s="339">
        <f t="shared" si="31"/>
        <v>17.727042899144237</v>
      </c>
      <c r="K48" s="339">
        <f t="shared" si="32"/>
        <v>23.129329188121432</v>
      </c>
      <c r="L48" s="339">
        <f t="shared" si="33"/>
        <v>27.259534555451911</v>
      </c>
      <c r="M48" s="339">
        <f t="shared" si="34"/>
        <v>23.577694944359475</v>
      </c>
      <c r="N48" s="339">
        <f t="shared" si="40"/>
        <v>22.111831733374832</v>
      </c>
      <c r="O48" s="339">
        <f t="shared" si="40"/>
        <v>23.495588412825093</v>
      </c>
      <c r="Q48" s="341">
        <f t="shared" si="14"/>
        <v>0.65172052464597963</v>
      </c>
      <c r="V48" s="238" t="s">
        <v>105</v>
      </c>
      <c r="W48" s="339">
        <f>HTROW!D114</f>
        <v>11.72457597361853</v>
      </c>
      <c r="X48" s="339">
        <f>HTROW!E114</f>
        <v>13.264694762615946</v>
      </c>
      <c r="Y48" s="339">
        <f>HTROW!F114</f>
        <v>12.777947880861403</v>
      </c>
      <c r="Z48" s="339">
        <f>HTROW!G114</f>
        <v>12.960170842151593</v>
      </c>
      <c r="AA48" s="339">
        <f>HTROW!H114</f>
        <v>13.08222187788328</v>
      </c>
      <c r="AB48" s="339">
        <f>HTROW!I114</f>
        <v>14.224917631184006</v>
      </c>
      <c r="AC48" s="339">
        <f>HTROW!J114</f>
        <v>15.154366893917214</v>
      </c>
      <c r="AD48" s="339">
        <f>HTROW!K114</f>
        <v>17.727042899144237</v>
      </c>
      <c r="AE48" s="339">
        <f>HTROW!L114</f>
        <v>23.129329188121432</v>
      </c>
      <c r="AF48" s="339">
        <f>HTROW!M114</f>
        <v>27.259534555451911</v>
      </c>
      <c r="AG48" s="339">
        <f>HTROW!N114</f>
        <v>23.577694944359475</v>
      </c>
      <c r="AH48" s="339">
        <f>HTROW!O114</f>
        <v>22.111831733374832</v>
      </c>
      <c r="AI48" s="339">
        <f>HTROW!P114</f>
        <v>23.495588412825093</v>
      </c>
      <c r="AK48" s="341">
        <f t="shared" si="15"/>
        <v>1.6517205246459796</v>
      </c>
      <c r="AP48" s="337">
        <f t="shared" si="16"/>
        <v>1</v>
      </c>
      <c r="AQ48" s="337">
        <v>7</v>
      </c>
      <c r="AR48" s="337" t="str">
        <f t="shared" si="35"/>
        <v>Manchester</v>
      </c>
      <c r="AS48" s="342">
        <f t="shared" si="17"/>
        <v>12.131485887606106</v>
      </c>
      <c r="AT48" s="343">
        <f t="shared" si="36"/>
        <v>12.217517038942889</v>
      </c>
      <c r="AU48" s="343">
        <f t="shared" si="18"/>
        <v>13.208875461824752</v>
      </c>
      <c r="AV48" s="343">
        <f t="shared" si="19"/>
        <v>12.273121561355429</v>
      </c>
      <c r="AW48" s="344">
        <f t="shared" si="37"/>
        <v>12.651030867624501</v>
      </c>
      <c r="AX48" s="240"/>
      <c r="AY48" s="337">
        <f t="shared" si="20"/>
        <v>1</v>
      </c>
      <c r="AZ48" s="337">
        <v>7</v>
      </c>
      <c r="BA48" s="337" t="str">
        <f t="shared" si="13"/>
        <v>Manchester</v>
      </c>
      <c r="BB48" s="342">
        <f t="shared" si="21"/>
        <v>12.131485887606106</v>
      </c>
      <c r="BC48" s="343">
        <f t="shared" si="38"/>
        <v>12.217517038942889</v>
      </c>
      <c r="BD48" s="343">
        <f t="shared" si="22"/>
        <v>12.393729166909516</v>
      </c>
      <c r="BE48" s="343">
        <f t="shared" si="23"/>
        <v>11.543547234260634</v>
      </c>
      <c r="BF48" s="344">
        <f t="shared" si="39"/>
        <v>12.741310971287444</v>
      </c>
      <c r="BG48" s="240"/>
      <c r="BH48" s="240"/>
      <c r="BI48" s="240"/>
      <c r="BJ48" s="240"/>
      <c r="BK48" s="240"/>
      <c r="BL48" s="240"/>
    </row>
    <row r="49" spans="2:64">
      <c r="B49" s="238" t="s">
        <v>156</v>
      </c>
      <c r="C49" s="339">
        <f t="shared" si="24"/>
        <v>10.40683760494084</v>
      </c>
      <c r="D49" s="339">
        <f t="shared" si="25"/>
        <v>14.611976921226892</v>
      </c>
      <c r="E49" s="339">
        <f t="shared" si="26"/>
        <v>11.599418697422728</v>
      </c>
      <c r="F49" s="339">
        <f t="shared" si="27"/>
        <v>11.583609929202293</v>
      </c>
      <c r="G49" s="339">
        <f t="shared" si="28"/>
        <v>9.012891034134503</v>
      </c>
      <c r="H49" s="339">
        <f t="shared" si="29"/>
        <v>8.6812449159424894</v>
      </c>
      <c r="I49" s="339">
        <f t="shared" si="30"/>
        <v>8.9525674443703629</v>
      </c>
      <c r="J49" s="339">
        <f t="shared" si="31"/>
        <v>8.9461860770925146</v>
      </c>
      <c r="K49" s="339">
        <f t="shared" si="32"/>
        <v>9.0481814907781128</v>
      </c>
      <c r="L49" s="339">
        <f t="shared" si="33"/>
        <v>9.6479742685058589</v>
      </c>
      <c r="M49" s="339">
        <f t="shared" si="34"/>
        <v>9.9259358127380057</v>
      </c>
      <c r="N49" s="339">
        <f t="shared" si="40"/>
        <v>9.3659064055519377</v>
      </c>
      <c r="O49" s="339">
        <f t="shared" si="40"/>
        <v>9.5016989066774507</v>
      </c>
      <c r="Q49" s="341">
        <f t="shared" si="14"/>
        <v>9.4508794381351402E-2</v>
      </c>
      <c r="V49" s="238" t="s">
        <v>156</v>
      </c>
      <c r="W49" s="339">
        <f>LTN!D95</f>
        <v>10.40683760494084</v>
      </c>
      <c r="X49" s="339">
        <f>LTN!E95</f>
        <v>14.611976921226892</v>
      </c>
      <c r="Y49" s="339">
        <f>LTN!F95</f>
        <v>11.599418697422728</v>
      </c>
      <c r="Z49" s="339">
        <f>LTN!G95</f>
        <v>11.583609929202293</v>
      </c>
      <c r="AA49" s="339">
        <f>LTN!H95</f>
        <v>9.012891034134503</v>
      </c>
      <c r="AB49" s="339">
        <f>LTN!I95</f>
        <v>8.6812449159424894</v>
      </c>
      <c r="AC49" s="339">
        <f>LTN!J95</f>
        <v>8.9525674443703629</v>
      </c>
      <c r="AD49" s="339">
        <f>LTN!K95</f>
        <v>8.9461860770925146</v>
      </c>
      <c r="AE49" s="339">
        <f>LTN!L95</f>
        <v>9.0481814907781128</v>
      </c>
      <c r="AF49" s="339">
        <f>LTN!M95</f>
        <v>9.6479742685058589</v>
      </c>
      <c r="AG49" s="339">
        <f>LTN!N95</f>
        <v>9.9259358127380057</v>
      </c>
      <c r="AH49" s="339">
        <f>LTN!O95</f>
        <v>9.3659064055519377</v>
      </c>
      <c r="AI49" s="339">
        <f>LTN!P95</f>
        <v>9.5016989066774507</v>
      </c>
      <c r="AK49" s="341">
        <f t="shared" si="15"/>
        <v>1.0945087943813514</v>
      </c>
      <c r="AP49" s="337">
        <f t="shared" si="16"/>
        <v>15</v>
      </c>
      <c r="AQ49" s="337">
        <v>8</v>
      </c>
      <c r="AR49" s="337" t="str">
        <f t="shared" si="35"/>
        <v>Gatwick</v>
      </c>
      <c r="AS49" s="342">
        <f t="shared" si="17"/>
        <v>11.963677356755834</v>
      </c>
      <c r="AT49" s="343">
        <f t="shared" si="36"/>
        <v>10.515593784088949</v>
      </c>
      <c r="AU49" s="343">
        <f t="shared" si="18"/>
        <v>13.208875461824752</v>
      </c>
      <c r="AV49" s="343">
        <f t="shared" si="19"/>
        <v>12.273121561355429</v>
      </c>
      <c r="AW49" s="344">
        <f t="shared" si="37"/>
        <v>12.651030867624501</v>
      </c>
      <c r="AX49" s="240"/>
      <c r="AY49" s="337">
        <f t="shared" si="20"/>
        <v>15</v>
      </c>
      <c r="AZ49" s="337">
        <v>8</v>
      </c>
      <c r="BA49" s="337" t="str">
        <f t="shared" si="13"/>
        <v>Gatwick</v>
      </c>
      <c r="BB49" s="342">
        <f t="shared" si="21"/>
        <v>11.963677356755834</v>
      </c>
      <c r="BC49" s="343">
        <f t="shared" si="38"/>
        <v>10.515593784088949</v>
      </c>
      <c r="BD49" s="343">
        <f t="shared" si="22"/>
        <v>12.393729166909516</v>
      </c>
      <c r="BE49" s="343">
        <f t="shared" si="23"/>
        <v>11.543547234260634</v>
      </c>
      <c r="BF49" s="344">
        <f t="shared" si="39"/>
        <v>12.741310971287444</v>
      </c>
      <c r="BG49" s="240"/>
      <c r="BH49" s="240"/>
      <c r="BI49" s="240"/>
      <c r="BJ49" s="240"/>
      <c r="BK49" s="240"/>
      <c r="BL49" s="240"/>
    </row>
    <row r="50" spans="2:64">
      <c r="B50" s="238" t="s">
        <v>204</v>
      </c>
      <c r="C50" s="339">
        <f t="shared" si="24"/>
        <v>13.758227765737901</v>
      </c>
      <c r="D50" s="339">
        <f t="shared" si="25"/>
        <v>15.505387835001851</v>
      </c>
      <c r="E50" s="339">
        <f t="shared" si="26"/>
        <v>14.580788951360935</v>
      </c>
      <c r="F50" s="339">
        <f t="shared" si="27"/>
        <v>11.835480296452785</v>
      </c>
      <c r="G50" s="339">
        <f t="shared" si="28"/>
        <v>11.777865223662872</v>
      </c>
      <c r="H50" s="339">
        <f t="shared" si="29"/>
        <v>12.217517038942889</v>
      </c>
      <c r="I50" s="339">
        <f t="shared" si="30"/>
        <v>11.601171082686092</v>
      </c>
      <c r="J50" s="339">
        <f t="shared" si="31"/>
        <v>11.049208119856251</v>
      </c>
      <c r="K50" s="339">
        <f t="shared" si="32"/>
        <v>12.170934501625194</v>
      </c>
      <c r="L50" s="339">
        <f t="shared" si="33"/>
        <v>13.132163946812051</v>
      </c>
      <c r="M50" s="339">
        <f t="shared" si="34"/>
        <v>13.095163183696108</v>
      </c>
      <c r="N50" s="339">
        <f t="shared" si="40"/>
        <v>12.131485887606106</v>
      </c>
      <c r="O50" s="363">
        <f t="shared" si="40"/>
        <v>12.131485887606106</v>
      </c>
      <c r="Q50" s="341">
        <f t="shared" si="14"/>
        <v>-7.0416231925490846E-3</v>
      </c>
      <c r="V50" s="238" t="s">
        <v>204</v>
      </c>
      <c r="W50" s="339">
        <f>MAN!D101</f>
        <v>13.758227765737901</v>
      </c>
      <c r="X50" s="339">
        <f>MAN!E101</f>
        <v>15.505387835001851</v>
      </c>
      <c r="Y50" s="339">
        <f>MAN!F101</f>
        <v>14.580788951360935</v>
      </c>
      <c r="Z50" s="339">
        <f>MAN!G101</f>
        <v>11.835480296452785</v>
      </c>
      <c r="AA50" s="339">
        <f>MAN!H101</f>
        <v>11.777865223662872</v>
      </c>
      <c r="AB50" s="339">
        <f>MAN!I101</f>
        <v>12.217517038942889</v>
      </c>
      <c r="AC50" s="339">
        <f>MAN!J101</f>
        <v>11.601171082686092</v>
      </c>
      <c r="AD50" s="339">
        <f>MAN!K101</f>
        <v>11.049208119856251</v>
      </c>
      <c r="AE50" s="339">
        <f>MAN!L101</f>
        <v>12.170934501625194</v>
      </c>
      <c r="AF50" s="339">
        <f>MAN!M101</f>
        <v>13.132163946812051</v>
      </c>
      <c r="AG50" s="339">
        <f>MAN!N101</f>
        <v>13.095163183696108</v>
      </c>
      <c r="AH50" s="339">
        <f>MAN!O101</f>
        <v>12.131485887606106</v>
      </c>
      <c r="AI50" s="363">
        <f>AH50</f>
        <v>12.131485887606106</v>
      </c>
      <c r="AK50" s="341">
        <f t="shared" si="15"/>
        <v>0.99295837680745092</v>
      </c>
      <c r="AP50" s="337">
        <f t="shared" si="16"/>
        <v>7</v>
      </c>
      <c r="AQ50" s="337">
        <v>9</v>
      </c>
      <c r="AR50" s="337" t="str">
        <f t="shared" si="35"/>
        <v>Southampton</v>
      </c>
      <c r="AS50" s="342">
        <f t="shared" si="17"/>
        <v>11.321720829307379</v>
      </c>
      <c r="AT50" s="343">
        <f t="shared" si="36"/>
        <v>8.4794095564569094</v>
      </c>
      <c r="AU50" s="343">
        <f t="shared" si="18"/>
        <v>13.208875461824752</v>
      </c>
      <c r="AV50" s="343">
        <f t="shared" si="19"/>
        <v>12.273121561355429</v>
      </c>
      <c r="AW50" s="344">
        <f t="shared" si="37"/>
        <v>12.651030867624501</v>
      </c>
      <c r="AX50" s="240"/>
      <c r="AY50" s="337">
        <f t="shared" si="20"/>
        <v>7</v>
      </c>
      <c r="AZ50" s="337">
        <v>9</v>
      </c>
      <c r="BA50" s="337" t="str">
        <f t="shared" si="13"/>
        <v>Southampton</v>
      </c>
      <c r="BB50" s="342">
        <f t="shared" si="21"/>
        <v>11.321720829307379</v>
      </c>
      <c r="BC50" s="343">
        <f t="shared" si="38"/>
        <v>8.4794095564569094</v>
      </c>
      <c r="BD50" s="343">
        <f t="shared" si="22"/>
        <v>12.393729166909516</v>
      </c>
      <c r="BE50" s="343">
        <f t="shared" si="23"/>
        <v>11.543547234260634</v>
      </c>
      <c r="BF50" s="344">
        <f t="shared" si="39"/>
        <v>12.741310971287444</v>
      </c>
      <c r="BG50" s="240"/>
      <c r="BH50" s="240"/>
      <c r="BI50" s="240"/>
      <c r="BJ50" s="240"/>
      <c r="BK50" s="240"/>
      <c r="BL50" s="240"/>
    </row>
    <row r="51" spans="2:64">
      <c r="B51" s="238" t="s">
        <v>113</v>
      </c>
      <c r="C51" s="363">
        <f>$I$51</f>
        <v>8.4794095564569094</v>
      </c>
      <c r="D51" s="363">
        <f t="shared" ref="D51:H51" si="41">$I$51</f>
        <v>8.4794095564569094</v>
      </c>
      <c r="E51" s="363">
        <f t="shared" si="41"/>
        <v>8.4794095564569094</v>
      </c>
      <c r="F51" s="363">
        <f t="shared" si="41"/>
        <v>8.4794095564569094</v>
      </c>
      <c r="G51" s="363">
        <f t="shared" si="41"/>
        <v>8.4794095564569094</v>
      </c>
      <c r="H51" s="363">
        <f t="shared" si="41"/>
        <v>8.4794095564569094</v>
      </c>
      <c r="I51" s="339">
        <f t="shared" si="30"/>
        <v>8.4794095564569094</v>
      </c>
      <c r="J51" s="339">
        <f t="shared" si="31"/>
        <v>10.687204455539684</v>
      </c>
      <c r="K51" s="339">
        <f t="shared" si="32"/>
        <v>11.776251871225966</v>
      </c>
      <c r="L51" s="339">
        <f t="shared" si="33"/>
        <v>15.754121766990707</v>
      </c>
      <c r="M51" s="339">
        <f>AG51</f>
        <v>11.321720829307379</v>
      </c>
      <c r="N51" s="363">
        <f>M51</f>
        <v>11.321720829307379</v>
      </c>
      <c r="O51" s="363">
        <f>N51</f>
        <v>11.321720829307379</v>
      </c>
      <c r="Q51" s="341">
        <f t="shared" si="14"/>
        <v>0.33520155547694985</v>
      </c>
      <c r="V51" s="238" t="s">
        <v>113</v>
      </c>
      <c r="W51" s="363">
        <f>$AC$51</f>
        <v>8.4794095564569094</v>
      </c>
      <c r="X51" s="363">
        <f t="shared" ref="X51:AA51" si="42">$AC$51</f>
        <v>8.4794095564569094</v>
      </c>
      <c r="Y51" s="363">
        <f t="shared" si="42"/>
        <v>8.4794095564569094</v>
      </c>
      <c r="Z51" s="363">
        <f t="shared" si="42"/>
        <v>8.4794095564569094</v>
      </c>
      <c r="AA51" s="363">
        <f t="shared" si="42"/>
        <v>8.4794095564569094</v>
      </c>
      <c r="AB51" s="363">
        <f>$AC$51</f>
        <v>8.4794095564569094</v>
      </c>
      <c r="AC51" s="339">
        <f>STHAM!J97</f>
        <v>8.4794095564569094</v>
      </c>
      <c r="AD51" s="339">
        <f>STHAM!K97</f>
        <v>10.687204455539684</v>
      </c>
      <c r="AE51" s="339">
        <f>STHAM!L97</f>
        <v>11.776251871225966</v>
      </c>
      <c r="AF51" s="339">
        <f>STHAM!M97</f>
        <v>15.754121766990707</v>
      </c>
      <c r="AG51" s="339">
        <f>STHAM!N97</f>
        <v>11.321720829307379</v>
      </c>
      <c r="AH51" s="363">
        <f>AG51</f>
        <v>11.321720829307379</v>
      </c>
      <c r="AI51" s="363">
        <f>AH51</f>
        <v>11.321720829307379</v>
      </c>
      <c r="AK51" s="341">
        <f>AI51/AB51</f>
        <v>1.3352015554769499</v>
      </c>
      <c r="AP51" s="337">
        <f t="shared" si="16"/>
        <v>9</v>
      </c>
      <c r="AQ51" s="337">
        <v>10</v>
      </c>
      <c r="AR51" s="337" t="str">
        <f t="shared" si="35"/>
        <v>Edinburgh</v>
      </c>
      <c r="AS51" s="342">
        <f t="shared" si="17"/>
        <v>11.112244607329567</v>
      </c>
      <c r="AT51" s="343">
        <f t="shared" si="36"/>
        <v>6.6574392924329091</v>
      </c>
      <c r="AU51" s="343">
        <f t="shared" si="18"/>
        <v>13.208875461824752</v>
      </c>
      <c r="AV51" s="343">
        <f t="shared" si="19"/>
        <v>12.273121561355429</v>
      </c>
      <c r="AW51" s="344">
        <f t="shared" si="37"/>
        <v>12.651030867624501</v>
      </c>
      <c r="AX51" s="240"/>
      <c r="AY51" s="337">
        <f t="shared" si="20"/>
        <v>9</v>
      </c>
      <c r="AZ51" s="337">
        <v>10</v>
      </c>
      <c r="BA51" s="337" t="str">
        <f t="shared" si="13"/>
        <v>Edinburgh</v>
      </c>
      <c r="BB51" s="342">
        <f t="shared" si="21"/>
        <v>11.112244607329567</v>
      </c>
      <c r="BC51" s="343">
        <f t="shared" si="38"/>
        <v>6.6574392924329091</v>
      </c>
      <c r="BD51" s="343">
        <f t="shared" si="22"/>
        <v>12.393729166909516</v>
      </c>
      <c r="BE51" s="343">
        <f t="shared" si="23"/>
        <v>11.543547234260634</v>
      </c>
      <c r="BF51" s="344">
        <f t="shared" si="39"/>
        <v>12.741310971287444</v>
      </c>
      <c r="BG51" s="240"/>
      <c r="BH51" s="240"/>
      <c r="BI51" s="240"/>
      <c r="BJ51" s="240"/>
      <c r="BK51" s="240"/>
      <c r="BL51" s="240"/>
    </row>
    <row r="52" spans="2:64">
      <c r="B52" s="238" t="s">
        <v>112</v>
      </c>
      <c r="C52" s="339">
        <f t="shared" si="24"/>
        <v>10.733552020771437</v>
      </c>
      <c r="D52" s="339">
        <f t="shared" si="25"/>
        <v>10.204916223988718</v>
      </c>
      <c r="E52" s="339">
        <f t="shared" si="26"/>
        <v>9.8390087359502605</v>
      </c>
      <c r="F52" s="339">
        <f t="shared" si="27"/>
        <v>7.4869894336577065</v>
      </c>
      <c r="G52" s="339">
        <f t="shared" si="28"/>
        <v>7.3434141659583396</v>
      </c>
      <c r="H52" s="339">
        <f t="shared" si="29"/>
        <v>7.1321790212070173</v>
      </c>
      <c r="I52" s="339">
        <f t="shared" si="30"/>
        <v>7.2205497560147966</v>
      </c>
      <c r="J52" s="339">
        <f t="shared" si="31"/>
        <v>7.0317584993577524</v>
      </c>
      <c r="K52" s="339">
        <f t="shared" si="32"/>
        <v>7.9886527189040963</v>
      </c>
      <c r="L52" s="339">
        <f t="shared" si="33"/>
        <v>8.7829754724229634</v>
      </c>
      <c r="M52" s="339">
        <f t="shared" si="34"/>
        <v>12.003722991343889</v>
      </c>
      <c r="N52" s="339">
        <f t="shared" si="40"/>
        <v>9.643292326993322</v>
      </c>
      <c r="O52" s="339">
        <f t="shared" si="40"/>
        <v>10.926404881088713</v>
      </c>
      <c r="Q52" s="341">
        <f t="shared" si="14"/>
        <v>0.53198690731119336</v>
      </c>
      <c r="V52" s="238" t="s">
        <v>112</v>
      </c>
      <c r="W52" s="339">
        <f>STAN!D113</f>
        <v>10.733552020771437</v>
      </c>
      <c r="X52" s="339">
        <f>STAN!E113</f>
        <v>10.204916223988718</v>
      </c>
      <c r="Y52" s="339">
        <f>STAN!F113</f>
        <v>9.8390087359502605</v>
      </c>
      <c r="Z52" s="339">
        <f>STAN!G113</f>
        <v>7.4869894336577065</v>
      </c>
      <c r="AA52" s="339">
        <f>STAN!H113</f>
        <v>7.3434141659583396</v>
      </c>
      <c r="AB52" s="339">
        <f>STAN!I113</f>
        <v>7.1321790212070173</v>
      </c>
      <c r="AC52" s="339">
        <f>STAN!J113</f>
        <v>7.2205497560147966</v>
      </c>
      <c r="AD52" s="339">
        <f>STAN!K113</f>
        <v>7.0317584993577524</v>
      </c>
      <c r="AE52" s="339">
        <f>STAN!L113</f>
        <v>7.9886527189040963</v>
      </c>
      <c r="AF52" s="339">
        <f>STAN!M113</f>
        <v>8.7829754724229634</v>
      </c>
      <c r="AG52" s="339">
        <f>STAN!N113</f>
        <v>12.003722991343889</v>
      </c>
      <c r="AH52" s="339">
        <f>STAN!O113</f>
        <v>9.643292326993322</v>
      </c>
      <c r="AI52" s="339">
        <f>STAN!P113</f>
        <v>10.926404881088713</v>
      </c>
      <c r="AK52" s="341">
        <f t="shared" si="15"/>
        <v>1.5319869073111934</v>
      </c>
      <c r="AP52" s="337">
        <f t="shared" si="16"/>
        <v>11</v>
      </c>
      <c r="AQ52" s="337">
        <v>11</v>
      </c>
      <c r="AR52" s="337" t="str">
        <f t="shared" si="35"/>
        <v>Stansted</v>
      </c>
      <c r="AS52" s="342">
        <f t="shared" si="17"/>
        <v>10.926404881088713</v>
      </c>
      <c r="AT52" s="343">
        <f t="shared" si="36"/>
        <v>7.1321790212070173</v>
      </c>
      <c r="AU52" s="343">
        <f t="shared" si="18"/>
        <v>13.208875461824752</v>
      </c>
      <c r="AV52" s="343">
        <f t="shared" si="19"/>
        <v>12.273121561355429</v>
      </c>
      <c r="AW52" s="344">
        <f t="shared" si="37"/>
        <v>12.651030867624501</v>
      </c>
      <c r="AX52" s="240"/>
      <c r="AY52" s="337">
        <f t="shared" si="20"/>
        <v>11</v>
      </c>
      <c r="AZ52" s="337">
        <v>11</v>
      </c>
      <c r="BA52" s="337" t="str">
        <f t="shared" si="13"/>
        <v>Stansted</v>
      </c>
      <c r="BB52" s="342">
        <f t="shared" si="21"/>
        <v>10.926404881088713</v>
      </c>
      <c r="BC52" s="343">
        <f t="shared" si="38"/>
        <v>7.1321790212070173</v>
      </c>
      <c r="BD52" s="343">
        <f t="shared" si="22"/>
        <v>12.393729166909516</v>
      </c>
      <c r="BE52" s="343">
        <f t="shared" si="23"/>
        <v>11.543547234260634</v>
      </c>
      <c r="BF52" s="344">
        <f t="shared" si="39"/>
        <v>12.741310971287444</v>
      </c>
      <c r="BG52" s="240"/>
      <c r="BH52" s="240"/>
      <c r="BI52" s="240"/>
      <c r="BJ52" s="240"/>
      <c r="BK52" s="240"/>
      <c r="BL52" s="240"/>
    </row>
    <row r="53" spans="2:64">
      <c r="B53" s="5" t="s">
        <v>392</v>
      </c>
      <c r="C53" s="339">
        <f>Copenhagen!D103</f>
        <v>10.351329138722145</v>
      </c>
      <c r="D53" s="339">
        <f>Copenhagen!E103</f>
        <v>12.206768354157019</v>
      </c>
      <c r="E53" s="339">
        <f>Copenhagen!F103</f>
        <v>12.095618223202763</v>
      </c>
      <c r="F53" s="339">
        <f>Copenhagen!G103</f>
        <v>12.135985268404905</v>
      </c>
      <c r="G53" s="339">
        <f>Copenhagen!H103</f>
        <v>11.799892742043481</v>
      </c>
      <c r="H53" s="339">
        <f>Copenhagen!I103</f>
        <v>12.747862026285782</v>
      </c>
      <c r="I53" s="339">
        <f>Copenhagen!J103</f>
        <v>11.035341254037416</v>
      </c>
      <c r="J53" s="339">
        <f>Copenhagen!K103</f>
        <v>10.784944010130298</v>
      </c>
      <c r="K53" s="339">
        <f>Copenhagen!L103</f>
        <v>11.311852285998725</v>
      </c>
      <c r="L53" s="339">
        <f>Copenhagen!M103</f>
        <v>12.346252469252269</v>
      </c>
      <c r="M53" s="339">
        <f>Copenhagen!N103</f>
        <v>11.832727294785457</v>
      </c>
      <c r="N53" s="339">
        <f>Copenhagen!O103</f>
        <v>10.860735321610655</v>
      </c>
      <c r="O53" s="339">
        <f>Copenhagen!P103</f>
        <v>10.615145632602452</v>
      </c>
      <c r="Q53" s="341">
        <f t="shared" si="14"/>
        <v>-0.16729992757104839</v>
      </c>
      <c r="V53" s="5" t="s">
        <v>392</v>
      </c>
      <c r="W53" s="339">
        <f>Copenhagen!D154</f>
        <v>9.2187561829560956</v>
      </c>
      <c r="X53" s="339">
        <f>Copenhagen!E154</f>
        <v>10.580306084865361</v>
      </c>
      <c r="Y53" s="339">
        <f>Copenhagen!F154</f>
        <v>10.571812666513788</v>
      </c>
      <c r="Z53" s="339">
        <f>Copenhagen!G154</f>
        <v>9.7232928088831034</v>
      </c>
      <c r="AA53" s="339">
        <f>Copenhagen!H154</f>
        <v>9.6748099045741185</v>
      </c>
      <c r="AB53" s="339">
        <f>Copenhagen!I154</f>
        <v>10.26687276182972</v>
      </c>
      <c r="AC53" s="339">
        <f>Copenhagen!J154</f>
        <v>8.9760589021446311</v>
      </c>
      <c r="AD53" s="339">
        <f>Copenhagen!K154</f>
        <v>8.9945501092596292</v>
      </c>
      <c r="AE53" s="339">
        <f>Copenhagen!L154</f>
        <v>8.2327748535028391</v>
      </c>
      <c r="AF53" s="339">
        <f>Copenhagen!M154</f>
        <v>8.2138146458909134</v>
      </c>
      <c r="AG53" s="339">
        <f>Copenhagen!N154</f>
        <v>8.2131032272258846</v>
      </c>
      <c r="AH53" s="339">
        <f>Copenhagen!O154</f>
        <v>7.6472069459545278</v>
      </c>
      <c r="AI53" s="339">
        <f>Copenhagen!P154</f>
        <v>7.4629889864080425</v>
      </c>
      <c r="AK53" s="341">
        <f t="shared" si="15"/>
        <v>0.72689991972570422</v>
      </c>
      <c r="AP53" s="337">
        <f t="shared" si="16"/>
        <v>12</v>
      </c>
      <c r="AQ53" s="337">
        <v>12</v>
      </c>
      <c r="AR53" s="337" t="str">
        <f t="shared" si="35"/>
        <v>Copenhagen</v>
      </c>
      <c r="AS53" s="342">
        <f t="shared" si="17"/>
        <v>10.615145632602452</v>
      </c>
      <c r="AT53" s="343">
        <f t="shared" si="36"/>
        <v>12.747862026285782</v>
      </c>
      <c r="AU53" s="343">
        <f t="shared" si="18"/>
        <v>13.208875461824752</v>
      </c>
      <c r="AV53" s="343">
        <f t="shared" si="19"/>
        <v>12.273121561355429</v>
      </c>
      <c r="AW53" s="344">
        <f t="shared" si="37"/>
        <v>12.651030867624501</v>
      </c>
      <c r="AX53" s="240"/>
      <c r="AY53" s="337">
        <f t="shared" si="20"/>
        <v>16</v>
      </c>
      <c r="AZ53" s="337">
        <v>12</v>
      </c>
      <c r="BA53" s="337" t="str">
        <f t="shared" si="13"/>
        <v>Birmingham</v>
      </c>
      <c r="BB53" s="342">
        <f t="shared" si="21"/>
        <v>10.447115630182948</v>
      </c>
      <c r="BC53" s="343">
        <f t="shared" si="38"/>
        <v>9.9109600109400198</v>
      </c>
      <c r="BD53" s="343">
        <f t="shared" si="22"/>
        <v>12.393729166909516</v>
      </c>
      <c r="BE53" s="343">
        <f t="shared" si="23"/>
        <v>11.543547234260634</v>
      </c>
      <c r="BF53" s="344">
        <f t="shared" si="39"/>
        <v>12.741310971287444</v>
      </c>
      <c r="BG53" s="240"/>
      <c r="BH53" s="240"/>
      <c r="BI53" s="240"/>
      <c r="BJ53" s="240"/>
      <c r="BK53" s="240"/>
      <c r="BL53" s="240"/>
    </row>
    <row r="54" spans="2:64">
      <c r="B54" s="238" t="s">
        <v>1053</v>
      </c>
      <c r="C54" s="363">
        <f>$I$54</f>
        <v>10.700570955760014</v>
      </c>
      <c r="D54" s="363">
        <f t="shared" ref="D54:H54" si="43">$I$54</f>
        <v>10.700570955760014</v>
      </c>
      <c r="E54" s="363">
        <f t="shared" si="43"/>
        <v>10.700570955760014</v>
      </c>
      <c r="F54" s="363">
        <f t="shared" si="43"/>
        <v>10.700570955760014</v>
      </c>
      <c r="G54" s="363">
        <f t="shared" si="43"/>
        <v>10.700570955760014</v>
      </c>
      <c r="H54" s="363">
        <f t="shared" si="43"/>
        <v>10.700570955760014</v>
      </c>
      <c r="I54" s="339">
        <f>Dublin!J115</f>
        <v>10.700570955760014</v>
      </c>
      <c r="J54" s="339">
        <f>Dublin!K115</f>
        <v>10.734150476922981</v>
      </c>
      <c r="K54" s="339">
        <f>Dublin!L115</f>
        <v>14.768043362026027</v>
      </c>
      <c r="L54" s="339">
        <f>Dublin!M115</f>
        <v>10.044126046220498</v>
      </c>
      <c r="M54" s="339">
        <f>Dublin!N115</f>
        <v>12.009496647115073</v>
      </c>
      <c r="N54" s="339">
        <f>Dublin!O115</f>
        <v>12.962351531296923</v>
      </c>
      <c r="O54" s="339">
        <f>Dublin!P115</f>
        <v>12.676443178925842</v>
      </c>
      <c r="Q54" s="341">
        <f>(O54/H54)-1</f>
        <v>0.18465110238834814</v>
      </c>
      <c r="V54" s="238" t="s">
        <v>1125</v>
      </c>
      <c r="W54" s="363">
        <f>$AC$54</f>
        <v>9.2502857743541753</v>
      </c>
      <c r="X54" s="363">
        <f t="shared" ref="X54:AB54" si="44">$AC$54</f>
        <v>9.2502857743541753</v>
      </c>
      <c r="Y54" s="363">
        <f t="shared" si="44"/>
        <v>9.2502857743541753</v>
      </c>
      <c r="Z54" s="363">
        <f t="shared" si="44"/>
        <v>9.2502857743541753</v>
      </c>
      <c r="AA54" s="363">
        <f t="shared" si="44"/>
        <v>9.2502857743541753</v>
      </c>
      <c r="AB54" s="363">
        <f t="shared" si="44"/>
        <v>9.2502857743541753</v>
      </c>
      <c r="AC54" s="339">
        <f>Dublin!J168</f>
        <v>9.2502857743541753</v>
      </c>
      <c r="AD54" s="339">
        <f>Dublin!K168</f>
        <v>9.609663022776175</v>
      </c>
      <c r="AE54" s="339">
        <f>Dublin!L168</f>
        <v>11.960101059678355</v>
      </c>
      <c r="AF54" s="339">
        <f>Dublin!M168</f>
        <v>7.7665753289611619</v>
      </c>
      <c r="AG54" s="339">
        <f>Dublin!N168</f>
        <v>10.405800916008241</v>
      </c>
      <c r="AH54" s="339">
        <f>Dublin!O168</f>
        <v>10.119952366561384</v>
      </c>
      <c r="AI54" s="339">
        <f>Dublin!P168</f>
        <v>9.8417602464937914</v>
      </c>
      <c r="AK54" s="341">
        <f t="shared" si="15"/>
        <v>1.0639412107439363</v>
      </c>
      <c r="AP54" s="337">
        <f t="shared" si="16"/>
        <v>5</v>
      </c>
      <c r="AQ54" s="337">
        <v>13</v>
      </c>
      <c r="AR54" s="337" t="str">
        <f t="shared" si="35"/>
        <v>Birmingham</v>
      </c>
      <c r="AS54" s="342">
        <f t="shared" si="17"/>
        <v>10.447115630182948</v>
      </c>
      <c r="AT54" s="343">
        <f t="shared" si="36"/>
        <v>9.9109600109400198</v>
      </c>
      <c r="AU54" s="343">
        <f t="shared" si="18"/>
        <v>13.208875461824752</v>
      </c>
      <c r="AV54" s="343">
        <f t="shared" si="19"/>
        <v>12.273121561355429</v>
      </c>
      <c r="AW54" s="344">
        <f t="shared" si="37"/>
        <v>12.651030867624501</v>
      </c>
      <c r="AX54" s="240"/>
      <c r="AY54" s="337">
        <f t="shared" si="20"/>
        <v>13</v>
      </c>
      <c r="AZ54" s="337">
        <v>13</v>
      </c>
      <c r="BA54" s="337" t="str">
        <f t="shared" si="13"/>
        <v xml:space="preserve">Dublin </v>
      </c>
      <c r="BB54" s="342">
        <f t="shared" si="21"/>
        <v>9.8417602464937914</v>
      </c>
      <c r="BC54" s="343" t="e">
        <f t="shared" si="38"/>
        <v>#N/A</v>
      </c>
      <c r="BD54" s="343">
        <f t="shared" si="22"/>
        <v>12.393729166909516</v>
      </c>
      <c r="BE54" s="343">
        <f t="shared" si="23"/>
        <v>11.543547234260634</v>
      </c>
      <c r="BF54" s="344">
        <f t="shared" si="39"/>
        <v>12.741310971287444</v>
      </c>
      <c r="BG54" s="240"/>
      <c r="BH54" s="240"/>
      <c r="BI54" s="240"/>
      <c r="BJ54" s="240"/>
      <c r="BK54" s="240"/>
      <c r="BL54" s="240"/>
    </row>
    <row r="55" spans="2:64">
      <c r="B55" s="238" t="s">
        <v>394</v>
      </c>
      <c r="C55" s="339">
        <f>'Hong Kong'!D101</f>
        <v>14.848695626503899</v>
      </c>
      <c r="D55" s="339">
        <f>'Hong Kong'!E101</f>
        <v>15.048356422738484</v>
      </c>
      <c r="E55" s="339">
        <f>'Hong Kong'!F101</f>
        <v>14.088494548791704</v>
      </c>
      <c r="F55" s="339">
        <f>'Hong Kong'!G101</f>
        <v>15.918941319406496</v>
      </c>
      <c r="G55" s="339">
        <f>'Hong Kong'!H101</f>
        <v>11.680857890709735</v>
      </c>
      <c r="H55" s="339">
        <f>'Hong Kong'!I101</f>
        <v>11.159174322419481</v>
      </c>
      <c r="I55" s="339">
        <f>'Hong Kong'!J101</f>
        <v>10.643916686438438</v>
      </c>
      <c r="J55" s="339">
        <f>'Hong Kong'!K101</f>
        <v>10.265075657625333</v>
      </c>
      <c r="K55" s="339">
        <f>'Hong Kong'!L101</f>
        <v>10.401106996087984</v>
      </c>
      <c r="L55" s="339">
        <f>'Hong Kong'!M101</f>
        <v>10.685059295464034</v>
      </c>
      <c r="M55" s="339">
        <f>'Hong Kong'!N101</f>
        <v>9.5755600118876831</v>
      </c>
      <c r="N55" s="339">
        <f>'Hong Kong'!O101</f>
        <v>9.1098526246067237</v>
      </c>
      <c r="O55" s="339">
        <f>'Hong Kong'!P101</f>
        <v>8.9483843614268981</v>
      </c>
      <c r="Q55" s="341">
        <f t="shared" si="14"/>
        <v>-0.19811411643162236</v>
      </c>
      <c r="V55" s="238" t="s">
        <v>394</v>
      </c>
      <c r="W55" s="339">
        <f>'Hong Kong'!D150</f>
        <v>14.857812431180477</v>
      </c>
      <c r="X55" s="339">
        <f>'Hong Kong'!E150</f>
        <v>14.765816646852601</v>
      </c>
      <c r="Y55" s="339">
        <f>'Hong Kong'!F150</f>
        <v>15.189298925285561</v>
      </c>
      <c r="Z55" s="339">
        <f>'Hong Kong'!G150</f>
        <v>20.666528359038523</v>
      </c>
      <c r="AA55" s="339">
        <f>'Hong Kong'!H150</f>
        <v>17.815711437861463</v>
      </c>
      <c r="AB55" s="339">
        <f>'Hong Kong'!I150</f>
        <v>17.451621251549255</v>
      </c>
      <c r="AC55" s="339">
        <f>'Hong Kong'!J150</f>
        <v>17.160752483387107</v>
      </c>
      <c r="AD55" s="339">
        <f>'Hong Kong'!K150</f>
        <v>18.459966279445343</v>
      </c>
      <c r="AE55" s="339">
        <f>'Hong Kong'!L150</f>
        <v>17.391699618471701</v>
      </c>
      <c r="AF55" s="339">
        <f>'Hong Kong'!M150</f>
        <v>15.165865359217443</v>
      </c>
      <c r="AG55" s="339">
        <f>'Hong Kong'!N150</f>
        <v>13.582421651685088</v>
      </c>
      <c r="AH55" s="339">
        <f>'Hong Kong'!O150</f>
        <v>13.46580105093725</v>
      </c>
      <c r="AI55" s="339">
        <f>'Hong Kong'!P150</f>
        <v>12.73356850328163</v>
      </c>
      <c r="AK55" s="341">
        <f t="shared" si="15"/>
        <v>0.72964960216239028</v>
      </c>
      <c r="AP55" s="337">
        <f t="shared" si="16"/>
        <v>16</v>
      </c>
      <c r="AQ55" s="337">
        <v>14</v>
      </c>
      <c r="AR55" s="337" t="str">
        <f t="shared" si="35"/>
        <v>Glasgow</v>
      </c>
      <c r="AS55" s="342">
        <f t="shared" si="17"/>
        <v>9.7420497702346776</v>
      </c>
      <c r="AT55" s="343">
        <f t="shared" si="36"/>
        <v>7.9243512386500434</v>
      </c>
      <c r="AU55" s="343">
        <f t="shared" si="18"/>
        <v>13.208875461824752</v>
      </c>
      <c r="AV55" s="343">
        <f t="shared" si="19"/>
        <v>12.273121561355429</v>
      </c>
      <c r="AW55" s="344">
        <f t="shared" si="37"/>
        <v>12.651030867624501</v>
      </c>
      <c r="AX55" s="240"/>
      <c r="AY55" s="337">
        <f t="shared" si="20"/>
        <v>4</v>
      </c>
      <c r="AZ55" s="337">
        <v>14</v>
      </c>
      <c r="BA55" s="337" t="str">
        <f t="shared" si="13"/>
        <v>Glasgow</v>
      </c>
      <c r="BB55" s="342">
        <f t="shared" si="21"/>
        <v>9.7420497702346776</v>
      </c>
      <c r="BC55" s="343">
        <f t="shared" si="38"/>
        <v>7.9243512386500434</v>
      </c>
      <c r="BD55" s="343">
        <f t="shared" si="22"/>
        <v>12.393729166909516</v>
      </c>
      <c r="BE55" s="343">
        <f t="shared" si="23"/>
        <v>11.543547234260634</v>
      </c>
      <c r="BF55" s="344">
        <f t="shared" si="39"/>
        <v>12.741310971287444</v>
      </c>
      <c r="BG55" s="240"/>
      <c r="BH55" s="240"/>
      <c r="BI55" s="240"/>
      <c r="BJ55" s="240"/>
      <c r="BK55" s="240"/>
      <c r="BL55" s="240"/>
    </row>
    <row r="56" spans="2:64">
      <c r="B56" s="5" t="s">
        <v>1050</v>
      </c>
      <c r="C56" s="339">
        <f>Munich!D99</f>
        <v>23.561999965148196</v>
      </c>
      <c r="D56" s="339">
        <f>Munich!E99</f>
        <v>23.625243626929752</v>
      </c>
      <c r="E56" s="339">
        <f>Munich!F99</f>
        <v>24.569062669915347</v>
      </c>
      <c r="F56" s="339">
        <f>Munich!G99</f>
        <v>26.986944406503497</v>
      </c>
      <c r="G56" s="339">
        <f>Munich!H99</f>
        <v>24.539779159986168</v>
      </c>
      <c r="H56" s="339">
        <f>Munich!I99</f>
        <v>33.547845278699874</v>
      </c>
      <c r="I56" s="339">
        <f>Munich!J99</f>
        <v>26.877655987544898</v>
      </c>
      <c r="J56" s="339">
        <f>Munich!K99</f>
        <v>24.634757477098098</v>
      </c>
      <c r="K56" s="339">
        <f>Munich!L99</f>
        <v>24.863586734814657</v>
      </c>
      <c r="L56" s="339">
        <f>Munich!M99</f>
        <v>26.271173398306399</v>
      </c>
      <c r="M56" s="339">
        <f>Munich!N99</f>
        <v>21.078216743518109</v>
      </c>
      <c r="N56" s="339">
        <f>Munich!O99</f>
        <v>19.712288872091278</v>
      </c>
      <c r="O56" s="363">
        <f>N56</f>
        <v>19.712288872091278</v>
      </c>
      <c r="Q56" s="341">
        <f t="shared" si="14"/>
        <v>-0.41241266888139128</v>
      </c>
      <c r="V56" s="5" t="s">
        <v>1050</v>
      </c>
      <c r="W56" s="339">
        <f>Munich!D146</f>
        <v>25.547641885983825</v>
      </c>
      <c r="X56" s="339">
        <f>Munich!E146</f>
        <v>25.206413880857248</v>
      </c>
      <c r="Y56" s="339">
        <f>Munich!F146</f>
        <v>26.517995776674855</v>
      </c>
      <c r="Z56" s="339">
        <f>Munich!G146</f>
        <v>27.754606577043802</v>
      </c>
      <c r="AA56" s="339">
        <f>Munich!H146</f>
        <v>26.124871125139119</v>
      </c>
      <c r="AB56" s="339">
        <f>Munich!I146</f>
        <v>36.631670855426378</v>
      </c>
      <c r="AC56" s="339">
        <f>Munich!J146</f>
        <v>29.977131462484099</v>
      </c>
      <c r="AD56" s="339">
        <f>Munich!K146</f>
        <v>28.070844012480055</v>
      </c>
      <c r="AE56" s="339">
        <f>Munich!L146</f>
        <v>24.787513998466398</v>
      </c>
      <c r="AF56" s="339">
        <f>Munich!M146</f>
        <v>23.609862410833944</v>
      </c>
      <c r="AG56" s="339">
        <f>Munich!N146</f>
        <v>19.831315670401825</v>
      </c>
      <c r="AH56" s="339">
        <f>Munich!O146</f>
        <v>18.727779641016422</v>
      </c>
      <c r="AI56" s="363">
        <f>AH56</f>
        <v>18.727779641016422</v>
      </c>
      <c r="AK56" s="341">
        <f t="shared" si="15"/>
        <v>0.51124557530911019</v>
      </c>
      <c r="AP56" s="337">
        <f t="shared" si="16"/>
        <v>3</v>
      </c>
      <c r="AQ56" s="337">
        <v>15</v>
      </c>
      <c r="AR56" s="337" t="str">
        <f t="shared" si="35"/>
        <v>Luton</v>
      </c>
      <c r="AS56" s="342">
        <f t="shared" si="17"/>
        <v>9.5016989066774507</v>
      </c>
      <c r="AT56" s="343">
        <f t="shared" si="36"/>
        <v>8.6812449159424894</v>
      </c>
      <c r="AU56" s="343">
        <f t="shared" si="18"/>
        <v>13.208875461824752</v>
      </c>
      <c r="AV56" s="343">
        <f t="shared" si="19"/>
        <v>12.273121561355429</v>
      </c>
      <c r="AW56" s="344">
        <f t="shared" si="37"/>
        <v>12.651030867624501</v>
      </c>
      <c r="AX56" s="240"/>
      <c r="AY56" s="337">
        <f t="shared" si="20"/>
        <v>2</v>
      </c>
      <c r="AZ56" s="337">
        <v>15</v>
      </c>
      <c r="BA56" s="337" t="str">
        <f t="shared" si="13"/>
        <v>Luton</v>
      </c>
      <c r="BB56" s="342">
        <f t="shared" si="21"/>
        <v>9.5016989066774507</v>
      </c>
      <c r="BC56" s="343">
        <f t="shared" si="38"/>
        <v>8.6812449159424894</v>
      </c>
      <c r="BD56" s="343">
        <f t="shared" si="22"/>
        <v>12.393729166909516</v>
      </c>
      <c r="BE56" s="343">
        <f t="shared" si="23"/>
        <v>11.543547234260634</v>
      </c>
      <c r="BF56" s="344">
        <f t="shared" si="39"/>
        <v>12.741310971287444</v>
      </c>
      <c r="BG56" s="240"/>
      <c r="BH56" s="240"/>
      <c r="BI56" s="240"/>
      <c r="BJ56" s="240"/>
      <c r="BK56" s="240"/>
      <c r="BL56" s="240"/>
    </row>
    <row r="57" spans="2:64">
      <c r="B57" s="5" t="s">
        <v>399</v>
      </c>
      <c r="C57" s="339">
        <f>Zurich!D103</f>
        <v>15.688586167727458</v>
      </c>
      <c r="D57" s="339">
        <f>Zurich!E103</f>
        <v>20.20319910400767</v>
      </c>
      <c r="E57" s="339">
        <f>Zurich!F103</f>
        <v>21.699008120502022</v>
      </c>
      <c r="F57" s="339">
        <f>Zurich!G103</f>
        <v>25.195932916925688</v>
      </c>
      <c r="G57" s="339">
        <f>Zurich!H103</f>
        <v>24.001961506286964</v>
      </c>
      <c r="H57" s="339">
        <f>Zurich!I103</f>
        <v>24.532149796526539</v>
      </c>
      <c r="I57" s="339">
        <f>Zurich!J103</f>
        <v>22.960171617266749</v>
      </c>
      <c r="J57" s="339">
        <f>Zurich!K103</f>
        <v>21.417655612938713</v>
      </c>
      <c r="K57" s="339">
        <f>Zurich!L103</f>
        <v>20.877239434165734</v>
      </c>
      <c r="L57" s="339">
        <f>Zurich!M103</f>
        <v>20.612625657248561</v>
      </c>
      <c r="M57" s="339">
        <f>Zurich!N103</f>
        <v>19.361000695280978</v>
      </c>
      <c r="N57" s="339">
        <f>Zurich!O103</f>
        <v>18.051946374609571</v>
      </c>
      <c r="O57" s="339">
        <f>Zurich!P103</f>
        <v>21.135179450154844</v>
      </c>
      <c r="Q57" s="341">
        <f t="shared" si="14"/>
        <v>-0.13847014528064994</v>
      </c>
      <c r="V57" s="5" t="s">
        <v>399</v>
      </c>
      <c r="W57" s="339">
        <f>Zurich!D155</f>
        <v>12.960640582357094</v>
      </c>
      <c r="X57" s="339">
        <f>Zurich!E155</f>
        <v>15.912479043704543</v>
      </c>
      <c r="Y57" s="339">
        <f>Zurich!F155</f>
        <v>17.004319566243357</v>
      </c>
      <c r="Z57" s="339">
        <f>Zurich!G155</f>
        <v>19.230563500080525</v>
      </c>
      <c r="AA57" s="339">
        <f>Zurich!H155</f>
        <v>19.094193232886099</v>
      </c>
      <c r="AB57" s="339">
        <f>Zurich!I155</f>
        <v>19.691236080795022</v>
      </c>
      <c r="AC57" s="339">
        <f>Zurich!J155</f>
        <v>19.252195325253204</v>
      </c>
      <c r="AD57" s="339">
        <f>Zurich!K155</f>
        <v>19.593302189010863</v>
      </c>
      <c r="AE57" s="339">
        <f>Zurich!L155</f>
        <v>16.405985983980841</v>
      </c>
      <c r="AF57" s="339">
        <f>Zurich!M155</f>
        <v>14.036938659702107</v>
      </c>
      <c r="AG57" s="339">
        <f>Zurich!N155</f>
        <v>12.762212831444188</v>
      </c>
      <c r="AH57" s="339">
        <f>Zurich!O155</f>
        <v>11.215117469889037</v>
      </c>
      <c r="AI57" s="339">
        <f>Zurich!P155</f>
        <v>12.648154884484711</v>
      </c>
      <c r="AK57" s="341">
        <f t="shared" si="15"/>
        <v>0.64232406907256223</v>
      </c>
      <c r="AP57" s="337">
        <f t="shared" si="16"/>
        <v>2</v>
      </c>
      <c r="AQ57" s="337">
        <v>16</v>
      </c>
      <c r="AR57" s="337" t="str">
        <f t="shared" si="35"/>
        <v>Hong Kong</v>
      </c>
      <c r="AS57" s="342">
        <f t="shared" si="17"/>
        <v>8.9483843614268981</v>
      </c>
      <c r="AT57" s="343">
        <f t="shared" si="36"/>
        <v>11.159174322419481</v>
      </c>
      <c r="AU57" s="343">
        <f t="shared" si="18"/>
        <v>13.208875461824752</v>
      </c>
      <c r="AV57" s="343">
        <f t="shared" si="19"/>
        <v>12.273121561355429</v>
      </c>
      <c r="AW57" s="344">
        <f t="shared" si="37"/>
        <v>12.651030867624501</v>
      </c>
      <c r="AX57" s="240"/>
      <c r="AY57" s="337">
        <f t="shared" si="20"/>
        <v>5</v>
      </c>
      <c r="AZ57" s="337">
        <v>16</v>
      </c>
      <c r="BA57" s="337" t="str">
        <f t="shared" si="13"/>
        <v>Copenhagen</v>
      </c>
      <c r="BB57" s="342">
        <f t="shared" si="21"/>
        <v>7.4629889864080425</v>
      </c>
      <c r="BC57" s="343">
        <f t="shared" si="38"/>
        <v>12.747862026285782</v>
      </c>
      <c r="BD57" s="343">
        <f t="shared" si="22"/>
        <v>12.393729166909516</v>
      </c>
      <c r="BE57" s="343">
        <f t="shared" si="23"/>
        <v>11.543547234260634</v>
      </c>
      <c r="BF57" s="344">
        <f t="shared" si="39"/>
        <v>12.741310971287444</v>
      </c>
      <c r="BG57" s="240"/>
      <c r="BH57" s="240"/>
      <c r="BI57" s="240"/>
      <c r="BJ57" s="240"/>
      <c r="BK57" s="240"/>
      <c r="BL57" s="240"/>
    </row>
    <row r="58" spans="2:64">
      <c r="C58" s="110"/>
      <c r="D58" s="110"/>
      <c r="E58" s="110"/>
      <c r="F58" s="110"/>
      <c r="G58" s="110"/>
      <c r="H58" s="110"/>
      <c r="I58" s="110"/>
      <c r="J58" s="110"/>
      <c r="K58" s="110"/>
      <c r="L58" s="110"/>
      <c r="M58" s="110"/>
      <c r="N58" s="110"/>
      <c r="O58" s="110"/>
      <c r="Q58" s="224"/>
      <c r="W58" s="110"/>
      <c r="X58" s="110"/>
      <c r="Y58" s="110"/>
      <c r="Z58" s="110"/>
      <c r="AA58" s="110"/>
      <c r="AB58" s="110"/>
      <c r="AC58" s="110"/>
      <c r="AD58" s="110"/>
      <c r="AE58" s="110"/>
      <c r="AF58" s="110"/>
      <c r="AG58" s="110"/>
      <c r="AH58" s="110"/>
      <c r="AI58" s="110"/>
      <c r="AK58" s="224"/>
    </row>
    <row r="59" spans="2:64">
      <c r="B59" s="5" t="s">
        <v>1137</v>
      </c>
      <c r="C59" s="338">
        <f>AVERAGE(C42:C57)</f>
        <v>11.828568886106302</v>
      </c>
      <c r="D59" s="338">
        <f t="shared" ref="D59:M59" si="45">AVERAGE(D42:D57)</f>
        <v>12.854801500169282</v>
      </c>
      <c r="E59" s="338">
        <f t="shared" si="45"/>
        <v>12.593094206785567</v>
      </c>
      <c r="F59" s="338">
        <f t="shared" si="45"/>
        <v>12.872136442340903</v>
      </c>
      <c r="G59" s="338">
        <f t="shared" si="45"/>
        <v>12.049795784971193</v>
      </c>
      <c r="H59" s="338">
        <f t="shared" si="45"/>
        <v>12.651030867624501</v>
      </c>
      <c r="I59" s="338">
        <f t="shared" si="45"/>
        <v>11.999911020554919</v>
      </c>
      <c r="J59" s="338">
        <f t="shared" si="45"/>
        <v>12.07731298289378</v>
      </c>
      <c r="K59" s="338">
        <f t="shared" si="45"/>
        <v>12.896359447234673</v>
      </c>
      <c r="L59" s="338">
        <f t="shared" si="45"/>
        <v>14.966363337115565</v>
      </c>
      <c r="M59" s="338">
        <f t="shared" si="45"/>
        <v>13.531236775629862</v>
      </c>
      <c r="N59" s="338">
        <f>AVERAGE(N42:N57)</f>
        <v>12.741791572367852</v>
      </c>
      <c r="O59" s="338">
        <f>AVERAGE(O42:O57)</f>
        <v>13.208875461824752</v>
      </c>
      <c r="Q59" s="341">
        <f>(N59/H59)-1</f>
        <v>7.1741746339122336E-3</v>
      </c>
      <c r="V59" s="5" t="s">
        <v>1137</v>
      </c>
      <c r="W59" s="338">
        <f t="shared" ref="W59:AH59" si="46">AVERAGE(W42:W57)</f>
        <v>11.757950660564289</v>
      </c>
      <c r="X59" s="338">
        <f t="shared" si="46"/>
        <v>12.561427871913175</v>
      </c>
      <c r="Y59" s="338">
        <f t="shared" si="46"/>
        <v>12.403556916145339</v>
      </c>
      <c r="Z59" s="338">
        <f t="shared" si="46"/>
        <v>12.598480490760526</v>
      </c>
      <c r="AA59" s="338">
        <f t="shared" si="46"/>
        <v>12.049433436876399</v>
      </c>
      <c r="AB59" s="338">
        <f t="shared" si="46"/>
        <v>12.741310971287444</v>
      </c>
      <c r="AC59" s="338">
        <f t="shared" si="46"/>
        <v>12.228551384909617</v>
      </c>
      <c r="AD59" s="338">
        <f t="shared" si="46"/>
        <v>12.640598043929884</v>
      </c>
      <c r="AE59" s="338">
        <f t="shared" si="46"/>
        <v>12.694183134310052</v>
      </c>
      <c r="AF59" s="338">
        <f t="shared" si="46"/>
        <v>14.146065119538692</v>
      </c>
      <c r="AG59" s="338">
        <f t="shared" si="46"/>
        <v>12.891694439690887</v>
      </c>
      <c r="AH59" s="338">
        <f t="shared" si="46"/>
        <v>12.104039026033256</v>
      </c>
      <c r="AI59" s="338">
        <f t="shared" ref="AI59" si="47">AVERAGE(AI42:AI57)</f>
        <v>12.393729166909516</v>
      </c>
      <c r="AK59" s="341">
        <f>AI59/AB59</f>
        <v>0.97272009095757861</v>
      </c>
    </row>
    <row r="60" spans="2:64">
      <c r="B60" s="5" t="s">
        <v>1142</v>
      </c>
      <c r="C60" s="338">
        <f t="shared" ref="C60:N60" si="48">MIN(C42:C57)</f>
        <v>8.1684626229908694</v>
      </c>
      <c r="D60" s="338">
        <f t="shared" si="48"/>
        <v>8.1795617832378653</v>
      </c>
      <c r="E60" s="338">
        <f t="shared" si="48"/>
        <v>7.6370484916511314</v>
      </c>
      <c r="F60" s="338">
        <f t="shared" si="48"/>
        <v>7.2462684146339846</v>
      </c>
      <c r="G60" s="338">
        <f t="shared" si="48"/>
        <v>6.8207261240327757</v>
      </c>
      <c r="H60" s="338">
        <f t="shared" si="48"/>
        <v>6.6574392924329091</v>
      </c>
      <c r="I60" s="338">
        <f t="shared" si="48"/>
        <v>6.4113597878744901</v>
      </c>
      <c r="J60" s="338">
        <f t="shared" si="48"/>
        <v>6.595085685224638</v>
      </c>
      <c r="K60" s="338">
        <f t="shared" si="48"/>
        <v>6.4863535046705962</v>
      </c>
      <c r="L60" s="338">
        <f t="shared" si="48"/>
        <v>8.7829754724229634</v>
      </c>
      <c r="M60" s="338">
        <f t="shared" si="48"/>
        <v>8.0194317731402371</v>
      </c>
      <c r="N60" s="338">
        <f t="shared" si="48"/>
        <v>9.0023385275337944</v>
      </c>
      <c r="O60" s="338">
        <f t="shared" ref="O60" si="49">MIN(O42:O57)</f>
        <v>8.9483843614268981</v>
      </c>
      <c r="Q60" s="341">
        <f t="shared" ref="Q60:Q61" si="50">(N60/H60)-1</f>
        <v>0.35222239844773107</v>
      </c>
      <c r="V60" s="5" t="s">
        <v>1142</v>
      </c>
      <c r="W60" s="338">
        <f t="shared" ref="W60:AH60" si="51">MIN(W42:W57)</f>
        <v>8.1684626229908694</v>
      </c>
      <c r="X60" s="338">
        <f t="shared" si="51"/>
        <v>8.1795617832378653</v>
      </c>
      <c r="Y60" s="338">
        <f t="shared" si="51"/>
        <v>7.6370484916511314</v>
      </c>
      <c r="Z60" s="338">
        <f t="shared" si="51"/>
        <v>7.2462684146339846</v>
      </c>
      <c r="AA60" s="338">
        <f t="shared" si="51"/>
        <v>6.8207261240327757</v>
      </c>
      <c r="AB60" s="338">
        <f t="shared" si="51"/>
        <v>6.6574392924329091</v>
      </c>
      <c r="AC60" s="338">
        <f t="shared" si="51"/>
        <v>6.4113597878744901</v>
      </c>
      <c r="AD60" s="338">
        <f t="shared" si="51"/>
        <v>6.595085685224638</v>
      </c>
      <c r="AE60" s="338">
        <f t="shared" si="51"/>
        <v>6.4863535046705962</v>
      </c>
      <c r="AF60" s="338">
        <f t="shared" si="51"/>
        <v>7.7665753289611619</v>
      </c>
      <c r="AG60" s="338">
        <f t="shared" si="51"/>
        <v>8.0194317731402371</v>
      </c>
      <c r="AH60" s="338">
        <f t="shared" si="51"/>
        <v>7.6472069459545278</v>
      </c>
      <c r="AI60" s="338">
        <f t="shared" ref="AI60" si="52">MIN(AI42:AI57)</f>
        <v>7.4629889864080425</v>
      </c>
      <c r="AK60" s="341">
        <f>AI60/AB60</f>
        <v>1.120999930842892</v>
      </c>
    </row>
    <row r="61" spans="2:64">
      <c r="B61" s="5" t="s">
        <v>1143</v>
      </c>
      <c r="C61" s="338">
        <f t="shared" ref="C61:N61" si="53">MAX(C42:C57)</f>
        <v>23.561999965148196</v>
      </c>
      <c r="D61" s="338">
        <f t="shared" si="53"/>
        <v>23.625243626929752</v>
      </c>
      <c r="E61" s="338">
        <f t="shared" si="53"/>
        <v>24.569062669915347</v>
      </c>
      <c r="F61" s="338">
        <f t="shared" si="53"/>
        <v>26.986944406503497</v>
      </c>
      <c r="G61" s="338">
        <f t="shared" si="53"/>
        <v>24.539779159986168</v>
      </c>
      <c r="H61" s="338">
        <f t="shared" si="53"/>
        <v>33.547845278699874</v>
      </c>
      <c r="I61" s="338">
        <f t="shared" si="53"/>
        <v>26.877655987544898</v>
      </c>
      <c r="J61" s="338">
        <f t="shared" si="53"/>
        <v>24.634757477098098</v>
      </c>
      <c r="K61" s="338">
        <f t="shared" si="53"/>
        <v>24.863586734814657</v>
      </c>
      <c r="L61" s="338">
        <f t="shared" si="53"/>
        <v>27.259534555451911</v>
      </c>
      <c r="M61" s="338">
        <f t="shared" si="53"/>
        <v>23.577694944359475</v>
      </c>
      <c r="N61" s="338">
        <f t="shared" si="53"/>
        <v>22.111831733374832</v>
      </c>
      <c r="O61" s="338">
        <f t="shared" ref="O61" si="54">MAX(O42:O57)</f>
        <v>23.495588412825093</v>
      </c>
      <c r="Q61" s="341">
        <f t="shared" si="50"/>
        <v>-0.34088667842360565</v>
      </c>
      <c r="V61" s="5" t="s">
        <v>1143</v>
      </c>
      <c r="W61" s="338">
        <f t="shared" ref="W61:AH61" si="55">MAX(W42:W57)</f>
        <v>25.547641885983825</v>
      </c>
      <c r="X61" s="338">
        <f t="shared" si="55"/>
        <v>25.206413880857248</v>
      </c>
      <c r="Y61" s="338">
        <f t="shared" si="55"/>
        <v>26.517995776674855</v>
      </c>
      <c r="Z61" s="338">
        <f t="shared" si="55"/>
        <v>27.754606577043802</v>
      </c>
      <c r="AA61" s="338">
        <f t="shared" si="55"/>
        <v>26.124871125139119</v>
      </c>
      <c r="AB61" s="338">
        <f t="shared" si="55"/>
        <v>36.631670855426378</v>
      </c>
      <c r="AC61" s="338">
        <f t="shared" si="55"/>
        <v>29.977131462484099</v>
      </c>
      <c r="AD61" s="338">
        <f t="shared" si="55"/>
        <v>28.070844012480055</v>
      </c>
      <c r="AE61" s="338">
        <f t="shared" si="55"/>
        <v>24.787513998466398</v>
      </c>
      <c r="AF61" s="338">
        <f t="shared" si="55"/>
        <v>27.259534555451911</v>
      </c>
      <c r="AG61" s="338">
        <f t="shared" si="55"/>
        <v>23.577694944359475</v>
      </c>
      <c r="AH61" s="338">
        <f t="shared" si="55"/>
        <v>22.111831733374832</v>
      </c>
      <c r="AI61" s="338">
        <f t="shared" ref="AI61" si="56">MAX(AI42:AI57)</f>
        <v>23.495588412825093</v>
      </c>
      <c r="AK61" s="341">
        <f t="shared" ref="AK61" si="57">AI61/AB61</f>
        <v>0.64140094798172742</v>
      </c>
    </row>
    <row r="62" spans="2:64">
      <c r="C62" s="110"/>
      <c r="D62" s="110"/>
      <c r="E62" s="110"/>
      <c r="F62" s="110"/>
      <c r="G62" s="110"/>
      <c r="H62" s="110"/>
      <c r="I62" s="110"/>
      <c r="J62" s="110"/>
      <c r="K62" s="110"/>
      <c r="L62" s="110"/>
      <c r="M62" s="110"/>
      <c r="N62" s="110"/>
      <c r="O62" s="110"/>
      <c r="Q62" s="224"/>
      <c r="W62" s="110"/>
      <c r="X62" s="110"/>
      <c r="Y62" s="110"/>
      <c r="Z62" s="110"/>
      <c r="AA62" s="110"/>
      <c r="AB62" s="110"/>
      <c r="AC62" s="110"/>
      <c r="AD62" s="110"/>
      <c r="AE62" s="110"/>
      <c r="AF62" s="110"/>
      <c r="AG62" s="110"/>
      <c r="AH62" s="110"/>
      <c r="AI62" s="110"/>
      <c r="AK62" s="224"/>
    </row>
    <row r="63" spans="2:64">
      <c r="B63" s="5" t="s">
        <v>1177</v>
      </c>
      <c r="C63" s="338">
        <f>AVERAGE(C44:C57,C42,)</f>
        <v>11.031765943266672</v>
      </c>
      <c r="D63" s="338">
        <f t="shared" ref="D63:N63" si="58">AVERAGE(D44:D57,D42,)</f>
        <v>12.029358983455513</v>
      </c>
      <c r="E63" s="338">
        <f t="shared" si="58"/>
        <v>11.713503465362146</v>
      </c>
      <c r="F63" s="338">
        <f t="shared" si="58"/>
        <v>11.871479296711772</v>
      </c>
      <c r="G63" s="338">
        <f t="shared" si="58"/>
        <v>11.103758929317971</v>
      </c>
      <c r="H63" s="338">
        <f t="shared" si="58"/>
        <v>11.755834365491864</v>
      </c>
      <c r="I63" s="338">
        <f t="shared" si="58"/>
        <v>11.04479324322666</v>
      </c>
      <c r="J63" s="338">
        <f t="shared" si="58"/>
        <v>11.105937507245825</v>
      </c>
      <c r="K63" s="338">
        <f t="shared" si="58"/>
        <v>11.910495077809172</v>
      </c>
      <c r="L63" s="338">
        <f t="shared" si="58"/>
        <v>13.83792190430562</v>
      </c>
      <c r="M63" s="338">
        <f t="shared" si="58"/>
        <v>12.522710556814149</v>
      </c>
      <c r="N63" s="338">
        <f t="shared" si="58"/>
        <v>11.81068675307711</v>
      </c>
      <c r="O63" s="338">
        <f t="shared" ref="O63" si="59">AVERAGE(O44:O57,O42,)</f>
        <v>12.273121561355429</v>
      </c>
      <c r="Q63" s="341">
        <f>(O63/H63)-1</f>
        <v>4.4002593076848173E-2</v>
      </c>
      <c r="V63" s="5" t="s">
        <v>1177</v>
      </c>
      <c r="W63" s="338">
        <f>AVERAGE(W44:W57,W42,)</f>
        <v>10.824513130952292</v>
      </c>
      <c r="X63" s="338">
        <f t="shared" ref="X63:AH63" si="60">AVERAGE(X44:X57,X42,)</f>
        <v>11.650056668895575</v>
      </c>
      <c r="Y63" s="338">
        <f t="shared" si="60"/>
        <v>11.424813352293389</v>
      </c>
      <c r="Z63" s="338">
        <f t="shared" si="60"/>
        <v>11.601910681236742</v>
      </c>
      <c r="AA63" s="338">
        <f t="shared" si="60"/>
        <v>11.056059505569761</v>
      </c>
      <c r="AB63" s="338">
        <f t="shared" si="60"/>
        <v>11.793589637008294</v>
      </c>
      <c r="AC63" s="338">
        <f t="shared" si="60"/>
        <v>11.194716208637642</v>
      </c>
      <c r="AD63" s="338">
        <f t="shared" si="60"/>
        <v>11.536671405886866</v>
      </c>
      <c r="AE63" s="338">
        <f t="shared" si="60"/>
        <v>11.695260496622112</v>
      </c>
      <c r="AF63" s="338">
        <f t="shared" si="60"/>
        <v>13.140035625437733</v>
      </c>
      <c r="AG63" s="338">
        <f t="shared" si="60"/>
        <v>11.956326363325267</v>
      </c>
      <c r="AH63" s="338">
        <f t="shared" si="60"/>
        <v>11.215604424961075</v>
      </c>
      <c r="AI63" s="338">
        <f t="shared" ref="AI63" si="61">AVERAGE(AI44:AI57,AI42,)</f>
        <v>11.543547234260634</v>
      </c>
      <c r="AK63" s="341">
        <f>AI63/AB63</f>
        <v>0.97879844810243133</v>
      </c>
    </row>
    <row r="65" spans="2:67" ht="16.5">
      <c r="B65" s="7" t="s">
        <v>1339</v>
      </c>
      <c r="C65" s="6"/>
      <c r="D65" s="6"/>
      <c r="E65" s="6"/>
      <c r="F65" s="6"/>
      <c r="G65" s="6"/>
      <c r="H65" s="6"/>
      <c r="I65" s="6"/>
      <c r="J65" s="6"/>
      <c r="K65" s="6"/>
      <c r="L65" s="6"/>
      <c r="M65" s="6"/>
      <c r="N65" s="6"/>
      <c r="O65" s="6"/>
      <c r="P65" s="6"/>
      <c r="Q65" s="257"/>
      <c r="R65" s="6"/>
      <c r="S65" s="6"/>
      <c r="T65" s="6"/>
      <c r="V65" s="7" t="s">
        <v>1346</v>
      </c>
      <c r="W65" s="6"/>
      <c r="X65" s="6"/>
      <c r="Y65" s="6"/>
      <c r="Z65" s="6"/>
      <c r="AA65" s="6"/>
      <c r="AB65" s="6"/>
      <c r="AC65" s="6"/>
      <c r="AD65" s="6"/>
      <c r="AE65" s="6"/>
      <c r="AF65" s="6"/>
      <c r="AG65" s="6"/>
      <c r="AH65" s="6"/>
      <c r="AI65" s="6"/>
      <c r="AJ65" s="6"/>
      <c r="AK65" s="6"/>
      <c r="AL65" s="6"/>
      <c r="AM65" s="6"/>
      <c r="AN65" s="6"/>
      <c r="AP65" s="7" t="s">
        <v>1158</v>
      </c>
      <c r="AQ65" s="6"/>
      <c r="AR65" s="6"/>
      <c r="AS65" s="6"/>
      <c r="AT65" s="6"/>
      <c r="AU65" s="6"/>
      <c r="AV65" s="6"/>
      <c r="AW65" s="6"/>
      <c r="AY65" s="7" t="s">
        <v>1159</v>
      </c>
      <c r="AZ65" s="6"/>
      <c r="BA65" s="6"/>
      <c r="BB65" s="6"/>
      <c r="BC65" s="6"/>
      <c r="BD65" s="6"/>
      <c r="BE65" s="6"/>
      <c r="BF65" s="6"/>
      <c r="BG65" s="6"/>
      <c r="BH65" s="6"/>
      <c r="BO65" s="5" t="s">
        <v>1130</v>
      </c>
    </row>
    <row r="66" spans="2:67" s="60" customFormat="1" ht="16.5">
      <c r="B66" s="137" t="s">
        <v>1252</v>
      </c>
      <c r="C66" s="247"/>
      <c r="D66" s="247"/>
      <c r="E66" s="247"/>
      <c r="F66" s="247"/>
      <c r="G66" s="247"/>
      <c r="H66" s="247"/>
      <c r="I66" s="247"/>
      <c r="J66" s="247"/>
      <c r="K66" s="247"/>
      <c r="L66" s="247"/>
      <c r="M66" s="247"/>
      <c r="N66" s="247"/>
      <c r="O66" s="247"/>
      <c r="P66" s="35"/>
      <c r="Q66" s="258"/>
      <c r="R66" s="35"/>
      <c r="S66" s="35"/>
      <c r="T66" s="35"/>
      <c r="V66" s="64"/>
      <c r="W66" s="35"/>
      <c r="X66" s="35"/>
      <c r="Y66" s="35"/>
      <c r="Z66" s="35"/>
      <c r="AA66" s="35"/>
      <c r="AB66" s="35"/>
      <c r="AC66" s="35"/>
      <c r="AD66" s="35"/>
      <c r="AE66" s="35"/>
      <c r="AF66" s="35"/>
      <c r="AG66" s="35"/>
      <c r="AH66" s="35"/>
      <c r="AI66" s="35"/>
      <c r="AJ66" s="35"/>
      <c r="AK66" s="35"/>
      <c r="AL66" s="35"/>
      <c r="AM66" s="35"/>
      <c r="AN66" s="35"/>
      <c r="AP66" s="64"/>
      <c r="AQ66" s="35"/>
      <c r="AR66" s="35"/>
      <c r="AS66" s="35"/>
      <c r="AT66" s="35"/>
      <c r="AU66" s="35"/>
      <c r="AV66" s="35"/>
      <c r="AW66" s="35"/>
    </row>
    <row r="67" spans="2:67">
      <c r="C67" s="247"/>
      <c r="D67" s="247"/>
      <c r="E67" s="247"/>
      <c r="F67" s="247"/>
      <c r="G67" s="247"/>
      <c r="H67" s="247"/>
      <c r="I67" s="247"/>
      <c r="J67" s="247"/>
      <c r="K67" s="247"/>
      <c r="L67" s="247"/>
      <c r="M67" s="247"/>
      <c r="N67" s="247"/>
      <c r="O67" s="247"/>
      <c r="W67" s="240"/>
      <c r="X67" s="240"/>
      <c r="Y67" s="240"/>
      <c r="Z67" s="240"/>
      <c r="AA67" s="240"/>
      <c r="AB67" s="240"/>
      <c r="AC67" s="240"/>
      <c r="AD67" s="240"/>
      <c r="AE67" s="240"/>
      <c r="AF67" s="240"/>
      <c r="AG67" s="240"/>
      <c r="AH67" s="240"/>
      <c r="AI67" s="240"/>
      <c r="AP67" s="30" t="s">
        <v>1139</v>
      </c>
      <c r="AY67" s="30" t="s">
        <v>1139</v>
      </c>
    </row>
    <row r="68" spans="2:67">
      <c r="B68" s="30" t="s">
        <v>1126</v>
      </c>
      <c r="C68" s="239">
        <v>2000</v>
      </c>
      <c r="D68" s="239">
        <v>2001</v>
      </c>
      <c r="E68" s="239">
        <v>2002</v>
      </c>
      <c r="F68" s="239">
        <v>2003</v>
      </c>
      <c r="G68" s="239">
        <v>2004</v>
      </c>
      <c r="H68" s="239">
        <v>2005</v>
      </c>
      <c r="I68" s="239">
        <v>2006</v>
      </c>
      <c r="J68" s="239">
        <v>2007</v>
      </c>
      <c r="K68" s="239">
        <v>2008</v>
      </c>
      <c r="L68" s="239">
        <v>2009</v>
      </c>
      <c r="M68" s="239">
        <v>2010</v>
      </c>
      <c r="N68" s="239">
        <v>2011</v>
      </c>
      <c r="O68" s="239">
        <v>2012</v>
      </c>
      <c r="Q68" s="69" t="s">
        <v>1144</v>
      </c>
      <c r="V68" s="30" t="s">
        <v>1126</v>
      </c>
      <c r="W68" s="239">
        <v>2000</v>
      </c>
      <c r="X68" s="239">
        <v>2001</v>
      </c>
      <c r="Y68" s="239">
        <v>2002</v>
      </c>
      <c r="Z68" s="239">
        <v>2003</v>
      </c>
      <c r="AA68" s="239">
        <v>2004</v>
      </c>
      <c r="AB68" s="239">
        <v>2005</v>
      </c>
      <c r="AC68" s="239">
        <v>2006</v>
      </c>
      <c r="AD68" s="239">
        <v>2007</v>
      </c>
      <c r="AE68" s="239">
        <v>2008</v>
      </c>
      <c r="AF68" s="239">
        <v>2009</v>
      </c>
      <c r="AG68" s="239">
        <v>2010</v>
      </c>
      <c r="AH68" s="239">
        <v>2011</v>
      </c>
      <c r="AI68" s="239">
        <v>2012</v>
      </c>
      <c r="AK68" s="69" t="s">
        <v>1144</v>
      </c>
      <c r="AP68" s="30" t="s">
        <v>324</v>
      </c>
      <c r="AQ68" s="30" t="s">
        <v>243</v>
      </c>
      <c r="AR68" s="30" t="s">
        <v>142</v>
      </c>
      <c r="AS68" s="69">
        <v>2012</v>
      </c>
      <c r="AT68" s="69">
        <v>2005</v>
      </c>
      <c r="AU68" s="69" t="s">
        <v>1238</v>
      </c>
      <c r="AV68" s="69" t="s">
        <v>1239</v>
      </c>
      <c r="AW68" s="69" t="s">
        <v>1129</v>
      </c>
      <c r="AX68" s="69"/>
      <c r="AY68" s="30" t="s">
        <v>324</v>
      </c>
      <c r="AZ68" s="30" t="s">
        <v>243</v>
      </c>
      <c r="BA68" s="30" t="s">
        <v>142</v>
      </c>
      <c r="BB68" s="69">
        <v>2012</v>
      </c>
      <c r="BC68" s="69">
        <v>2005</v>
      </c>
      <c r="BD68" s="69" t="s">
        <v>1128</v>
      </c>
      <c r="BE68" s="69" t="s">
        <v>1178</v>
      </c>
      <c r="BF68" s="69" t="s">
        <v>1129</v>
      </c>
      <c r="BG68" s="69"/>
      <c r="BH68" s="69"/>
      <c r="BI68" s="69"/>
      <c r="BJ68" s="69"/>
      <c r="BK68" s="69"/>
      <c r="BL68" s="69"/>
    </row>
    <row r="69" spans="2:67">
      <c r="B69" s="238" t="s">
        <v>116</v>
      </c>
      <c r="C69" s="339">
        <f>W69</f>
        <v>8.9497209555026256</v>
      </c>
      <c r="D69" s="339">
        <f t="shared" ref="D69:D79" si="62">X69</f>
        <v>9.8019801786203278</v>
      </c>
      <c r="E69" s="339">
        <f t="shared" ref="E69:E79" si="63">Y69</f>
        <v>9.4673890183388618</v>
      </c>
      <c r="F69" s="339">
        <f t="shared" ref="F69:F79" si="64">Z69</f>
        <v>10.414298117653756</v>
      </c>
      <c r="G69" s="339">
        <f t="shared" ref="G69:G79" si="65">AA69</f>
        <v>9.5873995710351974</v>
      </c>
      <c r="H69" s="339">
        <f t="shared" ref="H69:H79" si="66">AB69</f>
        <v>9.6621349783328903</v>
      </c>
      <c r="I69" s="339">
        <f t="shared" ref="I69:I79" si="67">AC69</f>
        <v>8.5803610908004391</v>
      </c>
      <c r="J69" s="339">
        <f t="shared" ref="J69:J79" si="68">AD69</f>
        <v>8.3133684744537888</v>
      </c>
      <c r="K69" s="339">
        <f t="shared" ref="K69:K79" si="69">AE69</f>
        <v>8.5585043526350546</v>
      </c>
      <c r="L69" s="339">
        <f t="shared" ref="L69:L79" si="70">AF69</f>
        <v>12.23213333168729</v>
      </c>
      <c r="M69" s="339">
        <f t="shared" ref="M69:M79" si="71">AG69</f>
        <v>15.533587808944301</v>
      </c>
      <c r="N69" s="339">
        <f t="shared" ref="N69:O79" si="72">AH69</f>
        <v>12.100338152202825</v>
      </c>
      <c r="O69" s="363">
        <f t="shared" si="72"/>
        <v>12.100338152202825</v>
      </c>
      <c r="Q69" s="341">
        <f>(O69/H69)-1</f>
        <v>0.25234621326834583</v>
      </c>
      <c r="R69" s="240"/>
      <c r="S69" s="240"/>
      <c r="V69" s="238" t="s">
        <v>116</v>
      </c>
      <c r="W69" s="339">
        <f>ABD!D100</f>
        <v>8.9497209555026256</v>
      </c>
      <c r="X69" s="339">
        <f>ABD!E100</f>
        <v>9.8019801786203278</v>
      </c>
      <c r="Y69" s="339">
        <f>ABD!F100</f>
        <v>9.4673890183388618</v>
      </c>
      <c r="Z69" s="339">
        <f>ABD!G100</f>
        <v>10.414298117653756</v>
      </c>
      <c r="AA69" s="339">
        <f>ABD!H100</f>
        <v>9.5873995710351974</v>
      </c>
      <c r="AB69" s="339">
        <f>ABD!I100</f>
        <v>9.6621349783328903</v>
      </c>
      <c r="AC69" s="339">
        <f>ABD!J100</f>
        <v>8.5803610908004391</v>
      </c>
      <c r="AD69" s="339">
        <f>ABD!K100</f>
        <v>8.3133684744537888</v>
      </c>
      <c r="AE69" s="339">
        <f>ABD!L100</f>
        <v>8.5585043526350546</v>
      </c>
      <c r="AF69" s="339">
        <f>ABD!M100</f>
        <v>12.23213333168729</v>
      </c>
      <c r="AG69" s="339">
        <f>ABD!N100</f>
        <v>15.533587808944301</v>
      </c>
      <c r="AH69" s="339">
        <f>ABD!O100</f>
        <v>12.100338152202825</v>
      </c>
      <c r="AI69" s="363">
        <f>AH69</f>
        <v>12.100338152202825</v>
      </c>
      <c r="AJ69" s="105"/>
      <c r="AK69" s="341">
        <f>AI69/AB69</f>
        <v>1.2523462132683458</v>
      </c>
      <c r="AP69" s="337">
        <f>RANK(O69,$O$69:$O$84)</f>
        <v>8</v>
      </c>
      <c r="AQ69" s="337">
        <v>1</v>
      </c>
      <c r="AR69" s="337" t="str">
        <f>INDEX($B$69:$B$84,MATCH(AQ69,$AP$69:$AP$84,0),0)</f>
        <v>Heathrow</v>
      </c>
      <c r="AS69" s="342">
        <f>VLOOKUP(AR69,$B$69:$O$84,14,FALSE)</f>
        <v>21.382997447066792</v>
      </c>
      <c r="AT69" s="343">
        <f>VLOOKUP(AR69,$B$69:$N$84,7,FALSE)</f>
        <v>13.761874048161998</v>
      </c>
      <c r="AU69" s="343">
        <f>$O$86</f>
        <v>12.90136907768863</v>
      </c>
      <c r="AV69" s="343">
        <f>$O$90</f>
        <v>12.763322855700592</v>
      </c>
      <c r="AW69" s="344">
        <f>$H$86</f>
        <v>12.566054718205027</v>
      </c>
      <c r="AX69" s="240"/>
      <c r="AY69" s="337">
        <f>RANK(AI69,$AI$69:$AI$84)</f>
        <v>8</v>
      </c>
      <c r="AZ69" s="337">
        <v>1</v>
      </c>
      <c r="BA69" s="337" t="str">
        <f t="shared" ref="BA69:BA84" si="73">INDEX($V$69:$V$84,MATCH(AZ69,$AY$69:$AY$84,0),0)</f>
        <v>Heathrow</v>
      </c>
      <c r="BB69" s="342">
        <f>VLOOKUP(BA69,$V$69:$AI$84,14,FALSE)</f>
        <v>21.382997447066792</v>
      </c>
      <c r="BC69" s="343">
        <f>VLOOKUP(BA69,$V$69:$AH$84,7,FALSE)</f>
        <v>13.761874048161998</v>
      </c>
      <c r="BD69" s="343">
        <f>$AI$86</f>
        <v>12.08622278277339</v>
      </c>
      <c r="BE69" s="343">
        <f>$AI$90</f>
        <v>11.98511024013281</v>
      </c>
      <c r="BF69" s="344">
        <f>$AB$86</f>
        <v>12.656334821867969</v>
      </c>
      <c r="BG69" s="240"/>
      <c r="BH69" s="240"/>
      <c r="BI69" s="240"/>
      <c r="BJ69" s="240"/>
      <c r="BK69" s="240"/>
      <c r="BL69" s="240"/>
    </row>
    <row r="70" spans="2:67">
      <c r="B70" s="90" t="s">
        <v>1051</v>
      </c>
      <c r="C70" s="339">
        <f>Amsterdam!D125</f>
        <v>12.748847085434068</v>
      </c>
      <c r="D70" s="339">
        <f>Amsterdam!E125</f>
        <v>13.207080267420293</v>
      </c>
      <c r="E70" s="339">
        <f>Amsterdam!F125</f>
        <v>14.073451862774725</v>
      </c>
      <c r="F70" s="339">
        <f>Amsterdam!G125</f>
        <v>16.010514330066076</v>
      </c>
      <c r="G70" s="339">
        <f>Amsterdam!H125</f>
        <v>15.136589690451521</v>
      </c>
      <c r="H70" s="339">
        <f>Amsterdam!I125</f>
        <v>14.323144034122201</v>
      </c>
      <c r="I70" s="339">
        <f>Amsterdam!J125</f>
        <v>15.281884437252153</v>
      </c>
      <c r="J70" s="339">
        <f>Amsterdam!K125</f>
        <v>15.542007610367257</v>
      </c>
      <c r="K70" s="339">
        <f>Amsterdam!L125</f>
        <v>15.773829910808018</v>
      </c>
      <c r="L70" s="339">
        <f>Amsterdam!M125</f>
        <v>17.445692350387372</v>
      </c>
      <c r="M70" s="339">
        <f>Amsterdam!N125</f>
        <v>15.973624096523968</v>
      </c>
      <c r="N70" s="339">
        <f>Amsterdam!O125</f>
        <v>14.897677108651857</v>
      </c>
      <c r="O70" s="339">
        <f>Amsterdam!P125</f>
        <v>14.972062407509178</v>
      </c>
      <c r="Q70" s="341">
        <f t="shared" ref="Q70:Q83" si="74">(O70/H70)-1</f>
        <v>4.5305581780162862E-2</v>
      </c>
      <c r="R70" s="240"/>
      <c r="S70" s="240"/>
      <c r="V70" s="90" t="s">
        <v>1051</v>
      </c>
      <c r="W70" s="339">
        <f>Amsterdam!D164</f>
        <v>14.935000473791932</v>
      </c>
      <c r="X70" s="339">
        <f>Amsterdam!E164</f>
        <v>14.581939248281573</v>
      </c>
      <c r="Y70" s="339">
        <f>Amsterdam!F164</f>
        <v>15.659897021631199</v>
      </c>
      <c r="Z70" s="339">
        <f>Amsterdam!G164</f>
        <v>15.945116952380531</v>
      </c>
      <c r="AA70" s="339">
        <f>Amsterdam!H164</f>
        <v>15.893982900906192</v>
      </c>
      <c r="AB70" s="339">
        <f>Amsterdam!I164</f>
        <v>15.163541348466431</v>
      </c>
      <c r="AC70" s="339">
        <f>Amsterdam!J164</f>
        <v>16.541362820351612</v>
      </c>
      <c r="AD70" s="339">
        <f>Amsterdam!K164</f>
        <v>17.662826208688273</v>
      </c>
      <c r="AE70" s="339">
        <f>Amsterdam!L164</f>
        <v>15.982762203007058</v>
      </c>
      <c r="AF70" s="339">
        <f>Amsterdam!M164</f>
        <v>15.536340908014001</v>
      </c>
      <c r="AG70" s="339">
        <f>Amsterdam!N164</f>
        <v>14.810134900646018</v>
      </c>
      <c r="AH70" s="339">
        <f>Amsterdam!O164</f>
        <v>14.214953617154881</v>
      </c>
      <c r="AI70" s="339">
        <f>Amsterdam!P164</f>
        <v>13.602910922382113</v>
      </c>
      <c r="AJ70" s="105"/>
      <c r="AK70" s="341">
        <f t="shared" ref="AK70:AK84" si="75">AI70/AB70</f>
        <v>0.89708008240158543</v>
      </c>
      <c r="AP70" s="337">
        <f t="shared" ref="AP70:AP84" si="76">RANK(O70,$O$69:$O$84)</f>
        <v>4</v>
      </c>
      <c r="AQ70" s="337">
        <v>2</v>
      </c>
      <c r="AR70" s="337" t="str">
        <f>INDEX($B$69:$B$84,MATCH(AQ70,$AP$69:$AP$84,0),0)</f>
        <v>Zurich</v>
      </c>
      <c r="AS70" s="342">
        <f t="shared" ref="AS70:AS84" si="77">VLOOKUP(AR70,$B$69:$O$84,14,FALSE)</f>
        <v>21.135179450154844</v>
      </c>
      <c r="AT70" s="343">
        <f>VLOOKUP(AR70,$B$69:$N$84,7,FALSE)</f>
        <v>24.532149796526539</v>
      </c>
      <c r="AU70" s="343">
        <f t="shared" ref="AU70:AU84" si="78">$O$86</f>
        <v>12.90136907768863</v>
      </c>
      <c r="AV70" s="343">
        <f t="shared" ref="AV70:AV84" si="79">$O$90</f>
        <v>12.763322855700592</v>
      </c>
      <c r="AW70" s="344">
        <f>$H$86</f>
        <v>12.566054718205027</v>
      </c>
      <c r="AX70" s="240"/>
      <c r="AY70" s="337">
        <f t="shared" ref="AY70:AY84" si="80">RANK(AI70,$AI$69:$AI$84)</f>
        <v>3</v>
      </c>
      <c r="AZ70" s="337">
        <v>2</v>
      </c>
      <c r="BA70" s="337" t="str">
        <f t="shared" si="73"/>
        <v>Munich</v>
      </c>
      <c r="BB70" s="342">
        <f t="shared" ref="BB70:BB84" si="81">VLOOKUP(BA70,$V$69:$AI$84,14,FALSE)</f>
        <v>18.727779641016422</v>
      </c>
      <c r="BC70" s="343">
        <f>VLOOKUP(BA70,$V$69:$AH$84,7,FALSE)</f>
        <v>36.631670855426378</v>
      </c>
      <c r="BD70" s="343">
        <f t="shared" ref="BD70:BD84" si="82">$AI$86</f>
        <v>12.08622278277339</v>
      </c>
      <c r="BE70" s="343">
        <f t="shared" ref="BE70:BE84" si="83">$AI$90</f>
        <v>11.98511024013281</v>
      </c>
      <c r="BF70" s="344">
        <f>$AB$86</f>
        <v>12.656334821867969</v>
      </c>
      <c r="BG70" s="240"/>
      <c r="BH70" s="240"/>
      <c r="BI70" s="240"/>
      <c r="BJ70" s="240"/>
      <c r="BK70" s="240"/>
      <c r="BL70" s="240"/>
    </row>
    <row r="71" spans="2:67">
      <c r="B71" s="238" t="s">
        <v>155</v>
      </c>
      <c r="C71" s="339">
        <f t="shared" ref="C71:C79" si="84">W71</f>
        <v>11.651875133227167</v>
      </c>
      <c r="D71" s="339">
        <f t="shared" si="62"/>
        <v>12.233010007887412</v>
      </c>
      <c r="E71" s="339">
        <f t="shared" si="63"/>
        <v>11.561375458019693</v>
      </c>
      <c r="F71" s="339">
        <f t="shared" si="64"/>
        <v>10.371639847421712</v>
      </c>
      <c r="G71" s="339">
        <f t="shared" si="65"/>
        <v>10.933793689799927</v>
      </c>
      <c r="H71" s="339">
        <f t="shared" si="66"/>
        <v>9.9109600109400198</v>
      </c>
      <c r="I71" s="339">
        <f t="shared" si="67"/>
        <v>11.302225767300401</v>
      </c>
      <c r="J71" s="339">
        <f t="shared" si="68"/>
        <v>10.563551104643565</v>
      </c>
      <c r="K71" s="339">
        <f t="shared" si="69"/>
        <v>10.082867776356624</v>
      </c>
      <c r="L71" s="339">
        <f t="shared" si="70"/>
        <v>10.747553145458074</v>
      </c>
      <c r="M71" s="339">
        <f t="shared" si="71"/>
        <v>10.515929261522617</v>
      </c>
      <c r="N71" s="339">
        <f>M71</f>
        <v>10.515929261522617</v>
      </c>
      <c r="O71" s="363">
        <f>N71</f>
        <v>10.515929261522617</v>
      </c>
      <c r="Q71" s="341">
        <f t="shared" si="74"/>
        <v>6.1040428971039562E-2</v>
      </c>
      <c r="V71" s="238" t="s">
        <v>155</v>
      </c>
      <c r="W71" s="339">
        <f>BIR!D96</f>
        <v>11.651875133227167</v>
      </c>
      <c r="X71" s="339">
        <f>BIR!E96</f>
        <v>12.233010007887412</v>
      </c>
      <c r="Y71" s="339">
        <f>BIR!F96</f>
        <v>11.561375458019693</v>
      </c>
      <c r="Z71" s="339">
        <f>BIR!G96</f>
        <v>10.371639847421712</v>
      </c>
      <c r="AA71" s="339">
        <f>BIR!H96</f>
        <v>10.933793689799927</v>
      </c>
      <c r="AB71" s="339">
        <f>BIR!I96</f>
        <v>9.9109600109400198</v>
      </c>
      <c r="AC71" s="339">
        <f>BIR!J96</f>
        <v>11.302225767300401</v>
      </c>
      <c r="AD71" s="339">
        <f>BIR!K96</f>
        <v>10.563551104643565</v>
      </c>
      <c r="AE71" s="339">
        <f>BIR!L96</f>
        <v>10.082867776356624</v>
      </c>
      <c r="AF71" s="339">
        <f>BIR!M96</f>
        <v>10.747553145458074</v>
      </c>
      <c r="AG71" s="339">
        <f>BIR!N96</f>
        <v>10.515929261522617</v>
      </c>
      <c r="AH71" s="339">
        <f>AG71</f>
        <v>10.515929261522617</v>
      </c>
      <c r="AI71" s="363">
        <f>AH71</f>
        <v>10.515929261522617</v>
      </c>
      <c r="AJ71" s="105"/>
      <c r="AK71" s="341">
        <f>AI71/AB71</f>
        <v>1.0610404289710396</v>
      </c>
      <c r="AP71" s="337">
        <f t="shared" si="76"/>
        <v>12</v>
      </c>
      <c r="AQ71" s="337">
        <v>3</v>
      </c>
      <c r="AR71" s="337" t="str">
        <f t="shared" ref="AR71:AR84" si="85">INDEX($B$69:$B$84,MATCH(AQ71,$AP$69:$AP$84,0),0)</f>
        <v>Munich</v>
      </c>
      <c r="AS71" s="342">
        <f t="shared" si="77"/>
        <v>19.712288872091278</v>
      </c>
      <c r="AT71" s="343">
        <f t="shared" ref="AT71:AT83" si="86">VLOOKUP(AR71,$B$69:$N$84,7,FALSE)</f>
        <v>33.547845278699874</v>
      </c>
      <c r="AU71" s="343">
        <f t="shared" si="78"/>
        <v>12.90136907768863</v>
      </c>
      <c r="AV71" s="343">
        <f t="shared" si="79"/>
        <v>12.763322855700592</v>
      </c>
      <c r="AW71" s="344">
        <f t="shared" ref="AW71:AW83" si="87">$H$86</f>
        <v>12.566054718205027</v>
      </c>
      <c r="AX71" s="240"/>
      <c r="AY71" s="337">
        <f t="shared" si="80"/>
        <v>11</v>
      </c>
      <c r="AZ71" s="337">
        <v>3</v>
      </c>
      <c r="BA71" s="337" t="str">
        <f t="shared" si="73"/>
        <v>Amsterdam</v>
      </c>
      <c r="BB71" s="342">
        <f t="shared" si="81"/>
        <v>13.602910922382113</v>
      </c>
      <c r="BC71" s="343">
        <f t="shared" ref="BC71:BC84" si="88">VLOOKUP(BA71,$V$69:$AH$84,7,FALSE)</f>
        <v>15.163541348466431</v>
      </c>
      <c r="BD71" s="343">
        <f t="shared" si="82"/>
        <v>12.08622278277339</v>
      </c>
      <c r="BE71" s="343">
        <f t="shared" si="83"/>
        <v>11.98511024013281</v>
      </c>
      <c r="BF71" s="344">
        <f t="shared" ref="BF71:BF84" si="89">$AB$86</f>
        <v>12.656334821867969</v>
      </c>
      <c r="BG71" s="240"/>
      <c r="BH71" s="240"/>
      <c r="BI71" s="240"/>
      <c r="BJ71" s="240"/>
      <c r="BK71" s="240"/>
      <c r="BL71" s="240"/>
    </row>
    <row r="72" spans="2:67">
      <c r="B72" s="238" t="s">
        <v>115</v>
      </c>
      <c r="C72" s="339">
        <f t="shared" si="84"/>
        <v>8.1684626229908694</v>
      </c>
      <c r="D72" s="339">
        <f t="shared" si="62"/>
        <v>8.1795617832378653</v>
      </c>
      <c r="E72" s="339">
        <f t="shared" si="63"/>
        <v>7.6370484916511314</v>
      </c>
      <c r="F72" s="339">
        <f t="shared" si="64"/>
        <v>7.2462684146339846</v>
      </c>
      <c r="G72" s="339">
        <f t="shared" si="65"/>
        <v>6.6120788600150293</v>
      </c>
      <c r="H72" s="339">
        <f t="shared" si="66"/>
        <v>6.6046139589168646</v>
      </c>
      <c r="I72" s="339">
        <f t="shared" si="67"/>
        <v>6.3488073721364344</v>
      </c>
      <c r="J72" s="339">
        <f t="shared" si="68"/>
        <v>6.2997529807084582</v>
      </c>
      <c r="K72" s="339">
        <f t="shared" si="69"/>
        <v>6.3616466532463418</v>
      </c>
      <c r="L72" s="339">
        <f t="shared" si="70"/>
        <v>7.867726508365716</v>
      </c>
      <c r="M72" s="339">
        <f t="shared" si="71"/>
        <v>8.7205761777049915</v>
      </c>
      <c r="N72" s="339">
        <f t="shared" si="72"/>
        <v>8.7008875748933079</v>
      </c>
      <c r="O72" s="339">
        <f t="shared" si="72"/>
        <v>8.3657166802935432</v>
      </c>
      <c r="Q72" s="341">
        <f t="shared" si="74"/>
        <v>0.2666473365939912</v>
      </c>
      <c r="V72" s="238" t="s">
        <v>115</v>
      </c>
      <c r="W72" s="339">
        <f>EDIN!D101</f>
        <v>8.1684626229908694</v>
      </c>
      <c r="X72" s="339">
        <f>EDIN!E101</f>
        <v>8.1795617832378653</v>
      </c>
      <c r="Y72" s="339">
        <f>EDIN!F101</f>
        <v>7.6370484916511314</v>
      </c>
      <c r="Z72" s="339">
        <f>EDIN!G101</f>
        <v>7.2462684146339846</v>
      </c>
      <c r="AA72" s="339">
        <f>EDIN!H101</f>
        <v>6.6120788600150293</v>
      </c>
      <c r="AB72" s="339">
        <f>EDIN!I101</f>
        <v>6.6046139589168646</v>
      </c>
      <c r="AC72" s="339">
        <f>EDIN!J101</f>
        <v>6.3488073721364344</v>
      </c>
      <c r="AD72" s="339">
        <f>EDIN!K101</f>
        <v>6.2997529807084582</v>
      </c>
      <c r="AE72" s="339">
        <f>EDIN!L101</f>
        <v>6.3616466532463418</v>
      </c>
      <c r="AF72" s="339">
        <f>EDIN!M101</f>
        <v>7.867726508365716</v>
      </c>
      <c r="AG72" s="339">
        <f>EDIN!N101</f>
        <v>8.7205761777049915</v>
      </c>
      <c r="AH72" s="339">
        <f>EDIN!O101</f>
        <v>8.7008875748933079</v>
      </c>
      <c r="AI72" s="339">
        <f>EDIN!P101</f>
        <v>8.3657166802935432</v>
      </c>
      <c r="AJ72" s="105"/>
      <c r="AK72" s="341">
        <f t="shared" si="75"/>
        <v>1.2666473365939912</v>
      </c>
      <c r="AP72" s="337">
        <f t="shared" si="76"/>
        <v>16</v>
      </c>
      <c r="AQ72" s="337">
        <v>4</v>
      </c>
      <c r="AR72" s="337" t="str">
        <f t="shared" si="85"/>
        <v>Amsterdam</v>
      </c>
      <c r="AS72" s="342">
        <f t="shared" si="77"/>
        <v>14.972062407509178</v>
      </c>
      <c r="AT72" s="343">
        <f t="shared" si="86"/>
        <v>14.323144034122201</v>
      </c>
      <c r="AU72" s="343">
        <f t="shared" si="78"/>
        <v>12.90136907768863</v>
      </c>
      <c r="AV72" s="343">
        <f t="shared" si="79"/>
        <v>12.763322855700592</v>
      </c>
      <c r="AW72" s="344">
        <f t="shared" si="87"/>
        <v>12.566054718205027</v>
      </c>
      <c r="AX72" s="240"/>
      <c r="AY72" s="337">
        <f t="shared" si="80"/>
        <v>15</v>
      </c>
      <c r="AZ72" s="337">
        <v>4</v>
      </c>
      <c r="BA72" s="337" t="str">
        <f t="shared" si="73"/>
        <v>Hong Kong</v>
      </c>
      <c r="BB72" s="342">
        <f t="shared" si="81"/>
        <v>12.73356850328163</v>
      </c>
      <c r="BC72" s="343">
        <f t="shared" si="88"/>
        <v>17.451621251549255</v>
      </c>
      <c r="BD72" s="343">
        <f t="shared" si="82"/>
        <v>12.08622278277339</v>
      </c>
      <c r="BE72" s="343">
        <f t="shared" si="83"/>
        <v>11.98511024013281</v>
      </c>
      <c r="BF72" s="344">
        <f t="shared" si="89"/>
        <v>12.656334821867969</v>
      </c>
      <c r="BG72" s="240"/>
      <c r="BH72" s="240"/>
      <c r="BI72" s="240"/>
      <c r="BJ72" s="240"/>
      <c r="BK72" s="240"/>
      <c r="BL72" s="240"/>
    </row>
    <row r="73" spans="2:67">
      <c r="B73" s="238" t="s">
        <v>107</v>
      </c>
      <c r="C73" s="339">
        <f t="shared" si="84"/>
        <v>8.8822332909155879</v>
      </c>
      <c r="D73" s="339">
        <f t="shared" si="62"/>
        <v>9.8858515867401664</v>
      </c>
      <c r="E73" s="339">
        <f t="shared" si="63"/>
        <v>9.9599752232226795</v>
      </c>
      <c r="F73" s="339">
        <f t="shared" si="64"/>
        <v>10.244628535898256</v>
      </c>
      <c r="G73" s="339">
        <f t="shared" si="65"/>
        <v>9.7129024538360245</v>
      </c>
      <c r="H73" s="339">
        <f t="shared" si="66"/>
        <v>9.8417572297507459</v>
      </c>
      <c r="I73" s="339">
        <f t="shared" si="67"/>
        <v>9.4012435506328238</v>
      </c>
      <c r="J73" s="339">
        <f t="shared" si="68"/>
        <v>10.200276813805088</v>
      </c>
      <c r="K73" s="339">
        <f t="shared" si="69"/>
        <v>11.962722604089379</v>
      </c>
      <c r="L73" s="339">
        <f t="shared" si="70"/>
        <v>15.917491248952285</v>
      </c>
      <c r="M73" s="339">
        <f t="shared" si="71"/>
        <v>12.036435281861664</v>
      </c>
      <c r="N73" s="339">
        <f t="shared" si="72"/>
        <v>11.867555009755828</v>
      </c>
      <c r="O73" s="339">
        <f t="shared" si="72"/>
        <v>11.963677356755834</v>
      </c>
      <c r="Q73" s="341">
        <f t="shared" si="74"/>
        <v>0.2156037867496583</v>
      </c>
      <c r="V73" s="238" t="s">
        <v>107</v>
      </c>
      <c r="W73" s="339">
        <f>GAT!D115</f>
        <v>8.8822332909155879</v>
      </c>
      <c r="X73" s="339">
        <f>GAT!E115</f>
        <v>9.8858515867401664</v>
      </c>
      <c r="Y73" s="339">
        <f>GAT!F115</f>
        <v>9.9599752232226795</v>
      </c>
      <c r="Z73" s="339">
        <f>GAT!G115</f>
        <v>10.244628535898256</v>
      </c>
      <c r="AA73" s="339">
        <f>GAT!H115</f>
        <v>9.7129024538360245</v>
      </c>
      <c r="AB73" s="339">
        <f>GAT!I115</f>
        <v>9.8417572297507459</v>
      </c>
      <c r="AC73" s="339">
        <f>GAT!J115</f>
        <v>9.4012435506328238</v>
      </c>
      <c r="AD73" s="339">
        <f>GAT!K115</f>
        <v>10.200276813805088</v>
      </c>
      <c r="AE73" s="339">
        <f>GAT!L115</f>
        <v>11.962722604089379</v>
      </c>
      <c r="AF73" s="339">
        <f>GAT!M115</f>
        <v>15.917491248952285</v>
      </c>
      <c r="AG73" s="339">
        <f>GAT!N115</f>
        <v>12.036435281861664</v>
      </c>
      <c r="AH73" s="339">
        <f>GAT!O115</f>
        <v>11.867555009755828</v>
      </c>
      <c r="AI73" s="339">
        <f>GAT!P115</f>
        <v>11.963677356755834</v>
      </c>
      <c r="AJ73" s="105"/>
      <c r="AK73" s="341">
        <f t="shared" si="75"/>
        <v>1.2156037867496583</v>
      </c>
      <c r="AP73" s="337">
        <f t="shared" si="76"/>
        <v>9</v>
      </c>
      <c r="AQ73" s="337">
        <v>5</v>
      </c>
      <c r="AR73" s="337" t="str">
        <f t="shared" si="85"/>
        <v xml:space="preserve">Dublin </v>
      </c>
      <c r="AS73" s="342">
        <f t="shared" si="77"/>
        <v>12.676443178925842</v>
      </c>
      <c r="AT73" s="343">
        <f t="shared" si="86"/>
        <v>10.700570955760014</v>
      </c>
      <c r="AU73" s="343">
        <f t="shared" si="78"/>
        <v>12.90136907768863</v>
      </c>
      <c r="AV73" s="343">
        <f t="shared" si="79"/>
        <v>12.763322855700592</v>
      </c>
      <c r="AW73" s="344">
        <f t="shared" si="87"/>
        <v>12.566054718205027</v>
      </c>
      <c r="AX73" s="240"/>
      <c r="AY73" s="337">
        <f t="shared" si="80"/>
        <v>9</v>
      </c>
      <c r="AZ73" s="337">
        <v>5</v>
      </c>
      <c r="BA73" s="337" t="str">
        <f t="shared" si="73"/>
        <v>Zurich</v>
      </c>
      <c r="BB73" s="342">
        <f t="shared" si="81"/>
        <v>12.648154884484711</v>
      </c>
      <c r="BC73" s="343">
        <f t="shared" si="88"/>
        <v>19.691236080795022</v>
      </c>
      <c r="BD73" s="343">
        <f t="shared" si="82"/>
        <v>12.08622278277339</v>
      </c>
      <c r="BE73" s="343">
        <f t="shared" si="83"/>
        <v>11.98511024013281</v>
      </c>
      <c r="BF73" s="344">
        <f t="shared" si="89"/>
        <v>12.656334821867969</v>
      </c>
      <c r="BG73" s="240"/>
      <c r="BH73" s="240"/>
      <c r="BI73" s="240"/>
      <c r="BJ73" s="240"/>
      <c r="BK73" s="240"/>
      <c r="BL73" s="240"/>
    </row>
    <row r="74" spans="2:67">
      <c r="B74" s="238" t="s">
        <v>114</v>
      </c>
      <c r="C74" s="339">
        <f t="shared" si="84"/>
        <v>8.6021783142431545</v>
      </c>
      <c r="D74" s="339">
        <f t="shared" si="62"/>
        <v>8.5188164159191739</v>
      </c>
      <c r="E74" s="339">
        <f t="shared" si="63"/>
        <v>8.3609389143378952</v>
      </c>
      <c r="F74" s="339">
        <f t="shared" si="64"/>
        <v>8.3827989068587474</v>
      </c>
      <c r="G74" s="339">
        <f t="shared" si="65"/>
        <v>7.7474129102875366</v>
      </c>
      <c r="H74" s="339">
        <f t="shared" si="66"/>
        <v>7.7663550757423891</v>
      </c>
      <c r="I74" s="339">
        <f t="shared" si="67"/>
        <v>6.8518845057596538</v>
      </c>
      <c r="J74" s="339">
        <f t="shared" si="68"/>
        <v>7.3911854240889117</v>
      </c>
      <c r="K74" s="339">
        <f t="shared" si="69"/>
        <v>7.0178910141181481</v>
      </c>
      <c r="L74" s="339">
        <f t="shared" si="70"/>
        <v>9.2412463967249678</v>
      </c>
      <c r="M74" s="339">
        <f t="shared" si="71"/>
        <v>10.349142041307154</v>
      </c>
      <c r="N74" s="339">
        <f t="shared" si="72"/>
        <v>9.3276823087813217</v>
      </c>
      <c r="O74" s="363">
        <f t="shared" si="72"/>
        <v>9.3276823087813217</v>
      </c>
      <c r="Q74" s="341">
        <f t="shared" si="74"/>
        <v>0.20103732288980947</v>
      </c>
      <c r="V74" s="238" t="s">
        <v>114</v>
      </c>
      <c r="W74" s="339">
        <f>GLAS!D101</f>
        <v>8.6021783142431545</v>
      </c>
      <c r="X74" s="339">
        <f>GLAS!E101</f>
        <v>8.5188164159191739</v>
      </c>
      <c r="Y74" s="339">
        <f>GLAS!F101</f>
        <v>8.3609389143378952</v>
      </c>
      <c r="Z74" s="339">
        <f>GLAS!G101</f>
        <v>8.3827989068587474</v>
      </c>
      <c r="AA74" s="339">
        <f>GLAS!H101</f>
        <v>7.7474129102875366</v>
      </c>
      <c r="AB74" s="339">
        <f>GLAS!I101</f>
        <v>7.7663550757423891</v>
      </c>
      <c r="AC74" s="339">
        <f>GLAS!J101</f>
        <v>6.8518845057596538</v>
      </c>
      <c r="AD74" s="339">
        <f>GLAS!K101</f>
        <v>7.3911854240889117</v>
      </c>
      <c r="AE74" s="339">
        <f>GLAS!L101</f>
        <v>7.0178910141181481</v>
      </c>
      <c r="AF74" s="339">
        <f>GLAS!M101</f>
        <v>9.2412463967249678</v>
      </c>
      <c r="AG74" s="339">
        <f>GLAS!N101</f>
        <v>10.349142041307154</v>
      </c>
      <c r="AH74" s="339">
        <f>GLAS!O101</f>
        <v>9.3276823087813217</v>
      </c>
      <c r="AI74" s="363">
        <f>AH74</f>
        <v>9.3276823087813217</v>
      </c>
      <c r="AJ74" s="105"/>
      <c r="AK74" s="341">
        <f t="shared" si="75"/>
        <v>1.2010373228898095</v>
      </c>
      <c r="AP74" s="337">
        <f t="shared" si="76"/>
        <v>14</v>
      </c>
      <c r="AQ74" s="337">
        <v>6</v>
      </c>
      <c r="AR74" s="337" t="str">
        <f t="shared" si="85"/>
        <v>Southampton</v>
      </c>
      <c r="AS74" s="342">
        <f t="shared" si="77"/>
        <v>12.543489264124721</v>
      </c>
      <c r="AT74" s="343">
        <f t="shared" si="86"/>
        <v>8.4794095564569094</v>
      </c>
      <c r="AU74" s="343">
        <f t="shared" si="78"/>
        <v>12.90136907768863</v>
      </c>
      <c r="AV74" s="343">
        <f t="shared" si="79"/>
        <v>12.763322855700592</v>
      </c>
      <c r="AW74" s="344">
        <f t="shared" si="87"/>
        <v>12.566054718205027</v>
      </c>
      <c r="AX74" s="240"/>
      <c r="AY74" s="337">
        <f t="shared" si="80"/>
        <v>14</v>
      </c>
      <c r="AZ74" s="337">
        <v>6</v>
      </c>
      <c r="BA74" s="337" t="str">
        <f t="shared" si="73"/>
        <v>Southampton</v>
      </c>
      <c r="BB74" s="342">
        <f t="shared" si="81"/>
        <v>12.543489264124721</v>
      </c>
      <c r="BC74" s="343">
        <f t="shared" si="88"/>
        <v>8.4794095564569094</v>
      </c>
      <c r="BD74" s="343">
        <f t="shared" si="82"/>
        <v>12.08622278277339</v>
      </c>
      <c r="BE74" s="343">
        <f t="shared" si="83"/>
        <v>11.98511024013281</v>
      </c>
      <c r="BF74" s="344">
        <f t="shared" si="89"/>
        <v>12.656334821867969</v>
      </c>
      <c r="BG74" s="240"/>
      <c r="BH74" s="240"/>
      <c r="BI74" s="240"/>
      <c r="BJ74" s="240"/>
      <c r="BK74" s="240"/>
      <c r="BL74" s="240"/>
    </row>
    <row r="75" spans="2:67">
      <c r="B75" s="238" t="s">
        <v>105</v>
      </c>
      <c r="C75" s="339">
        <f t="shared" si="84"/>
        <v>11.72457597361853</v>
      </c>
      <c r="D75" s="339">
        <f t="shared" si="62"/>
        <v>13.092895716610695</v>
      </c>
      <c r="E75" s="339">
        <f t="shared" si="63"/>
        <v>12.777947880861403</v>
      </c>
      <c r="F75" s="339">
        <f t="shared" si="64"/>
        <v>12.960170842151593</v>
      </c>
      <c r="G75" s="339">
        <f t="shared" si="65"/>
        <v>13.041200087502235</v>
      </c>
      <c r="H75" s="339">
        <f t="shared" si="66"/>
        <v>13.761874048161998</v>
      </c>
      <c r="I75" s="339">
        <f t="shared" si="67"/>
        <v>14.423204904497448</v>
      </c>
      <c r="J75" s="339">
        <f t="shared" si="68"/>
        <v>15.115991208392455</v>
      </c>
      <c r="K75" s="339">
        <f t="shared" si="69"/>
        <v>21.260092332195576</v>
      </c>
      <c r="L75" s="339">
        <f t="shared" si="70"/>
        <v>23.292366435295264</v>
      </c>
      <c r="M75" s="339">
        <f t="shared" si="71"/>
        <v>22.878486540078423</v>
      </c>
      <c r="N75" s="339">
        <f>AH75</f>
        <v>21.470466448290754</v>
      </c>
      <c r="O75" s="339">
        <f>AI75</f>
        <v>21.382997447066792</v>
      </c>
      <c r="Q75" s="341">
        <f t="shared" si="74"/>
        <v>0.55378528914255343</v>
      </c>
      <c r="V75" s="238" t="s">
        <v>105</v>
      </c>
      <c r="W75" s="339">
        <f>HTROW!D115</f>
        <v>11.72457597361853</v>
      </c>
      <c r="X75" s="339">
        <f>HTROW!E115</f>
        <v>13.092895716610695</v>
      </c>
      <c r="Y75" s="339">
        <f>HTROW!F115</f>
        <v>12.777947880861403</v>
      </c>
      <c r="Z75" s="339">
        <f>HTROW!G115</f>
        <v>12.960170842151593</v>
      </c>
      <c r="AA75" s="339">
        <f>HTROW!H115</f>
        <v>13.041200087502235</v>
      </c>
      <c r="AB75" s="339">
        <f>HTROW!I115</f>
        <v>13.761874048161998</v>
      </c>
      <c r="AC75" s="339">
        <f>HTROW!J115</f>
        <v>14.423204904497448</v>
      </c>
      <c r="AD75" s="339">
        <f>HTROW!K115</f>
        <v>15.115991208392455</v>
      </c>
      <c r="AE75" s="339">
        <f>HTROW!L115</f>
        <v>21.260092332195576</v>
      </c>
      <c r="AF75" s="339">
        <f>HTROW!M115</f>
        <v>23.292366435295264</v>
      </c>
      <c r="AG75" s="339">
        <f>HTROW!N115</f>
        <v>22.878486540078423</v>
      </c>
      <c r="AH75" s="339">
        <f>HTROW!O115</f>
        <v>21.470466448290754</v>
      </c>
      <c r="AI75" s="339">
        <f>HTROW!P115</f>
        <v>21.382997447066792</v>
      </c>
      <c r="AJ75" s="105"/>
      <c r="AK75" s="341">
        <f t="shared" si="75"/>
        <v>1.5537852891425534</v>
      </c>
      <c r="AP75" s="337">
        <f t="shared" si="76"/>
        <v>1</v>
      </c>
      <c r="AQ75" s="337">
        <v>7</v>
      </c>
      <c r="AR75" s="337" t="str">
        <f t="shared" si="85"/>
        <v>Manchester</v>
      </c>
      <c r="AS75" s="342">
        <f t="shared" si="77"/>
        <v>12.131485887606106</v>
      </c>
      <c r="AT75" s="343">
        <f t="shared" si="86"/>
        <v>12.217517038942889</v>
      </c>
      <c r="AU75" s="343">
        <f t="shared" si="78"/>
        <v>12.90136907768863</v>
      </c>
      <c r="AV75" s="343">
        <f t="shared" si="79"/>
        <v>12.763322855700592</v>
      </c>
      <c r="AW75" s="344">
        <f t="shared" si="87"/>
        <v>12.566054718205027</v>
      </c>
      <c r="AX75" s="240"/>
      <c r="AY75" s="337">
        <f t="shared" si="80"/>
        <v>1</v>
      </c>
      <c r="AZ75" s="337">
        <v>7</v>
      </c>
      <c r="BA75" s="337" t="str">
        <f t="shared" si="73"/>
        <v>Manchester</v>
      </c>
      <c r="BB75" s="342">
        <f t="shared" si="81"/>
        <v>12.131485887606106</v>
      </c>
      <c r="BC75" s="343">
        <f t="shared" si="88"/>
        <v>12.217517038942889</v>
      </c>
      <c r="BD75" s="343">
        <f t="shared" si="82"/>
        <v>12.08622278277339</v>
      </c>
      <c r="BE75" s="343">
        <f t="shared" si="83"/>
        <v>11.98511024013281</v>
      </c>
      <c r="BF75" s="344">
        <f t="shared" si="89"/>
        <v>12.656334821867969</v>
      </c>
      <c r="BG75" s="240"/>
      <c r="BH75" s="240"/>
      <c r="BI75" s="240"/>
      <c r="BJ75" s="240"/>
      <c r="BK75" s="240"/>
      <c r="BL75" s="240"/>
    </row>
    <row r="76" spans="2:67">
      <c r="B76" s="238" t="s">
        <v>156</v>
      </c>
      <c r="C76" s="339">
        <f t="shared" si="84"/>
        <v>10.40683760494084</v>
      </c>
      <c r="D76" s="339">
        <f t="shared" si="62"/>
        <v>13.124331266759651</v>
      </c>
      <c r="E76" s="339">
        <f t="shared" si="63"/>
        <v>11.072052074179009</v>
      </c>
      <c r="F76" s="339">
        <f t="shared" si="64"/>
        <v>10.198285968486733</v>
      </c>
      <c r="G76" s="339">
        <f t="shared" si="65"/>
        <v>9.0002685267341018</v>
      </c>
      <c r="H76" s="339">
        <f t="shared" si="66"/>
        <v>8.6812449159424894</v>
      </c>
      <c r="I76" s="339">
        <f t="shared" si="67"/>
        <v>8.9525674443703629</v>
      </c>
      <c r="J76" s="339">
        <f t="shared" si="68"/>
        <v>8.9461860770925146</v>
      </c>
      <c r="K76" s="339">
        <f t="shared" si="69"/>
        <v>9.0481814907781128</v>
      </c>
      <c r="L76" s="339">
        <f t="shared" si="70"/>
        <v>9.6479742685058589</v>
      </c>
      <c r="M76" s="339">
        <f t="shared" si="71"/>
        <v>9.9259358127380057</v>
      </c>
      <c r="N76" s="339">
        <f t="shared" si="72"/>
        <v>9.3659064055519377</v>
      </c>
      <c r="O76" s="339">
        <f t="shared" si="72"/>
        <v>9.5016989066774507</v>
      </c>
      <c r="Q76" s="341">
        <f t="shared" si="74"/>
        <v>9.4508794381351402E-2</v>
      </c>
      <c r="V76" s="238" t="s">
        <v>156</v>
      </c>
      <c r="W76" s="339">
        <f>LTN!D96</f>
        <v>10.40683760494084</v>
      </c>
      <c r="X76" s="339">
        <f>LTN!E96</f>
        <v>13.124331266759651</v>
      </c>
      <c r="Y76" s="339">
        <f>LTN!F96</f>
        <v>11.072052074179009</v>
      </c>
      <c r="Z76" s="339">
        <f>LTN!G96</f>
        <v>10.198285968486733</v>
      </c>
      <c r="AA76" s="339">
        <f>LTN!H96</f>
        <v>9.0002685267341018</v>
      </c>
      <c r="AB76" s="339">
        <f>LTN!I96</f>
        <v>8.6812449159424894</v>
      </c>
      <c r="AC76" s="339">
        <f>LTN!J96</f>
        <v>8.9525674443703629</v>
      </c>
      <c r="AD76" s="339">
        <f>LTN!K96</f>
        <v>8.9461860770925146</v>
      </c>
      <c r="AE76" s="339">
        <f>LTN!L96</f>
        <v>9.0481814907781128</v>
      </c>
      <c r="AF76" s="339">
        <f>LTN!M96</f>
        <v>9.6479742685058589</v>
      </c>
      <c r="AG76" s="339">
        <f>LTN!N96</f>
        <v>9.9259358127380057</v>
      </c>
      <c r="AH76" s="339">
        <f>LTN!O96</f>
        <v>9.3659064055519377</v>
      </c>
      <c r="AI76" s="339">
        <f>LTN!P96</f>
        <v>9.5016989066774507</v>
      </c>
      <c r="AJ76" s="105"/>
      <c r="AK76" s="341">
        <f t="shared" si="75"/>
        <v>1.0945087943813514</v>
      </c>
      <c r="AP76" s="337">
        <f t="shared" si="76"/>
        <v>13</v>
      </c>
      <c r="AQ76" s="337">
        <v>8</v>
      </c>
      <c r="AR76" s="337" t="str">
        <f t="shared" si="85"/>
        <v>Aberdeen</v>
      </c>
      <c r="AS76" s="342">
        <f t="shared" si="77"/>
        <v>12.100338152202825</v>
      </c>
      <c r="AT76" s="343">
        <f t="shared" si="86"/>
        <v>9.6621349783328903</v>
      </c>
      <c r="AU76" s="343">
        <f t="shared" si="78"/>
        <v>12.90136907768863</v>
      </c>
      <c r="AV76" s="343">
        <f t="shared" si="79"/>
        <v>12.763322855700592</v>
      </c>
      <c r="AW76" s="344">
        <f t="shared" si="87"/>
        <v>12.566054718205027</v>
      </c>
      <c r="AX76" s="240"/>
      <c r="AY76" s="337">
        <f t="shared" si="80"/>
        <v>13</v>
      </c>
      <c r="AZ76" s="337">
        <v>8</v>
      </c>
      <c r="BA76" s="337" t="str">
        <f t="shared" si="73"/>
        <v>Aberdeen</v>
      </c>
      <c r="BB76" s="342">
        <f t="shared" si="81"/>
        <v>12.100338152202825</v>
      </c>
      <c r="BC76" s="343">
        <f t="shared" si="88"/>
        <v>9.6621349783328903</v>
      </c>
      <c r="BD76" s="343">
        <f t="shared" si="82"/>
        <v>12.08622278277339</v>
      </c>
      <c r="BE76" s="343">
        <f t="shared" si="83"/>
        <v>11.98511024013281</v>
      </c>
      <c r="BF76" s="344">
        <f t="shared" si="89"/>
        <v>12.656334821867969</v>
      </c>
      <c r="BG76" s="240"/>
      <c r="BH76" s="240"/>
      <c r="BI76" s="240"/>
      <c r="BJ76" s="240"/>
      <c r="BK76" s="240"/>
      <c r="BL76" s="240"/>
    </row>
    <row r="77" spans="2:67">
      <c r="B77" s="238" t="s">
        <v>204</v>
      </c>
      <c r="C77" s="339">
        <f t="shared" si="84"/>
        <v>13.758227765737901</v>
      </c>
      <c r="D77" s="339">
        <f t="shared" si="62"/>
        <v>15.505387835001851</v>
      </c>
      <c r="E77" s="339">
        <f t="shared" si="63"/>
        <v>14.580788951360935</v>
      </c>
      <c r="F77" s="339">
        <f t="shared" si="64"/>
        <v>11.835480296452785</v>
      </c>
      <c r="G77" s="339">
        <f t="shared" si="65"/>
        <v>11.777865223662872</v>
      </c>
      <c r="H77" s="339">
        <f t="shared" si="66"/>
        <v>12.217517038942889</v>
      </c>
      <c r="I77" s="339">
        <f t="shared" si="67"/>
        <v>11.601171082686092</v>
      </c>
      <c r="J77" s="339">
        <f t="shared" si="68"/>
        <v>11.049208119856251</v>
      </c>
      <c r="K77" s="339">
        <f t="shared" si="69"/>
        <v>12.170934501625194</v>
      </c>
      <c r="L77" s="339">
        <f t="shared" si="70"/>
        <v>13.132163946812051</v>
      </c>
      <c r="M77" s="339">
        <f t="shared" si="71"/>
        <v>13.095163183696108</v>
      </c>
      <c r="N77" s="339">
        <f t="shared" si="72"/>
        <v>12.131485887606106</v>
      </c>
      <c r="O77" s="363">
        <f t="shared" si="72"/>
        <v>12.131485887606106</v>
      </c>
      <c r="Q77" s="341">
        <f t="shared" si="74"/>
        <v>-7.0416231925490846E-3</v>
      </c>
      <c r="V77" s="238" t="s">
        <v>204</v>
      </c>
      <c r="W77" s="339">
        <f>MAN!D102</f>
        <v>13.758227765737901</v>
      </c>
      <c r="X77" s="339">
        <f>MAN!E102</f>
        <v>15.505387835001851</v>
      </c>
      <c r="Y77" s="339">
        <f>MAN!F102</f>
        <v>14.580788951360935</v>
      </c>
      <c r="Z77" s="339">
        <f>MAN!G102</f>
        <v>11.835480296452785</v>
      </c>
      <c r="AA77" s="339">
        <f>MAN!H102</f>
        <v>11.777865223662872</v>
      </c>
      <c r="AB77" s="339">
        <f>MAN!I102</f>
        <v>12.217517038942889</v>
      </c>
      <c r="AC77" s="339">
        <f>MAN!J102</f>
        <v>11.601171082686092</v>
      </c>
      <c r="AD77" s="339">
        <f>MAN!K102</f>
        <v>11.049208119856251</v>
      </c>
      <c r="AE77" s="339">
        <f>MAN!L102</f>
        <v>12.170934501625194</v>
      </c>
      <c r="AF77" s="339">
        <f>MAN!M102</f>
        <v>13.132163946812051</v>
      </c>
      <c r="AG77" s="339">
        <f>MAN!N102</f>
        <v>13.095163183696108</v>
      </c>
      <c r="AH77" s="339">
        <f>MAN!O102</f>
        <v>12.131485887606106</v>
      </c>
      <c r="AI77" s="363">
        <f>AH77</f>
        <v>12.131485887606106</v>
      </c>
      <c r="AJ77" s="105"/>
      <c r="AK77" s="341">
        <f t="shared" si="75"/>
        <v>0.99295837680745092</v>
      </c>
      <c r="AP77" s="337">
        <f t="shared" si="76"/>
        <v>7</v>
      </c>
      <c r="AQ77" s="337">
        <v>9</v>
      </c>
      <c r="AR77" s="337" t="str">
        <f t="shared" si="85"/>
        <v>Gatwick</v>
      </c>
      <c r="AS77" s="342">
        <f t="shared" si="77"/>
        <v>11.963677356755834</v>
      </c>
      <c r="AT77" s="343">
        <f t="shared" si="86"/>
        <v>9.8417572297507459</v>
      </c>
      <c r="AU77" s="343">
        <f t="shared" si="78"/>
        <v>12.90136907768863</v>
      </c>
      <c r="AV77" s="343">
        <f t="shared" si="79"/>
        <v>12.763322855700592</v>
      </c>
      <c r="AW77" s="344">
        <f t="shared" si="87"/>
        <v>12.566054718205027</v>
      </c>
      <c r="AX77" s="240"/>
      <c r="AY77" s="337">
        <f t="shared" si="80"/>
        <v>7</v>
      </c>
      <c r="AZ77" s="337">
        <v>9</v>
      </c>
      <c r="BA77" s="337" t="str">
        <f t="shared" si="73"/>
        <v>Gatwick</v>
      </c>
      <c r="BB77" s="342">
        <f t="shared" si="81"/>
        <v>11.963677356755834</v>
      </c>
      <c r="BC77" s="343">
        <f t="shared" si="88"/>
        <v>9.8417572297507459</v>
      </c>
      <c r="BD77" s="343">
        <f t="shared" si="82"/>
        <v>12.08622278277339</v>
      </c>
      <c r="BE77" s="343">
        <f t="shared" si="83"/>
        <v>11.98511024013281</v>
      </c>
      <c r="BF77" s="344">
        <f t="shared" si="89"/>
        <v>12.656334821867969</v>
      </c>
      <c r="BG77" s="240"/>
      <c r="BH77" s="240"/>
      <c r="BI77" s="240"/>
      <c r="BJ77" s="240"/>
      <c r="BK77" s="240"/>
      <c r="BL77" s="240"/>
    </row>
    <row r="78" spans="2:67">
      <c r="B78" s="238" t="s">
        <v>113</v>
      </c>
      <c r="C78" s="363">
        <f>$I$78</f>
        <v>8.4794095564569094</v>
      </c>
      <c r="D78" s="363">
        <f t="shared" ref="D78:H78" si="90">$I$78</f>
        <v>8.4794095564569094</v>
      </c>
      <c r="E78" s="363">
        <f t="shared" si="90"/>
        <v>8.4794095564569094</v>
      </c>
      <c r="F78" s="363">
        <f t="shared" si="90"/>
        <v>8.4794095564569094</v>
      </c>
      <c r="G78" s="363">
        <f t="shared" si="90"/>
        <v>8.4794095564569094</v>
      </c>
      <c r="H78" s="363">
        <f t="shared" si="90"/>
        <v>8.4794095564569094</v>
      </c>
      <c r="I78" s="339">
        <f t="shared" si="67"/>
        <v>8.4794095564569094</v>
      </c>
      <c r="J78" s="339">
        <f t="shared" si="68"/>
        <v>10.190900080594206</v>
      </c>
      <c r="K78" s="339">
        <f t="shared" si="69"/>
        <v>11.726285132331661</v>
      </c>
      <c r="L78" s="339">
        <f t="shared" si="70"/>
        <v>12.65990573892055</v>
      </c>
      <c r="M78" s="339">
        <f t="shared" si="71"/>
        <v>12.543489264124721</v>
      </c>
      <c r="N78" s="363">
        <f>M78</f>
        <v>12.543489264124721</v>
      </c>
      <c r="O78" s="363">
        <f>N78</f>
        <v>12.543489264124721</v>
      </c>
      <c r="Q78" s="341">
        <f t="shared" si="74"/>
        <v>0.47928805426942644</v>
      </c>
      <c r="V78" s="238" t="s">
        <v>113</v>
      </c>
      <c r="W78" s="363">
        <f>$AC$78</f>
        <v>8.4794095564569094</v>
      </c>
      <c r="X78" s="363">
        <f t="shared" ref="X78:AB78" si="91">$AC$78</f>
        <v>8.4794095564569094</v>
      </c>
      <c r="Y78" s="363">
        <f t="shared" si="91"/>
        <v>8.4794095564569094</v>
      </c>
      <c r="Z78" s="363">
        <f t="shared" si="91"/>
        <v>8.4794095564569094</v>
      </c>
      <c r="AA78" s="363">
        <f t="shared" si="91"/>
        <v>8.4794095564569094</v>
      </c>
      <c r="AB78" s="363">
        <f t="shared" si="91"/>
        <v>8.4794095564569094</v>
      </c>
      <c r="AC78" s="339">
        <f>STHAM!J98</f>
        <v>8.4794095564569094</v>
      </c>
      <c r="AD78" s="339">
        <f>STHAM!K98</f>
        <v>10.190900080594206</v>
      </c>
      <c r="AE78" s="339">
        <f>STHAM!L98</f>
        <v>11.726285132331661</v>
      </c>
      <c r="AF78" s="339">
        <f>STHAM!M98</f>
        <v>12.65990573892055</v>
      </c>
      <c r="AG78" s="339">
        <f>STHAM!N98</f>
        <v>12.543489264124721</v>
      </c>
      <c r="AH78" s="363">
        <f>AG78</f>
        <v>12.543489264124721</v>
      </c>
      <c r="AI78" s="363">
        <f>AH78</f>
        <v>12.543489264124721</v>
      </c>
      <c r="AJ78" s="105"/>
      <c r="AK78" s="341">
        <f t="shared" si="75"/>
        <v>1.4792880542694264</v>
      </c>
      <c r="AP78" s="337">
        <f t="shared" si="76"/>
        <v>6</v>
      </c>
      <c r="AQ78" s="337">
        <v>10</v>
      </c>
      <c r="AR78" s="337" t="str">
        <f t="shared" si="85"/>
        <v>Copenhagen</v>
      </c>
      <c r="AS78" s="342">
        <f t="shared" si="77"/>
        <v>10.615145632602452</v>
      </c>
      <c r="AT78" s="343">
        <f t="shared" si="86"/>
        <v>12.747862026285782</v>
      </c>
      <c r="AU78" s="343">
        <f t="shared" si="78"/>
        <v>12.90136907768863</v>
      </c>
      <c r="AV78" s="343">
        <f t="shared" si="79"/>
        <v>12.763322855700592</v>
      </c>
      <c r="AW78" s="344">
        <f t="shared" si="87"/>
        <v>12.566054718205027</v>
      </c>
      <c r="AX78" s="240"/>
      <c r="AY78" s="337">
        <f t="shared" si="80"/>
        <v>6</v>
      </c>
      <c r="AZ78" s="337">
        <v>10</v>
      </c>
      <c r="BA78" s="337" t="str">
        <f t="shared" si="73"/>
        <v>Stansted</v>
      </c>
      <c r="BB78" s="342">
        <f t="shared" si="81"/>
        <v>10.529386075276379</v>
      </c>
      <c r="BC78" s="343">
        <f t="shared" si="88"/>
        <v>7.1202622642793525</v>
      </c>
      <c r="BD78" s="343">
        <f t="shared" si="82"/>
        <v>12.08622278277339</v>
      </c>
      <c r="BE78" s="343">
        <f t="shared" si="83"/>
        <v>11.98511024013281</v>
      </c>
      <c r="BF78" s="344">
        <f t="shared" si="89"/>
        <v>12.656334821867969</v>
      </c>
      <c r="BG78" s="240"/>
      <c r="BH78" s="240"/>
      <c r="BI78" s="240"/>
      <c r="BJ78" s="240"/>
      <c r="BK78" s="240"/>
      <c r="BL78" s="240"/>
    </row>
    <row r="79" spans="2:67">
      <c r="B79" s="238" t="s">
        <v>112</v>
      </c>
      <c r="C79" s="339">
        <f t="shared" si="84"/>
        <v>10.733552020771437</v>
      </c>
      <c r="D79" s="339">
        <f t="shared" si="62"/>
        <v>10.204916223988718</v>
      </c>
      <c r="E79" s="339">
        <f t="shared" si="63"/>
        <v>9.8390087359502605</v>
      </c>
      <c r="F79" s="339">
        <f t="shared" si="64"/>
        <v>7.4869894336577065</v>
      </c>
      <c r="G79" s="339">
        <f t="shared" si="65"/>
        <v>7.3434141659583396</v>
      </c>
      <c r="H79" s="339">
        <f t="shared" si="66"/>
        <v>7.1202622642793525</v>
      </c>
      <c r="I79" s="339">
        <f t="shared" si="67"/>
        <v>7.0324281531760979</v>
      </c>
      <c r="J79" s="339">
        <f t="shared" si="68"/>
        <v>6.8102359543734847</v>
      </c>
      <c r="K79" s="339">
        <f t="shared" si="69"/>
        <v>7.5485998148966669</v>
      </c>
      <c r="L79" s="339">
        <f t="shared" si="70"/>
        <v>8.6296690311813471</v>
      </c>
      <c r="M79" s="339">
        <f t="shared" si="71"/>
        <v>9.9771204083897249</v>
      </c>
      <c r="N79" s="339">
        <f t="shared" si="72"/>
        <v>10.506956111913839</v>
      </c>
      <c r="O79" s="339">
        <f t="shared" si="72"/>
        <v>10.529386075276379</v>
      </c>
      <c r="Q79" s="341">
        <f t="shared" si="74"/>
        <v>0.47879188777915993</v>
      </c>
      <c r="V79" s="238" t="s">
        <v>112</v>
      </c>
      <c r="W79" s="339">
        <f>STAN!D114</f>
        <v>10.733552020771437</v>
      </c>
      <c r="X79" s="339">
        <f>STAN!E114</f>
        <v>10.204916223988718</v>
      </c>
      <c r="Y79" s="339">
        <f>STAN!F114</f>
        <v>9.8390087359502605</v>
      </c>
      <c r="Z79" s="339">
        <f>STAN!G114</f>
        <v>7.4869894336577065</v>
      </c>
      <c r="AA79" s="339">
        <f>STAN!H114</f>
        <v>7.3434141659583396</v>
      </c>
      <c r="AB79" s="339">
        <f>STAN!I114</f>
        <v>7.1202622642793525</v>
      </c>
      <c r="AC79" s="339">
        <f>STAN!J114</f>
        <v>7.0324281531760979</v>
      </c>
      <c r="AD79" s="339">
        <f>STAN!K114</f>
        <v>6.8102359543734847</v>
      </c>
      <c r="AE79" s="339">
        <f>STAN!L114</f>
        <v>7.5485998148966669</v>
      </c>
      <c r="AF79" s="339">
        <f>STAN!M114</f>
        <v>8.6296690311813471</v>
      </c>
      <c r="AG79" s="339">
        <f>STAN!N114</f>
        <v>9.9771204083897249</v>
      </c>
      <c r="AH79" s="339">
        <f>STAN!O114</f>
        <v>10.506956111913839</v>
      </c>
      <c r="AI79" s="339">
        <f>STAN!P114</f>
        <v>10.529386075276379</v>
      </c>
      <c r="AJ79" s="105"/>
      <c r="AK79" s="341">
        <f t="shared" si="75"/>
        <v>1.4787918877791599</v>
      </c>
      <c r="AP79" s="337">
        <f t="shared" si="76"/>
        <v>11</v>
      </c>
      <c r="AQ79" s="337">
        <v>11</v>
      </c>
      <c r="AR79" s="337" t="str">
        <f t="shared" si="85"/>
        <v>Stansted</v>
      </c>
      <c r="AS79" s="342">
        <f t="shared" si="77"/>
        <v>10.529386075276379</v>
      </c>
      <c r="AT79" s="343">
        <f t="shared" si="86"/>
        <v>7.1202622642793525</v>
      </c>
      <c r="AU79" s="343">
        <f t="shared" si="78"/>
        <v>12.90136907768863</v>
      </c>
      <c r="AV79" s="343">
        <f t="shared" si="79"/>
        <v>12.763322855700592</v>
      </c>
      <c r="AW79" s="344">
        <f t="shared" si="87"/>
        <v>12.566054718205027</v>
      </c>
      <c r="AX79" s="240"/>
      <c r="AY79" s="337">
        <f t="shared" si="80"/>
        <v>10</v>
      </c>
      <c r="AZ79" s="337">
        <v>11</v>
      </c>
      <c r="BA79" s="337" t="str">
        <f t="shared" si="73"/>
        <v>Birmingham</v>
      </c>
      <c r="BB79" s="342">
        <f t="shared" si="81"/>
        <v>10.515929261522617</v>
      </c>
      <c r="BC79" s="343">
        <f t="shared" si="88"/>
        <v>9.9109600109400198</v>
      </c>
      <c r="BD79" s="343">
        <f t="shared" si="82"/>
        <v>12.08622278277339</v>
      </c>
      <c r="BE79" s="343">
        <f t="shared" si="83"/>
        <v>11.98511024013281</v>
      </c>
      <c r="BF79" s="344">
        <f t="shared" si="89"/>
        <v>12.656334821867969</v>
      </c>
      <c r="BG79" s="240"/>
      <c r="BH79" s="240"/>
      <c r="BI79" s="240"/>
      <c r="BJ79" s="240"/>
      <c r="BK79" s="240"/>
      <c r="BL79" s="240"/>
    </row>
    <row r="80" spans="2:67">
      <c r="B80" s="5" t="s">
        <v>392</v>
      </c>
      <c r="C80" s="339">
        <f>Copenhagen!D104</f>
        <v>10.351329138722145</v>
      </c>
      <c r="D80" s="339">
        <f>Copenhagen!E104</f>
        <v>12.206768354157019</v>
      </c>
      <c r="E80" s="339">
        <f>Copenhagen!F104</f>
        <v>12.095618223202763</v>
      </c>
      <c r="F80" s="339">
        <f>Copenhagen!G104</f>
        <v>12.135985268404905</v>
      </c>
      <c r="G80" s="339">
        <f>Copenhagen!H104</f>
        <v>11.799892742043481</v>
      </c>
      <c r="H80" s="339">
        <f>Copenhagen!I104</f>
        <v>12.747862026285782</v>
      </c>
      <c r="I80" s="339">
        <f>Copenhagen!J104</f>
        <v>11.035341254037416</v>
      </c>
      <c r="J80" s="339">
        <f>Copenhagen!K104</f>
        <v>10.784944010130298</v>
      </c>
      <c r="K80" s="339">
        <f>Copenhagen!L104</f>
        <v>11.311852285998725</v>
      </c>
      <c r="L80" s="339">
        <f>Copenhagen!M104</f>
        <v>12.346252469252269</v>
      </c>
      <c r="M80" s="339">
        <f>Copenhagen!N104</f>
        <v>11.832727294785457</v>
      </c>
      <c r="N80" s="339">
        <f>Copenhagen!O104</f>
        <v>10.860735321610655</v>
      </c>
      <c r="O80" s="339">
        <f>Copenhagen!P104</f>
        <v>10.615145632602452</v>
      </c>
      <c r="Q80" s="341">
        <f t="shared" si="74"/>
        <v>-0.16729992757104839</v>
      </c>
      <c r="V80" s="5" t="s">
        <v>392</v>
      </c>
      <c r="W80" s="339">
        <f>Copenhagen!D155</f>
        <v>9.2187561829560956</v>
      </c>
      <c r="X80" s="339">
        <f>Copenhagen!E155</f>
        <v>10.580306084865361</v>
      </c>
      <c r="Y80" s="339">
        <f>Copenhagen!F155</f>
        <v>10.571812666513788</v>
      </c>
      <c r="Z80" s="339">
        <f>Copenhagen!G155</f>
        <v>9.7232928088831034</v>
      </c>
      <c r="AA80" s="339">
        <f>Copenhagen!H155</f>
        <v>9.6748099045741185</v>
      </c>
      <c r="AB80" s="339">
        <f>Copenhagen!I155</f>
        <v>10.26687276182972</v>
      </c>
      <c r="AC80" s="339">
        <f>Copenhagen!J155</f>
        <v>8.9760589021446311</v>
      </c>
      <c r="AD80" s="339">
        <f>Copenhagen!K155</f>
        <v>8.9945501092596292</v>
      </c>
      <c r="AE80" s="339">
        <f>Copenhagen!L155</f>
        <v>8.2327748535028391</v>
      </c>
      <c r="AF80" s="339">
        <f>Copenhagen!M155</f>
        <v>8.2138146458909134</v>
      </c>
      <c r="AG80" s="339">
        <f>Copenhagen!N155</f>
        <v>8.2131032272258846</v>
      </c>
      <c r="AH80" s="339">
        <f>Copenhagen!O155</f>
        <v>7.6472069459545278</v>
      </c>
      <c r="AI80" s="339">
        <f>Copenhagen!P155</f>
        <v>7.4629889864080425</v>
      </c>
      <c r="AJ80" s="105"/>
      <c r="AK80" s="341">
        <f t="shared" si="75"/>
        <v>0.72689991972570422</v>
      </c>
      <c r="AP80" s="337">
        <f t="shared" si="76"/>
        <v>10</v>
      </c>
      <c r="AQ80" s="337">
        <v>12</v>
      </c>
      <c r="AR80" s="337" t="str">
        <f t="shared" si="85"/>
        <v>Birmingham</v>
      </c>
      <c r="AS80" s="342">
        <f t="shared" si="77"/>
        <v>10.515929261522617</v>
      </c>
      <c r="AT80" s="343">
        <f t="shared" si="86"/>
        <v>9.9109600109400198</v>
      </c>
      <c r="AU80" s="343">
        <f t="shared" si="78"/>
        <v>12.90136907768863</v>
      </c>
      <c r="AV80" s="343">
        <f t="shared" si="79"/>
        <v>12.763322855700592</v>
      </c>
      <c r="AW80" s="344">
        <f t="shared" si="87"/>
        <v>12.566054718205027</v>
      </c>
      <c r="AX80" s="240"/>
      <c r="AY80" s="337">
        <f t="shared" si="80"/>
        <v>16</v>
      </c>
      <c r="AZ80" s="337">
        <v>12</v>
      </c>
      <c r="BA80" s="337" t="str">
        <f t="shared" si="73"/>
        <v xml:space="preserve">Dublin </v>
      </c>
      <c r="BB80" s="342">
        <f t="shared" si="81"/>
        <v>9.8417602464937914</v>
      </c>
      <c r="BC80" s="343">
        <f t="shared" si="88"/>
        <v>9.2502857743541753</v>
      </c>
      <c r="BD80" s="343">
        <f t="shared" si="82"/>
        <v>12.08622278277339</v>
      </c>
      <c r="BE80" s="343">
        <f t="shared" si="83"/>
        <v>11.98511024013281</v>
      </c>
      <c r="BF80" s="344">
        <f t="shared" si="89"/>
        <v>12.656334821867969</v>
      </c>
      <c r="BG80" s="240"/>
      <c r="BH80" s="240"/>
      <c r="BI80" s="240"/>
      <c r="BJ80" s="240"/>
      <c r="BK80" s="240"/>
      <c r="BL80" s="240"/>
    </row>
    <row r="81" spans="2:67">
      <c r="B81" s="238" t="s">
        <v>1125</v>
      </c>
      <c r="C81" s="363">
        <f>$I$81</f>
        <v>10.700570955760014</v>
      </c>
      <c r="D81" s="363">
        <f t="shared" ref="D81:H81" si="92">$I$81</f>
        <v>10.700570955760014</v>
      </c>
      <c r="E81" s="363">
        <f t="shared" si="92"/>
        <v>10.700570955760014</v>
      </c>
      <c r="F81" s="363">
        <f t="shared" si="92"/>
        <v>10.700570955760014</v>
      </c>
      <c r="G81" s="363">
        <f t="shared" si="92"/>
        <v>10.700570955760014</v>
      </c>
      <c r="H81" s="363">
        <f t="shared" si="92"/>
        <v>10.700570955760014</v>
      </c>
      <c r="I81" s="339">
        <f>Dublin!J116</f>
        <v>10.700570955760014</v>
      </c>
      <c r="J81" s="339">
        <f>Dublin!K116</f>
        <v>10.734150476922981</v>
      </c>
      <c r="K81" s="339">
        <f>Dublin!L116</f>
        <v>13.579158874861932</v>
      </c>
      <c r="L81" s="339">
        <f>Dublin!M116</f>
        <v>10.044126046220498</v>
      </c>
      <c r="M81" s="339">
        <f>Dublin!N116</f>
        <v>12.009496647115073</v>
      </c>
      <c r="N81" s="339">
        <f>Dublin!O116</f>
        <v>12.962351531296923</v>
      </c>
      <c r="O81" s="339">
        <f>Dublin!P116</f>
        <v>12.676443178925842</v>
      </c>
      <c r="Q81" s="341">
        <f t="shared" si="74"/>
        <v>0.18465110238834814</v>
      </c>
      <c r="V81" s="238" t="s">
        <v>1125</v>
      </c>
      <c r="W81" s="363">
        <f>$AC$81</f>
        <v>9.2502857743541753</v>
      </c>
      <c r="X81" s="363">
        <f t="shared" ref="X81:AB81" si="93">$AC$81</f>
        <v>9.2502857743541753</v>
      </c>
      <c r="Y81" s="363">
        <f t="shared" si="93"/>
        <v>9.2502857743541753</v>
      </c>
      <c r="Z81" s="363">
        <f t="shared" si="93"/>
        <v>9.2502857743541753</v>
      </c>
      <c r="AA81" s="363">
        <f t="shared" si="93"/>
        <v>9.2502857743541753</v>
      </c>
      <c r="AB81" s="363">
        <f t="shared" si="93"/>
        <v>9.2502857743541753</v>
      </c>
      <c r="AC81" s="339">
        <f>Dublin!J169</f>
        <v>9.2502857743541753</v>
      </c>
      <c r="AD81" s="339">
        <f>Dublin!K169</f>
        <v>9.609663022776175</v>
      </c>
      <c r="AE81" s="339">
        <f>Dublin!L169</f>
        <v>10.93954903726832</v>
      </c>
      <c r="AF81" s="339">
        <f>Dublin!M169</f>
        <v>7.7665753289611619</v>
      </c>
      <c r="AG81" s="339">
        <f>Dublin!N169</f>
        <v>10.405800916008241</v>
      </c>
      <c r="AH81" s="339">
        <f>Dublin!O169</f>
        <v>10.119952366561384</v>
      </c>
      <c r="AI81" s="339">
        <f>Dublin!P169</f>
        <v>9.8417602464937914</v>
      </c>
      <c r="AJ81" s="105"/>
      <c r="AK81" s="341">
        <f t="shared" si="75"/>
        <v>1.0639412107439363</v>
      </c>
      <c r="AP81" s="337">
        <f t="shared" si="76"/>
        <v>5</v>
      </c>
      <c r="AQ81" s="337">
        <v>13</v>
      </c>
      <c r="AR81" s="337" t="str">
        <f t="shared" si="85"/>
        <v>Luton</v>
      </c>
      <c r="AS81" s="342">
        <f t="shared" si="77"/>
        <v>9.5016989066774507</v>
      </c>
      <c r="AT81" s="343">
        <f t="shared" si="86"/>
        <v>8.6812449159424894</v>
      </c>
      <c r="AU81" s="343">
        <f t="shared" si="78"/>
        <v>12.90136907768863</v>
      </c>
      <c r="AV81" s="343">
        <f t="shared" si="79"/>
        <v>12.763322855700592</v>
      </c>
      <c r="AW81" s="344">
        <f t="shared" si="87"/>
        <v>12.566054718205027</v>
      </c>
      <c r="AX81" s="240"/>
      <c r="AY81" s="337">
        <f t="shared" si="80"/>
        <v>12</v>
      </c>
      <c r="AZ81" s="337">
        <v>13</v>
      </c>
      <c r="BA81" s="337" t="str">
        <f t="shared" si="73"/>
        <v>Luton</v>
      </c>
      <c r="BB81" s="342">
        <f t="shared" si="81"/>
        <v>9.5016989066774507</v>
      </c>
      <c r="BC81" s="343">
        <f t="shared" si="88"/>
        <v>8.6812449159424894</v>
      </c>
      <c r="BD81" s="343">
        <f t="shared" si="82"/>
        <v>12.08622278277339</v>
      </c>
      <c r="BE81" s="343">
        <f t="shared" si="83"/>
        <v>11.98511024013281</v>
      </c>
      <c r="BF81" s="344">
        <f t="shared" si="89"/>
        <v>12.656334821867969</v>
      </c>
      <c r="BG81" s="240"/>
      <c r="BH81" s="240"/>
      <c r="BI81" s="240"/>
      <c r="BJ81" s="240"/>
      <c r="BK81" s="240"/>
      <c r="BL81" s="240"/>
    </row>
    <row r="82" spans="2:67">
      <c r="B82" s="238" t="s">
        <v>394</v>
      </c>
      <c r="C82" s="339">
        <f>'Hong Kong'!D102</f>
        <v>14.848695626503899</v>
      </c>
      <c r="D82" s="339">
        <f>'Hong Kong'!E102</f>
        <v>15.048356422738484</v>
      </c>
      <c r="E82" s="339">
        <f>'Hong Kong'!F102</f>
        <v>14.088494548791704</v>
      </c>
      <c r="F82" s="339">
        <f>'Hong Kong'!G102</f>
        <v>15.918941319406496</v>
      </c>
      <c r="G82" s="339">
        <f>'Hong Kong'!H102</f>
        <v>11.680857890709735</v>
      </c>
      <c r="H82" s="339">
        <f>'Hong Kong'!I102</f>
        <v>11.159174322419481</v>
      </c>
      <c r="I82" s="339">
        <f>'Hong Kong'!J102</f>
        <v>10.643916686438438</v>
      </c>
      <c r="J82" s="339">
        <f>'Hong Kong'!K102</f>
        <v>10.265075657625333</v>
      </c>
      <c r="K82" s="339">
        <f>'Hong Kong'!L102</f>
        <v>10.401106996087984</v>
      </c>
      <c r="L82" s="339">
        <f>'Hong Kong'!M102</f>
        <v>10.685059295464034</v>
      </c>
      <c r="M82" s="339">
        <f>'Hong Kong'!N102</f>
        <v>9.5755600118876831</v>
      </c>
      <c r="N82" s="339">
        <f>'Hong Kong'!O102</f>
        <v>9.1098526246067237</v>
      </c>
      <c r="O82" s="339">
        <f>'Hong Kong'!P102</f>
        <v>8.9483843614268981</v>
      </c>
      <c r="Q82" s="341">
        <f t="shared" si="74"/>
        <v>-0.19811411643162236</v>
      </c>
      <c r="V82" s="238" t="s">
        <v>394</v>
      </c>
      <c r="W82" s="339">
        <f>'Hong Kong'!D151</f>
        <v>14.857812431180477</v>
      </c>
      <c r="X82" s="339">
        <f>'Hong Kong'!E151</f>
        <v>14.765816646852601</v>
      </c>
      <c r="Y82" s="339">
        <f>'Hong Kong'!F151</f>
        <v>15.189298925285561</v>
      </c>
      <c r="Z82" s="339">
        <f>'Hong Kong'!G151</f>
        <v>20.666528359038523</v>
      </c>
      <c r="AA82" s="339">
        <f>'Hong Kong'!H151</f>
        <v>17.815711437861463</v>
      </c>
      <c r="AB82" s="339">
        <f>'Hong Kong'!I151</f>
        <v>17.451621251549255</v>
      </c>
      <c r="AC82" s="339">
        <f>'Hong Kong'!J151</f>
        <v>17.160752483387107</v>
      </c>
      <c r="AD82" s="339">
        <f>'Hong Kong'!K151</f>
        <v>18.459966279445343</v>
      </c>
      <c r="AE82" s="339">
        <f>'Hong Kong'!L151</f>
        <v>17.391699618471701</v>
      </c>
      <c r="AF82" s="339">
        <f>'Hong Kong'!M151</f>
        <v>15.165865359217443</v>
      </c>
      <c r="AG82" s="339">
        <f>'Hong Kong'!N151</f>
        <v>13.582421651685088</v>
      </c>
      <c r="AH82" s="339">
        <f>'Hong Kong'!O151</f>
        <v>13.46580105093725</v>
      </c>
      <c r="AI82" s="339">
        <f>'Hong Kong'!P151</f>
        <v>12.73356850328163</v>
      </c>
      <c r="AJ82" s="105"/>
      <c r="AK82" s="341">
        <f t="shared" si="75"/>
        <v>0.72964960216239028</v>
      </c>
      <c r="AP82" s="337">
        <f t="shared" si="76"/>
        <v>15</v>
      </c>
      <c r="AQ82" s="337">
        <v>14</v>
      </c>
      <c r="AR82" s="337" t="str">
        <f t="shared" si="85"/>
        <v>Glasgow</v>
      </c>
      <c r="AS82" s="342">
        <f t="shared" si="77"/>
        <v>9.3276823087813217</v>
      </c>
      <c r="AT82" s="343">
        <f t="shared" si="86"/>
        <v>7.7663550757423891</v>
      </c>
      <c r="AU82" s="343">
        <f t="shared" si="78"/>
        <v>12.90136907768863</v>
      </c>
      <c r="AV82" s="343">
        <f t="shared" si="79"/>
        <v>12.763322855700592</v>
      </c>
      <c r="AW82" s="344">
        <f t="shared" si="87"/>
        <v>12.566054718205027</v>
      </c>
      <c r="AX82" s="240"/>
      <c r="AY82" s="337">
        <f t="shared" si="80"/>
        <v>4</v>
      </c>
      <c r="AZ82" s="337">
        <v>14</v>
      </c>
      <c r="BA82" s="337" t="str">
        <f t="shared" si="73"/>
        <v>Glasgow</v>
      </c>
      <c r="BB82" s="342">
        <f t="shared" si="81"/>
        <v>9.3276823087813217</v>
      </c>
      <c r="BC82" s="343">
        <f t="shared" si="88"/>
        <v>7.7663550757423891</v>
      </c>
      <c r="BD82" s="343">
        <f t="shared" si="82"/>
        <v>12.08622278277339</v>
      </c>
      <c r="BE82" s="343">
        <f t="shared" si="83"/>
        <v>11.98511024013281</v>
      </c>
      <c r="BF82" s="344">
        <f t="shared" si="89"/>
        <v>12.656334821867969</v>
      </c>
      <c r="BG82" s="240"/>
      <c r="BH82" s="240"/>
      <c r="BI82" s="240"/>
      <c r="BJ82" s="240"/>
      <c r="BK82" s="240"/>
      <c r="BL82" s="240"/>
    </row>
    <row r="83" spans="2:67">
      <c r="B83" s="5" t="s">
        <v>1050</v>
      </c>
      <c r="C83" s="339">
        <f>Munich!D100</f>
        <v>23.561999965148196</v>
      </c>
      <c r="D83" s="339">
        <f>Munich!E100</f>
        <v>23.625243626929752</v>
      </c>
      <c r="E83" s="339">
        <f>Munich!F100</f>
        <v>24.569062669915347</v>
      </c>
      <c r="F83" s="339">
        <f>Munich!G100</f>
        <v>26.986944406503497</v>
      </c>
      <c r="G83" s="339">
        <f>Munich!H100</f>
        <v>24.539779159986168</v>
      </c>
      <c r="H83" s="339">
        <f>Munich!I100</f>
        <v>33.547845278699874</v>
      </c>
      <c r="I83" s="339">
        <f>Munich!J100</f>
        <v>26.877655987544898</v>
      </c>
      <c r="J83" s="339">
        <f>Munich!K100</f>
        <v>24.634757477098098</v>
      </c>
      <c r="K83" s="339">
        <f>Munich!L100</f>
        <v>24.863586734814657</v>
      </c>
      <c r="L83" s="339">
        <f>Munich!M100</f>
        <v>26.271173398306399</v>
      </c>
      <c r="M83" s="339">
        <f>Munich!N100</f>
        <v>21.078216743518109</v>
      </c>
      <c r="N83" s="339">
        <f>Munich!O100</f>
        <v>19.712288872091278</v>
      </c>
      <c r="O83" s="363">
        <f>N83</f>
        <v>19.712288872091278</v>
      </c>
      <c r="Q83" s="341">
        <f t="shared" si="74"/>
        <v>-0.41241266888139128</v>
      </c>
      <c r="V83" s="5" t="s">
        <v>1050</v>
      </c>
      <c r="W83" s="339">
        <f>Munich!D147</f>
        <v>25.547641885983825</v>
      </c>
      <c r="X83" s="339">
        <f>Munich!E147</f>
        <v>25.206413880857248</v>
      </c>
      <c r="Y83" s="339">
        <f>Munich!F147</f>
        <v>26.517995776674855</v>
      </c>
      <c r="Z83" s="339">
        <f>Munich!G147</f>
        <v>27.754606577043802</v>
      </c>
      <c r="AA83" s="339">
        <f>Munich!H147</f>
        <v>26.124871125139119</v>
      </c>
      <c r="AB83" s="339">
        <f>Munich!I147</f>
        <v>36.631670855426378</v>
      </c>
      <c r="AC83" s="339">
        <f>Munich!J147</f>
        <v>29.977131462484099</v>
      </c>
      <c r="AD83" s="339">
        <f>Munich!K147</f>
        <v>28.070844012480055</v>
      </c>
      <c r="AE83" s="339">
        <f>Munich!L147</f>
        <v>24.787513998466398</v>
      </c>
      <c r="AF83" s="339">
        <f>Munich!M147</f>
        <v>23.609862410833944</v>
      </c>
      <c r="AG83" s="339">
        <f>Munich!N147</f>
        <v>19.831315670401825</v>
      </c>
      <c r="AH83" s="339">
        <f>Munich!O147</f>
        <v>18.727779641016422</v>
      </c>
      <c r="AI83" s="363">
        <f>AH83</f>
        <v>18.727779641016422</v>
      </c>
      <c r="AJ83" s="105"/>
      <c r="AK83" s="341">
        <f t="shared" si="75"/>
        <v>0.51124557530911019</v>
      </c>
      <c r="AP83" s="337">
        <f t="shared" si="76"/>
        <v>3</v>
      </c>
      <c r="AQ83" s="337">
        <v>15</v>
      </c>
      <c r="AR83" s="337" t="str">
        <f t="shared" si="85"/>
        <v>Hong Kong</v>
      </c>
      <c r="AS83" s="342">
        <f t="shared" si="77"/>
        <v>8.9483843614268981</v>
      </c>
      <c r="AT83" s="343">
        <f t="shared" si="86"/>
        <v>11.159174322419481</v>
      </c>
      <c r="AU83" s="343">
        <f t="shared" si="78"/>
        <v>12.90136907768863</v>
      </c>
      <c r="AV83" s="343">
        <f t="shared" si="79"/>
        <v>12.763322855700592</v>
      </c>
      <c r="AW83" s="344">
        <f t="shared" si="87"/>
        <v>12.566054718205027</v>
      </c>
      <c r="AX83" s="240"/>
      <c r="AY83" s="337">
        <f t="shared" si="80"/>
        <v>2</v>
      </c>
      <c r="AZ83" s="337">
        <v>15</v>
      </c>
      <c r="BA83" s="337" t="str">
        <f t="shared" si="73"/>
        <v>Edinburgh</v>
      </c>
      <c r="BB83" s="342">
        <f t="shared" si="81"/>
        <v>8.3657166802935432</v>
      </c>
      <c r="BC83" s="343">
        <f t="shared" si="88"/>
        <v>6.6046139589168646</v>
      </c>
      <c r="BD83" s="343">
        <f t="shared" si="82"/>
        <v>12.08622278277339</v>
      </c>
      <c r="BE83" s="343">
        <f t="shared" si="83"/>
        <v>11.98511024013281</v>
      </c>
      <c r="BF83" s="344">
        <f t="shared" si="89"/>
        <v>12.656334821867969</v>
      </c>
      <c r="BG83" s="240"/>
      <c r="BH83" s="240"/>
      <c r="BI83" s="240"/>
      <c r="BJ83" s="240"/>
      <c r="BK83" s="240"/>
      <c r="BL83" s="240"/>
    </row>
    <row r="84" spans="2:67">
      <c r="B84" s="5" t="s">
        <v>399</v>
      </c>
      <c r="C84" s="339">
        <f>Zurich!D104</f>
        <v>15.688586167727458</v>
      </c>
      <c r="D84" s="339">
        <f>Zurich!E104</f>
        <v>20.20319910400767</v>
      </c>
      <c r="E84" s="339">
        <f>Zurich!F104</f>
        <v>21.699008120502022</v>
      </c>
      <c r="F84" s="339">
        <f>Zurich!G104</f>
        <v>25.195932916925688</v>
      </c>
      <c r="G84" s="339">
        <f>Zurich!H104</f>
        <v>24.001961506286964</v>
      </c>
      <c r="H84" s="339">
        <f>Zurich!I104</f>
        <v>24.532149796526539</v>
      </c>
      <c r="I84" s="339">
        <f>Zurich!J104</f>
        <v>22.960171617266749</v>
      </c>
      <c r="J84" s="339">
        <f>Zurich!K104</f>
        <v>21.417655612938713</v>
      </c>
      <c r="K84" s="339">
        <f>Zurich!L104</f>
        <v>20.877239434165734</v>
      </c>
      <c r="L84" s="339">
        <f>Zurich!M104</f>
        <v>20.612625657248561</v>
      </c>
      <c r="M84" s="339">
        <f>Zurich!N104</f>
        <v>19.361000695280978</v>
      </c>
      <c r="N84" s="339">
        <f>Zurich!O104</f>
        <v>18.051946374609571</v>
      </c>
      <c r="O84" s="339">
        <f>Zurich!P104</f>
        <v>21.135179450154844</v>
      </c>
      <c r="Q84" s="341">
        <f>(O84/H84)-1</f>
        <v>-0.13847014528064994</v>
      </c>
      <c r="V84" s="5" t="s">
        <v>399</v>
      </c>
      <c r="W84" s="339">
        <f>Zurich!D156</f>
        <v>12.960640582357094</v>
      </c>
      <c r="X84" s="339">
        <f>Zurich!E156</f>
        <v>15.912479043704543</v>
      </c>
      <c r="Y84" s="339">
        <f>Zurich!F156</f>
        <v>17.004319566243357</v>
      </c>
      <c r="Z84" s="339">
        <f>Zurich!G156</f>
        <v>19.230563500080525</v>
      </c>
      <c r="AA84" s="339">
        <f>Zurich!H156</f>
        <v>19.094193232886099</v>
      </c>
      <c r="AB84" s="339">
        <f>Zurich!I156</f>
        <v>19.691236080795022</v>
      </c>
      <c r="AC84" s="339">
        <f>Zurich!J156</f>
        <v>19.252195325253204</v>
      </c>
      <c r="AD84" s="339">
        <f>Zurich!K156</f>
        <v>19.593302189010863</v>
      </c>
      <c r="AE84" s="339">
        <f>Zurich!L156</f>
        <v>16.405985983980841</v>
      </c>
      <c r="AF84" s="339">
        <f>Zurich!M156</f>
        <v>14.036938659702107</v>
      </c>
      <c r="AG84" s="339">
        <f>Zurich!N156</f>
        <v>12.762212831444188</v>
      </c>
      <c r="AH84" s="339">
        <f>Zurich!O156</f>
        <v>11.215117469889037</v>
      </c>
      <c r="AI84" s="339">
        <f>Zurich!P156</f>
        <v>12.648154884484711</v>
      </c>
      <c r="AJ84" s="105"/>
      <c r="AK84" s="341">
        <f t="shared" si="75"/>
        <v>0.64232406907256223</v>
      </c>
      <c r="AP84" s="337">
        <f t="shared" si="76"/>
        <v>2</v>
      </c>
      <c r="AQ84" s="337">
        <v>16</v>
      </c>
      <c r="AR84" s="337" t="str">
        <f t="shared" si="85"/>
        <v>Edinburgh</v>
      </c>
      <c r="AS84" s="342">
        <f t="shared" si="77"/>
        <v>8.3657166802935432</v>
      </c>
      <c r="AT84" s="343">
        <f>VLOOKUP(AR84,$B$69:$N$84,7,FALSE)</f>
        <v>6.6046139589168646</v>
      </c>
      <c r="AU84" s="343">
        <f t="shared" si="78"/>
        <v>12.90136907768863</v>
      </c>
      <c r="AV84" s="343">
        <f t="shared" si="79"/>
        <v>12.763322855700592</v>
      </c>
      <c r="AW84" s="344">
        <f>$H$86</f>
        <v>12.566054718205027</v>
      </c>
      <c r="AX84" s="240"/>
      <c r="AY84" s="337">
        <f t="shared" si="80"/>
        <v>5</v>
      </c>
      <c r="AZ84" s="337">
        <v>16</v>
      </c>
      <c r="BA84" s="337" t="str">
        <f t="shared" si="73"/>
        <v>Copenhagen</v>
      </c>
      <c r="BB84" s="342">
        <f t="shared" si="81"/>
        <v>7.4629889864080425</v>
      </c>
      <c r="BC84" s="343">
        <f t="shared" si="88"/>
        <v>10.26687276182972</v>
      </c>
      <c r="BD84" s="343">
        <f t="shared" si="82"/>
        <v>12.08622278277339</v>
      </c>
      <c r="BE84" s="343">
        <f t="shared" si="83"/>
        <v>11.98511024013281</v>
      </c>
      <c r="BF84" s="344">
        <f t="shared" si="89"/>
        <v>12.656334821867969</v>
      </c>
      <c r="BG84" s="240"/>
      <c r="BH84" s="240"/>
      <c r="BI84" s="240"/>
      <c r="BJ84" s="240"/>
      <c r="BK84" s="240"/>
      <c r="BL84" s="240"/>
    </row>
    <row r="85" spans="2:67">
      <c r="C85" s="110"/>
      <c r="D85" s="110"/>
      <c r="E85" s="110"/>
      <c r="F85" s="110"/>
      <c r="G85" s="110"/>
      <c r="H85" s="110"/>
      <c r="I85" s="110"/>
      <c r="J85" s="110"/>
      <c r="K85" s="110"/>
      <c r="L85" s="110"/>
      <c r="M85" s="110"/>
      <c r="N85" s="110"/>
      <c r="O85" s="110"/>
      <c r="Q85" s="224"/>
      <c r="W85" s="110"/>
      <c r="X85" s="110"/>
      <c r="Y85" s="110"/>
      <c r="Z85" s="110"/>
      <c r="AA85" s="110"/>
      <c r="AB85" s="110"/>
      <c r="AC85" s="110"/>
      <c r="AD85" s="110"/>
      <c r="AE85" s="110"/>
      <c r="AF85" s="110"/>
      <c r="AG85" s="110"/>
      <c r="AH85" s="110"/>
      <c r="AI85" s="110"/>
      <c r="AJ85" s="105"/>
      <c r="AK85" s="224"/>
    </row>
    <row r="86" spans="2:67">
      <c r="B86" s="5" t="s">
        <v>1137</v>
      </c>
      <c r="C86" s="338">
        <f>AVERAGE(C69:C84)</f>
        <v>11.828568886106302</v>
      </c>
      <c r="D86" s="338">
        <f>AVERAGE(D69:D84)</f>
        <v>12.751086206389751</v>
      </c>
      <c r="E86" s="338">
        <f t="shared" ref="E86:M86" si="94">AVERAGE(E69:E84)</f>
        <v>12.560133792832834</v>
      </c>
      <c r="F86" s="338">
        <f t="shared" si="94"/>
        <v>12.785553694796178</v>
      </c>
      <c r="G86" s="338">
        <f t="shared" si="94"/>
        <v>12.005962311907881</v>
      </c>
      <c r="H86" s="338">
        <f t="shared" si="94"/>
        <v>12.566054718205027</v>
      </c>
      <c r="I86" s="338">
        <f t="shared" si="94"/>
        <v>11.904552772882273</v>
      </c>
      <c r="J86" s="338">
        <f t="shared" si="94"/>
        <v>11.766202942693214</v>
      </c>
      <c r="K86" s="338">
        <f t="shared" si="94"/>
        <v>12.659031244313114</v>
      </c>
      <c r="L86" s="338">
        <f t="shared" si="94"/>
        <v>13.79832245429891</v>
      </c>
      <c r="M86" s="338">
        <f t="shared" si="94"/>
        <v>13.462905704342438</v>
      </c>
      <c r="N86" s="338">
        <f>AVERAGE(N69:N84)</f>
        <v>12.757846766094392</v>
      </c>
      <c r="O86" s="338">
        <f>AVERAGE(O69:O84)</f>
        <v>12.90136907768863</v>
      </c>
      <c r="Q86" s="341">
        <f>(O86/H86)-1</f>
        <v>2.6684139692453979E-2</v>
      </c>
      <c r="V86" s="5" t="s">
        <v>1137</v>
      </c>
      <c r="W86" s="338">
        <f>AVERAGE(W69:W84)</f>
        <v>11.757950660564289</v>
      </c>
      <c r="X86" s="338">
        <f t="shared" ref="X86:AH86" si="95">AVERAGE(X69:X84)</f>
        <v>12.457712578133643</v>
      </c>
      <c r="Y86" s="338">
        <f t="shared" si="95"/>
        <v>12.370596502192608</v>
      </c>
      <c r="Z86" s="338">
        <f t="shared" si="95"/>
        <v>12.511897743215803</v>
      </c>
      <c r="AA86" s="338">
        <f t="shared" si="95"/>
        <v>12.005599963813083</v>
      </c>
      <c r="AB86" s="338">
        <f t="shared" si="95"/>
        <v>12.656334821867969</v>
      </c>
      <c r="AC86" s="338">
        <f t="shared" si="95"/>
        <v>12.133193137236969</v>
      </c>
      <c r="AD86" s="338">
        <f t="shared" si="95"/>
        <v>12.329488003729317</v>
      </c>
      <c r="AE86" s="338">
        <f t="shared" si="95"/>
        <v>12.467375710435622</v>
      </c>
      <c r="AF86" s="338">
        <f t="shared" si="95"/>
        <v>12.981101710282687</v>
      </c>
      <c r="AG86" s="338">
        <f t="shared" si="95"/>
        <v>12.823803436111184</v>
      </c>
      <c r="AH86" s="338">
        <f t="shared" si="95"/>
        <v>12.120094219759798</v>
      </c>
      <c r="AI86" s="338">
        <f t="shared" ref="AI86" si="96">AVERAGE(AI69:AI84)</f>
        <v>12.08622278277339</v>
      </c>
      <c r="AJ86" s="105"/>
      <c r="AK86" s="341">
        <f>AI86/AB86</f>
        <v>0.95495441238568357</v>
      </c>
    </row>
    <row r="87" spans="2:67">
      <c r="B87" s="5" t="s">
        <v>1142</v>
      </c>
      <c r="C87" s="338">
        <f>MIN(C69:C84)</f>
        <v>8.1684626229908694</v>
      </c>
      <c r="D87" s="338">
        <f t="shared" ref="D87:N87" si="97">MIN(D69:D84)</f>
        <v>8.1795617832378653</v>
      </c>
      <c r="E87" s="338">
        <f t="shared" si="97"/>
        <v>7.6370484916511314</v>
      </c>
      <c r="F87" s="338">
        <f t="shared" si="97"/>
        <v>7.2462684146339846</v>
      </c>
      <c r="G87" s="338">
        <f t="shared" si="97"/>
        <v>6.6120788600150293</v>
      </c>
      <c r="H87" s="338">
        <f t="shared" si="97"/>
        <v>6.6046139589168646</v>
      </c>
      <c r="I87" s="338">
        <f t="shared" si="97"/>
        <v>6.3488073721364344</v>
      </c>
      <c r="J87" s="338">
        <f t="shared" si="97"/>
        <v>6.2997529807084582</v>
      </c>
      <c r="K87" s="338">
        <f t="shared" si="97"/>
        <v>6.3616466532463418</v>
      </c>
      <c r="L87" s="338">
        <f t="shared" si="97"/>
        <v>7.867726508365716</v>
      </c>
      <c r="M87" s="338">
        <f t="shared" si="97"/>
        <v>8.7205761777049915</v>
      </c>
      <c r="N87" s="338">
        <f t="shared" si="97"/>
        <v>8.7008875748933079</v>
      </c>
      <c r="O87" s="338">
        <f t="shared" ref="O87" si="98">MIN(O69:O84)</f>
        <v>8.3657166802935432</v>
      </c>
      <c r="Q87" s="341">
        <f t="shared" ref="Q87" si="99">(O87/H87)-1</f>
        <v>0.2666473365939912</v>
      </c>
      <c r="V87" s="5" t="s">
        <v>1142</v>
      </c>
      <c r="W87" s="338">
        <f>MIN(W69:W84)</f>
        <v>8.1684626229908694</v>
      </c>
      <c r="X87" s="338">
        <f t="shared" ref="X87:AG87" si="100">MIN(X69:X84)</f>
        <v>8.1795617832378653</v>
      </c>
      <c r="Y87" s="338">
        <f t="shared" si="100"/>
        <v>7.6370484916511314</v>
      </c>
      <c r="Z87" s="338">
        <f t="shared" si="100"/>
        <v>7.2462684146339846</v>
      </c>
      <c r="AA87" s="338">
        <f t="shared" si="100"/>
        <v>6.6120788600150293</v>
      </c>
      <c r="AB87" s="338">
        <f t="shared" si="100"/>
        <v>6.6046139589168646</v>
      </c>
      <c r="AC87" s="338">
        <f t="shared" si="100"/>
        <v>6.3488073721364344</v>
      </c>
      <c r="AD87" s="338">
        <f t="shared" si="100"/>
        <v>6.2997529807084582</v>
      </c>
      <c r="AE87" s="338">
        <f t="shared" si="100"/>
        <v>6.3616466532463418</v>
      </c>
      <c r="AF87" s="338">
        <f t="shared" si="100"/>
        <v>7.7665753289611619</v>
      </c>
      <c r="AG87" s="338">
        <f t="shared" si="100"/>
        <v>8.2131032272258846</v>
      </c>
      <c r="AH87" s="338">
        <f>MIN(AH69:AH84)</f>
        <v>7.6472069459545278</v>
      </c>
      <c r="AI87" s="338">
        <f>MIN(AI69:AI84)</f>
        <v>7.4629889864080425</v>
      </c>
      <c r="AJ87" s="105"/>
      <c r="AK87" s="341">
        <f t="shared" ref="AK87:AK88" si="101">AI87/AB87</f>
        <v>1.1299659651314349</v>
      </c>
    </row>
    <row r="88" spans="2:67">
      <c r="B88" s="5" t="s">
        <v>1143</v>
      </c>
      <c r="C88" s="338">
        <f>MAX(C69:C84)</f>
        <v>23.561999965148196</v>
      </c>
      <c r="D88" s="338">
        <f t="shared" ref="D88:N88" si="102">MAX(D69:D84)</f>
        <v>23.625243626929752</v>
      </c>
      <c r="E88" s="338">
        <f t="shared" si="102"/>
        <v>24.569062669915347</v>
      </c>
      <c r="F88" s="338">
        <f t="shared" si="102"/>
        <v>26.986944406503497</v>
      </c>
      <c r="G88" s="338">
        <f t="shared" si="102"/>
        <v>24.539779159986168</v>
      </c>
      <c r="H88" s="338">
        <f t="shared" si="102"/>
        <v>33.547845278699874</v>
      </c>
      <c r="I88" s="338">
        <f t="shared" si="102"/>
        <v>26.877655987544898</v>
      </c>
      <c r="J88" s="338">
        <f t="shared" si="102"/>
        <v>24.634757477098098</v>
      </c>
      <c r="K88" s="338">
        <f t="shared" si="102"/>
        <v>24.863586734814657</v>
      </c>
      <c r="L88" s="338">
        <f t="shared" si="102"/>
        <v>26.271173398306399</v>
      </c>
      <c r="M88" s="338">
        <f t="shared" si="102"/>
        <v>22.878486540078423</v>
      </c>
      <c r="N88" s="338">
        <f t="shared" si="102"/>
        <v>21.470466448290754</v>
      </c>
      <c r="O88" s="338">
        <f t="shared" ref="O88" si="103">MAX(O69:O84)</f>
        <v>21.382997447066792</v>
      </c>
      <c r="Q88" s="341">
        <f>(O88/H88)-1</f>
        <v>-0.36261189744298605</v>
      </c>
      <c r="V88" s="5" t="s">
        <v>1143</v>
      </c>
      <c r="W88" s="338">
        <f>MAX(W69:W84)</f>
        <v>25.547641885983825</v>
      </c>
      <c r="X88" s="338">
        <f t="shared" ref="X88:AG88" si="104">MAX(X69:X84)</f>
        <v>25.206413880857248</v>
      </c>
      <c r="Y88" s="338">
        <f t="shared" si="104"/>
        <v>26.517995776674855</v>
      </c>
      <c r="Z88" s="338">
        <f t="shared" si="104"/>
        <v>27.754606577043802</v>
      </c>
      <c r="AA88" s="338">
        <f t="shared" si="104"/>
        <v>26.124871125139119</v>
      </c>
      <c r="AB88" s="338">
        <f t="shared" si="104"/>
        <v>36.631670855426378</v>
      </c>
      <c r="AC88" s="338">
        <f t="shared" si="104"/>
        <v>29.977131462484099</v>
      </c>
      <c r="AD88" s="338">
        <f t="shared" si="104"/>
        <v>28.070844012480055</v>
      </c>
      <c r="AE88" s="338">
        <f t="shared" si="104"/>
        <v>24.787513998466398</v>
      </c>
      <c r="AF88" s="338">
        <f t="shared" si="104"/>
        <v>23.609862410833944</v>
      </c>
      <c r="AG88" s="338">
        <f t="shared" si="104"/>
        <v>22.878486540078423</v>
      </c>
      <c r="AH88" s="338">
        <f>MAX(AH69:AH84)</f>
        <v>21.470466448290754</v>
      </c>
      <c r="AI88" s="338">
        <f>MAX(AI69:AI84)</f>
        <v>21.382997447066792</v>
      </c>
      <c r="AJ88" s="105"/>
      <c r="AK88" s="341">
        <f t="shared" si="101"/>
        <v>0.58372978757804206</v>
      </c>
    </row>
    <row r="89" spans="2:67">
      <c r="C89" s="110"/>
      <c r="D89" s="110"/>
      <c r="E89" s="110"/>
      <c r="F89" s="110"/>
      <c r="G89" s="110"/>
      <c r="H89" s="110"/>
      <c r="I89" s="110"/>
      <c r="J89" s="110"/>
      <c r="K89" s="110"/>
      <c r="L89" s="110"/>
      <c r="M89" s="110"/>
      <c r="N89" s="110"/>
      <c r="O89" s="110"/>
      <c r="Q89" s="224"/>
      <c r="W89" s="110"/>
      <c r="X89" s="110"/>
      <c r="Y89" s="110"/>
      <c r="Z89" s="110"/>
      <c r="AA89" s="110"/>
      <c r="AB89" s="110"/>
      <c r="AC89" s="110"/>
      <c r="AD89" s="110"/>
      <c r="AE89" s="110"/>
      <c r="AF89" s="110"/>
      <c r="AG89" s="110"/>
      <c r="AH89" s="110"/>
      <c r="AI89" s="110"/>
      <c r="AJ89" s="105"/>
      <c r="AK89" s="224"/>
    </row>
    <row r="90" spans="2:67">
      <c r="B90" s="5" t="s">
        <v>1177</v>
      </c>
      <c r="C90" s="338">
        <f>AVERAGE(C71:C84,C69)</f>
        <v>11.767217006151117</v>
      </c>
      <c r="D90" s="338">
        <f t="shared" ref="D90:N90" si="105">AVERAGE(D71:D84,D69)</f>
        <v>12.720686602321049</v>
      </c>
      <c r="E90" s="338">
        <f t="shared" si="105"/>
        <v>12.459245921503374</v>
      </c>
      <c r="F90" s="338">
        <f t="shared" si="105"/>
        <v>12.570556319111519</v>
      </c>
      <c r="G90" s="338">
        <f t="shared" si="105"/>
        <v>11.79725382000497</v>
      </c>
      <c r="H90" s="338">
        <f t="shared" si="105"/>
        <v>12.448915430477216</v>
      </c>
      <c r="I90" s="338">
        <f t="shared" si="105"/>
        <v>11.679397328590944</v>
      </c>
      <c r="J90" s="338">
        <f t="shared" si="105"/>
        <v>11.514482631514943</v>
      </c>
      <c r="K90" s="338">
        <f t="shared" si="105"/>
        <v>12.451377999880119</v>
      </c>
      <c r="L90" s="338">
        <f t="shared" si="105"/>
        <v>13.555164461226347</v>
      </c>
      <c r="M90" s="338">
        <f t="shared" si="105"/>
        <v>13.295524478197001</v>
      </c>
      <c r="N90" s="338">
        <f t="shared" si="105"/>
        <v>12.615191409923892</v>
      </c>
      <c r="O90" s="338">
        <f t="shared" ref="O90" si="106">AVERAGE(O71:O84,O69)</f>
        <v>12.763322855700592</v>
      </c>
      <c r="Q90" s="341">
        <f>(O90/H90)-1</f>
        <v>2.5255808586637896E-2</v>
      </c>
      <c r="V90" s="5" t="s">
        <v>1177</v>
      </c>
      <c r="W90" s="338">
        <f>AVERAGE(W71:W84,W69)</f>
        <v>11.546147339682445</v>
      </c>
      <c r="X90" s="338">
        <f t="shared" ref="X90:AH90" si="107">AVERAGE(X71:X84,X69)</f>
        <v>12.316097466790447</v>
      </c>
      <c r="Y90" s="338">
        <f t="shared" si="107"/>
        <v>12.151309800896701</v>
      </c>
      <c r="Z90" s="338">
        <f t="shared" si="107"/>
        <v>12.28301646260482</v>
      </c>
      <c r="AA90" s="338">
        <f t="shared" si="107"/>
        <v>11.746374434673546</v>
      </c>
      <c r="AB90" s="338">
        <f t="shared" si="107"/>
        <v>12.489187720094741</v>
      </c>
      <c r="AC90" s="338">
        <f t="shared" si="107"/>
        <v>11.839315158362659</v>
      </c>
      <c r="AD90" s="338">
        <f t="shared" si="107"/>
        <v>11.97393212339872</v>
      </c>
      <c r="AE90" s="338">
        <f t="shared" si="107"/>
        <v>12.233016610930857</v>
      </c>
      <c r="AF90" s="338">
        <f t="shared" si="107"/>
        <v>12.810752430433935</v>
      </c>
      <c r="AG90" s="338">
        <f t="shared" si="107"/>
        <v>12.691381338475528</v>
      </c>
      <c r="AH90" s="338">
        <f t="shared" si="107"/>
        <v>11.980436926600124</v>
      </c>
      <c r="AI90" s="338">
        <f t="shared" ref="AI90" si="108">AVERAGE(AI71:AI84,AI69)</f>
        <v>11.98511024013281</v>
      </c>
      <c r="AK90" s="341">
        <f>AI90/AB90</f>
        <v>0.95963888995351676</v>
      </c>
    </row>
    <row r="92" spans="2:67" ht="16.5">
      <c r="B92" s="7" t="s">
        <v>1340</v>
      </c>
      <c r="C92" s="6"/>
      <c r="D92" s="6"/>
      <c r="E92" s="6"/>
      <c r="F92" s="6"/>
      <c r="G92" s="6"/>
      <c r="H92" s="6"/>
      <c r="I92" s="6"/>
      <c r="J92" s="6"/>
      <c r="K92" s="6"/>
      <c r="L92" s="6"/>
      <c r="M92" s="6"/>
      <c r="N92" s="6"/>
      <c r="O92" s="6"/>
      <c r="P92" s="6"/>
      <c r="Q92" s="257"/>
      <c r="R92" s="6"/>
      <c r="S92" s="6"/>
      <c r="T92" s="6"/>
      <c r="V92" s="7" t="s">
        <v>1347</v>
      </c>
      <c r="W92" s="6"/>
      <c r="X92" s="6"/>
      <c r="Y92" s="6"/>
      <c r="Z92" s="6"/>
      <c r="AA92" s="6"/>
      <c r="AB92" s="6"/>
      <c r="AC92" s="6"/>
      <c r="AD92" s="6"/>
      <c r="AE92" s="6"/>
      <c r="AF92" s="6"/>
      <c r="AG92" s="6"/>
      <c r="AH92" s="6"/>
      <c r="AI92" s="6"/>
      <c r="AJ92" s="6"/>
      <c r="AK92" s="266"/>
      <c r="AL92" s="6"/>
      <c r="AM92" s="6"/>
      <c r="AN92" s="6"/>
      <c r="AP92" s="7" t="s">
        <v>1158</v>
      </c>
      <c r="AQ92" s="6"/>
      <c r="AR92" s="6"/>
      <c r="AS92" s="6"/>
      <c r="AT92" s="6"/>
      <c r="AU92" s="6"/>
      <c r="AV92" s="6"/>
      <c r="AW92" s="6"/>
      <c r="AY92" s="7" t="s">
        <v>1159</v>
      </c>
      <c r="AZ92" s="6"/>
      <c r="BA92" s="6"/>
      <c r="BB92" s="6"/>
      <c r="BC92" s="6"/>
      <c r="BD92" s="6"/>
      <c r="BE92" s="6"/>
      <c r="BF92" s="6"/>
      <c r="BG92" s="6"/>
      <c r="BH92" s="6"/>
    </row>
    <row r="93" spans="2:67" s="60" customFormat="1" ht="16.5">
      <c r="B93" s="64"/>
      <c r="C93" s="247"/>
      <c r="D93" s="247"/>
      <c r="E93" s="247"/>
      <c r="F93" s="247"/>
      <c r="G93" s="247"/>
      <c r="H93" s="247"/>
      <c r="I93" s="247"/>
      <c r="J93" s="247"/>
      <c r="K93" s="247"/>
      <c r="L93" s="247"/>
      <c r="M93" s="247"/>
      <c r="N93" s="247"/>
      <c r="O93" s="247"/>
      <c r="P93" s="35"/>
      <c r="Q93" s="258"/>
      <c r="R93" s="35"/>
      <c r="S93" s="35"/>
      <c r="T93" s="35"/>
      <c r="V93" s="64"/>
      <c r="W93" s="263"/>
      <c r="X93" s="263"/>
      <c r="Y93" s="263"/>
      <c r="Z93" s="263"/>
      <c r="AA93" s="263"/>
      <c r="AB93" s="263"/>
      <c r="AC93" s="263"/>
      <c r="AD93" s="263"/>
      <c r="AE93" s="263"/>
      <c r="AF93" s="263"/>
      <c r="AG93" s="263"/>
      <c r="AH93" s="263"/>
      <c r="AI93" s="247"/>
      <c r="AJ93" s="35"/>
      <c r="AK93" s="35"/>
      <c r="AL93" s="35"/>
      <c r="AM93" s="35"/>
      <c r="AN93" s="35"/>
      <c r="AP93" s="64"/>
      <c r="AQ93" s="35"/>
      <c r="AR93" s="35"/>
      <c r="AS93" s="35"/>
      <c r="AT93" s="35"/>
      <c r="AU93" s="35"/>
      <c r="AV93" s="35"/>
      <c r="AW93" s="35"/>
    </row>
    <row r="94" spans="2:67">
      <c r="C94" s="263"/>
      <c r="D94" s="263"/>
      <c r="E94" s="263"/>
      <c r="F94" s="263"/>
      <c r="G94" s="263"/>
      <c r="H94" s="263"/>
      <c r="I94" s="263"/>
      <c r="J94" s="263"/>
      <c r="K94" s="263"/>
      <c r="L94" s="263"/>
      <c r="M94" s="263"/>
      <c r="N94" s="263"/>
      <c r="O94" s="263"/>
      <c r="W94" s="240"/>
      <c r="X94" s="240"/>
      <c r="Y94" s="240"/>
      <c r="Z94" s="240"/>
      <c r="AA94" s="240"/>
      <c r="AB94" s="240"/>
      <c r="AC94" s="240"/>
      <c r="AD94" s="240"/>
      <c r="AE94" s="240"/>
      <c r="AF94" s="240"/>
      <c r="AG94" s="240"/>
      <c r="AH94" s="240"/>
      <c r="AI94" s="240"/>
      <c r="AP94" s="30" t="s">
        <v>1140</v>
      </c>
      <c r="AY94" s="30" t="s">
        <v>1140</v>
      </c>
      <c r="BG94" s="260"/>
      <c r="BO94" s="5" t="s">
        <v>1130</v>
      </c>
    </row>
    <row r="95" spans="2:67">
      <c r="B95" s="30" t="s">
        <v>1126</v>
      </c>
      <c r="C95" s="239">
        <v>2000</v>
      </c>
      <c r="D95" s="239">
        <v>2001</v>
      </c>
      <c r="E95" s="239">
        <v>2002</v>
      </c>
      <c r="F95" s="239">
        <v>2003</v>
      </c>
      <c r="G95" s="239">
        <v>2004</v>
      </c>
      <c r="H95" s="239">
        <v>2005</v>
      </c>
      <c r="I95" s="239">
        <v>2006</v>
      </c>
      <c r="J95" s="239">
        <v>2007</v>
      </c>
      <c r="K95" s="239">
        <v>2008</v>
      </c>
      <c r="L95" s="239">
        <v>2009</v>
      </c>
      <c r="M95" s="239">
        <v>2010</v>
      </c>
      <c r="N95" s="239">
        <v>2011</v>
      </c>
      <c r="O95" s="239">
        <v>2012</v>
      </c>
      <c r="Q95" s="69" t="s">
        <v>1144</v>
      </c>
      <c r="V95" s="30" t="s">
        <v>1126</v>
      </c>
      <c r="W95" s="239">
        <v>2000</v>
      </c>
      <c r="X95" s="239">
        <v>2001</v>
      </c>
      <c r="Y95" s="239">
        <v>2002</v>
      </c>
      <c r="Z95" s="239">
        <v>2003</v>
      </c>
      <c r="AA95" s="239">
        <v>2004</v>
      </c>
      <c r="AB95" s="239">
        <v>2005</v>
      </c>
      <c r="AC95" s="239">
        <v>2006</v>
      </c>
      <c r="AD95" s="239">
        <v>2007</v>
      </c>
      <c r="AE95" s="239">
        <v>2008</v>
      </c>
      <c r="AF95" s="239">
        <v>2009</v>
      </c>
      <c r="AG95" s="239">
        <v>2010</v>
      </c>
      <c r="AH95" s="239">
        <v>2011</v>
      </c>
      <c r="AI95" s="239">
        <v>2012</v>
      </c>
      <c r="AK95" s="69" t="s">
        <v>1144</v>
      </c>
      <c r="AP95" s="30" t="s">
        <v>324</v>
      </c>
      <c r="AQ95" s="30" t="s">
        <v>243</v>
      </c>
      <c r="AR95" s="30" t="s">
        <v>142</v>
      </c>
      <c r="AS95" s="69">
        <v>2012</v>
      </c>
      <c r="AT95" s="69">
        <v>2005</v>
      </c>
      <c r="AU95" s="69" t="s">
        <v>1238</v>
      </c>
      <c r="AV95" s="69" t="s">
        <v>1239</v>
      </c>
      <c r="AW95" s="69" t="s">
        <v>1129</v>
      </c>
      <c r="AX95" s="69"/>
      <c r="AY95" s="30" t="s">
        <v>324</v>
      </c>
      <c r="AZ95" s="30" t="s">
        <v>243</v>
      </c>
      <c r="BA95" s="30" t="s">
        <v>142</v>
      </c>
      <c r="BB95" s="69">
        <v>2012</v>
      </c>
      <c r="BC95" s="69">
        <v>2005</v>
      </c>
      <c r="BD95" s="69" t="s">
        <v>1238</v>
      </c>
      <c r="BE95" s="69" t="s">
        <v>1239</v>
      </c>
      <c r="BF95" s="69" t="s">
        <v>1129</v>
      </c>
      <c r="BG95" s="69"/>
      <c r="BH95" s="69"/>
      <c r="BI95" s="69"/>
      <c r="BJ95" s="69"/>
      <c r="BK95" s="69"/>
      <c r="BL95" s="69"/>
    </row>
    <row r="96" spans="2:67">
      <c r="B96" s="238" t="s">
        <v>116</v>
      </c>
      <c r="C96" s="339">
        <f>W96</f>
        <v>8.0196988974281656</v>
      </c>
      <c r="D96" s="339">
        <f t="shared" ref="D96:D106" si="109">X96</f>
        <v>8.8558892283124493</v>
      </c>
      <c r="E96" s="339">
        <f t="shared" ref="E96:E106" si="110">Y96</f>
        <v>8.5367463031839943</v>
      </c>
      <c r="F96" s="339">
        <f t="shared" ref="F96:F106" si="111">Z96</f>
        <v>9.2755003202172084</v>
      </c>
      <c r="G96" s="339">
        <f t="shared" ref="G96:G106" si="112">AA96</f>
        <v>8.6350213683779273</v>
      </c>
      <c r="H96" s="339">
        <f t="shared" ref="H96:H106" si="113">AB96</f>
        <v>8.6875232753902303</v>
      </c>
      <c r="I96" s="339">
        <f t="shared" ref="I96:I106" si="114">AC96</f>
        <v>7.7826219977516766</v>
      </c>
      <c r="J96" s="339">
        <f t="shared" ref="J96:J106" si="115">AD96</f>
        <v>7.4079987937418608</v>
      </c>
      <c r="K96" s="339">
        <f t="shared" ref="K96:K106" si="116">AE96</f>
        <v>7.5357012979376936</v>
      </c>
      <c r="L96" s="339">
        <f t="shared" ref="L96:L106" si="117">AF96</f>
        <v>8.0912248964563283</v>
      </c>
      <c r="M96" s="339">
        <f t="shared" ref="M96:M106" si="118">AG96</f>
        <v>9.0614516409350863</v>
      </c>
      <c r="N96" s="339">
        <f t="shared" ref="N96:O106" si="119">AH96</f>
        <v>8.0725667096944669</v>
      </c>
      <c r="O96" s="363">
        <f t="shared" si="119"/>
        <v>8.0725667096944669</v>
      </c>
      <c r="Q96" s="341">
        <f>(O96/H96)-1</f>
        <v>-7.0786177625307145E-2</v>
      </c>
      <c r="R96" s="240"/>
      <c r="S96" s="240"/>
      <c r="U96" s="240"/>
      <c r="V96" s="238" t="s">
        <v>116</v>
      </c>
      <c r="W96" s="339">
        <f>ABD!D101</f>
        <v>8.0196988974281656</v>
      </c>
      <c r="X96" s="339">
        <f>ABD!E101</f>
        <v>8.8558892283124493</v>
      </c>
      <c r="Y96" s="339">
        <f>ABD!F101</f>
        <v>8.5367463031839943</v>
      </c>
      <c r="Z96" s="339">
        <f>ABD!G101</f>
        <v>9.2755003202172084</v>
      </c>
      <c r="AA96" s="339">
        <f>ABD!H101</f>
        <v>8.6350213683779273</v>
      </c>
      <c r="AB96" s="339">
        <f>ABD!I101</f>
        <v>8.6875232753902303</v>
      </c>
      <c r="AC96" s="339">
        <f>ABD!J101</f>
        <v>7.7826219977516766</v>
      </c>
      <c r="AD96" s="339">
        <f>ABD!K101</f>
        <v>7.4079987937418608</v>
      </c>
      <c r="AE96" s="339">
        <f>ABD!L101</f>
        <v>7.5357012979376936</v>
      </c>
      <c r="AF96" s="339">
        <f>ABD!M101</f>
        <v>8.0912248964563283</v>
      </c>
      <c r="AG96" s="339">
        <f>ABD!N101</f>
        <v>9.0614516409350863</v>
      </c>
      <c r="AH96" s="339">
        <f>ABD!O101</f>
        <v>8.0725667096944669</v>
      </c>
      <c r="AI96" s="363">
        <f>AH96</f>
        <v>8.0725667096944669</v>
      </c>
      <c r="AJ96" s="295"/>
      <c r="AK96" s="341">
        <f>AI96/AE96</f>
        <v>1.0712429262428034</v>
      </c>
      <c r="AL96" s="295"/>
      <c r="AP96" s="337">
        <f>RANK(O96,$O$96:$O$111)</f>
        <v>8</v>
      </c>
      <c r="AQ96" s="337">
        <v>1</v>
      </c>
      <c r="AR96" s="337" t="str">
        <f>INDEX($B$96:$B$111,MATCH(AQ96,$AP$96:$AP$111,0),0)</f>
        <v>Munich</v>
      </c>
      <c r="AS96" s="342">
        <f>VLOOKUP(AR96,$B$96:$O$111,14,FALSE)</f>
        <v>16.472459000028095</v>
      </c>
      <c r="AT96" s="343">
        <f>VLOOKUP(AR96,$B$96:$N$111,7,FALSE)</f>
        <v>23.531840880709606</v>
      </c>
      <c r="AU96" s="343">
        <f>$O$113</f>
        <v>8.8446833012948094</v>
      </c>
      <c r="AV96" s="343">
        <f>$O$117</f>
        <v>8.6925307085707839</v>
      </c>
      <c r="AW96" s="344">
        <f>$H$113</f>
        <v>9.3444004278860326</v>
      </c>
      <c r="AX96" s="240"/>
      <c r="AY96" s="337">
        <f>RANK(AI96,$AI$96:$AI$111)</f>
        <v>7</v>
      </c>
      <c r="AZ96" s="337">
        <v>1</v>
      </c>
      <c r="BA96" s="337" t="str">
        <f t="shared" ref="BA96:BA111" si="120">INDEX($V$96:$V$111,MATCH(AZ96,$AY$96:$AY$111,0),0)</f>
        <v>Munich</v>
      </c>
      <c r="BB96" s="342">
        <f>VLOOKUP(BA96,$V$96:$AI$111,14,FALSE)</f>
        <v>14.933984102328369</v>
      </c>
      <c r="BC96" s="343">
        <f>VLOOKUP(BA96,$V$96:$AH$111,7,FALSE)</f>
        <v>25.749931712584516</v>
      </c>
      <c r="BD96" s="343">
        <f>$AI$113</f>
        <v>8.1374326968291157</v>
      </c>
      <c r="BE96" s="343">
        <f>$AI$117</f>
        <v>7.9177848775365955</v>
      </c>
      <c r="BF96" s="344">
        <f>$AB$113</f>
        <v>9.268703411122484</v>
      </c>
      <c r="BG96" s="240"/>
      <c r="BH96" s="240"/>
      <c r="BI96" s="240"/>
      <c r="BJ96" s="240"/>
      <c r="BK96" s="240"/>
      <c r="BL96" s="240"/>
    </row>
    <row r="97" spans="2:64">
      <c r="B97" s="238" t="s">
        <v>1051</v>
      </c>
      <c r="C97" s="339">
        <f>Amsterdam!D126</f>
        <v>9.8684318520375118</v>
      </c>
      <c r="D97" s="339">
        <f>Amsterdam!E126</f>
        <v>10.385564801957221</v>
      </c>
      <c r="E97" s="339">
        <f>Amsterdam!F126</f>
        <v>11.306342710443447</v>
      </c>
      <c r="F97" s="339">
        <f>Amsterdam!G126</f>
        <v>12.628446461457278</v>
      </c>
      <c r="G97" s="339">
        <f>Amsterdam!H126</f>
        <v>11.785446009933645</v>
      </c>
      <c r="H97" s="339">
        <f>Amsterdam!I126</f>
        <v>10.807226372891691</v>
      </c>
      <c r="I97" s="339">
        <f>Amsterdam!J126</f>
        <v>12.04623045016184</v>
      </c>
      <c r="J97" s="339">
        <f>Amsterdam!K126</f>
        <v>11.682410131796217</v>
      </c>
      <c r="K97" s="339">
        <f>Amsterdam!L126</f>
        <v>12.051043042233616</v>
      </c>
      <c r="L97" s="339">
        <f>Amsterdam!M126</f>
        <v>13.34104245257925</v>
      </c>
      <c r="M97" s="339">
        <f>Amsterdam!N126</f>
        <v>12.123490503120811</v>
      </c>
      <c r="N97" s="339">
        <f>Amsterdam!O126</f>
        <v>10.978862665418527</v>
      </c>
      <c r="O97" s="339">
        <f>Amsterdam!P126</f>
        <v>11.126972192155206</v>
      </c>
      <c r="Q97" s="341">
        <f t="shared" ref="Q97:Q111" si="121">(O97/H97)-1</f>
        <v>2.958629792983225E-2</v>
      </c>
      <c r="R97" s="240"/>
      <c r="S97" s="240"/>
      <c r="U97" s="240"/>
      <c r="V97" s="90" t="s">
        <v>1051</v>
      </c>
      <c r="W97" s="339">
        <f>Amsterdam!D165</f>
        <v>11.474353708994807</v>
      </c>
      <c r="X97" s="339">
        <f>Amsterdam!E165</f>
        <v>11.386404173903442</v>
      </c>
      <c r="Y97" s="339">
        <f>Amsterdam!F165</f>
        <v>12.504835719083017</v>
      </c>
      <c r="Z97" s="339">
        <f>Amsterdam!G165</f>
        <v>12.529927697470816</v>
      </c>
      <c r="AA97" s="339">
        <f>Amsterdam!H165</f>
        <v>12.34194172549847</v>
      </c>
      <c r="AB97" s="339">
        <f>Amsterdam!I165</f>
        <v>11.390696750745192</v>
      </c>
      <c r="AC97" s="339">
        <f>Amsterdam!J165</f>
        <v>12.983574262487849</v>
      </c>
      <c r="AD97" s="339">
        <f>Amsterdam!K165</f>
        <v>14.810661356696194</v>
      </c>
      <c r="AE97" s="339">
        <f>Amsterdam!L165</f>
        <v>13.438453507166955</v>
      </c>
      <c r="AF97" s="339">
        <f>Amsterdam!M165</f>
        <v>12.759844009263816</v>
      </c>
      <c r="AG97" s="339">
        <f>Amsterdam!N165</f>
        <v>12.156872400391078</v>
      </c>
      <c r="AH97" s="339">
        <f>Amsterdam!O165</f>
        <v>11.86758338966378</v>
      </c>
      <c r="AI97" s="339">
        <f>Amsterdam!P165</f>
        <v>11.43214998621692</v>
      </c>
      <c r="AJ97" s="295"/>
      <c r="AK97" s="341">
        <f t="shared" ref="AK97:AK111" si="122">AI97/AE97</f>
        <v>0.85070428528996744</v>
      </c>
      <c r="AL97" s="295"/>
      <c r="AP97" s="337">
        <f t="shared" ref="AP97:AP111" si="123">RANK(O97,$O$96:$O$111)</f>
        <v>4</v>
      </c>
      <c r="AQ97" s="337">
        <v>2</v>
      </c>
      <c r="AR97" s="337" t="str">
        <f>INDEX($B$96:$B$111,MATCH(AQ97,$AP$96:$AP$111,0),0)</f>
        <v>Zurich</v>
      </c>
      <c r="AS97" s="342">
        <f t="shared" ref="AS97:AS111" si="124">VLOOKUP(AR97,$B$96:$O$111,14,FALSE)</f>
        <v>14.361324119488692</v>
      </c>
      <c r="AT97" s="343">
        <f>VLOOKUP(AR97,$B$96:$N$111,7,FALSE)</f>
        <v>15.62732529770649</v>
      </c>
      <c r="AU97" s="343">
        <f t="shared" ref="AU97:AU110" si="125">$O$113</f>
        <v>8.8446833012948094</v>
      </c>
      <c r="AV97" s="343">
        <f t="shared" ref="AV97:AV110" si="126">$O$117</f>
        <v>8.6925307085707839</v>
      </c>
      <c r="AW97" s="344">
        <f>$H$113</f>
        <v>9.3444004278860326</v>
      </c>
      <c r="AX97" s="240"/>
      <c r="AY97" s="337">
        <f t="shared" ref="AY97:AY111" si="127">RANK(AI97,$AI$96:$AI$111)</f>
        <v>3</v>
      </c>
      <c r="AZ97" s="337">
        <v>2</v>
      </c>
      <c r="BA97" s="337" t="str">
        <f t="shared" si="120"/>
        <v>Heathrow</v>
      </c>
      <c r="BB97" s="342">
        <f t="shared" ref="BB97:BB111" si="128">VLOOKUP(BA97,$V$96:$AI$111,14,FALSE)</f>
        <v>12.126439809402292</v>
      </c>
      <c r="BC97" s="343">
        <f>VLOOKUP(BA97,$V$96:$AH$111,7,FALSE)</f>
        <v>10.626303328485401</v>
      </c>
      <c r="BD97" s="343">
        <f t="shared" ref="BD97:BD111" si="129">$AI$113</f>
        <v>8.1374326968291157</v>
      </c>
      <c r="BE97" s="343">
        <f t="shared" ref="BE97:BE111" si="130">$AI$117</f>
        <v>7.9177848775365955</v>
      </c>
      <c r="BF97" s="344">
        <f>$AB$113</f>
        <v>9.268703411122484</v>
      </c>
      <c r="BG97" s="240"/>
      <c r="BH97" s="240"/>
      <c r="BI97" s="240"/>
      <c r="BJ97" s="240"/>
      <c r="BK97" s="240"/>
      <c r="BL97" s="240"/>
    </row>
    <row r="98" spans="2:64">
      <c r="B98" s="238" t="s">
        <v>155</v>
      </c>
      <c r="C98" s="339">
        <f t="shared" ref="C98:C106" si="131">W98</f>
        <v>9.2294889250684946</v>
      </c>
      <c r="D98" s="339">
        <f t="shared" si="109"/>
        <v>9.4918484356325585</v>
      </c>
      <c r="E98" s="339">
        <f t="shared" si="110"/>
        <v>8.9942539423771155</v>
      </c>
      <c r="F98" s="339">
        <f t="shared" si="111"/>
        <v>8.0461956611002581</v>
      </c>
      <c r="G98" s="339">
        <f t="shared" si="112"/>
        <v>8.4994245848871852</v>
      </c>
      <c r="H98" s="339">
        <f t="shared" si="113"/>
        <v>7.7233841967077943</v>
      </c>
      <c r="I98" s="339">
        <f t="shared" si="114"/>
        <v>8.6233929720380349</v>
      </c>
      <c r="J98" s="339">
        <f t="shared" si="115"/>
        <v>7.941430866163361</v>
      </c>
      <c r="K98" s="339">
        <f t="shared" si="116"/>
        <v>7.540968202156261</v>
      </c>
      <c r="L98" s="339">
        <f t="shared" si="117"/>
        <v>7.8927773090949982</v>
      </c>
      <c r="M98" s="339">
        <f t="shared" si="118"/>
        <v>7.5437390803873985</v>
      </c>
      <c r="N98" s="339">
        <f>M98</f>
        <v>7.5437390803873985</v>
      </c>
      <c r="O98" s="363">
        <f>N98</f>
        <v>7.5437390803873985</v>
      </c>
      <c r="Q98" s="341">
        <f t="shared" si="121"/>
        <v>-2.3259896406159886E-2</v>
      </c>
      <c r="V98" s="238" t="s">
        <v>155</v>
      </c>
      <c r="W98" s="339">
        <f>BIR!D97</f>
        <v>9.2294889250684946</v>
      </c>
      <c r="X98" s="339">
        <f>BIR!E97</f>
        <v>9.4918484356325585</v>
      </c>
      <c r="Y98" s="339">
        <f>BIR!F97</f>
        <v>8.9942539423771155</v>
      </c>
      <c r="Z98" s="339">
        <f>BIR!G97</f>
        <v>8.0461956611002581</v>
      </c>
      <c r="AA98" s="339">
        <f>BIR!H97</f>
        <v>8.4994245848871852</v>
      </c>
      <c r="AB98" s="339">
        <f>BIR!I97</f>
        <v>7.7233841967077943</v>
      </c>
      <c r="AC98" s="339">
        <f>BIR!J97</f>
        <v>8.6233929720380349</v>
      </c>
      <c r="AD98" s="339">
        <f>BIR!K97</f>
        <v>7.941430866163361</v>
      </c>
      <c r="AE98" s="339">
        <f>BIR!L97</f>
        <v>7.540968202156261</v>
      </c>
      <c r="AF98" s="339">
        <f>BIR!M97</f>
        <v>7.8927773090949982</v>
      </c>
      <c r="AG98" s="339">
        <f>BIR!N97</f>
        <v>7.5437390803873985</v>
      </c>
      <c r="AH98" s="339">
        <f>AG98</f>
        <v>7.5437390803873985</v>
      </c>
      <c r="AI98" s="363">
        <f>AH98</f>
        <v>7.5437390803873985</v>
      </c>
      <c r="AJ98" s="295"/>
      <c r="AK98" s="341">
        <f t="shared" si="122"/>
        <v>1.0003674432986398</v>
      </c>
      <c r="AL98" s="295"/>
      <c r="AP98" s="337">
        <f t="shared" si="123"/>
        <v>11</v>
      </c>
      <c r="AQ98" s="337">
        <v>3</v>
      </c>
      <c r="AR98" s="337" t="str">
        <f t="shared" ref="AR98:AR111" si="132">INDEX($B$96:$B$111,MATCH(AQ98,$AP$96:$AP$111,0),0)</f>
        <v>Heathrow</v>
      </c>
      <c r="AS98" s="342">
        <f t="shared" si="124"/>
        <v>12.126439809402292</v>
      </c>
      <c r="AT98" s="343">
        <f t="shared" ref="AT98:AT111" si="133">VLOOKUP(AR98,$B$96:$N$111,7,FALSE)</f>
        <v>10.626303328485401</v>
      </c>
      <c r="AU98" s="343">
        <f t="shared" si="125"/>
        <v>8.8446833012948094</v>
      </c>
      <c r="AV98" s="343">
        <f t="shared" si="126"/>
        <v>8.6925307085707839</v>
      </c>
      <c r="AW98" s="344">
        <f t="shared" ref="AW98:AW111" si="134">$H$113</f>
        <v>9.3444004278860326</v>
      </c>
      <c r="AX98" s="240"/>
      <c r="AY98" s="337">
        <f t="shared" si="127"/>
        <v>10</v>
      </c>
      <c r="AZ98" s="337">
        <v>3</v>
      </c>
      <c r="BA98" s="337" t="str">
        <f t="shared" si="120"/>
        <v>Amsterdam</v>
      </c>
      <c r="BB98" s="342">
        <f t="shared" si="128"/>
        <v>11.43214998621692</v>
      </c>
      <c r="BC98" s="343">
        <f t="shared" ref="BC98:BC111" si="135">VLOOKUP(BA98,$V$96:$AH$111,7,FALSE)</f>
        <v>11.390696750745192</v>
      </c>
      <c r="BD98" s="343">
        <f t="shared" si="129"/>
        <v>8.1374326968291157</v>
      </c>
      <c r="BE98" s="343">
        <f t="shared" si="130"/>
        <v>7.9177848775365955</v>
      </c>
      <c r="BF98" s="344">
        <f t="shared" ref="BF98:BF111" si="136">$AB$113</f>
        <v>9.268703411122484</v>
      </c>
      <c r="BG98" s="240"/>
      <c r="BH98" s="240"/>
      <c r="BI98" s="240"/>
      <c r="BJ98" s="240"/>
      <c r="BK98" s="240"/>
      <c r="BL98" s="240"/>
    </row>
    <row r="99" spans="2:64">
      <c r="B99" s="238" t="s">
        <v>115</v>
      </c>
      <c r="C99" s="339">
        <f t="shared" si="131"/>
        <v>6.5835628639017703</v>
      </c>
      <c r="D99" s="339">
        <f t="shared" si="109"/>
        <v>6.7406031996562747</v>
      </c>
      <c r="E99" s="339">
        <f t="shared" si="110"/>
        <v>6.2886111425447053</v>
      </c>
      <c r="F99" s="339">
        <f t="shared" si="111"/>
        <v>5.9828754734074048</v>
      </c>
      <c r="G99" s="339">
        <f t="shared" si="112"/>
        <v>5.5984924142867118</v>
      </c>
      <c r="H99" s="339">
        <f t="shared" si="113"/>
        <v>5.4886245157875138</v>
      </c>
      <c r="I99" s="339">
        <f t="shared" si="114"/>
        <v>5.121062898532637</v>
      </c>
      <c r="J99" s="339">
        <f t="shared" si="115"/>
        <v>5.079010566259746</v>
      </c>
      <c r="K99" s="339">
        <f t="shared" si="116"/>
        <v>5.0119867883247329</v>
      </c>
      <c r="L99" s="339">
        <f t="shared" si="117"/>
        <v>5.2790493261302114</v>
      </c>
      <c r="M99" s="339">
        <f t="shared" si="118"/>
        <v>5.3412232045411372</v>
      </c>
      <c r="N99" s="339">
        <f t="shared" si="119"/>
        <v>5.1914521533576803</v>
      </c>
      <c r="O99" s="339">
        <f t="shared" si="119"/>
        <v>5.2045241883973645</v>
      </c>
      <c r="Q99" s="341">
        <f t="shared" si="121"/>
        <v>-5.1761662065415659E-2</v>
      </c>
      <c r="V99" s="238" t="s">
        <v>115</v>
      </c>
      <c r="W99" s="339">
        <f>EDIN!D102</f>
        <v>6.5835628639017703</v>
      </c>
      <c r="X99" s="339">
        <f>EDIN!E102</f>
        <v>6.7406031996562747</v>
      </c>
      <c r="Y99" s="339">
        <f>EDIN!F102</f>
        <v>6.2886111425447053</v>
      </c>
      <c r="Z99" s="339">
        <f>EDIN!G102</f>
        <v>5.9828754734074048</v>
      </c>
      <c r="AA99" s="339">
        <f>EDIN!H102</f>
        <v>5.5984924142867118</v>
      </c>
      <c r="AB99" s="339">
        <f>EDIN!I102</f>
        <v>5.4886245157875138</v>
      </c>
      <c r="AC99" s="339">
        <f>EDIN!J102</f>
        <v>5.121062898532637</v>
      </c>
      <c r="AD99" s="339">
        <f>EDIN!K102</f>
        <v>5.079010566259746</v>
      </c>
      <c r="AE99" s="339">
        <f>EDIN!L102</f>
        <v>5.0119867883247329</v>
      </c>
      <c r="AF99" s="339">
        <f>EDIN!M102</f>
        <v>5.2790493261302114</v>
      </c>
      <c r="AG99" s="339">
        <f>EDIN!N102</f>
        <v>5.3412232045411372</v>
      </c>
      <c r="AH99" s="339">
        <f>EDIN!O102</f>
        <v>5.1914521533576803</v>
      </c>
      <c r="AI99" s="339">
        <f>EDIN!P102</f>
        <v>5.2045241883973645</v>
      </c>
      <c r="AJ99" s="295"/>
      <c r="AK99" s="341">
        <f t="shared" si="122"/>
        <v>1.0384153845978088</v>
      </c>
      <c r="AL99" s="295"/>
      <c r="AP99" s="337">
        <f t="shared" si="123"/>
        <v>15</v>
      </c>
      <c r="AQ99" s="337">
        <v>4</v>
      </c>
      <c r="AR99" s="337" t="str">
        <f t="shared" si="132"/>
        <v>Amsterdam</v>
      </c>
      <c r="AS99" s="342">
        <f t="shared" si="124"/>
        <v>11.126972192155206</v>
      </c>
      <c r="AT99" s="343">
        <f t="shared" si="133"/>
        <v>10.807226372891691</v>
      </c>
      <c r="AU99" s="343">
        <f t="shared" si="125"/>
        <v>8.8446833012948094</v>
      </c>
      <c r="AV99" s="343">
        <f t="shared" si="126"/>
        <v>8.6925307085707839</v>
      </c>
      <c r="AW99" s="344">
        <f t="shared" si="134"/>
        <v>9.3444004278860326</v>
      </c>
      <c r="AX99" s="240"/>
      <c r="AY99" s="337">
        <f t="shared" si="127"/>
        <v>15</v>
      </c>
      <c r="AZ99" s="337">
        <v>4</v>
      </c>
      <c r="BA99" s="337" t="str">
        <f t="shared" si="120"/>
        <v>Manchester</v>
      </c>
      <c r="BB99" s="342">
        <f t="shared" si="128"/>
        <v>9.0143701699977026</v>
      </c>
      <c r="BC99" s="343">
        <f t="shared" si="135"/>
        <v>8.8868567369021942</v>
      </c>
      <c r="BD99" s="343">
        <f t="shared" si="129"/>
        <v>8.1374326968291157</v>
      </c>
      <c r="BE99" s="343">
        <f t="shared" si="130"/>
        <v>7.9177848775365955</v>
      </c>
      <c r="BF99" s="344">
        <f t="shared" si="136"/>
        <v>9.268703411122484</v>
      </c>
      <c r="BG99" s="240"/>
      <c r="BH99" s="240"/>
      <c r="BI99" s="240"/>
      <c r="BJ99" s="240"/>
      <c r="BK99" s="240"/>
      <c r="BL99" s="240"/>
    </row>
    <row r="100" spans="2:64">
      <c r="B100" s="238" t="s">
        <v>107</v>
      </c>
      <c r="C100" s="339">
        <f t="shared" si="131"/>
        <v>6.967810193261939</v>
      </c>
      <c r="D100" s="339">
        <f t="shared" si="109"/>
        <v>7.6785486735776196</v>
      </c>
      <c r="E100" s="339">
        <f t="shared" si="110"/>
        <v>7.7225894846726559</v>
      </c>
      <c r="F100" s="339">
        <f t="shared" si="111"/>
        <v>8.1671373245627432</v>
      </c>
      <c r="G100" s="339">
        <f t="shared" si="112"/>
        <v>7.7663816375297383</v>
      </c>
      <c r="H100" s="339">
        <f t="shared" si="113"/>
        <v>7.8314781759751089</v>
      </c>
      <c r="I100" s="339">
        <f t="shared" si="114"/>
        <v>7.2170285363287547</v>
      </c>
      <c r="J100" s="339">
        <f t="shared" si="115"/>
        <v>8.0667788127113269</v>
      </c>
      <c r="K100" s="339">
        <f t="shared" si="116"/>
        <v>8.9712334424828146</v>
      </c>
      <c r="L100" s="339">
        <f t="shared" si="117"/>
        <v>11.526342073595917</v>
      </c>
      <c r="M100" s="339">
        <f t="shared" si="118"/>
        <v>8.3764845426054322</v>
      </c>
      <c r="N100" s="339">
        <f t="shared" si="119"/>
        <v>7.8150748593656276</v>
      </c>
      <c r="O100" s="339">
        <f t="shared" si="119"/>
        <v>7.7728507323774592</v>
      </c>
      <c r="Q100" s="341">
        <f t="shared" si="121"/>
        <v>-7.4861274308983816E-3</v>
      </c>
      <c r="V100" s="238" t="s">
        <v>107</v>
      </c>
      <c r="W100" s="339">
        <f>GAT!D116</f>
        <v>6.967810193261939</v>
      </c>
      <c r="X100" s="339">
        <f>GAT!E116</f>
        <v>7.6785486735776196</v>
      </c>
      <c r="Y100" s="339">
        <f>GAT!F116</f>
        <v>7.7225894846726559</v>
      </c>
      <c r="Z100" s="339">
        <f>GAT!G116</f>
        <v>8.1671373245627432</v>
      </c>
      <c r="AA100" s="339">
        <f>GAT!H116</f>
        <v>7.7663816375297383</v>
      </c>
      <c r="AB100" s="339">
        <f>GAT!I116</f>
        <v>7.8314781759751089</v>
      </c>
      <c r="AC100" s="339">
        <f>GAT!J116</f>
        <v>7.2170285363287547</v>
      </c>
      <c r="AD100" s="339">
        <f>GAT!K116</f>
        <v>8.0667788127113269</v>
      </c>
      <c r="AE100" s="339">
        <f>GAT!L116</f>
        <v>8.9712334424828146</v>
      </c>
      <c r="AF100" s="339">
        <f>GAT!M116</f>
        <v>11.526342073595917</v>
      </c>
      <c r="AG100" s="339">
        <f>GAT!N116</f>
        <v>8.3764845426054322</v>
      </c>
      <c r="AH100" s="339">
        <f>GAT!O116</f>
        <v>7.8150748593656276</v>
      </c>
      <c r="AI100" s="339">
        <f>GAT!P116</f>
        <v>7.7728507323774592</v>
      </c>
      <c r="AJ100" s="295"/>
      <c r="AK100" s="341">
        <f t="shared" si="122"/>
        <v>0.86641940399962447</v>
      </c>
      <c r="AL100" s="295"/>
      <c r="AM100" s="375"/>
      <c r="AN100" s="218"/>
      <c r="AP100" s="337">
        <f t="shared" si="123"/>
        <v>10</v>
      </c>
      <c r="AQ100" s="337">
        <v>5</v>
      </c>
      <c r="AR100" s="337" t="str">
        <f t="shared" si="132"/>
        <v>Manchester</v>
      </c>
      <c r="AS100" s="342">
        <f t="shared" si="124"/>
        <v>9.0143701699977026</v>
      </c>
      <c r="AT100" s="343">
        <f t="shared" si="133"/>
        <v>8.8868567369021942</v>
      </c>
      <c r="AU100" s="343">
        <f t="shared" si="125"/>
        <v>8.8446833012948094</v>
      </c>
      <c r="AV100" s="343">
        <f t="shared" si="126"/>
        <v>8.6925307085707839</v>
      </c>
      <c r="AW100" s="344">
        <f t="shared" si="134"/>
        <v>9.3444004278860326</v>
      </c>
      <c r="AX100" s="240"/>
      <c r="AY100" s="337">
        <f t="shared" si="127"/>
        <v>9</v>
      </c>
      <c r="AZ100" s="337">
        <v>5</v>
      </c>
      <c r="BA100" s="337" t="str">
        <f t="shared" si="120"/>
        <v>Luton</v>
      </c>
      <c r="BB100" s="342">
        <f t="shared" si="128"/>
        <v>8.1373378559228016</v>
      </c>
      <c r="BC100" s="343">
        <f t="shared" si="135"/>
        <v>7.4562376703289877</v>
      </c>
      <c r="BD100" s="343">
        <f t="shared" si="129"/>
        <v>8.1374326968291157</v>
      </c>
      <c r="BE100" s="343">
        <f t="shared" si="130"/>
        <v>7.9177848775365955</v>
      </c>
      <c r="BF100" s="344">
        <f t="shared" si="136"/>
        <v>9.268703411122484</v>
      </c>
      <c r="BG100" s="240"/>
      <c r="BH100" s="240"/>
      <c r="BI100" s="240"/>
      <c r="BJ100" s="240"/>
      <c r="BK100" s="240"/>
      <c r="BL100" s="240"/>
    </row>
    <row r="101" spans="2:64">
      <c r="B101" s="238" t="s">
        <v>114</v>
      </c>
      <c r="C101" s="339">
        <f t="shared" si="131"/>
        <v>6.9232094806110354</v>
      </c>
      <c r="D101" s="339">
        <f t="shared" si="109"/>
        <v>6.9246355982001448</v>
      </c>
      <c r="E101" s="339">
        <f t="shared" si="110"/>
        <v>6.889492214801054</v>
      </c>
      <c r="F101" s="339">
        <f t="shared" si="111"/>
        <v>6.9583764388735458</v>
      </c>
      <c r="G101" s="339">
        <f t="shared" si="112"/>
        <v>6.4039241247776602</v>
      </c>
      <c r="H101" s="339">
        <f t="shared" si="113"/>
        <v>6.359031795897665</v>
      </c>
      <c r="I101" s="339">
        <f t="shared" si="114"/>
        <v>5.627278251471231</v>
      </c>
      <c r="J101" s="339">
        <f t="shared" si="115"/>
        <v>5.9142650196708955</v>
      </c>
      <c r="K101" s="339">
        <f t="shared" si="116"/>
        <v>5.4974113370133653</v>
      </c>
      <c r="L101" s="339">
        <f t="shared" si="117"/>
        <v>6.2906871549553767</v>
      </c>
      <c r="M101" s="339">
        <f t="shared" si="118"/>
        <v>6.8178178053326963</v>
      </c>
      <c r="N101" s="339">
        <f t="shared" si="119"/>
        <v>6.2764310017157037</v>
      </c>
      <c r="O101" s="339">
        <f t="shared" si="119"/>
        <v>6.2764310017157037</v>
      </c>
      <c r="Q101" s="341">
        <f t="shared" si="121"/>
        <v>-1.2989523693724636E-2</v>
      </c>
      <c r="V101" s="238" t="s">
        <v>114</v>
      </c>
      <c r="W101" s="339">
        <f>GLAS!D102</f>
        <v>6.9232094806110354</v>
      </c>
      <c r="X101" s="339">
        <f>GLAS!E102</f>
        <v>6.9246355982001448</v>
      </c>
      <c r="Y101" s="339">
        <f>GLAS!F102</f>
        <v>6.889492214801054</v>
      </c>
      <c r="Z101" s="339">
        <f>GLAS!G102</f>
        <v>6.9583764388735458</v>
      </c>
      <c r="AA101" s="339">
        <f>GLAS!H102</f>
        <v>6.4039241247776602</v>
      </c>
      <c r="AB101" s="339">
        <f>GLAS!I102</f>
        <v>6.359031795897665</v>
      </c>
      <c r="AC101" s="339">
        <f>GLAS!J102</f>
        <v>5.627278251471231</v>
      </c>
      <c r="AD101" s="339">
        <f>GLAS!K102</f>
        <v>5.9142650196708955</v>
      </c>
      <c r="AE101" s="339">
        <f>GLAS!L102</f>
        <v>5.4974113370133653</v>
      </c>
      <c r="AF101" s="339">
        <f>GLAS!M102</f>
        <v>6.2906871549553767</v>
      </c>
      <c r="AG101" s="339">
        <f>GLAS!N102</f>
        <v>6.8178178053326963</v>
      </c>
      <c r="AH101" s="339">
        <f>GLAS!O102</f>
        <v>6.2764310017157037</v>
      </c>
      <c r="AI101" s="363">
        <f>AH101</f>
        <v>6.2764310017157037</v>
      </c>
      <c r="AJ101" s="295"/>
      <c r="AK101" s="341">
        <f t="shared" si="122"/>
        <v>1.1417066355317635</v>
      </c>
      <c r="AL101" s="295"/>
      <c r="AM101" s="375"/>
      <c r="AP101" s="337">
        <f t="shared" si="123"/>
        <v>14</v>
      </c>
      <c r="AQ101" s="337">
        <v>6</v>
      </c>
      <c r="AR101" s="337" t="str">
        <f t="shared" si="132"/>
        <v xml:space="preserve">Dublin </v>
      </c>
      <c r="AS101" s="342">
        <f t="shared" si="124"/>
        <v>8.5403780439347177</v>
      </c>
      <c r="AT101" s="343">
        <f t="shared" si="133"/>
        <v>8.8535340367076447</v>
      </c>
      <c r="AU101" s="343">
        <f t="shared" si="125"/>
        <v>8.8446833012948094</v>
      </c>
      <c r="AV101" s="343">
        <f t="shared" si="126"/>
        <v>8.6925307085707839</v>
      </c>
      <c r="AW101" s="344">
        <f t="shared" si="134"/>
        <v>9.3444004278860326</v>
      </c>
      <c r="AX101" s="240"/>
      <c r="AY101" s="337">
        <f t="shared" si="127"/>
        <v>12</v>
      </c>
      <c r="AZ101" s="337">
        <v>6</v>
      </c>
      <c r="BA101" s="337" t="str">
        <f t="shared" si="120"/>
        <v>Zurich</v>
      </c>
      <c r="BB101" s="342">
        <f t="shared" si="128"/>
        <v>8.074002409360709</v>
      </c>
      <c r="BC101" s="343">
        <f t="shared" si="135"/>
        <v>12.349941746346673</v>
      </c>
      <c r="BD101" s="343">
        <f t="shared" si="129"/>
        <v>8.1374326968291157</v>
      </c>
      <c r="BE101" s="343">
        <f t="shared" si="130"/>
        <v>7.9177848775365955</v>
      </c>
      <c r="BF101" s="344">
        <f t="shared" si="136"/>
        <v>9.268703411122484</v>
      </c>
      <c r="BG101" s="240"/>
      <c r="BH101" s="240"/>
      <c r="BI101" s="240"/>
      <c r="BJ101" s="240"/>
      <c r="BK101" s="240"/>
      <c r="BL101" s="240"/>
    </row>
    <row r="102" spans="2:64">
      <c r="B102" s="238" t="s">
        <v>105</v>
      </c>
      <c r="C102" s="339">
        <f t="shared" si="131"/>
        <v>8.9312668189926594</v>
      </c>
      <c r="D102" s="339">
        <f t="shared" si="109"/>
        <v>9.6704778790850412</v>
      </c>
      <c r="E102" s="339">
        <f t="shared" si="110"/>
        <v>9.5914219182142908</v>
      </c>
      <c r="F102" s="339">
        <f t="shared" si="111"/>
        <v>10.015137486641587</v>
      </c>
      <c r="G102" s="339">
        <f t="shared" si="112"/>
        <v>9.9682950625946436</v>
      </c>
      <c r="H102" s="339">
        <f t="shared" si="113"/>
        <v>10.626303328485401</v>
      </c>
      <c r="I102" s="339">
        <f t="shared" si="114"/>
        <v>10.81223036241021</v>
      </c>
      <c r="J102" s="339">
        <f t="shared" si="115"/>
        <v>11.463566761601538</v>
      </c>
      <c r="K102" s="339">
        <f t="shared" si="116"/>
        <v>13.06814529840744</v>
      </c>
      <c r="L102" s="339">
        <f t="shared" si="117"/>
        <v>13.409837184403763</v>
      </c>
      <c r="M102" s="339">
        <f t="shared" si="118"/>
        <v>12.982992079491142</v>
      </c>
      <c r="N102" s="339">
        <f t="shared" si="119"/>
        <v>11.957608557735323</v>
      </c>
      <c r="O102" s="339">
        <f t="shared" si="119"/>
        <v>12.126439809402292</v>
      </c>
      <c r="Q102" s="341">
        <f t="shared" si="121"/>
        <v>0.14117199881689335</v>
      </c>
      <c r="U102" s="240"/>
      <c r="V102" s="238" t="s">
        <v>105</v>
      </c>
      <c r="W102" s="339">
        <f>HTROW!D116</f>
        <v>8.9312668189926594</v>
      </c>
      <c r="X102" s="339">
        <f>HTROW!E116</f>
        <v>9.6704778790850412</v>
      </c>
      <c r="Y102" s="339">
        <f>HTROW!F116</f>
        <v>9.5914219182142908</v>
      </c>
      <c r="Z102" s="339">
        <f>HTROW!G116</f>
        <v>10.015137486641587</v>
      </c>
      <c r="AA102" s="339">
        <f>HTROW!H116</f>
        <v>9.9682950625946436</v>
      </c>
      <c r="AB102" s="339">
        <f>HTROW!I116</f>
        <v>10.626303328485401</v>
      </c>
      <c r="AC102" s="339">
        <f>HTROW!J116</f>
        <v>10.81223036241021</v>
      </c>
      <c r="AD102" s="339">
        <f>HTROW!K116</f>
        <v>11.463566761601538</v>
      </c>
      <c r="AE102" s="339">
        <f>HTROW!L116</f>
        <v>13.06814529840744</v>
      </c>
      <c r="AF102" s="339">
        <f>HTROW!M116</f>
        <v>13.409837184403763</v>
      </c>
      <c r="AG102" s="339">
        <f>HTROW!N116</f>
        <v>12.982992079491142</v>
      </c>
      <c r="AH102" s="339">
        <f>HTROW!O116</f>
        <v>11.957608557735323</v>
      </c>
      <c r="AI102" s="339">
        <f>HTROW!P116</f>
        <v>12.126439809402292</v>
      </c>
      <c r="AJ102" s="295"/>
      <c r="AK102" s="341">
        <f>AI102/AE102</f>
        <v>0.92793885685370292</v>
      </c>
      <c r="AL102" s="295"/>
      <c r="AM102" s="375"/>
      <c r="AP102" s="337">
        <f t="shared" si="123"/>
        <v>3</v>
      </c>
      <c r="AQ102" s="337">
        <v>7</v>
      </c>
      <c r="AR102" s="337" t="str">
        <f t="shared" si="132"/>
        <v>Luton</v>
      </c>
      <c r="AS102" s="342">
        <f t="shared" si="124"/>
        <v>8.1373378559228016</v>
      </c>
      <c r="AT102" s="343">
        <f t="shared" si="133"/>
        <v>7.4562376703289877</v>
      </c>
      <c r="AU102" s="343">
        <f t="shared" si="125"/>
        <v>8.8446833012948094</v>
      </c>
      <c r="AV102" s="343">
        <f t="shared" si="126"/>
        <v>8.6925307085707839</v>
      </c>
      <c r="AW102" s="344">
        <f t="shared" si="134"/>
        <v>9.3444004278860326</v>
      </c>
      <c r="AX102" s="240"/>
      <c r="AY102" s="337">
        <f t="shared" si="127"/>
        <v>2</v>
      </c>
      <c r="AZ102" s="337">
        <v>7</v>
      </c>
      <c r="BA102" s="337" t="str">
        <f t="shared" si="120"/>
        <v>Aberdeen</v>
      </c>
      <c r="BB102" s="342">
        <f t="shared" si="128"/>
        <v>8.0725667096944669</v>
      </c>
      <c r="BC102" s="343">
        <f t="shared" si="135"/>
        <v>8.6875232753902303</v>
      </c>
      <c r="BD102" s="343">
        <f t="shared" si="129"/>
        <v>8.1374326968291157</v>
      </c>
      <c r="BE102" s="343">
        <f t="shared" si="130"/>
        <v>7.9177848775365955</v>
      </c>
      <c r="BF102" s="344">
        <f t="shared" si="136"/>
        <v>9.268703411122484</v>
      </c>
      <c r="BG102" s="240"/>
      <c r="BH102" s="240"/>
      <c r="BI102" s="240"/>
      <c r="BJ102" s="240"/>
      <c r="BK102" s="240"/>
      <c r="BL102" s="240"/>
    </row>
    <row r="103" spans="2:64">
      <c r="B103" s="238" t="s">
        <v>156</v>
      </c>
      <c r="C103" s="339">
        <f t="shared" si="131"/>
        <v>9.5222774060787714</v>
      </c>
      <c r="D103" s="339">
        <f t="shared" si="109"/>
        <v>11.679356885831632</v>
      </c>
      <c r="E103" s="339">
        <f t="shared" si="110"/>
        <v>9.8070211849386766</v>
      </c>
      <c r="F103" s="339">
        <f t="shared" si="111"/>
        <v>8.9001214458217568</v>
      </c>
      <c r="G103" s="339">
        <f t="shared" si="112"/>
        <v>7.7064676745193053</v>
      </c>
      <c r="H103" s="339">
        <f t="shared" si="113"/>
        <v>7.4562376703289877</v>
      </c>
      <c r="I103" s="339">
        <f t="shared" si="114"/>
        <v>7.4852057453180789</v>
      </c>
      <c r="J103" s="339">
        <f t="shared" si="115"/>
        <v>7.5012738466339428</v>
      </c>
      <c r="K103" s="339">
        <f t="shared" si="116"/>
        <v>7.6432234207321477</v>
      </c>
      <c r="L103" s="339">
        <f t="shared" si="117"/>
        <v>8.0323480540394812</v>
      </c>
      <c r="M103" s="339">
        <f t="shared" si="118"/>
        <v>8.175016388166485</v>
      </c>
      <c r="N103" s="339">
        <f t="shared" si="119"/>
        <v>8.0518822112183859</v>
      </c>
      <c r="O103" s="339">
        <f t="shared" si="119"/>
        <v>8.1373378559228016</v>
      </c>
      <c r="Q103" s="341">
        <f t="shared" si="121"/>
        <v>9.1346362027078687E-2</v>
      </c>
      <c r="V103" s="238" t="s">
        <v>156</v>
      </c>
      <c r="W103" s="339">
        <f>LTN!D97</f>
        <v>9.5222774060787714</v>
      </c>
      <c r="X103" s="339">
        <f>LTN!E97</f>
        <v>11.679356885831632</v>
      </c>
      <c r="Y103" s="339">
        <f>LTN!F97</f>
        <v>9.8070211849386766</v>
      </c>
      <c r="Z103" s="339">
        <f>LTN!G97</f>
        <v>8.9001214458217568</v>
      </c>
      <c r="AA103" s="339">
        <f>LTN!H97</f>
        <v>7.7064676745193053</v>
      </c>
      <c r="AB103" s="339">
        <f>LTN!I97</f>
        <v>7.4562376703289877</v>
      </c>
      <c r="AC103" s="339">
        <f>LTN!J97</f>
        <v>7.4852057453180789</v>
      </c>
      <c r="AD103" s="339">
        <f>LTN!K97</f>
        <v>7.5012738466339428</v>
      </c>
      <c r="AE103" s="339">
        <f>LTN!L97</f>
        <v>7.6432234207321477</v>
      </c>
      <c r="AF103" s="339">
        <f>LTN!M97</f>
        <v>8.0323480540394812</v>
      </c>
      <c r="AG103" s="339">
        <f>LTN!N97</f>
        <v>8.175016388166485</v>
      </c>
      <c r="AH103" s="339">
        <f>LTN!O97</f>
        <v>8.0518822112183859</v>
      </c>
      <c r="AI103" s="339">
        <f>LTN!P97</f>
        <v>8.1373378559228016</v>
      </c>
      <c r="AJ103" s="295"/>
      <c r="AK103" s="341">
        <f t="shared" si="122"/>
        <v>1.0646473886724774</v>
      </c>
      <c r="AL103" s="295"/>
      <c r="AM103" s="375"/>
      <c r="AP103" s="337">
        <f t="shared" si="123"/>
        <v>7</v>
      </c>
      <c r="AQ103" s="337">
        <v>8</v>
      </c>
      <c r="AR103" s="337" t="str">
        <f t="shared" si="132"/>
        <v>Aberdeen</v>
      </c>
      <c r="AS103" s="342">
        <f t="shared" si="124"/>
        <v>8.0725667096944669</v>
      </c>
      <c r="AT103" s="343">
        <f t="shared" si="133"/>
        <v>8.6875232753902303</v>
      </c>
      <c r="AU103" s="343">
        <f t="shared" si="125"/>
        <v>8.8446833012948094</v>
      </c>
      <c r="AV103" s="343">
        <f t="shared" si="126"/>
        <v>8.6925307085707839</v>
      </c>
      <c r="AW103" s="344">
        <f t="shared" si="134"/>
        <v>9.3444004278860326</v>
      </c>
      <c r="AX103" s="240"/>
      <c r="AY103" s="337">
        <f t="shared" si="127"/>
        <v>5</v>
      </c>
      <c r="AZ103" s="337">
        <v>8</v>
      </c>
      <c r="BA103" s="337" t="str">
        <f t="shared" si="120"/>
        <v>Southampton</v>
      </c>
      <c r="BB103" s="342">
        <f t="shared" si="128"/>
        <v>7.9191416694852448</v>
      </c>
      <c r="BC103" s="343">
        <f t="shared" si="135"/>
        <v>7.3671164163795675</v>
      </c>
      <c r="BD103" s="343">
        <f t="shared" si="129"/>
        <v>8.1374326968291157</v>
      </c>
      <c r="BE103" s="343">
        <f t="shared" si="130"/>
        <v>7.9177848775365955</v>
      </c>
      <c r="BF103" s="344">
        <f t="shared" si="136"/>
        <v>9.268703411122484</v>
      </c>
      <c r="BG103" s="240"/>
      <c r="BH103" s="240"/>
      <c r="BI103" s="240"/>
      <c r="BJ103" s="240"/>
      <c r="BK103" s="240"/>
      <c r="BL103" s="240"/>
    </row>
    <row r="104" spans="2:64">
      <c r="B104" s="238" t="s">
        <v>204</v>
      </c>
      <c r="C104" s="339">
        <f t="shared" si="131"/>
        <v>9.6845233078096857</v>
      </c>
      <c r="D104" s="339">
        <f t="shared" si="109"/>
        <v>11.837941401345828</v>
      </c>
      <c r="E104" s="339">
        <f t="shared" si="110"/>
        <v>10.812021320957749</v>
      </c>
      <c r="F104" s="339">
        <f t="shared" si="111"/>
        <v>8.5633018792541833</v>
      </c>
      <c r="G104" s="339">
        <f t="shared" si="112"/>
        <v>8.1893081916647823</v>
      </c>
      <c r="H104" s="339">
        <f t="shared" si="113"/>
        <v>8.8868567369021942</v>
      </c>
      <c r="I104" s="339">
        <f t="shared" si="114"/>
        <v>8.5409597030142006</v>
      </c>
      <c r="J104" s="339">
        <f t="shared" si="115"/>
        <v>8.7554987894782705</v>
      </c>
      <c r="K104" s="339">
        <f t="shared" si="116"/>
        <v>9.2152465201198268</v>
      </c>
      <c r="L104" s="339">
        <f t="shared" si="117"/>
        <v>9.8482332787759397</v>
      </c>
      <c r="M104" s="339">
        <f t="shared" si="118"/>
        <v>9.6323126769185841</v>
      </c>
      <c r="N104" s="339">
        <f t="shared" si="119"/>
        <v>9.0143701699977026</v>
      </c>
      <c r="O104" s="363">
        <f t="shared" si="119"/>
        <v>9.0143701699977026</v>
      </c>
      <c r="Q104" s="341">
        <f t="shared" si="121"/>
        <v>1.4348541545180504E-2</v>
      </c>
      <c r="V104" s="238" t="s">
        <v>204</v>
      </c>
      <c r="W104" s="339">
        <f>MAN!D103</f>
        <v>9.6845233078096857</v>
      </c>
      <c r="X104" s="339">
        <f>MAN!E103</f>
        <v>11.837941401345828</v>
      </c>
      <c r="Y104" s="339">
        <f>MAN!F103</f>
        <v>10.812021320957749</v>
      </c>
      <c r="Z104" s="339">
        <f>MAN!G103</f>
        <v>8.5633018792541833</v>
      </c>
      <c r="AA104" s="339">
        <f>MAN!H103</f>
        <v>8.1893081916647823</v>
      </c>
      <c r="AB104" s="339">
        <f>MAN!I103</f>
        <v>8.8868567369021942</v>
      </c>
      <c r="AC104" s="339">
        <f>MAN!J103</f>
        <v>8.5409597030142006</v>
      </c>
      <c r="AD104" s="339">
        <f>MAN!K103</f>
        <v>8.7554987894782705</v>
      </c>
      <c r="AE104" s="339">
        <f>MAN!L103</f>
        <v>9.2152465201198268</v>
      </c>
      <c r="AF104" s="339">
        <f>MAN!M103</f>
        <v>9.8482332787759397</v>
      </c>
      <c r="AG104" s="339">
        <f>MAN!N103</f>
        <v>9.6323126769185841</v>
      </c>
      <c r="AH104" s="339">
        <f>MAN!O103</f>
        <v>9.0143701699977026</v>
      </c>
      <c r="AI104" s="363">
        <f>AH104</f>
        <v>9.0143701699977026</v>
      </c>
      <c r="AJ104" s="295"/>
      <c r="AK104" s="341">
        <f t="shared" si="122"/>
        <v>0.97820173885923212</v>
      </c>
      <c r="AL104" s="295"/>
      <c r="AM104" s="375"/>
      <c r="AP104" s="337">
        <f t="shared" si="123"/>
        <v>5</v>
      </c>
      <c r="AQ104" s="337">
        <v>9</v>
      </c>
      <c r="AR104" s="337" t="str">
        <f t="shared" si="132"/>
        <v>Southampton</v>
      </c>
      <c r="AS104" s="342">
        <f t="shared" si="124"/>
        <v>7.9191416694852448</v>
      </c>
      <c r="AT104" s="343">
        <f t="shared" si="133"/>
        <v>7.3671164163795675</v>
      </c>
      <c r="AU104" s="343">
        <f t="shared" si="125"/>
        <v>8.8446833012948094</v>
      </c>
      <c r="AV104" s="343">
        <f t="shared" si="126"/>
        <v>8.6925307085707839</v>
      </c>
      <c r="AW104" s="344">
        <f t="shared" si="134"/>
        <v>9.3444004278860326</v>
      </c>
      <c r="AX104" s="240"/>
      <c r="AY104" s="337">
        <f t="shared" si="127"/>
        <v>4</v>
      </c>
      <c r="AZ104" s="337">
        <v>9</v>
      </c>
      <c r="BA104" s="337" t="str">
        <f t="shared" si="120"/>
        <v>Gatwick</v>
      </c>
      <c r="BB104" s="342">
        <f t="shared" si="128"/>
        <v>7.7728507323774592</v>
      </c>
      <c r="BC104" s="343">
        <f t="shared" si="135"/>
        <v>7.8314781759751089</v>
      </c>
      <c r="BD104" s="343">
        <f t="shared" si="129"/>
        <v>8.1374326968291157</v>
      </c>
      <c r="BE104" s="343">
        <f t="shared" si="130"/>
        <v>7.9177848775365955</v>
      </c>
      <c r="BF104" s="344">
        <f t="shared" si="136"/>
        <v>9.268703411122484</v>
      </c>
      <c r="BG104" s="240"/>
      <c r="BH104" s="240"/>
      <c r="BI104" s="240"/>
      <c r="BJ104" s="240"/>
      <c r="BK104" s="240"/>
      <c r="BL104" s="240"/>
    </row>
    <row r="105" spans="2:64">
      <c r="B105" s="238" t="s">
        <v>113</v>
      </c>
      <c r="C105" s="363">
        <f>$I$105</f>
        <v>7.3671164163795675</v>
      </c>
      <c r="D105" s="363">
        <f t="shared" ref="D105:H105" si="137">$I$105</f>
        <v>7.3671164163795675</v>
      </c>
      <c r="E105" s="363">
        <f t="shared" si="137"/>
        <v>7.3671164163795675</v>
      </c>
      <c r="F105" s="363">
        <f t="shared" si="137"/>
        <v>7.3671164163795675</v>
      </c>
      <c r="G105" s="363">
        <f t="shared" si="137"/>
        <v>7.3671164163795675</v>
      </c>
      <c r="H105" s="363">
        <f t="shared" si="137"/>
        <v>7.3671164163795675</v>
      </c>
      <c r="I105" s="339">
        <f t="shared" si="114"/>
        <v>7.3671164163795675</v>
      </c>
      <c r="J105" s="339">
        <f t="shared" si="115"/>
        <v>8.6160543961382459</v>
      </c>
      <c r="K105" s="339">
        <f t="shared" si="116"/>
        <v>8.5000236505425608</v>
      </c>
      <c r="L105" s="339">
        <f t="shared" si="117"/>
        <v>8.0102021749739993</v>
      </c>
      <c r="M105" s="339">
        <f t="shared" si="118"/>
        <v>7.9191416694852448</v>
      </c>
      <c r="N105" s="363">
        <f>M105</f>
        <v>7.9191416694852448</v>
      </c>
      <c r="O105" s="363">
        <f>N105</f>
        <v>7.9191416694852448</v>
      </c>
      <c r="Q105" s="341">
        <f t="shared" si="121"/>
        <v>7.4930980034242367E-2</v>
      </c>
      <c r="V105" s="238" t="s">
        <v>113</v>
      </c>
      <c r="W105" s="363">
        <f>$AC$105</f>
        <v>7.3671164163795675</v>
      </c>
      <c r="X105" s="363">
        <f t="shared" ref="X105:AB105" si="138">$AC$105</f>
        <v>7.3671164163795675</v>
      </c>
      <c r="Y105" s="363">
        <f t="shared" si="138"/>
        <v>7.3671164163795675</v>
      </c>
      <c r="Z105" s="363">
        <f t="shared" si="138"/>
        <v>7.3671164163795675</v>
      </c>
      <c r="AA105" s="363">
        <f t="shared" si="138"/>
        <v>7.3671164163795675</v>
      </c>
      <c r="AB105" s="363">
        <f t="shared" si="138"/>
        <v>7.3671164163795675</v>
      </c>
      <c r="AC105" s="339">
        <f>STHAM!J99</f>
        <v>7.3671164163795675</v>
      </c>
      <c r="AD105" s="339">
        <f>STHAM!K99</f>
        <v>8.6160543961382459</v>
      </c>
      <c r="AE105" s="339">
        <f>STHAM!L99</f>
        <v>8.5000236505425608</v>
      </c>
      <c r="AF105" s="339">
        <f>STHAM!M99</f>
        <v>8.0102021749739993</v>
      </c>
      <c r="AG105" s="339">
        <f>STHAM!N99</f>
        <v>7.9191416694852448</v>
      </c>
      <c r="AH105" s="363">
        <f>AG105</f>
        <v>7.9191416694852448</v>
      </c>
      <c r="AI105" s="363">
        <f>AH105</f>
        <v>7.9191416694852448</v>
      </c>
      <c r="AJ105" s="295"/>
      <c r="AK105" s="341">
        <f t="shared" si="122"/>
        <v>0.93166113355222979</v>
      </c>
      <c r="AL105" s="295"/>
      <c r="AM105" s="375"/>
      <c r="AP105" s="337">
        <f t="shared" si="123"/>
        <v>9</v>
      </c>
      <c r="AQ105" s="337">
        <v>10</v>
      </c>
      <c r="AR105" s="337" t="str">
        <f t="shared" si="132"/>
        <v>Gatwick</v>
      </c>
      <c r="AS105" s="342">
        <f t="shared" si="124"/>
        <v>7.7728507323774592</v>
      </c>
      <c r="AT105" s="343">
        <f t="shared" si="133"/>
        <v>7.8314781759751089</v>
      </c>
      <c r="AU105" s="343">
        <f t="shared" si="125"/>
        <v>8.8446833012948094</v>
      </c>
      <c r="AV105" s="343">
        <f t="shared" si="126"/>
        <v>8.6925307085707839</v>
      </c>
      <c r="AW105" s="344">
        <f t="shared" si="134"/>
        <v>9.3444004278860326</v>
      </c>
      <c r="AX105" s="240"/>
      <c r="AY105" s="337">
        <f t="shared" si="127"/>
        <v>8</v>
      </c>
      <c r="AZ105" s="337">
        <v>10</v>
      </c>
      <c r="BA105" s="337" t="str">
        <f t="shared" si="120"/>
        <v>Birmingham</v>
      </c>
      <c r="BB105" s="342">
        <f t="shared" si="128"/>
        <v>7.5437390803873985</v>
      </c>
      <c r="BC105" s="343">
        <f t="shared" si="135"/>
        <v>7.7233841967077943</v>
      </c>
      <c r="BD105" s="343">
        <f t="shared" si="129"/>
        <v>8.1374326968291157</v>
      </c>
      <c r="BE105" s="343">
        <f t="shared" si="130"/>
        <v>7.9177848775365955</v>
      </c>
      <c r="BF105" s="344">
        <f t="shared" si="136"/>
        <v>9.268703411122484</v>
      </c>
      <c r="BG105" s="240"/>
      <c r="BH105" s="240"/>
      <c r="BI105" s="240"/>
      <c r="BJ105" s="240"/>
      <c r="BK105" s="240"/>
      <c r="BL105" s="240"/>
    </row>
    <row r="106" spans="2:64">
      <c r="B106" s="238" t="s">
        <v>112</v>
      </c>
      <c r="C106" s="339">
        <f t="shared" si="131"/>
        <v>8.4857435989273853</v>
      </c>
      <c r="D106" s="339">
        <f t="shared" si="109"/>
        <v>8.0399665966697178</v>
      </c>
      <c r="E106" s="339">
        <f t="shared" si="110"/>
        <v>7.7464911171621118</v>
      </c>
      <c r="F106" s="339">
        <f t="shared" si="111"/>
        <v>5.5314324920306932</v>
      </c>
      <c r="G106" s="339">
        <f t="shared" si="112"/>
        <v>5.4673594520273774</v>
      </c>
      <c r="H106" s="339">
        <f t="shared" si="113"/>
        <v>5.40424926669571</v>
      </c>
      <c r="I106" s="339">
        <f t="shared" si="114"/>
        <v>5.3835976341780825</v>
      </c>
      <c r="J106" s="339">
        <f t="shared" si="115"/>
        <v>5.3545163730482974</v>
      </c>
      <c r="K106" s="339">
        <f t="shared" si="116"/>
        <v>6.0543542397505616</v>
      </c>
      <c r="L106" s="339">
        <f t="shared" si="117"/>
        <v>6.4042529486417452</v>
      </c>
      <c r="M106" s="339">
        <f t="shared" si="118"/>
        <v>6.6811074163324049</v>
      </c>
      <c r="N106" s="339">
        <f t="shared" si="119"/>
        <v>6.9779458119406019</v>
      </c>
      <c r="O106" s="339">
        <f t="shared" si="119"/>
        <v>7.2078484604520732</v>
      </c>
      <c r="Q106" s="341">
        <f t="shared" si="121"/>
        <v>0.33373723245358877</v>
      </c>
      <c r="V106" s="238" t="s">
        <v>112</v>
      </c>
      <c r="W106" s="339">
        <f>STAN!D115</f>
        <v>8.4857435989273853</v>
      </c>
      <c r="X106" s="339">
        <f>STAN!E115</f>
        <v>8.0399665966697178</v>
      </c>
      <c r="Y106" s="339">
        <f>STAN!F115</f>
        <v>7.7464911171621118</v>
      </c>
      <c r="Z106" s="339">
        <f>STAN!G115</f>
        <v>5.5314324920306932</v>
      </c>
      <c r="AA106" s="339">
        <f>STAN!H115</f>
        <v>5.4673594520273774</v>
      </c>
      <c r="AB106" s="339">
        <f>STAN!I115</f>
        <v>5.40424926669571</v>
      </c>
      <c r="AC106" s="339">
        <f>STAN!J115</f>
        <v>5.3835976341780825</v>
      </c>
      <c r="AD106" s="339">
        <f>STAN!K115</f>
        <v>5.3545163730482974</v>
      </c>
      <c r="AE106" s="339">
        <f>STAN!L115</f>
        <v>6.0543542397505616</v>
      </c>
      <c r="AF106" s="339">
        <f>STAN!M115</f>
        <v>6.4042529486417452</v>
      </c>
      <c r="AG106" s="339">
        <f>STAN!N115</f>
        <v>6.6811074163324049</v>
      </c>
      <c r="AH106" s="339">
        <f>STAN!O115</f>
        <v>6.9779458119406019</v>
      </c>
      <c r="AI106" s="339">
        <f>STAN!P115</f>
        <v>7.2078484604520732</v>
      </c>
      <c r="AJ106" s="295"/>
      <c r="AK106" s="341">
        <f t="shared" si="122"/>
        <v>1.190523080583576</v>
      </c>
      <c r="AL106" s="295"/>
      <c r="AM106" s="375"/>
      <c r="AP106" s="337">
        <f t="shared" si="123"/>
        <v>13</v>
      </c>
      <c r="AQ106" s="337">
        <v>11</v>
      </c>
      <c r="AR106" s="337" t="str">
        <f t="shared" si="132"/>
        <v>Birmingham</v>
      </c>
      <c r="AS106" s="342">
        <f t="shared" si="124"/>
        <v>7.5437390803873985</v>
      </c>
      <c r="AT106" s="343">
        <f t="shared" si="133"/>
        <v>7.7233841967077943</v>
      </c>
      <c r="AU106" s="343">
        <f t="shared" si="125"/>
        <v>8.8446833012948094</v>
      </c>
      <c r="AV106" s="343">
        <f t="shared" si="126"/>
        <v>8.6925307085707839</v>
      </c>
      <c r="AW106" s="344">
        <f t="shared" si="134"/>
        <v>9.3444004278860326</v>
      </c>
      <c r="AX106" s="240"/>
      <c r="AY106" s="337">
        <f t="shared" si="127"/>
        <v>11</v>
      </c>
      <c r="AZ106" s="337">
        <v>11</v>
      </c>
      <c r="BA106" s="337" t="str">
        <f t="shared" si="120"/>
        <v>Stansted</v>
      </c>
      <c r="BB106" s="342">
        <f t="shared" si="128"/>
        <v>7.2078484604520732</v>
      </c>
      <c r="BC106" s="343">
        <f t="shared" si="135"/>
        <v>5.40424926669571</v>
      </c>
      <c r="BD106" s="343">
        <f t="shared" si="129"/>
        <v>8.1374326968291157</v>
      </c>
      <c r="BE106" s="343">
        <f t="shared" si="130"/>
        <v>7.9177848775365955</v>
      </c>
      <c r="BF106" s="344">
        <f t="shared" si="136"/>
        <v>9.268703411122484</v>
      </c>
      <c r="BG106" s="240"/>
      <c r="BH106" s="240"/>
      <c r="BI106" s="240"/>
      <c r="BJ106" s="240"/>
      <c r="BK106" s="240"/>
      <c r="BL106" s="240"/>
    </row>
    <row r="107" spans="2:64">
      <c r="B107" s="5" t="s">
        <v>392</v>
      </c>
      <c r="C107" s="339">
        <f>Copenhagen!D105</f>
        <v>6.6705589344287866</v>
      </c>
      <c r="D107" s="339">
        <f>Copenhagen!E105</f>
        <v>7.9433931160650531</v>
      </c>
      <c r="E107" s="339">
        <f>Copenhagen!F105</f>
        <v>7.9651000726572994</v>
      </c>
      <c r="F107" s="339">
        <f>Copenhagen!G105</f>
        <v>8.0591305538054065</v>
      </c>
      <c r="G107" s="339">
        <f>Copenhagen!H105</f>
        <v>8.049838819117463</v>
      </c>
      <c r="H107" s="339">
        <f>Copenhagen!I105</f>
        <v>10.107979520722088</v>
      </c>
      <c r="I107" s="339">
        <f>Copenhagen!J105</f>
        <v>8.729465360259832</v>
      </c>
      <c r="J107" s="339">
        <f>Copenhagen!K105</f>
        <v>8.3775886835674314</v>
      </c>
      <c r="K107" s="339">
        <f>Copenhagen!L105</f>
        <v>8.7324392858437445</v>
      </c>
      <c r="L107" s="339">
        <f>Copenhagen!M105</f>
        <v>8.8649228007965988</v>
      </c>
      <c r="M107" s="339">
        <f>Copenhagen!N105</f>
        <v>8.5644776649937988</v>
      </c>
      <c r="N107" s="339">
        <f>Copenhagen!O105</f>
        <v>7.8679522290347457</v>
      </c>
      <c r="O107" s="339">
        <f>Copenhagen!P105</f>
        <v>7.3927490558495537</v>
      </c>
      <c r="Q107" s="341">
        <f t="shared" si="121"/>
        <v>-0.26862247388868521</v>
      </c>
      <c r="V107" s="90" t="s">
        <v>392</v>
      </c>
      <c r="W107" s="339">
        <f>Copenhagen!D156</f>
        <v>5.814058915685246</v>
      </c>
      <c r="X107" s="339">
        <f>Copenhagen!E156</f>
        <v>6.8002679870536209</v>
      </c>
      <c r="Y107" s="339">
        <f>Copenhagen!F156</f>
        <v>6.8769992727386811</v>
      </c>
      <c r="Z107" s="339">
        <f>Copenhagen!G156</f>
        <v>6.4316260316233187</v>
      </c>
      <c r="AA107" s="339">
        <f>Copenhagen!H156</f>
        <v>6.5789299412769751</v>
      </c>
      <c r="AB107" s="339">
        <f>Copenhagen!I156</f>
        <v>8.135158499866332</v>
      </c>
      <c r="AC107" s="339">
        <f>Copenhagen!J156</f>
        <v>7.0770381539386857</v>
      </c>
      <c r="AD107" s="339">
        <f>Copenhagen!K156</f>
        <v>6.9395610489135526</v>
      </c>
      <c r="AE107" s="339">
        <f>Copenhagen!L156</f>
        <v>6.2690477879297051</v>
      </c>
      <c r="AF107" s="339">
        <f>Copenhagen!M156</f>
        <v>5.7792816986973508</v>
      </c>
      <c r="AG107" s="339">
        <f>Copenhagen!N156</f>
        <v>5.8022166776345712</v>
      </c>
      <c r="AH107" s="339">
        <f>Copenhagen!O156</f>
        <v>5.4077136089675903</v>
      </c>
      <c r="AI107" s="339">
        <f>Copenhagen!P156</f>
        <v>5.0516763588175468</v>
      </c>
      <c r="AJ107" s="295"/>
      <c r="AK107" s="341">
        <f t="shared" si="122"/>
        <v>0.80581238645906317</v>
      </c>
      <c r="AL107" s="295"/>
      <c r="AM107" s="375"/>
      <c r="AP107" s="337">
        <f t="shared" si="123"/>
        <v>12</v>
      </c>
      <c r="AQ107" s="337">
        <v>12</v>
      </c>
      <c r="AR107" s="337" t="str">
        <f t="shared" si="132"/>
        <v>Copenhagen</v>
      </c>
      <c r="AS107" s="342">
        <f t="shared" si="124"/>
        <v>7.3927490558495537</v>
      </c>
      <c r="AT107" s="343">
        <f t="shared" si="133"/>
        <v>10.107979520722088</v>
      </c>
      <c r="AU107" s="343">
        <f t="shared" si="125"/>
        <v>8.8446833012948094</v>
      </c>
      <c r="AV107" s="343">
        <f t="shared" si="126"/>
        <v>8.6925307085707839</v>
      </c>
      <c r="AW107" s="344">
        <f t="shared" si="134"/>
        <v>9.3444004278860326</v>
      </c>
      <c r="AX107" s="240"/>
      <c r="AY107" s="337">
        <f t="shared" si="127"/>
        <v>16</v>
      </c>
      <c r="AZ107" s="337">
        <v>12</v>
      </c>
      <c r="BA107" s="337" t="str">
        <f t="shared" si="120"/>
        <v>Glasgow</v>
      </c>
      <c r="BB107" s="342">
        <f t="shared" si="128"/>
        <v>6.2764310017157037</v>
      </c>
      <c r="BC107" s="343">
        <f t="shared" si="135"/>
        <v>6.359031795897665</v>
      </c>
      <c r="BD107" s="343">
        <f t="shared" si="129"/>
        <v>8.1374326968291157</v>
      </c>
      <c r="BE107" s="343">
        <f t="shared" si="130"/>
        <v>7.9177848775365955</v>
      </c>
      <c r="BF107" s="344">
        <f t="shared" si="136"/>
        <v>9.268703411122484</v>
      </c>
      <c r="BG107" s="240"/>
      <c r="BH107" s="240"/>
      <c r="BI107" s="240"/>
      <c r="BJ107" s="240"/>
      <c r="BK107" s="240"/>
      <c r="BL107" s="240"/>
    </row>
    <row r="108" spans="2:64">
      <c r="B108" s="238" t="s">
        <v>1125</v>
      </c>
      <c r="C108" s="363">
        <f>$I$108</f>
        <v>8.8535340367076447</v>
      </c>
      <c r="D108" s="363">
        <f t="shared" ref="D108:H108" si="139">$I$108</f>
        <v>8.8535340367076447</v>
      </c>
      <c r="E108" s="363">
        <f t="shared" si="139"/>
        <v>8.8535340367076447</v>
      </c>
      <c r="F108" s="363">
        <f t="shared" si="139"/>
        <v>8.8535340367076447</v>
      </c>
      <c r="G108" s="363">
        <f t="shared" si="139"/>
        <v>8.8535340367076447</v>
      </c>
      <c r="H108" s="363">
        <f t="shared" si="139"/>
        <v>8.8535340367076447</v>
      </c>
      <c r="I108" s="339">
        <f>Dublin!J117</f>
        <v>8.8535340367076447</v>
      </c>
      <c r="J108" s="339">
        <f>Dublin!K117</f>
        <v>8.8688009149825113</v>
      </c>
      <c r="K108" s="339">
        <f>Dublin!L117</f>
        <v>11.259738920362281</v>
      </c>
      <c r="L108" s="339">
        <f>Dublin!M117</f>
        <v>8.0608004920730707</v>
      </c>
      <c r="M108" s="339">
        <f>Dublin!N117</f>
        <v>9.0913801466148509</v>
      </c>
      <c r="N108" s="339">
        <f>Dublin!O117</f>
        <v>8.9485369955622449</v>
      </c>
      <c r="O108" s="339">
        <f>Dublin!P117</f>
        <v>8.5403780439347177</v>
      </c>
      <c r="Q108" s="341">
        <f>(O108/H108)-1</f>
        <v>-3.5370733480500682E-2</v>
      </c>
      <c r="V108" s="238" t="s">
        <v>1125</v>
      </c>
      <c r="W108" s="363">
        <f>$AC$108</f>
        <v>7.5252526772643833</v>
      </c>
      <c r="X108" s="363">
        <f t="shared" ref="X108:AB108" si="140">$AC$108</f>
        <v>7.5252526772643833</v>
      </c>
      <c r="Y108" s="363">
        <f t="shared" si="140"/>
        <v>7.5252526772643833</v>
      </c>
      <c r="Z108" s="363">
        <f t="shared" si="140"/>
        <v>7.5252526772643833</v>
      </c>
      <c r="AA108" s="363">
        <f t="shared" si="140"/>
        <v>7.5252526772643833</v>
      </c>
      <c r="AB108" s="363">
        <f t="shared" si="140"/>
        <v>7.5252526772643833</v>
      </c>
      <c r="AC108" s="339">
        <f>Dublin!J170</f>
        <v>7.5252526772643833</v>
      </c>
      <c r="AD108" s="339">
        <f>Dublin!K170</f>
        <v>7.773422926801155</v>
      </c>
      <c r="AE108" s="339">
        <f>Dublin!L170</f>
        <v>8.9485324574918099</v>
      </c>
      <c r="AF108" s="339">
        <f>Dublin!M170</f>
        <v>6.1312417332385776</v>
      </c>
      <c r="AG108" s="339">
        <f>Dublin!N170</f>
        <v>7.7358920405950897</v>
      </c>
      <c r="AH108" s="339">
        <f>Dublin!O170</f>
        <v>6.3372953471669646</v>
      </c>
      <c r="AI108" s="339">
        <f>Dublin!P170</f>
        <v>5.9438930988571288</v>
      </c>
      <c r="AJ108" s="295"/>
      <c r="AK108" s="341">
        <f t="shared" si="122"/>
        <v>0.664231048732559</v>
      </c>
      <c r="AL108" s="295"/>
      <c r="AM108" s="375"/>
      <c r="AP108" s="337">
        <f t="shared" si="123"/>
        <v>6</v>
      </c>
      <c r="AQ108" s="337">
        <v>13</v>
      </c>
      <c r="AR108" s="337" t="str">
        <f t="shared" si="132"/>
        <v>Stansted</v>
      </c>
      <c r="AS108" s="342">
        <f t="shared" si="124"/>
        <v>7.2078484604520732</v>
      </c>
      <c r="AT108" s="343">
        <f t="shared" si="133"/>
        <v>5.40424926669571</v>
      </c>
      <c r="AU108" s="343">
        <f t="shared" si="125"/>
        <v>8.8446833012948094</v>
      </c>
      <c r="AV108" s="343">
        <f t="shared" si="126"/>
        <v>8.6925307085707839</v>
      </c>
      <c r="AW108" s="344">
        <f t="shared" si="134"/>
        <v>9.3444004278860326</v>
      </c>
      <c r="AX108" s="240"/>
      <c r="AY108" s="337">
        <f t="shared" si="127"/>
        <v>13</v>
      </c>
      <c r="AZ108" s="337">
        <v>13</v>
      </c>
      <c r="BA108" s="337" t="str">
        <f t="shared" si="120"/>
        <v xml:space="preserve">Dublin </v>
      </c>
      <c r="BB108" s="342">
        <f t="shared" si="128"/>
        <v>5.9438930988571288</v>
      </c>
      <c r="BC108" s="343">
        <f t="shared" si="135"/>
        <v>7.5252526772643833</v>
      </c>
      <c r="BD108" s="343">
        <f t="shared" si="129"/>
        <v>8.1374326968291157</v>
      </c>
      <c r="BE108" s="343">
        <f t="shared" si="130"/>
        <v>7.9177848775365955</v>
      </c>
      <c r="BF108" s="344">
        <f t="shared" si="136"/>
        <v>9.268703411122484</v>
      </c>
      <c r="BG108" s="240"/>
      <c r="BH108" s="240"/>
      <c r="BI108" s="240"/>
      <c r="BJ108" s="240"/>
      <c r="BK108" s="240"/>
      <c r="BL108" s="240"/>
    </row>
    <row r="109" spans="2:64">
      <c r="B109" s="238" t="s">
        <v>394</v>
      </c>
      <c r="C109" s="339">
        <f>'Hong Kong'!D103</f>
        <v>6.4722838305086334</v>
      </c>
      <c r="D109" s="339">
        <f>'Hong Kong'!E103</f>
        <v>6.3558883313669527</v>
      </c>
      <c r="E109" s="339">
        <f>'Hong Kong'!F103</f>
        <v>5.9833736809945215</v>
      </c>
      <c r="F109" s="339">
        <f>'Hong Kong'!G103</f>
        <v>7.0747132622298334</v>
      </c>
      <c r="G109" s="339">
        <f>'Hong Kong'!H103</f>
        <v>5.27195987353194</v>
      </c>
      <c r="H109" s="339">
        <f>'Hong Kong'!I103</f>
        <v>4.7516953588888668</v>
      </c>
      <c r="I109" s="339">
        <f>'Hong Kong'!J103</f>
        <v>4.7272094790051717</v>
      </c>
      <c r="J109" s="339">
        <f>'Hong Kong'!K103</f>
        <v>4.3806550012107204</v>
      </c>
      <c r="K109" s="339">
        <f>'Hong Kong'!L103</f>
        <v>4.6792525051467919</v>
      </c>
      <c r="L109" s="339">
        <f>'Hong Kong'!M103</f>
        <v>4.764437902174989</v>
      </c>
      <c r="M109" s="339">
        <f>'Hong Kong'!N103</f>
        <v>4.3229564347918688</v>
      </c>
      <c r="N109" s="339">
        <f>'Hong Kong'!O103</f>
        <v>4.3283134473247502</v>
      </c>
      <c r="O109" s="339">
        <f>'Hong Kong'!P103</f>
        <v>4.345800731428203</v>
      </c>
      <c r="Q109" s="341">
        <f t="shared" si="121"/>
        <v>-8.5421012250157746E-2</v>
      </c>
      <c r="V109" s="238" t="s">
        <v>394</v>
      </c>
      <c r="W109" s="339">
        <f>'Hong Kong'!D152</f>
        <v>6.4481512893379458</v>
      </c>
      <c r="X109" s="339">
        <f>'Hong Kong'!E152</f>
        <v>6.2400331066867887</v>
      </c>
      <c r="Y109" s="339">
        <f>'Hong Kong'!F152</f>
        <v>6.4680595461505144</v>
      </c>
      <c r="Z109" s="339">
        <f>'Hong Kong'!G152</f>
        <v>9.1859134778763849</v>
      </c>
      <c r="AA109" s="339">
        <f>'Hong Kong'!H152</f>
        <v>7.9944076714084567</v>
      </c>
      <c r="AB109" s="339">
        <f>'Hong Kong'!I152</f>
        <v>7.3174678126024908</v>
      </c>
      <c r="AC109" s="339">
        <f>'Hong Kong'!J152</f>
        <v>7.4797539005055063</v>
      </c>
      <c r="AD109" s="339">
        <f>'Hong Kong'!K152</f>
        <v>7.6681073901035308</v>
      </c>
      <c r="AE109" s="339">
        <f>'Hong Kong'!L152</f>
        <v>7.5981545517139759</v>
      </c>
      <c r="AF109" s="339">
        <f>'Hong Kong'!M152</f>
        <v>6.3553862942758474</v>
      </c>
      <c r="AG109" s="339">
        <f>'Hong Kong'!N152</f>
        <v>5.7259143102516861</v>
      </c>
      <c r="AH109" s="339">
        <f>'Hong Kong'!O152</f>
        <v>5.938479926659431</v>
      </c>
      <c r="AI109" s="339">
        <f>'Hong Kong'!P152</f>
        <v>5.4879675158526808</v>
      </c>
      <c r="AJ109" s="295"/>
      <c r="AK109" s="341">
        <f t="shared" si="122"/>
        <v>0.72227637362479247</v>
      </c>
      <c r="AL109" s="295"/>
      <c r="AM109" s="375"/>
      <c r="AP109" s="337">
        <f t="shared" si="123"/>
        <v>16</v>
      </c>
      <c r="AQ109" s="337">
        <v>14</v>
      </c>
      <c r="AR109" s="337" t="str">
        <f t="shared" si="132"/>
        <v>Glasgow</v>
      </c>
      <c r="AS109" s="342">
        <f t="shared" si="124"/>
        <v>6.2764310017157037</v>
      </c>
      <c r="AT109" s="343">
        <f t="shared" si="133"/>
        <v>6.359031795897665</v>
      </c>
      <c r="AU109" s="343">
        <f t="shared" si="125"/>
        <v>8.8446833012948094</v>
      </c>
      <c r="AV109" s="343">
        <f t="shared" si="126"/>
        <v>8.6925307085707839</v>
      </c>
      <c r="AW109" s="344">
        <f t="shared" si="134"/>
        <v>9.3444004278860326</v>
      </c>
      <c r="AX109" s="240"/>
      <c r="AY109" s="337">
        <f t="shared" si="127"/>
        <v>14</v>
      </c>
      <c r="AZ109" s="337">
        <v>14</v>
      </c>
      <c r="BA109" s="337" t="str">
        <f t="shared" si="120"/>
        <v>Hong Kong</v>
      </c>
      <c r="BB109" s="342">
        <f t="shared" si="128"/>
        <v>5.4879675158526808</v>
      </c>
      <c r="BC109" s="343">
        <f t="shared" si="135"/>
        <v>7.3174678126024908</v>
      </c>
      <c r="BD109" s="343">
        <f t="shared" si="129"/>
        <v>8.1374326968291157</v>
      </c>
      <c r="BE109" s="343">
        <f t="shared" si="130"/>
        <v>7.9177848775365955</v>
      </c>
      <c r="BF109" s="344">
        <f t="shared" si="136"/>
        <v>9.268703411122484</v>
      </c>
      <c r="BG109" s="240"/>
      <c r="BH109" s="240"/>
      <c r="BI109" s="240"/>
      <c r="BJ109" s="240"/>
      <c r="BK109" s="240"/>
      <c r="BL109" s="240"/>
    </row>
    <row r="110" spans="2:64">
      <c r="B110" s="5" t="s">
        <v>1050</v>
      </c>
      <c r="C110" s="339">
        <f>Munich!D101</f>
        <v>18.026775316904637</v>
      </c>
      <c r="D110" s="339">
        <f>Munich!E101</f>
        <v>18.743844747830138</v>
      </c>
      <c r="E110" s="339">
        <f>Munich!F101</f>
        <v>19.579848384363864</v>
      </c>
      <c r="F110" s="339">
        <f>Munich!G101</f>
        <v>22.681881617197767</v>
      </c>
      <c r="G110" s="339">
        <f>Munich!H101</f>
        <v>20.80217595339305</v>
      </c>
      <c r="H110" s="339">
        <f>Munich!I101</f>
        <v>23.531840880709606</v>
      </c>
      <c r="I110" s="339">
        <f>Munich!J101</f>
        <v>22.471826322479039</v>
      </c>
      <c r="J110" s="339">
        <f>Munich!K101</f>
        <v>20.880551858632877</v>
      </c>
      <c r="K110" s="339">
        <f>Munich!L101</f>
        <v>21.632078425676408</v>
      </c>
      <c r="L110" s="339">
        <f>Munich!M101</f>
        <v>22.830870187916652</v>
      </c>
      <c r="M110" s="339">
        <f>Munich!N101</f>
        <v>17.221619916288621</v>
      </c>
      <c r="N110" s="339">
        <f>Munich!O101</f>
        <v>16.472459000028095</v>
      </c>
      <c r="O110" s="363">
        <f>N110</f>
        <v>16.472459000028095</v>
      </c>
      <c r="Q110" s="341">
        <f t="shared" si="121"/>
        <v>-0.29999275944741277</v>
      </c>
      <c r="V110" s="5" t="s">
        <v>1050</v>
      </c>
      <c r="W110" s="339">
        <f>Munich!D148</f>
        <v>19.568519365422258</v>
      </c>
      <c r="X110" s="339">
        <f>Munich!E148</f>
        <v>19.906589875589415</v>
      </c>
      <c r="Y110" s="339">
        <f>Munich!F148</f>
        <v>21.113177840341809</v>
      </c>
      <c r="Z110" s="339">
        <f>Munich!G148</f>
        <v>23.349289903273974</v>
      </c>
      <c r="AA110" s="339">
        <f>Munich!H148</f>
        <v>22.181967808241847</v>
      </c>
      <c r="AB110" s="339">
        <f>Munich!I148</f>
        <v>25.749931712584516</v>
      </c>
      <c r="AC110" s="339">
        <f>Munich!J148</f>
        <v>24.864360581992145</v>
      </c>
      <c r="AD110" s="339">
        <f>Munich!K148</f>
        <v>23.385152222530497</v>
      </c>
      <c r="AE110" s="339">
        <f>Munich!L148</f>
        <v>21.086556236653209</v>
      </c>
      <c r="AF110" s="339">
        <f>Munich!M148</f>
        <v>19.81722632403099</v>
      </c>
      <c r="AG110" s="339">
        <f>Munich!N148</f>
        <v>15.418778002047517</v>
      </c>
      <c r="AH110" s="339">
        <f>Munich!O148</f>
        <v>14.933984102328369</v>
      </c>
      <c r="AI110" s="363">
        <f>AH110</f>
        <v>14.933984102328369</v>
      </c>
      <c r="AJ110" s="295"/>
      <c r="AK110" s="341">
        <f t="shared" si="122"/>
        <v>0.70822299927617971</v>
      </c>
      <c r="AL110" s="295"/>
      <c r="AM110" s="375"/>
      <c r="AP110" s="337">
        <f t="shared" si="123"/>
        <v>1</v>
      </c>
      <c r="AQ110" s="337">
        <v>15</v>
      </c>
      <c r="AR110" s="337" t="str">
        <f t="shared" si="132"/>
        <v>Edinburgh</v>
      </c>
      <c r="AS110" s="342">
        <f t="shared" si="124"/>
        <v>5.2045241883973645</v>
      </c>
      <c r="AT110" s="343">
        <f t="shared" si="133"/>
        <v>5.4886245157875138</v>
      </c>
      <c r="AU110" s="343">
        <f t="shared" si="125"/>
        <v>8.8446833012948094</v>
      </c>
      <c r="AV110" s="343">
        <f t="shared" si="126"/>
        <v>8.6925307085707839</v>
      </c>
      <c r="AW110" s="344">
        <f t="shared" si="134"/>
        <v>9.3444004278860326</v>
      </c>
      <c r="AX110" s="240"/>
      <c r="AY110" s="337">
        <f t="shared" si="127"/>
        <v>1</v>
      </c>
      <c r="AZ110" s="337">
        <v>15</v>
      </c>
      <c r="BA110" s="337" t="str">
        <f t="shared" si="120"/>
        <v>Edinburgh</v>
      </c>
      <c r="BB110" s="342">
        <f t="shared" si="128"/>
        <v>5.2045241883973645</v>
      </c>
      <c r="BC110" s="343">
        <f t="shared" si="135"/>
        <v>5.4886245157875138</v>
      </c>
      <c r="BD110" s="343">
        <f t="shared" si="129"/>
        <v>8.1374326968291157</v>
      </c>
      <c r="BE110" s="343">
        <f t="shared" si="130"/>
        <v>7.9177848775365955</v>
      </c>
      <c r="BF110" s="344">
        <f t="shared" si="136"/>
        <v>9.268703411122484</v>
      </c>
      <c r="BG110" s="240"/>
      <c r="BH110" s="240"/>
      <c r="BI110" s="240"/>
      <c r="BJ110" s="240"/>
      <c r="BK110" s="240"/>
      <c r="BL110" s="240"/>
    </row>
    <row r="111" spans="2:64">
      <c r="B111" s="5" t="s">
        <v>399</v>
      </c>
      <c r="C111" s="339">
        <f>Zurich!D105</f>
        <v>11.029584549071334</v>
      </c>
      <c r="D111" s="339">
        <f>Zurich!E105</f>
        <v>13.5477763101678</v>
      </c>
      <c r="E111" s="339">
        <f>Zurich!F105</f>
        <v>15.611562504069967</v>
      </c>
      <c r="F111" s="339">
        <f>Zurich!G105</f>
        <v>17.062207929593697</v>
      </c>
      <c r="G111" s="339">
        <f>Zurich!H105</f>
        <v>15.443162476816203</v>
      </c>
      <c r="H111" s="339">
        <f>Zurich!I105</f>
        <v>15.62732529770649</v>
      </c>
      <c r="I111" s="339">
        <f>Zurich!J105</f>
        <v>14.784841890834993</v>
      </c>
      <c r="J111" s="339">
        <f>Zurich!K105</f>
        <v>14.300504809693869</v>
      </c>
      <c r="K111" s="339">
        <f>Zurich!L105</f>
        <v>14.198336187933162</v>
      </c>
      <c r="L111" s="339">
        <f>Zurich!M105</f>
        <v>13.527407583332112</v>
      </c>
      <c r="M111" s="339">
        <f>Zurich!N105</f>
        <v>12.69327898713936</v>
      </c>
      <c r="N111" s="339">
        <f>Zurich!O105</f>
        <v>11.874952820919539</v>
      </c>
      <c r="O111" s="339">
        <f>Zurich!P105</f>
        <v>14.361324119488692</v>
      </c>
      <c r="Q111" s="341">
        <f t="shared" si="121"/>
        <v>-8.1012019273931646E-2</v>
      </c>
      <c r="V111" s="5" t="s">
        <v>399</v>
      </c>
      <c r="W111" s="339">
        <f>Zurich!D157</f>
        <v>8.8710141681671892</v>
      </c>
      <c r="X111" s="339">
        <f>Zurich!E157</f>
        <v>10.441723042418888</v>
      </c>
      <c r="Y111" s="339">
        <f>Zurich!F157</f>
        <v>11.991335853052881</v>
      </c>
      <c r="Z111" s="339">
        <f>Zurich!G157</f>
        <v>12.790643071739494</v>
      </c>
      <c r="AA111" s="339">
        <f>Zurich!H157</f>
        <v>12.078669212543957</v>
      </c>
      <c r="AB111" s="339">
        <f>Zurich!I157</f>
        <v>12.349941746346673</v>
      </c>
      <c r="AC111" s="339">
        <f>Zurich!J157</f>
        <v>12.162840469590474</v>
      </c>
      <c r="AD111" s="339">
        <f>Zurich!K157</f>
        <v>12.74865771929305</v>
      </c>
      <c r="AE111" s="339">
        <f>Zurich!L157</f>
        <v>10.8500582443778</v>
      </c>
      <c r="AF111" s="339">
        <f>Zurich!M157</f>
        <v>8.8963346367052001</v>
      </c>
      <c r="AG111" s="339">
        <f>Zurich!N157</f>
        <v>8.0659178451233551</v>
      </c>
      <c r="AH111" s="339">
        <f>Zurich!O157</f>
        <v>7.0609251779469515</v>
      </c>
      <c r="AI111" s="339">
        <f>Zurich!P157</f>
        <v>8.074002409360709</v>
      </c>
      <c r="AJ111" s="295"/>
      <c r="AK111" s="341">
        <f t="shared" si="122"/>
        <v>0.74414369282712689</v>
      </c>
      <c r="AL111" s="295"/>
      <c r="AM111" s="295"/>
      <c r="AP111" s="337">
        <f t="shared" si="123"/>
        <v>2</v>
      </c>
      <c r="AQ111" s="337">
        <v>16</v>
      </c>
      <c r="AR111" s="337" t="str">
        <f t="shared" si="132"/>
        <v>Hong Kong</v>
      </c>
      <c r="AS111" s="342">
        <f t="shared" si="124"/>
        <v>4.345800731428203</v>
      </c>
      <c r="AT111" s="343">
        <f t="shared" si="133"/>
        <v>4.7516953588888668</v>
      </c>
      <c r="AU111" s="343">
        <f>$O$113</f>
        <v>8.8446833012948094</v>
      </c>
      <c r="AV111" s="343">
        <f>$O$117</f>
        <v>8.6925307085707839</v>
      </c>
      <c r="AW111" s="344">
        <f t="shared" si="134"/>
        <v>9.3444004278860326</v>
      </c>
      <c r="AX111" s="240"/>
      <c r="AY111" s="337">
        <f t="shared" si="127"/>
        <v>6</v>
      </c>
      <c r="AZ111" s="337">
        <v>16</v>
      </c>
      <c r="BA111" s="337" t="str">
        <f t="shared" si="120"/>
        <v>Copenhagen</v>
      </c>
      <c r="BB111" s="342">
        <f t="shared" si="128"/>
        <v>5.0516763588175468</v>
      </c>
      <c r="BC111" s="343">
        <f t="shared" si="135"/>
        <v>8.135158499866332</v>
      </c>
      <c r="BD111" s="343">
        <f t="shared" si="129"/>
        <v>8.1374326968291157</v>
      </c>
      <c r="BE111" s="343">
        <f t="shared" si="130"/>
        <v>7.9177848775365955</v>
      </c>
      <c r="BF111" s="344">
        <f t="shared" si="136"/>
        <v>9.268703411122484</v>
      </c>
      <c r="BG111" s="240"/>
      <c r="BH111" s="240"/>
      <c r="BI111" s="240"/>
      <c r="BJ111" s="240"/>
      <c r="BK111" s="240"/>
      <c r="BL111" s="240"/>
    </row>
    <row r="112" spans="2:64">
      <c r="C112" s="110"/>
      <c r="D112" s="110"/>
      <c r="E112" s="110"/>
      <c r="F112" s="110"/>
      <c r="G112" s="110"/>
      <c r="H112" s="110"/>
      <c r="I112" s="110"/>
      <c r="J112" s="110"/>
      <c r="K112" s="110"/>
      <c r="L112" s="110"/>
      <c r="M112" s="110"/>
      <c r="N112" s="110"/>
      <c r="O112" s="110"/>
      <c r="Q112" s="224"/>
      <c r="W112" s="110"/>
      <c r="X112" s="110"/>
      <c r="Y112" s="110"/>
      <c r="Z112" s="110"/>
      <c r="AA112" s="110"/>
      <c r="AB112" s="110"/>
      <c r="AC112" s="110"/>
      <c r="AD112" s="110"/>
      <c r="AE112" s="110"/>
      <c r="AF112" s="110"/>
      <c r="AG112" s="110"/>
      <c r="AH112" s="110"/>
      <c r="AI112" s="110"/>
      <c r="AJ112" s="218"/>
      <c r="AK112" s="224"/>
      <c r="AL112" s="295"/>
      <c r="AM112" s="375"/>
    </row>
    <row r="113" spans="2:67">
      <c r="B113" s="5" t="s">
        <v>1137</v>
      </c>
      <c r="C113" s="338">
        <f>AVERAGE(C96:C111)</f>
        <v>8.9147416517573763</v>
      </c>
      <c r="D113" s="338">
        <f t="shared" ref="D113:N113" si="141">AVERAGE(D96:D111)</f>
        <v>9.6322741036741029</v>
      </c>
      <c r="E113" s="338">
        <f t="shared" si="141"/>
        <v>9.5659704021542922</v>
      </c>
      <c r="F113" s="338">
        <f t="shared" si="141"/>
        <v>9.6979442999550365</v>
      </c>
      <c r="G113" s="338">
        <f t="shared" si="141"/>
        <v>9.1129942560340549</v>
      </c>
      <c r="H113" s="338">
        <f t="shared" si="141"/>
        <v>9.3444004278860326</v>
      </c>
      <c r="I113" s="338">
        <f t="shared" si="141"/>
        <v>9.0983501285544381</v>
      </c>
      <c r="J113" s="338">
        <f t="shared" si="141"/>
        <v>9.0369316015831931</v>
      </c>
      <c r="K113" s="338">
        <f t="shared" si="141"/>
        <v>9.4744489102914624</v>
      </c>
      <c r="L113" s="338">
        <f t="shared" si="141"/>
        <v>9.7609022387462776</v>
      </c>
      <c r="M113" s="338">
        <f t="shared" si="141"/>
        <v>9.1592806348215579</v>
      </c>
      <c r="N113" s="338">
        <f t="shared" si="141"/>
        <v>8.7057055864491275</v>
      </c>
      <c r="O113" s="338">
        <f t="shared" ref="O113" si="142">AVERAGE(O96:O111)</f>
        <v>8.8446833012948094</v>
      </c>
      <c r="Q113" s="341">
        <f>(O113/H113)-1</f>
        <v>-5.3477708971026328E-2</v>
      </c>
      <c r="V113" s="5" t="s">
        <v>1137</v>
      </c>
      <c r="W113" s="338">
        <f>AVERAGE(W96:W111)</f>
        <v>8.8385030020832058</v>
      </c>
      <c r="X113" s="338">
        <f t="shared" ref="X113:AH113" si="143">AVERAGE(X96:X111)</f>
        <v>9.4116659486004597</v>
      </c>
      <c r="Y113" s="338">
        <f t="shared" si="143"/>
        <v>9.38971412211645</v>
      </c>
      <c r="Z113" s="338">
        <f t="shared" si="143"/>
        <v>9.4137404873460806</v>
      </c>
      <c r="AA113" s="338">
        <f t="shared" si="143"/>
        <v>9.0189349977049353</v>
      </c>
      <c r="AB113" s="338">
        <f t="shared" si="143"/>
        <v>9.268703411122484</v>
      </c>
      <c r="AC113" s="338">
        <f t="shared" si="143"/>
        <v>9.1283321602000935</v>
      </c>
      <c r="AD113" s="338">
        <f t="shared" si="143"/>
        <v>9.3391223056115908</v>
      </c>
      <c r="AE113" s="338">
        <f t="shared" si="143"/>
        <v>9.2018185614250534</v>
      </c>
      <c r="AF113" s="338">
        <f t="shared" si="143"/>
        <v>9.0327668185799723</v>
      </c>
      <c r="AG113" s="338">
        <f t="shared" si="143"/>
        <v>8.5898048612649305</v>
      </c>
      <c r="AH113" s="338">
        <f t="shared" si="143"/>
        <v>8.1478871111019515</v>
      </c>
      <c r="AI113" s="338">
        <f t="shared" ref="AI113" si="144">AVERAGE(AI96:AI111)</f>
        <v>8.1374326968291157</v>
      </c>
      <c r="AJ113" s="110"/>
      <c r="AK113" s="341">
        <f>AE113/W113</f>
        <v>1.0411060062157829</v>
      </c>
      <c r="AL113" s="295"/>
      <c r="AM113" s="375"/>
    </row>
    <row r="114" spans="2:67">
      <c r="B114" s="5" t="s">
        <v>1142</v>
      </c>
      <c r="C114" s="338">
        <f>MIN(C96:C111)</f>
        <v>6.4722838305086334</v>
      </c>
      <c r="D114" s="338">
        <f t="shared" ref="D114:N114" si="145">MIN(D96:D111)</f>
        <v>6.3558883313669527</v>
      </c>
      <c r="E114" s="338">
        <f t="shared" si="145"/>
        <v>5.9833736809945215</v>
      </c>
      <c r="F114" s="338">
        <f t="shared" si="145"/>
        <v>5.5314324920306932</v>
      </c>
      <c r="G114" s="338">
        <f t="shared" si="145"/>
        <v>5.27195987353194</v>
      </c>
      <c r="H114" s="338">
        <f t="shared" si="145"/>
        <v>4.7516953588888668</v>
      </c>
      <c r="I114" s="338">
        <f t="shared" si="145"/>
        <v>4.7272094790051717</v>
      </c>
      <c r="J114" s="338">
        <f t="shared" si="145"/>
        <v>4.3806550012107204</v>
      </c>
      <c r="K114" s="338">
        <f t="shared" si="145"/>
        <v>4.6792525051467919</v>
      </c>
      <c r="L114" s="338">
        <f t="shared" si="145"/>
        <v>4.764437902174989</v>
      </c>
      <c r="M114" s="338">
        <f t="shared" si="145"/>
        <v>4.3229564347918688</v>
      </c>
      <c r="N114" s="338">
        <f t="shared" si="145"/>
        <v>4.3283134473247502</v>
      </c>
      <c r="O114" s="338">
        <f t="shared" ref="O114" si="146">MIN(O96:O111)</f>
        <v>4.345800731428203</v>
      </c>
      <c r="Q114" s="341">
        <f t="shared" ref="Q114:Q115" si="147">(O114/H114)-1</f>
        <v>-8.5421012250157746E-2</v>
      </c>
      <c r="V114" s="5" t="s">
        <v>1142</v>
      </c>
      <c r="W114" s="338">
        <f>MIN(W96:W111)</f>
        <v>5.814058915685246</v>
      </c>
      <c r="X114" s="338">
        <f t="shared" ref="X114:AG114" si="148">MIN(X96:X111)</f>
        <v>6.2400331066867887</v>
      </c>
      <c r="Y114" s="338">
        <f t="shared" si="148"/>
        <v>6.2886111425447053</v>
      </c>
      <c r="Z114" s="338">
        <f t="shared" si="148"/>
        <v>5.5314324920306932</v>
      </c>
      <c r="AA114" s="338">
        <f t="shared" si="148"/>
        <v>5.4673594520273774</v>
      </c>
      <c r="AB114" s="338">
        <f t="shared" si="148"/>
        <v>5.40424926669571</v>
      </c>
      <c r="AC114" s="338">
        <f t="shared" si="148"/>
        <v>5.121062898532637</v>
      </c>
      <c r="AD114" s="338">
        <f t="shared" si="148"/>
        <v>5.079010566259746</v>
      </c>
      <c r="AE114" s="338">
        <f t="shared" si="148"/>
        <v>5.0119867883247329</v>
      </c>
      <c r="AF114" s="338">
        <f t="shared" si="148"/>
        <v>5.2790493261302114</v>
      </c>
      <c r="AG114" s="338">
        <f t="shared" si="148"/>
        <v>5.3412232045411372</v>
      </c>
      <c r="AH114" s="338">
        <f>MIN(AH96:AH111)</f>
        <v>5.1914521533576803</v>
      </c>
      <c r="AI114" s="338">
        <f>MIN(AI96:AI111)</f>
        <v>5.0516763588175468</v>
      </c>
      <c r="AJ114" s="105"/>
      <c r="AK114" s="341">
        <f t="shared" ref="AK114" si="149">AI114/W114</f>
        <v>0.868872578017582</v>
      </c>
      <c r="AL114" s="295"/>
      <c r="AM114" s="375"/>
    </row>
    <row r="115" spans="2:67">
      <c r="B115" s="5" t="s">
        <v>1143</v>
      </c>
      <c r="C115" s="338">
        <f>MAX(C96:C111)</f>
        <v>18.026775316904637</v>
      </c>
      <c r="D115" s="338">
        <f t="shared" ref="D115:N115" si="150">MAX(D96:D111)</f>
        <v>18.743844747830138</v>
      </c>
      <c r="E115" s="338">
        <f t="shared" si="150"/>
        <v>19.579848384363864</v>
      </c>
      <c r="F115" s="338">
        <f t="shared" si="150"/>
        <v>22.681881617197767</v>
      </c>
      <c r="G115" s="338">
        <f t="shared" si="150"/>
        <v>20.80217595339305</v>
      </c>
      <c r="H115" s="338">
        <f t="shared" si="150"/>
        <v>23.531840880709606</v>
      </c>
      <c r="I115" s="338">
        <f t="shared" si="150"/>
        <v>22.471826322479039</v>
      </c>
      <c r="J115" s="338">
        <f t="shared" si="150"/>
        <v>20.880551858632877</v>
      </c>
      <c r="K115" s="338">
        <f t="shared" si="150"/>
        <v>21.632078425676408</v>
      </c>
      <c r="L115" s="338">
        <f t="shared" si="150"/>
        <v>22.830870187916652</v>
      </c>
      <c r="M115" s="338">
        <f t="shared" si="150"/>
        <v>17.221619916288621</v>
      </c>
      <c r="N115" s="338">
        <f t="shared" si="150"/>
        <v>16.472459000028095</v>
      </c>
      <c r="O115" s="338">
        <f t="shared" ref="O115" si="151">MAX(O96:O111)</f>
        <v>16.472459000028095</v>
      </c>
      <c r="Q115" s="341">
        <f t="shared" si="147"/>
        <v>-0.29999275944741277</v>
      </c>
      <c r="V115" s="5" t="s">
        <v>1143</v>
      </c>
      <c r="W115" s="338">
        <f>MAX(W96:W111)</f>
        <v>19.568519365422258</v>
      </c>
      <c r="X115" s="338">
        <f t="shared" ref="X115:AG115" si="152">MAX(X96:X111)</f>
        <v>19.906589875589415</v>
      </c>
      <c r="Y115" s="338">
        <f t="shared" si="152"/>
        <v>21.113177840341809</v>
      </c>
      <c r="Z115" s="338">
        <f t="shared" si="152"/>
        <v>23.349289903273974</v>
      </c>
      <c r="AA115" s="338">
        <f t="shared" si="152"/>
        <v>22.181967808241847</v>
      </c>
      <c r="AB115" s="338">
        <f t="shared" si="152"/>
        <v>25.749931712584516</v>
      </c>
      <c r="AC115" s="338">
        <f t="shared" si="152"/>
        <v>24.864360581992145</v>
      </c>
      <c r="AD115" s="338">
        <f t="shared" si="152"/>
        <v>23.385152222530497</v>
      </c>
      <c r="AE115" s="338">
        <f t="shared" si="152"/>
        <v>21.086556236653209</v>
      </c>
      <c r="AF115" s="338">
        <f t="shared" si="152"/>
        <v>19.81722632403099</v>
      </c>
      <c r="AG115" s="338">
        <f t="shared" si="152"/>
        <v>15.418778002047517</v>
      </c>
      <c r="AH115" s="338">
        <f>MAX(AH96:AH111)</f>
        <v>14.933984102328369</v>
      </c>
      <c r="AI115" s="338">
        <f>MAX(AI96:AI111)</f>
        <v>14.933984102328369</v>
      </c>
      <c r="AJ115" s="105"/>
      <c r="AK115" s="341">
        <f>AI115/AE115</f>
        <v>0.70822299927617971</v>
      </c>
      <c r="AL115" s="295"/>
      <c r="AM115" s="375"/>
    </row>
    <row r="116" spans="2:67">
      <c r="C116" s="110"/>
      <c r="D116" s="110"/>
      <c r="E116" s="110"/>
      <c r="F116" s="110"/>
      <c r="G116" s="110"/>
      <c r="H116" s="110"/>
      <c r="I116" s="110"/>
      <c r="J116" s="110"/>
      <c r="K116" s="110"/>
      <c r="L116" s="110"/>
      <c r="M116" s="110"/>
      <c r="N116" s="110"/>
      <c r="O116" s="110"/>
      <c r="Q116" s="224"/>
      <c r="W116" s="110"/>
      <c r="X116" s="110"/>
      <c r="Y116" s="110"/>
      <c r="Z116" s="110"/>
      <c r="AA116" s="110"/>
      <c r="AB116" s="110"/>
      <c r="AC116" s="110"/>
      <c r="AD116" s="110"/>
      <c r="AE116" s="110"/>
      <c r="AF116" s="110"/>
      <c r="AG116" s="110"/>
      <c r="AH116" s="110"/>
      <c r="AI116" s="110"/>
      <c r="AJ116" s="105"/>
      <c r="AK116" s="224"/>
      <c r="AL116" s="295"/>
      <c r="AM116" s="375"/>
    </row>
    <row r="117" spans="2:67">
      <c r="B117" s="5" t="s">
        <v>1177</v>
      </c>
      <c r="C117" s="338">
        <f>AVERAGE(C98:C111,C96)</f>
        <v>8.8511623050720321</v>
      </c>
      <c r="D117" s="338">
        <f t="shared" ref="D117:N117" si="153">AVERAGE(D98:D111,D96)</f>
        <v>9.5820547237885609</v>
      </c>
      <c r="E117" s="338">
        <f t="shared" si="153"/>
        <v>9.4499455816016802</v>
      </c>
      <c r="F117" s="338">
        <f t="shared" si="153"/>
        <v>9.5025774891882193</v>
      </c>
      <c r="G117" s="338">
        <f t="shared" si="153"/>
        <v>8.9348308057740802</v>
      </c>
      <c r="H117" s="338">
        <f t="shared" si="153"/>
        <v>9.246878698218989</v>
      </c>
      <c r="I117" s="338">
        <f t="shared" si="153"/>
        <v>8.9018247737806107</v>
      </c>
      <c r="J117" s="338">
        <f t="shared" si="153"/>
        <v>8.8605663662356609</v>
      </c>
      <c r="K117" s="338">
        <f t="shared" si="153"/>
        <v>9.3026759681619868</v>
      </c>
      <c r="L117" s="338">
        <f t="shared" si="153"/>
        <v>9.5222262244907458</v>
      </c>
      <c r="M117" s="338">
        <f t="shared" si="153"/>
        <v>8.9616666436016068</v>
      </c>
      <c r="N117" s="338">
        <f t="shared" si="153"/>
        <v>8.554161781184499</v>
      </c>
      <c r="O117" s="338">
        <f t="shared" ref="O117" si="154">AVERAGE(O98:O111,O96)</f>
        <v>8.6925307085707839</v>
      </c>
      <c r="Q117" s="341">
        <f>(O117/H117)-1</f>
        <v>-5.9949741717167382E-2</v>
      </c>
      <c r="V117" s="5" t="s">
        <v>1177</v>
      </c>
      <c r="W117" s="338">
        <f t="shared" ref="W117:AG117" si="155">AVERAGE(W98:W111,W96)</f>
        <v>8.662779621622434</v>
      </c>
      <c r="X117" s="338">
        <f t="shared" si="155"/>
        <v>9.280016733580263</v>
      </c>
      <c r="Y117" s="338">
        <f t="shared" si="155"/>
        <v>9.1820393489853451</v>
      </c>
      <c r="Z117" s="338">
        <f t="shared" si="155"/>
        <v>9.2059946733377664</v>
      </c>
      <c r="AA117" s="338">
        <f t="shared" si="155"/>
        <v>8.7974012158520338</v>
      </c>
      <c r="AB117" s="338">
        <f t="shared" si="155"/>
        <v>9.1272371884809704</v>
      </c>
      <c r="AC117" s="338">
        <f t="shared" si="155"/>
        <v>8.871316020047578</v>
      </c>
      <c r="AD117" s="338">
        <f t="shared" si="155"/>
        <v>8.9743530355392842</v>
      </c>
      <c r="AE117" s="338">
        <f t="shared" si="155"/>
        <v>8.9193762317089273</v>
      </c>
      <c r="AF117" s="338">
        <f t="shared" si="155"/>
        <v>8.7842950058677154</v>
      </c>
      <c r="AG117" s="338">
        <f t="shared" si="155"/>
        <v>8.3520003586565217</v>
      </c>
      <c r="AH117" s="338">
        <f>AVERAGE(AH98:AH111,AH96)</f>
        <v>7.8999073591978295</v>
      </c>
      <c r="AI117" s="338">
        <f>AVERAGE(AI98:AI111,AI96)</f>
        <v>7.9177848775365955</v>
      </c>
      <c r="AK117" s="341">
        <f>AI117/AE117</f>
        <v>0.88770612112855907</v>
      </c>
      <c r="AL117" s="295"/>
      <c r="AM117" s="375"/>
    </row>
    <row r="118" spans="2:67">
      <c r="C118" s="110"/>
      <c r="D118" s="110"/>
      <c r="E118" s="110"/>
      <c r="F118" s="110"/>
      <c r="G118" s="110"/>
      <c r="H118" s="110"/>
      <c r="I118" s="110"/>
      <c r="J118" s="110"/>
      <c r="K118" s="110"/>
      <c r="L118" s="110"/>
      <c r="M118" s="110"/>
      <c r="N118" s="110"/>
      <c r="O118" s="110"/>
      <c r="Q118" s="224"/>
      <c r="W118" s="110"/>
      <c r="X118" s="110"/>
      <c r="Y118" s="110"/>
      <c r="Z118" s="110"/>
      <c r="AA118" s="110"/>
      <c r="AB118" s="110"/>
      <c r="AC118" s="110"/>
      <c r="AD118" s="110"/>
      <c r="AE118" s="110"/>
      <c r="AF118" s="110"/>
      <c r="AG118" s="110"/>
      <c r="AH118" s="110"/>
      <c r="AI118" s="110"/>
      <c r="AK118" s="224"/>
      <c r="AL118" s="295"/>
      <c r="AM118" s="375"/>
    </row>
    <row r="119" spans="2:67">
      <c r="V119" s="240"/>
      <c r="W119" s="240"/>
      <c r="X119" s="240"/>
      <c r="Y119" s="240"/>
      <c r="Z119" s="240"/>
      <c r="AA119" s="240"/>
      <c r="AB119" s="240"/>
      <c r="AC119" s="240"/>
      <c r="AD119" s="240"/>
      <c r="AE119" s="240"/>
      <c r="AF119" s="240"/>
      <c r="AG119" s="240"/>
      <c r="AH119" s="240"/>
      <c r="AI119" s="240"/>
    </row>
    <row r="120" spans="2:67" ht="16.5">
      <c r="B120" s="7" t="s">
        <v>1341</v>
      </c>
      <c r="C120" s="6"/>
      <c r="D120" s="6"/>
      <c r="E120" s="6"/>
      <c r="F120" s="6"/>
      <c r="G120" s="6"/>
      <c r="H120" s="6"/>
      <c r="I120" s="6"/>
      <c r="J120" s="6"/>
      <c r="K120" s="6"/>
      <c r="L120" s="6"/>
      <c r="M120" s="6"/>
      <c r="N120" s="6"/>
      <c r="O120" s="6"/>
      <c r="P120" s="6"/>
      <c r="Q120" s="257"/>
      <c r="R120" s="6"/>
      <c r="S120" s="6"/>
      <c r="T120" s="6"/>
      <c r="V120" s="7" t="s">
        <v>1348</v>
      </c>
      <c r="W120" s="6"/>
      <c r="X120" s="6"/>
      <c r="Y120" s="6"/>
      <c r="Z120" s="6"/>
      <c r="AA120" s="6"/>
      <c r="AB120" s="6"/>
      <c r="AC120" s="6"/>
      <c r="AD120" s="6"/>
      <c r="AE120" s="6"/>
      <c r="AF120" s="6"/>
      <c r="AG120" s="6"/>
      <c r="AH120" s="6"/>
      <c r="AI120" s="6"/>
      <c r="AJ120" s="6"/>
      <c r="AK120" s="6"/>
      <c r="AL120" s="6"/>
      <c r="AM120" s="6"/>
      <c r="AN120" s="6"/>
      <c r="AP120" s="7" t="s">
        <v>1158</v>
      </c>
      <c r="AQ120" s="6"/>
      <c r="AR120" s="6"/>
      <c r="AS120" s="6"/>
      <c r="AT120" s="6"/>
      <c r="AU120" s="6"/>
      <c r="AV120" s="6"/>
      <c r="AW120" s="6"/>
      <c r="AY120" s="7" t="s">
        <v>1159</v>
      </c>
      <c r="AZ120" s="6"/>
      <c r="BA120" s="6"/>
      <c r="BB120" s="6"/>
      <c r="BC120" s="6"/>
      <c r="BD120" s="6"/>
      <c r="BE120" s="6"/>
      <c r="BF120" s="6"/>
      <c r="BG120" s="6"/>
      <c r="BH120" s="6"/>
    </row>
    <row r="121" spans="2:67" s="60" customFormat="1" ht="16.5">
      <c r="B121" s="64"/>
      <c r="C121" s="247"/>
      <c r="D121" s="247"/>
      <c r="E121" s="247"/>
      <c r="F121" s="247"/>
      <c r="G121" s="247"/>
      <c r="H121" s="247"/>
      <c r="I121" s="247"/>
      <c r="J121" s="247"/>
      <c r="K121" s="247"/>
      <c r="L121" s="247"/>
      <c r="M121" s="247"/>
      <c r="N121" s="247"/>
      <c r="O121" s="247"/>
      <c r="P121" s="35"/>
      <c r="Q121" s="258"/>
      <c r="R121" s="35"/>
      <c r="S121" s="35"/>
      <c r="T121" s="35"/>
      <c r="V121" s="64"/>
      <c r="W121" s="35"/>
      <c r="X121" s="35"/>
      <c r="Y121" s="35"/>
      <c r="Z121" s="35"/>
      <c r="AA121" s="35"/>
      <c r="AB121" s="35"/>
      <c r="AC121" s="35"/>
      <c r="AD121" s="35"/>
      <c r="AE121" s="35"/>
      <c r="AF121" s="35"/>
      <c r="AG121" s="35"/>
      <c r="AH121" s="35"/>
      <c r="AI121" s="35"/>
      <c r="AJ121" s="35"/>
      <c r="AK121" s="35"/>
      <c r="AL121" s="35"/>
      <c r="AM121" s="35"/>
      <c r="AN121" s="35"/>
      <c r="AP121" s="64"/>
      <c r="AQ121" s="35"/>
      <c r="AR121" s="35"/>
      <c r="AS121" s="35"/>
      <c r="AT121" s="35"/>
      <c r="AU121" s="35"/>
      <c r="AV121" s="35"/>
      <c r="AW121" s="35"/>
    </row>
    <row r="122" spans="2:67">
      <c r="C122" s="247"/>
      <c r="D122" s="247"/>
      <c r="E122" s="247"/>
      <c r="F122" s="247"/>
      <c r="G122" s="247"/>
      <c r="H122" s="247"/>
      <c r="I122" s="247"/>
      <c r="J122" s="247"/>
      <c r="K122" s="247"/>
      <c r="L122" s="247"/>
      <c r="M122" s="247"/>
      <c r="N122" s="247"/>
      <c r="O122" s="247"/>
      <c r="AP122" s="30" t="s">
        <v>1141</v>
      </c>
      <c r="AY122" s="30" t="s">
        <v>1141</v>
      </c>
    </row>
    <row r="123" spans="2:67">
      <c r="B123" s="30" t="s">
        <v>1126</v>
      </c>
      <c r="C123" s="239">
        <v>2000</v>
      </c>
      <c r="D123" s="239">
        <v>2001</v>
      </c>
      <c r="E123" s="239">
        <v>2002</v>
      </c>
      <c r="F123" s="239">
        <v>2003</v>
      </c>
      <c r="G123" s="239">
        <v>2004</v>
      </c>
      <c r="H123" s="239">
        <v>2005</v>
      </c>
      <c r="I123" s="239">
        <v>2006</v>
      </c>
      <c r="J123" s="239">
        <v>2007</v>
      </c>
      <c r="K123" s="239">
        <v>2008</v>
      </c>
      <c r="L123" s="239">
        <v>2009</v>
      </c>
      <c r="M123" s="239">
        <v>2010</v>
      </c>
      <c r="N123" s="239">
        <v>2011</v>
      </c>
      <c r="O123" s="239">
        <v>2012</v>
      </c>
      <c r="Q123" s="69" t="s">
        <v>1144</v>
      </c>
      <c r="V123" s="30" t="s">
        <v>1126</v>
      </c>
      <c r="W123" s="239">
        <v>2000</v>
      </c>
      <c r="X123" s="239">
        <v>2001</v>
      </c>
      <c r="Y123" s="239">
        <v>2002</v>
      </c>
      <c r="Z123" s="239">
        <v>2003</v>
      </c>
      <c r="AA123" s="239">
        <v>2004</v>
      </c>
      <c r="AB123" s="239">
        <v>2005</v>
      </c>
      <c r="AC123" s="239">
        <v>2006</v>
      </c>
      <c r="AD123" s="239">
        <v>2007</v>
      </c>
      <c r="AE123" s="239">
        <v>2008</v>
      </c>
      <c r="AF123" s="239">
        <v>2009</v>
      </c>
      <c r="AG123" s="239">
        <v>2010</v>
      </c>
      <c r="AH123" s="239">
        <v>2011</v>
      </c>
      <c r="AI123" s="239">
        <v>2012</v>
      </c>
      <c r="AK123" s="69" t="s">
        <v>1144</v>
      </c>
      <c r="AP123" s="30" t="s">
        <v>324</v>
      </c>
      <c r="AQ123" s="30" t="s">
        <v>243</v>
      </c>
      <c r="AR123" s="30" t="s">
        <v>142</v>
      </c>
      <c r="AS123" s="69">
        <v>2012</v>
      </c>
      <c r="AT123" s="69">
        <v>2005</v>
      </c>
      <c r="AU123" s="69" t="s">
        <v>1238</v>
      </c>
      <c r="AV123" s="69" t="s">
        <v>1178</v>
      </c>
      <c r="AW123" s="69" t="s">
        <v>1129</v>
      </c>
      <c r="AX123" s="69"/>
      <c r="AY123" s="30" t="s">
        <v>324</v>
      </c>
      <c r="AZ123" s="30" t="s">
        <v>243</v>
      </c>
      <c r="BA123" s="30" t="s">
        <v>142</v>
      </c>
      <c r="BB123" s="69">
        <v>2012</v>
      </c>
      <c r="BC123" s="69">
        <v>2005</v>
      </c>
      <c r="BD123" s="69" t="s">
        <v>1238</v>
      </c>
      <c r="BE123" s="69" t="s">
        <v>1239</v>
      </c>
      <c r="BF123" s="69" t="s">
        <v>1129</v>
      </c>
      <c r="BG123" s="69"/>
      <c r="BH123" s="69"/>
      <c r="BI123" s="69"/>
      <c r="BJ123" s="69"/>
      <c r="BK123" s="69"/>
      <c r="BL123" s="69"/>
      <c r="BO123" s="5" t="s">
        <v>1130</v>
      </c>
    </row>
    <row r="124" spans="2:67">
      <c r="B124" s="238" t="s">
        <v>116</v>
      </c>
      <c r="C124" s="339">
        <f>W124</f>
        <v>3.6342743335899463</v>
      </c>
      <c r="D124" s="339">
        <f t="shared" ref="D124:D134" si="156">X124</f>
        <v>3.9190541317001495</v>
      </c>
      <c r="E124" s="339">
        <f t="shared" ref="E124:E134" si="157">Y124</f>
        <v>4.099546698476578</v>
      </c>
      <c r="F124" s="339">
        <f t="shared" ref="F124:F134" si="158">Z124</f>
        <v>4.6635498383468592</v>
      </c>
      <c r="G124" s="339">
        <f t="shared" ref="G124:G134" si="159">AA124</f>
        <v>4.342957701973968</v>
      </c>
      <c r="H124" s="339">
        <f t="shared" ref="H124:H134" si="160">AB124</f>
        <v>4.2910629006338032</v>
      </c>
      <c r="I124" s="339">
        <f t="shared" ref="I124:I134" si="161">AC124</f>
        <v>3.9236129717497383</v>
      </c>
      <c r="J124" s="339">
        <f t="shared" ref="J124:J134" si="162">AD124</f>
        <v>3.7238717224520332</v>
      </c>
      <c r="K124" s="339">
        <f t="shared" ref="K124:K134" si="163">AE124</f>
        <v>3.7520687239620263</v>
      </c>
      <c r="L124" s="339">
        <f t="shared" ref="L124:L134" si="164">AF124</f>
        <v>3.8326854772687868</v>
      </c>
      <c r="M124" s="339">
        <f t="shared" ref="M124:M134" si="165">AG124</f>
        <v>4.3027200737047089</v>
      </c>
      <c r="N124" s="339">
        <f t="shared" ref="N124:O134" si="166">AH124</f>
        <v>3.9020570448880023</v>
      </c>
      <c r="O124" s="363">
        <f t="shared" si="166"/>
        <v>3.9020570448880023</v>
      </c>
      <c r="Q124" s="341">
        <f>(O124/H124)-1</f>
        <v>-9.0654894778714024E-2</v>
      </c>
      <c r="R124" s="240"/>
      <c r="S124" s="240"/>
      <c r="V124" s="238" t="s">
        <v>116</v>
      </c>
      <c r="W124" s="339">
        <f>ABD!D102</f>
        <v>3.6342743335899463</v>
      </c>
      <c r="X124" s="339">
        <f>ABD!E102</f>
        <v>3.9190541317001495</v>
      </c>
      <c r="Y124" s="339">
        <f>ABD!F102</f>
        <v>4.099546698476578</v>
      </c>
      <c r="Z124" s="339">
        <f>ABD!G102</f>
        <v>4.6635498383468592</v>
      </c>
      <c r="AA124" s="339">
        <f>ABD!H102</f>
        <v>4.342957701973968</v>
      </c>
      <c r="AB124" s="339">
        <f>ABD!I102</f>
        <v>4.2910629006338032</v>
      </c>
      <c r="AC124" s="339">
        <f>ABD!J102</f>
        <v>3.9236129717497383</v>
      </c>
      <c r="AD124" s="339">
        <f>ABD!K102</f>
        <v>3.7238717224520332</v>
      </c>
      <c r="AE124" s="339">
        <f>ABD!L102</f>
        <v>3.7520687239620263</v>
      </c>
      <c r="AF124" s="339">
        <f>ABD!M102</f>
        <v>3.8326854772687868</v>
      </c>
      <c r="AG124" s="339">
        <f>ABD!N102</f>
        <v>4.3027200737047089</v>
      </c>
      <c r="AH124" s="339">
        <f>ABD!O102</f>
        <v>3.9020570448880023</v>
      </c>
      <c r="AI124" s="363">
        <f>AH124</f>
        <v>3.9020570448880023</v>
      </c>
      <c r="AK124" s="341">
        <f>AI124/AB124</f>
        <v>0.90934510522128598</v>
      </c>
      <c r="AP124" s="337">
        <f>RANK(O124,$O$124:$O$139)</f>
        <v>8</v>
      </c>
      <c r="AQ124" s="337">
        <v>1</v>
      </c>
      <c r="AR124" s="337" t="str">
        <f>INDEX($B$124:$B$139,MATCH(AQ124,$AP$124:$AP$139,0),0)</f>
        <v>Zurich</v>
      </c>
      <c r="AS124" s="342">
        <f>VLOOKUP(AR124,$B$124:$O$139,14,FALSE)</f>
        <v>7.6992136129597215</v>
      </c>
      <c r="AT124" s="343">
        <f>VLOOKUP(AR124,$B$124:$N$139,7,FALSE)</f>
        <v>6.5096843071550818</v>
      </c>
      <c r="AU124" s="343">
        <f>$O$141</f>
        <v>3.808760060860191</v>
      </c>
      <c r="AV124" s="343">
        <f>$O$145</f>
        <v>3.892119272576009</v>
      </c>
      <c r="AW124" s="344">
        <f>$H$141</f>
        <v>3.7964368784672078</v>
      </c>
      <c r="AX124" s="240"/>
      <c r="AY124" s="337">
        <f>RANK(AI124,$AI$124:$AI$139)</f>
        <v>5</v>
      </c>
      <c r="AZ124" s="337">
        <v>1</v>
      </c>
      <c r="BA124" s="337" t="str">
        <f t="shared" ref="BA124:BA139" si="167">INDEX($V$124:$V$139,MATCH(AZ124,$AY$124:$AY$139,0),0)</f>
        <v>Munich</v>
      </c>
      <c r="BB124" s="342">
        <f>VLOOKUP(BA124,$V$124:$AI$139,14,FALSE)</f>
        <v>5.7287123512076539</v>
      </c>
      <c r="BC124" s="343">
        <f>VLOOKUP(BA124,$V$124:$AH$139,7,FALSE)</f>
        <v>11.383246311334879</v>
      </c>
      <c r="BD124" s="343">
        <f>$AH$141</f>
        <v>3.6010986750051597</v>
      </c>
      <c r="BE124" s="343">
        <f>$AH$145</f>
        <v>3.2597054564817736</v>
      </c>
      <c r="BF124" s="344">
        <f>$AB$141</f>
        <v>3.9850744357981194</v>
      </c>
      <c r="BG124" s="240"/>
      <c r="BH124" s="240"/>
      <c r="BI124" s="240"/>
      <c r="BJ124" s="240"/>
      <c r="BK124" s="240"/>
      <c r="BL124" s="240"/>
    </row>
    <row r="125" spans="2:67">
      <c r="B125" s="238" t="s">
        <v>1051</v>
      </c>
      <c r="C125" s="339">
        <f>Amsterdam!D127</f>
        <v>2.7787525373130335</v>
      </c>
      <c r="D125" s="339">
        <f>Amsterdam!E127</f>
        <v>3.1382941416845185</v>
      </c>
      <c r="E125" s="339">
        <f>Amsterdam!F127</f>
        <v>3.3425270143468078</v>
      </c>
      <c r="F125" s="339">
        <f>Amsterdam!G127</f>
        <v>3.601786257156927</v>
      </c>
      <c r="G125" s="339">
        <f>Amsterdam!H127</f>
        <v>3.1348074085182898</v>
      </c>
      <c r="H125" s="339">
        <f>Amsterdam!I127</f>
        <v>3.1432329532352044</v>
      </c>
      <c r="I125" s="339">
        <f>Amsterdam!J127</f>
        <v>3.0606999213086943</v>
      </c>
      <c r="J125" s="339">
        <f>Amsterdam!K127</f>
        <v>3.0218409213148911</v>
      </c>
      <c r="K125" s="339">
        <f>Amsterdam!L127</f>
        <v>3.0028634920130099</v>
      </c>
      <c r="L125" s="339">
        <f>Amsterdam!M127</f>
        <v>3.3759301276412144</v>
      </c>
      <c r="M125" s="339">
        <f>Amsterdam!N127</f>
        <v>3.2383008809523712</v>
      </c>
      <c r="N125" s="339">
        <f>Amsterdam!O127</f>
        <v>2.6685123329960625</v>
      </c>
      <c r="O125" s="339">
        <f>Amsterdam!P127</f>
        <v>2.5583718851229245</v>
      </c>
      <c r="Q125" s="341">
        <f t="shared" ref="Q125:Q139" si="168">(O125/H125)-1</f>
        <v>-0.18606990853487515</v>
      </c>
      <c r="R125" s="240"/>
      <c r="S125" s="240"/>
      <c r="V125" s="238" t="s">
        <v>1051</v>
      </c>
      <c r="W125" s="339">
        <f>Amsterdam!D166</f>
        <v>6.8450469197506125</v>
      </c>
      <c r="X125" s="339">
        <f>Amsterdam!E166</f>
        <v>7.4773070628633134</v>
      </c>
      <c r="Y125" s="339">
        <f>Amsterdam!F166</f>
        <v>7.6143611784225538</v>
      </c>
      <c r="Z125" s="339">
        <f>Amsterdam!G166</f>
        <v>7.7997658788848696</v>
      </c>
      <c r="AA125" s="339">
        <f>Amsterdam!H166</f>
        <v>7.6448518888490451</v>
      </c>
      <c r="AB125" s="339">
        <f>Amsterdam!I166</f>
        <v>8.2079767000565838</v>
      </c>
      <c r="AC125" s="339">
        <f>Amsterdam!J166</f>
        <v>9.1331495672828336</v>
      </c>
      <c r="AD125" s="339">
        <f>Amsterdam!K166</f>
        <v>10.458790526459726</v>
      </c>
      <c r="AE125" s="339">
        <f>Amsterdam!L166</f>
        <v>9.6364918015677361</v>
      </c>
      <c r="AF125" s="339">
        <f>Amsterdam!M166</f>
        <v>9.1162134680270182</v>
      </c>
      <c r="AG125" s="339">
        <f>Amsterdam!N166</f>
        <v>8.9014745462046854</v>
      </c>
      <c r="AH125" s="339">
        <f>Amsterdam!O166</f>
        <v>8.7219969528559478</v>
      </c>
      <c r="AI125" s="339">
        <f>Amsterdam!P166</f>
        <v>1.9944550448165415</v>
      </c>
      <c r="AK125" s="341">
        <f t="shared" ref="AK125:AK138" si="169">AI125/AB125</f>
        <v>0.24298985215233276</v>
      </c>
      <c r="AP125" s="337">
        <f t="shared" ref="AP125:AP139" si="170">RANK(O125,$O$124:$O$139)</f>
        <v>14</v>
      </c>
      <c r="AQ125" s="337">
        <v>2</v>
      </c>
      <c r="AR125" s="337" t="str">
        <f>INDEX($B$124:$B$139,MATCH(AQ125,$AP$124:$AP$139,0),0)</f>
        <v>Munich</v>
      </c>
      <c r="AS125" s="342">
        <f t="shared" ref="AS125:AS139" si="171">VLOOKUP(AR125,$B$124:$O$139,14,FALSE)</f>
        <v>6.4655747213521977</v>
      </c>
      <c r="AT125" s="343">
        <f>VLOOKUP(AR125,$B$124:$N$139,7,FALSE)</f>
        <v>10.016004397990271</v>
      </c>
      <c r="AU125" s="343">
        <f t="shared" ref="AU125:AU139" si="172">$O$141</f>
        <v>3.808760060860191</v>
      </c>
      <c r="AV125" s="343">
        <f t="shared" ref="AV125:AV139" si="173">$O$145</f>
        <v>3.892119272576009</v>
      </c>
      <c r="AW125" s="344">
        <f>$H$141</f>
        <v>3.7964368784672078</v>
      </c>
      <c r="AX125" s="240"/>
      <c r="AY125" s="337">
        <f t="shared" ref="AY125:AY139" si="174">RANK(AI125,$AI$124:$AI$139)</f>
        <v>16</v>
      </c>
      <c r="AZ125" s="337">
        <v>2</v>
      </c>
      <c r="BA125" s="337" t="str">
        <f t="shared" si="167"/>
        <v>Southampton</v>
      </c>
      <c r="BB125" s="342">
        <f t="shared" ref="BB125:BB139" si="175">VLOOKUP(BA125,$V$124:$AI$139,14,FALSE)</f>
        <v>4.250774288755478</v>
      </c>
      <c r="BC125" s="343">
        <f>VLOOKUP(BA125,$V$124:$AH$139,7,FALSE)</f>
        <v>4.7458865562111274</v>
      </c>
      <c r="BD125" s="343">
        <f t="shared" ref="BD125:BD139" si="176">$AH$141</f>
        <v>3.6010986750051597</v>
      </c>
      <c r="BE125" s="343">
        <f t="shared" ref="BE125:BE139" si="177">$AH$145</f>
        <v>3.2597054564817736</v>
      </c>
      <c r="BF125" s="344">
        <f>$AB$141</f>
        <v>3.9850744357981194</v>
      </c>
      <c r="BG125" s="240"/>
      <c r="BH125" s="240"/>
      <c r="BI125" s="240"/>
      <c r="BJ125" s="240"/>
      <c r="BK125" s="240"/>
      <c r="BL125" s="240"/>
    </row>
    <row r="126" spans="2:67">
      <c r="B126" s="238" t="s">
        <v>155</v>
      </c>
      <c r="C126" s="339">
        <f t="shared" ref="C126:C134" si="178">W126</f>
        <v>3.8159294822337375</v>
      </c>
      <c r="D126" s="339">
        <f t="shared" si="156"/>
        <v>3.9484323741305092</v>
      </c>
      <c r="E126" s="339">
        <f t="shared" si="157"/>
        <v>3.6903915720605545</v>
      </c>
      <c r="F126" s="339">
        <f t="shared" si="158"/>
        <v>3.3212796576334513</v>
      </c>
      <c r="G126" s="339">
        <f t="shared" si="159"/>
        <v>3.8604756569678784</v>
      </c>
      <c r="H126" s="339">
        <f t="shared" si="160"/>
        <v>2.935207230868488</v>
      </c>
      <c r="I126" s="339">
        <f t="shared" si="161"/>
        <v>3.5921945086764424</v>
      </c>
      <c r="J126" s="339">
        <f t="shared" si="162"/>
        <v>2.8081244259593419</v>
      </c>
      <c r="K126" s="339">
        <f t="shared" si="163"/>
        <v>2.7722493697676214</v>
      </c>
      <c r="L126" s="339">
        <f t="shared" si="164"/>
        <v>2.8548703535873492</v>
      </c>
      <c r="M126" s="339">
        <f t="shared" si="165"/>
        <v>2.5623537322633103</v>
      </c>
      <c r="N126" s="339">
        <f>M126</f>
        <v>2.5623537322633103</v>
      </c>
      <c r="O126" s="363">
        <f>N126</f>
        <v>2.5623537322633103</v>
      </c>
      <c r="Q126" s="341">
        <f t="shared" si="168"/>
        <v>-0.12702799812020615</v>
      </c>
      <c r="V126" s="238" t="s">
        <v>155</v>
      </c>
      <c r="W126" s="339">
        <f>BIR!D98</f>
        <v>3.8159294822337375</v>
      </c>
      <c r="X126" s="339">
        <f>BIR!E98</f>
        <v>3.9484323741305092</v>
      </c>
      <c r="Y126" s="339">
        <f>BIR!F98</f>
        <v>3.6903915720605545</v>
      </c>
      <c r="Z126" s="339">
        <f>BIR!G98</f>
        <v>3.3212796576334513</v>
      </c>
      <c r="AA126" s="339">
        <f>BIR!H98</f>
        <v>3.8604756569678784</v>
      </c>
      <c r="AB126" s="339">
        <f>BIR!I98</f>
        <v>2.935207230868488</v>
      </c>
      <c r="AC126" s="339">
        <f>BIR!J98</f>
        <v>3.5921945086764424</v>
      </c>
      <c r="AD126" s="339">
        <f>BIR!K98</f>
        <v>2.8081244259593419</v>
      </c>
      <c r="AE126" s="339">
        <f>BIR!L98</f>
        <v>2.7722493697676214</v>
      </c>
      <c r="AF126" s="339">
        <f>BIR!M98</f>
        <v>2.8548703535873492</v>
      </c>
      <c r="AG126" s="339">
        <f>BIR!N98</f>
        <v>2.5623537322633103</v>
      </c>
      <c r="AH126" s="339">
        <f>AG126</f>
        <v>2.5623537322633103</v>
      </c>
      <c r="AI126" s="363">
        <f>AH126</f>
        <v>2.5623537322633103</v>
      </c>
      <c r="AK126" s="341">
        <f t="shared" si="169"/>
        <v>0.87297200187979385</v>
      </c>
      <c r="AP126" s="337">
        <f t="shared" si="170"/>
        <v>13</v>
      </c>
      <c r="AQ126" s="337">
        <v>3</v>
      </c>
      <c r="AR126" s="337" t="str">
        <f t="shared" ref="AR126:AR138" si="179">INDEX($B$124:$B$139,MATCH(AQ126,$AP$124:$AP$139,0),0)</f>
        <v>Copenhagen</v>
      </c>
      <c r="AS126" s="342">
        <f t="shared" si="171"/>
        <v>5.0695914168434904</v>
      </c>
      <c r="AT126" s="343">
        <f t="shared" ref="AT126:AT139" si="180">VLOOKUP(AR126,$B$124:$N$139,7,FALSE)</f>
        <v>5.3461102941513072</v>
      </c>
      <c r="AU126" s="343">
        <f t="shared" si="172"/>
        <v>3.808760060860191</v>
      </c>
      <c r="AV126" s="343">
        <f t="shared" si="173"/>
        <v>3.892119272576009</v>
      </c>
      <c r="AW126" s="344">
        <f t="shared" ref="AW126:AW139" si="181">$H$141</f>
        <v>3.7964368784672078</v>
      </c>
      <c r="AX126" s="240"/>
      <c r="AY126" s="337">
        <f t="shared" si="174"/>
        <v>13</v>
      </c>
      <c r="AZ126" s="337">
        <v>3</v>
      </c>
      <c r="BA126" s="337" t="str">
        <f t="shared" si="167"/>
        <v>Gatwick</v>
      </c>
      <c r="BB126" s="342">
        <f t="shared" si="175"/>
        <v>4.2219746601001065</v>
      </c>
      <c r="BC126" s="343">
        <f t="shared" ref="BC126:BC139" si="182">VLOOKUP(BA126,$V$124:$AH$139,7,FALSE)</f>
        <v>3.0060597396309805</v>
      </c>
      <c r="BD126" s="343">
        <f t="shared" si="176"/>
        <v>3.6010986750051597</v>
      </c>
      <c r="BE126" s="343">
        <f t="shared" si="177"/>
        <v>3.2597054564817736</v>
      </c>
      <c r="BF126" s="344">
        <f t="shared" ref="BF126:BF139" si="183">$AB$141</f>
        <v>3.9850744357981194</v>
      </c>
      <c r="BG126" s="240"/>
      <c r="BH126" s="240"/>
      <c r="BI126" s="240"/>
      <c r="BJ126" s="240"/>
      <c r="BK126" s="240"/>
      <c r="BL126" s="240"/>
    </row>
    <row r="127" spans="2:67">
      <c r="B127" s="238" t="s">
        <v>115</v>
      </c>
      <c r="C127" s="339">
        <f t="shared" si="178"/>
        <v>2.8239987129745723</v>
      </c>
      <c r="D127" s="339">
        <f t="shared" si="156"/>
        <v>2.7478368826470829</v>
      </c>
      <c r="E127" s="339">
        <f t="shared" si="157"/>
        <v>2.6791022485751625</v>
      </c>
      <c r="F127" s="339">
        <f t="shared" si="158"/>
        <v>2.706534817018214</v>
      </c>
      <c r="G127" s="339">
        <f t="shared" si="159"/>
        <v>2.4672146775993253</v>
      </c>
      <c r="H127" s="339">
        <f t="shared" si="160"/>
        <v>2.2861067622450046</v>
      </c>
      <c r="I127" s="339">
        <f t="shared" si="161"/>
        <v>2.2979689983322111</v>
      </c>
      <c r="J127" s="339">
        <f t="shared" si="162"/>
        <v>2.3414302277548371</v>
      </c>
      <c r="K127" s="339">
        <f t="shared" si="163"/>
        <v>2.2661016430235921</v>
      </c>
      <c r="L127" s="339">
        <f t="shared" si="164"/>
        <v>2.1748965954844768</v>
      </c>
      <c r="M127" s="339">
        <f t="shared" si="165"/>
        <v>2.3990354970141174</v>
      </c>
      <c r="N127" s="339">
        <f t="shared" si="166"/>
        <v>2.3657930988888434</v>
      </c>
      <c r="O127" s="339">
        <f t="shared" si="166"/>
        <v>2.5901911970169365</v>
      </c>
      <c r="Q127" s="341">
        <f t="shared" si="168"/>
        <v>0.13301410056340268</v>
      </c>
      <c r="V127" s="238" t="s">
        <v>115</v>
      </c>
      <c r="W127" s="339">
        <f>EDIN!D103</f>
        <v>2.8239987129745723</v>
      </c>
      <c r="X127" s="339">
        <f>EDIN!E103</f>
        <v>2.7478368826470829</v>
      </c>
      <c r="Y127" s="339">
        <f>EDIN!F103</f>
        <v>2.6791022485751625</v>
      </c>
      <c r="Z127" s="339">
        <f>EDIN!G103</f>
        <v>2.706534817018214</v>
      </c>
      <c r="AA127" s="339">
        <f>EDIN!H103</f>
        <v>2.4672146775993253</v>
      </c>
      <c r="AB127" s="339">
        <f>EDIN!I103</f>
        <v>2.2861067622450046</v>
      </c>
      <c r="AC127" s="339">
        <f>EDIN!J103</f>
        <v>2.2979689983322111</v>
      </c>
      <c r="AD127" s="339">
        <f>EDIN!K103</f>
        <v>2.3414302277548371</v>
      </c>
      <c r="AE127" s="339">
        <f>EDIN!L103</f>
        <v>2.2661016430235921</v>
      </c>
      <c r="AF127" s="339">
        <f>EDIN!M103</f>
        <v>2.1748965954844768</v>
      </c>
      <c r="AG127" s="339">
        <f>EDIN!N103</f>
        <v>2.3990354970141174</v>
      </c>
      <c r="AH127" s="339">
        <f>EDIN!O103</f>
        <v>2.3657930988888434</v>
      </c>
      <c r="AI127" s="339">
        <f>EDIN!P103</f>
        <v>2.5901911970169365</v>
      </c>
      <c r="AK127" s="341">
        <f t="shared" si="169"/>
        <v>1.1330141005634027</v>
      </c>
      <c r="AP127" s="337">
        <f t="shared" si="170"/>
        <v>12</v>
      </c>
      <c r="AQ127" s="337">
        <v>4</v>
      </c>
      <c r="AR127" s="337" t="str">
        <f t="shared" si="179"/>
        <v xml:space="preserve">Dublin </v>
      </c>
      <c r="AS127" s="342">
        <f t="shared" si="171"/>
        <v>4.5390774636083506</v>
      </c>
      <c r="AT127" s="343">
        <f t="shared" si="180"/>
        <v>4.7275604522681061</v>
      </c>
      <c r="AU127" s="343">
        <f t="shared" si="172"/>
        <v>3.808760060860191</v>
      </c>
      <c r="AV127" s="343">
        <f t="shared" si="173"/>
        <v>3.892119272576009</v>
      </c>
      <c r="AW127" s="344">
        <f t="shared" si="181"/>
        <v>3.7964368784672078</v>
      </c>
      <c r="AX127" s="240"/>
      <c r="AY127" s="337">
        <f t="shared" si="174"/>
        <v>12</v>
      </c>
      <c r="AZ127" s="337">
        <v>4</v>
      </c>
      <c r="BA127" s="337" t="str">
        <f t="shared" si="167"/>
        <v>Heathrow</v>
      </c>
      <c r="BB127" s="342">
        <f t="shared" si="175"/>
        <v>4.07009092807799</v>
      </c>
      <c r="BC127" s="343">
        <f t="shared" si="182"/>
        <v>3.3142253304488691</v>
      </c>
      <c r="BD127" s="343">
        <f t="shared" si="176"/>
        <v>3.6010986750051597</v>
      </c>
      <c r="BE127" s="343">
        <f t="shared" si="177"/>
        <v>3.2597054564817736</v>
      </c>
      <c r="BF127" s="344">
        <f t="shared" si="183"/>
        <v>3.9850744357981194</v>
      </c>
      <c r="BG127" s="240"/>
      <c r="BH127" s="240"/>
      <c r="BI127" s="240"/>
      <c r="BJ127" s="240"/>
      <c r="BK127" s="240"/>
      <c r="BL127" s="240"/>
    </row>
    <row r="128" spans="2:67">
      <c r="B128" s="238" t="s">
        <v>107</v>
      </c>
      <c r="C128" s="339">
        <f t="shared" si="178"/>
        <v>2.4059641632674267</v>
      </c>
      <c r="D128" s="339">
        <f t="shared" si="156"/>
        <v>2.6908500016444021</v>
      </c>
      <c r="E128" s="339">
        <f t="shared" si="157"/>
        <v>2.9861882236292634</v>
      </c>
      <c r="F128" s="339">
        <f t="shared" si="158"/>
        <v>3.2936891913048472</v>
      </c>
      <c r="G128" s="339">
        <f t="shared" si="159"/>
        <v>3.1128571758744257</v>
      </c>
      <c r="H128" s="339">
        <f t="shared" si="160"/>
        <v>3.0060597396309805</v>
      </c>
      <c r="I128" s="339">
        <f t="shared" si="161"/>
        <v>2.6966153556318635</v>
      </c>
      <c r="J128" s="339">
        <f t="shared" si="162"/>
        <v>3.0973294104699631</v>
      </c>
      <c r="K128" s="339">
        <f t="shared" si="163"/>
        <v>3.4022125383893012</v>
      </c>
      <c r="L128" s="339">
        <f t="shared" si="164"/>
        <v>4.7205702658510083</v>
      </c>
      <c r="M128" s="339">
        <f t="shared" si="165"/>
        <v>4.2561418099043031</v>
      </c>
      <c r="N128" s="339">
        <f t="shared" si="166"/>
        <v>4.1560106651811912</v>
      </c>
      <c r="O128" s="339">
        <f t="shared" si="166"/>
        <v>4.2219746601001065</v>
      </c>
      <c r="Q128" s="341">
        <f t="shared" si="168"/>
        <v>0.40448794295032542</v>
      </c>
      <c r="V128" s="238" t="s">
        <v>107</v>
      </c>
      <c r="W128" s="339">
        <f>GAT!D117</f>
        <v>2.4059641632674267</v>
      </c>
      <c r="X128" s="339">
        <f>GAT!E117</f>
        <v>2.6908500016444021</v>
      </c>
      <c r="Y128" s="339">
        <f>GAT!F117</f>
        <v>2.9861882236292634</v>
      </c>
      <c r="Z128" s="339">
        <f>GAT!G117</f>
        <v>3.2936891913048472</v>
      </c>
      <c r="AA128" s="339">
        <f>GAT!H117</f>
        <v>3.1128571758744257</v>
      </c>
      <c r="AB128" s="339">
        <f>GAT!I117</f>
        <v>3.0060597396309805</v>
      </c>
      <c r="AC128" s="339">
        <f>GAT!J117</f>
        <v>2.6966153556318635</v>
      </c>
      <c r="AD128" s="339">
        <f>GAT!K117</f>
        <v>3.0973294104699631</v>
      </c>
      <c r="AE128" s="339">
        <f>GAT!L117</f>
        <v>3.4022125383893012</v>
      </c>
      <c r="AF128" s="339">
        <f>GAT!M117</f>
        <v>4.7205702658510083</v>
      </c>
      <c r="AG128" s="339">
        <f>GAT!N117</f>
        <v>4.2561418099043031</v>
      </c>
      <c r="AH128" s="339">
        <f>GAT!O117</f>
        <v>4.1560106651811912</v>
      </c>
      <c r="AI128" s="339">
        <f>GAT!P117</f>
        <v>4.2219746601001065</v>
      </c>
      <c r="AK128" s="341">
        <f t="shared" si="169"/>
        <v>1.4044879429503254</v>
      </c>
      <c r="AP128" s="337">
        <f t="shared" si="170"/>
        <v>6</v>
      </c>
      <c r="AQ128" s="337">
        <v>5</v>
      </c>
      <c r="AR128" s="337" t="str">
        <f t="shared" si="179"/>
        <v>Southampton</v>
      </c>
      <c r="AS128" s="342">
        <f t="shared" si="171"/>
        <v>4.250774288755478</v>
      </c>
      <c r="AT128" s="343">
        <f t="shared" si="180"/>
        <v>4.7458865562111274</v>
      </c>
      <c r="AU128" s="343">
        <f t="shared" si="172"/>
        <v>3.808760060860191</v>
      </c>
      <c r="AV128" s="343">
        <f t="shared" si="173"/>
        <v>3.892119272576009</v>
      </c>
      <c r="AW128" s="344">
        <f t="shared" si="181"/>
        <v>3.7964368784672078</v>
      </c>
      <c r="AX128" s="240"/>
      <c r="AY128" s="337">
        <f t="shared" si="174"/>
        <v>3</v>
      </c>
      <c r="AZ128" s="337">
        <v>5</v>
      </c>
      <c r="BA128" s="337" t="str">
        <f t="shared" si="167"/>
        <v>Aberdeen</v>
      </c>
      <c r="BB128" s="342">
        <f t="shared" si="175"/>
        <v>3.9020570448880023</v>
      </c>
      <c r="BC128" s="343">
        <f t="shared" si="182"/>
        <v>4.2910629006338032</v>
      </c>
      <c r="BD128" s="343">
        <f t="shared" si="176"/>
        <v>3.6010986750051597</v>
      </c>
      <c r="BE128" s="343">
        <f t="shared" si="177"/>
        <v>3.2597054564817736</v>
      </c>
      <c r="BF128" s="344">
        <f t="shared" si="183"/>
        <v>3.9850744357981194</v>
      </c>
      <c r="BG128" s="240"/>
      <c r="BH128" s="240"/>
      <c r="BI128" s="240"/>
      <c r="BJ128" s="240"/>
      <c r="BK128" s="240"/>
      <c r="BL128" s="240"/>
    </row>
    <row r="129" spans="2:92">
      <c r="B129" s="238" t="s">
        <v>114</v>
      </c>
      <c r="C129" s="339">
        <f t="shared" si="178"/>
        <v>2.7703582686252646</v>
      </c>
      <c r="D129" s="339">
        <f t="shared" si="156"/>
        <v>2.9921862934889965</v>
      </c>
      <c r="E129" s="339">
        <f t="shared" si="157"/>
        <v>2.9586371338938502</v>
      </c>
      <c r="F129" s="339">
        <f t="shared" si="158"/>
        <v>3.1106626353118587</v>
      </c>
      <c r="G129" s="339">
        <f t="shared" si="159"/>
        <v>2.7341741004692608</v>
      </c>
      <c r="H129" s="339">
        <f t="shared" si="160"/>
        <v>2.668224696447576</v>
      </c>
      <c r="I129" s="339">
        <f t="shared" si="161"/>
        <v>2.425636845872269</v>
      </c>
      <c r="J129" s="339">
        <f t="shared" si="162"/>
        <v>2.6307274387333472</v>
      </c>
      <c r="K129" s="339">
        <f t="shared" si="163"/>
        <v>2.4382540302553837</v>
      </c>
      <c r="L129" s="339">
        <f t="shared" si="164"/>
        <v>2.5520597470561124</v>
      </c>
      <c r="M129" s="339">
        <f t="shared" si="165"/>
        <v>2.8419240543789268</v>
      </c>
      <c r="N129" s="339">
        <f t="shared" si="166"/>
        <v>2.7194336133236723</v>
      </c>
      <c r="O129" s="339">
        <f t="shared" si="166"/>
        <v>2.7194336133236723</v>
      </c>
      <c r="Q129" s="341">
        <f t="shared" si="168"/>
        <v>1.91921306118914E-2</v>
      </c>
      <c r="V129" s="238" t="s">
        <v>114</v>
      </c>
      <c r="W129" s="339">
        <f>GLAS!D103</f>
        <v>2.7703582686252646</v>
      </c>
      <c r="X129" s="339">
        <f>GLAS!E103</f>
        <v>2.9921862934889965</v>
      </c>
      <c r="Y129" s="339">
        <f>GLAS!F103</f>
        <v>2.9586371338938502</v>
      </c>
      <c r="Z129" s="339">
        <f>GLAS!G103</f>
        <v>3.1106626353118587</v>
      </c>
      <c r="AA129" s="339">
        <f>GLAS!H103</f>
        <v>2.7341741004692608</v>
      </c>
      <c r="AB129" s="339">
        <f>GLAS!I103</f>
        <v>2.668224696447576</v>
      </c>
      <c r="AC129" s="339">
        <f>GLAS!J103</f>
        <v>2.425636845872269</v>
      </c>
      <c r="AD129" s="339">
        <f>GLAS!K103</f>
        <v>2.6307274387333472</v>
      </c>
      <c r="AE129" s="339">
        <f>GLAS!L103</f>
        <v>2.4382540302553837</v>
      </c>
      <c r="AF129" s="339">
        <f>GLAS!M103</f>
        <v>2.5520597470561124</v>
      </c>
      <c r="AG129" s="339">
        <f>GLAS!N103</f>
        <v>2.8419240543789268</v>
      </c>
      <c r="AH129" s="339">
        <f>GLAS!O103</f>
        <v>2.7194336133236723</v>
      </c>
      <c r="AI129" s="363">
        <f>AH129</f>
        <v>2.7194336133236723</v>
      </c>
      <c r="AK129" s="341">
        <f t="shared" si="169"/>
        <v>1.0191921306118914</v>
      </c>
      <c r="AP129" s="337">
        <f t="shared" si="170"/>
        <v>11</v>
      </c>
      <c r="AQ129" s="337">
        <v>6</v>
      </c>
      <c r="AR129" s="337" t="str">
        <f t="shared" si="179"/>
        <v>Gatwick</v>
      </c>
      <c r="AS129" s="342">
        <f t="shared" si="171"/>
        <v>4.2219746601001065</v>
      </c>
      <c r="AT129" s="343">
        <f t="shared" si="180"/>
        <v>3.0060597396309805</v>
      </c>
      <c r="AU129" s="343">
        <f t="shared" si="172"/>
        <v>3.808760060860191</v>
      </c>
      <c r="AV129" s="343">
        <f t="shared" si="173"/>
        <v>3.892119272576009</v>
      </c>
      <c r="AW129" s="344">
        <f t="shared" si="181"/>
        <v>3.7964368784672078</v>
      </c>
      <c r="AX129" s="240"/>
      <c r="AY129" s="337">
        <f t="shared" si="174"/>
        <v>11</v>
      </c>
      <c r="AZ129" s="337">
        <v>6</v>
      </c>
      <c r="BA129" s="337" t="str">
        <f t="shared" si="167"/>
        <v xml:space="preserve">Dublin </v>
      </c>
      <c r="BB129" s="342">
        <f t="shared" si="175"/>
        <v>3.6593728426410843</v>
      </c>
      <c r="BC129" s="343">
        <f t="shared" si="182"/>
        <v>3.5192828506893408</v>
      </c>
      <c r="BD129" s="343">
        <f t="shared" si="176"/>
        <v>3.6010986750051597</v>
      </c>
      <c r="BE129" s="343">
        <f t="shared" si="177"/>
        <v>3.2597054564817736</v>
      </c>
      <c r="BF129" s="344">
        <f t="shared" si="183"/>
        <v>3.9850744357981194</v>
      </c>
      <c r="BG129" s="240"/>
      <c r="BH129" s="240"/>
      <c r="BI129" s="240"/>
      <c r="BJ129" s="240"/>
      <c r="BK129" s="240"/>
      <c r="BL129" s="240"/>
    </row>
    <row r="130" spans="2:92">
      <c r="B130" s="238" t="s">
        <v>105</v>
      </c>
      <c r="C130" s="339">
        <f t="shared" si="178"/>
        <v>2.418570686696107</v>
      </c>
      <c r="D130" s="339">
        <f t="shared" si="156"/>
        <v>2.852768369192455</v>
      </c>
      <c r="E130" s="339">
        <f t="shared" si="157"/>
        <v>2.9933388456578465</v>
      </c>
      <c r="F130" s="339">
        <f t="shared" si="158"/>
        <v>3.2182838730315528</v>
      </c>
      <c r="G130" s="339">
        <f t="shared" si="159"/>
        <v>3.2276690522542699</v>
      </c>
      <c r="H130" s="339">
        <f t="shared" si="160"/>
        <v>3.3142253304488691</v>
      </c>
      <c r="I130" s="339">
        <f t="shared" si="161"/>
        <v>3.4385306766580475</v>
      </c>
      <c r="J130" s="339">
        <f t="shared" si="162"/>
        <v>3.6033190647988285</v>
      </c>
      <c r="K130" s="339">
        <f t="shared" si="163"/>
        <v>4.4468682447070051</v>
      </c>
      <c r="L130" s="339">
        <f t="shared" si="164"/>
        <v>3.8138069056561164</v>
      </c>
      <c r="M130" s="339">
        <f t="shared" si="165"/>
        <v>3.9691784243021431</v>
      </c>
      <c r="N130" s="339">
        <f t="shared" si="166"/>
        <v>3.8118331342525278</v>
      </c>
      <c r="O130" s="339">
        <f t="shared" si="166"/>
        <v>4.07009092807799</v>
      </c>
      <c r="Q130" s="341">
        <f t="shared" si="168"/>
        <v>0.22806705104952796</v>
      </c>
      <c r="V130" s="238" t="s">
        <v>105</v>
      </c>
      <c r="W130" s="339">
        <f>HTROW!D117</f>
        <v>2.418570686696107</v>
      </c>
      <c r="X130" s="339">
        <f>HTROW!E117</f>
        <v>2.852768369192455</v>
      </c>
      <c r="Y130" s="339">
        <f>HTROW!F117</f>
        <v>2.9933388456578465</v>
      </c>
      <c r="Z130" s="339">
        <f>HTROW!G117</f>
        <v>3.2182838730315528</v>
      </c>
      <c r="AA130" s="339">
        <f>HTROW!H117</f>
        <v>3.2276690522542699</v>
      </c>
      <c r="AB130" s="339">
        <f>HTROW!I117</f>
        <v>3.3142253304488691</v>
      </c>
      <c r="AC130" s="339">
        <f>HTROW!J117</f>
        <v>3.4385306766580475</v>
      </c>
      <c r="AD130" s="339">
        <f>HTROW!K117</f>
        <v>3.6033190647988285</v>
      </c>
      <c r="AE130" s="339">
        <f>HTROW!L117</f>
        <v>4.4468682447070051</v>
      </c>
      <c r="AF130" s="339">
        <f>HTROW!M117</f>
        <v>3.8138069056561164</v>
      </c>
      <c r="AG130" s="339">
        <f>HTROW!N117</f>
        <v>3.9691784243021431</v>
      </c>
      <c r="AH130" s="339">
        <f>HTROW!O117</f>
        <v>3.8118331342525278</v>
      </c>
      <c r="AI130" s="339">
        <f>HTROW!P117</f>
        <v>4.07009092807799</v>
      </c>
      <c r="AK130" s="341">
        <f t="shared" si="169"/>
        <v>1.228067051049528</v>
      </c>
      <c r="AP130" s="337">
        <f t="shared" si="170"/>
        <v>7</v>
      </c>
      <c r="AQ130" s="337">
        <v>7</v>
      </c>
      <c r="AR130" s="337" t="str">
        <f t="shared" si="179"/>
        <v>Heathrow</v>
      </c>
      <c r="AS130" s="342">
        <f t="shared" si="171"/>
        <v>4.07009092807799</v>
      </c>
      <c r="AT130" s="343">
        <f t="shared" si="180"/>
        <v>3.3142253304488691</v>
      </c>
      <c r="AU130" s="343">
        <f t="shared" si="172"/>
        <v>3.808760060860191</v>
      </c>
      <c r="AV130" s="343">
        <f t="shared" si="173"/>
        <v>3.892119272576009</v>
      </c>
      <c r="AW130" s="344">
        <f t="shared" si="181"/>
        <v>3.7964368784672078</v>
      </c>
      <c r="AX130" s="240"/>
      <c r="AY130" s="337">
        <f t="shared" si="174"/>
        <v>4</v>
      </c>
      <c r="AZ130" s="337">
        <v>7</v>
      </c>
      <c r="BA130" s="337" t="str">
        <f t="shared" si="167"/>
        <v>Zurich</v>
      </c>
      <c r="BB130" s="342">
        <f t="shared" si="175"/>
        <v>3.6046447717185548</v>
      </c>
      <c r="BC130" s="343">
        <f t="shared" si="182"/>
        <v>4.7968044725870609</v>
      </c>
      <c r="BD130" s="343">
        <f t="shared" si="176"/>
        <v>3.6010986750051597</v>
      </c>
      <c r="BE130" s="343">
        <f t="shared" si="177"/>
        <v>3.2597054564817736</v>
      </c>
      <c r="BF130" s="344">
        <f t="shared" si="183"/>
        <v>3.9850744357981194</v>
      </c>
      <c r="BG130" s="240"/>
      <c r="BH130" s="240"/>
      <c r="BI130" s="240"/>
      <c r="BJ130" s="240"/>
      <c r="BK130" s="240"/>
      <c r="BL130" s="240"/>
    </row>
    <row r="131" spans="2:92">
      <c r="B131" s="238" t="s">
        <v>156</v>
      </c>
      <c r="C131" s="339">
        <f t="shared" si="178"/>
        <v>4.2364796270971352</v>
      </c>
      <c r="D131" s="339">
        <f t="shared" si="156"/>
        <v>3.9055660034075372</v>
      </c>
      <c r="E131" s="339">
        <f t="shared" si="157"/>
        <v>2.4545963873370718</v>
      </c>
      <c r="F131" s="339">
        <f t="shared" si="158"/>
        <v>2.2597872341826859</v>
      </c>
      <c r="G131" s="339">
        <f t="shared" si="159"/>
        <v>2.0888145996433756</v>
      </c>
      <c r="H131" s="339">
        <f t="shared" si="160"/>
        <v>1.8575695940525183</v>
      </c>
      <c r="I131" s="339">
        <f t="shared" si="161"/>
        <v>1.9577458301111241</v>
      </c>
      <c r="J131" s="339">
        <f t="shared" si="162"/>
        <v>1.9649015447492446</v>
      </c>
      <c r="K131" s="339">
        <f t="shared" si="163"/>
        <v>1.8848477729223463</v>
      </c>
      <c r="L131" s="339">
        <f t="shared" si="164"/>
        <v>2.0535667779828892</v>
      </c>
      <c r="M131" s="339">
        <f t="shared" si="165"/>
        <v>2.3167445614579725</v>
      </c>
      <c r="N131" s="339">
        <f t="shared" si="166"/>
        <v>2.2279564122023015</v>
      </c>
      <c r="O131" s="339">
        <f t="shared" si="166"/>
        <v>2.3059848143508326</v>
      </c>
      <c r="Q131" s="341">
        <f t="shared" si="168"/>
        <v>0.24139888041558688</v>
      </c>
      <c r="V131" s="238" t="s">
        <v>156</v>
      </c>
      <c r="W131" s="339">
        <f>LTN!D98</f>
        <v>4.2364796270971352</v>
      </c>
      <c r="X131" s="339">
        <f>LTN!E98</f>
        <v>3.9055660034075372</v>
      </c>
      <c r="Y131" s="339">
        <f>LTN!F98</f>
        <v>2.4545963873370718</v>
      </c>
      <c r="Z131" s="339">
        <f>LTN!G98</f>
        <v>2.2597872341826859</v>
      </c>
      <c r="AA131" s="339">
        <f>LTN!H98</f>
        <v>2.0888145996433756</v>
      </c>
      <c r="AB131" s="339">
        <f>LTN!I98</f>
        <v>1.8575695940525183</v>
      </c>
      <c r="AC131" s="339">
        <f>LTN!J98</f>
        <v>1.9577458301111241</v>
      </c>
      <c r="AD131" s="339">
        <f>LTN!K98</f>
        <v>1.9649015447492446</v>
      </c>
      <c r="AE131" s="339">
        <f>LTN!L98</f>
        <v>1.8848477729223463</v>
      </c>
      <c r="AF131" s="339">
        <f>LTN!M98</f>
        <v>2.0535667779828892</v>
      </c>
      <c r="AG131" s="339">
        <f>LTN!N98</f>
        <v>2.3167445614579725</v>
      </c>
      <c r="AH131" s="339">
        <f>LTN!O98</f>
        <v>2.2279564122023015</v>
      </c>
      <c r="AI131" s="339">
        <f>LTN!P98</f>
        <v>2.3059848143508326</v>
      </c>
      <c r="AK131" s="341">
        <f t="shared" si="169"/>
        <v>1.2413988804155869</v>
      </c>
      <c r="AP131" s="337">
        <f t="shared" si="170"/>
        <v>15</v>
      </c>
      <c r="AQ131" s="337">
        <v>8</v>
      </c>
      <c r="AR131" s="337" t="str">
        <f t="shared" si="179"/>
        <v>Aberdeen</v>
      </c>
      <c r="AS131" s="342">
        <f t="shared" si="171"/>
        <v>3.9020570448880023</v>
      </c>
      <c r="AT131" s="343">
        <f t="shared" si="180"/>
        <v>4.2910629006338032</v>
      </c>
      <c r="AU131" s="343">
        <f t="shared" si="172"/>
        <v>3.808760060860191</v>
      </c>
      <c r="AV131" s="343">
        <f t="shared" si="173"/>
        <v>3.892119272576009</v>
      </c>
      <c r="AW131" s="344">
        <f t="shared" si="181"/>
        <v>3.7964368784672078</v>
      </c>
      <c r="AX131" s="240"/>
      <c r="AY131" s="337">
        <f t="shared" si="174"/>
        <v>14</v>
      </c>
      <c r="AZ131" s="337">
        <v>8</v>
      </c>
      <c r="BA131" s="337" t="str">
        <f t="shared" si="167"/>
        <v>Copenhagen</v>
      </c>
      <c r="BB131" s="342">
        <f t="shared" si="175"/>
        <v>3.3132623500540879</v>
      </c>
      <c r="BC131" s="343">
        <f t="shared" si="182"/>
        <v>4.2899326148158226</v>
      </c>
      <c r="BD131" s="343">
        <f t="shared" si="176"/>
        <v>3.6010986750051597</v>
      </c>
      <c r="BE131" s="343">
        <f t="shared" si="177"/>
        <v>3.2597054564817736</v>
      </c>
      <c r="BF131" s="344">
        <f t="shared" si="183"/>
        <v>3.9850744357981194</v>
      </c>
      <c r="BG131" s="240"/>
      <c r="BH131" s="240"/>
      <c r="BI131" s="240"/>
      <c r="BJ131" s="240"/>
      <c r="BK131" s="240"/>
      <c r="BL131" s="240"/>
    </row>
    <row r="132" spans="2:92">
      <c r="B132" s="238" t="s">
        <v>204</v>
      </c>
      <c r="C132" s="339">
        <f t="shared" si="178"/>
        <v>4.7168279159837727</v>
      </c>
      <c r="D132" s="339">
        <f t="shared" si="156"/>
        <v>4.8975006668006555</v>
      </c>
      <c r="E132" s="339">
        <f t="shared" si="157"/>
        <v>2.8904916906930942</v>
      </c>
      <c r="F132" s="339">
        <f t="shared" si="158"/>
        <v>2.3076921724007611</v>
      </c>
      <c r="G132" s="339">
        <f t="shared" si="159"/>
        <v>2.208849640083987</v>
      </c>
      <c r="H132" s="339">
        <f t="shared" si="160"/>
        <v>2.3644162417288164</v>
      </c>
      <c r="I132" s="339">
        <f t="shared" si="161"/>
        <v>2.9459901690033714</v>
      </c>
      <c r="J132" s="339">
        <f t="shared" si="162"/>
        <v>2.7262607020917491</v>
      </c>
      <c r="K132" s="339">
        <f t="shared" si="163"/>
        <v>2.8623950966419369</v>
      </c>
      <c r="L132" s="339">
        <f t="shared" si="164"/>
        <v>3.0481968629347329</v>
      </c>
      <c r="M132" s="339">
        <f t="shared" si="165"/>
        <v>3.0823316170153605</v>
      </c>
      <c r="N132" s="339">
        <f t="shared" si="166"/>
        <v>2.9439808860396015</v>
      </c>
      <c r="O132" s="363">
        <f t="shared" si="166"/>
        <v>2.9439808860396015</v>
      </c>
      <c r="Q132" s="341">
        <f t="shared" si="168"/>
        <v>0.24511954963015237</v>
      </c>
      <c r="V132" s="238" t="s">
        <v>204</v>
      </c>
      <c r="W132" s="339">
        <f>MAN!D104</f>
        <v>4.7168279159837727</v>
      </c>
      <c r="X132" s="339">
        <f>MAN!E104</f>
        <v>4.8975006668006555</v>
      </c>
      <c r="Y132" s="339">
        <f>MAN!F104</f>
        <v>2.8904916906930942</v>
      </c>
      <c r="Z132" s="339">
        <f>MAN!G104</f>
        <v>2.3076921724007611</v>
      </c>
      <c r="AA132" s="339">
        <f>MAN!H104</f>
        <v>2.208849640083987</v>
      </c>
      <c r="AB132" s="339">
        <f>MAN!I104</f>
        <v>2.3644162417288164</v>
      </c>
      <c r="AC132" s="339">
        <f>MAN!J104</f>
        <v>2.9459901690033714</v>
      </c>
      <c r="AD132" s="339">
        <f>MAN!K104</f>
        <v>2.7262607020917491</v>
      </c>
      <c r="AE132" s="339">
        <f>MAN!L104</f>
        <v>2.8623950966419369</v>
      </c>
      <c r="AF132" s="339">
        <f>MAN!M104</f>
        <v>3.0481968629347329</v>
      </c>
      <c r="AG132" s="339">
        <f>MAN!N104</f>
        <v>3.0823316170153605</v>
      </c>
      <c r="AH132" s="339">
        <f>MAN!O104</f>
        <v>2.9439808860396015</v>
      </c>
      <c r="AI132" s="363">
        <f>AH132</f>
        <v>2.9439808860396015</v>
      </c>
      <c r="AK132" s="341">
        <f t="shared" si="169"/>
        <v>1.2451195496301524</v>
      </c>
      <c r="AP132" s="337">
        <f t="shared" si="170"/>
        <v>10</v>
      </c>
      <c r="AQ132" s="337">
        <v>9</v>
      </c>
      <c r="AR132" s="337" t="str">
        <f t="shared" si="179"/>
        <v>Stansted</v>
      </c>
      <c r="AS132" s="342">
        <f t="shared" si="171"/>
        <v>3.1034568623358418</v>
      </c>
      <c r="AT132" s="343">
        <f t="shared" si="180"/>
        <v>2.2224751670093714</v>
      </c>
      <c r="AU132" s="343">
        <f t="shared" si="172"/>
        <v>3.808760060860191</v>
      </c>
      <c r="AV132" s="343">
        <f t="shared" si="173"/>
        <v>3.892119272576009</v>
      </c>
      <c r="AW132" s="344">
        <f t="shared" si="181"/>
        <v>3.7964368784672078</v>
      </c>
      <c r="AX132" s="240"/>
      <c r="AY132" s="337">
        <f t="shared" si="174"/>
        <v>10</v>
      </c>
      <c r="AZ132" s="337">
        <v>9</v>
      </c>
      <c r="BA132" s="337" t="str">
        <f t="shared" si="167"/>
        <v>Stansted</v>
      </c>
      <c r="BB132" s="342">
        <f t="shared" si="175"/>
        <v>3.1034568623358418</v>
      </c>
      <c r="BC132" s="343">
        <f t="shared" si="182"/>
        <v>2.2224751670093714</v>
      </c>
      <c r="BD132" s="343">
        <f t="shared" si="176"/>
        <v>3.6010986750051597</v>
      </c>
      <c r="BE132" s="343">
        <f t="shared" si="177"/>
        <v>3.2597054564817736</v>
      </c>
      <c r="BF132" s="344">
        <f t="shared" si="183"/>
        <v>3.9850744357981194</v>
      </c>
      <c r="BG132" s="240"/>
      <c r="BH132" s="240"/>
      <c r="BI132" s="240"/>
      <c r="BJ132" s="240"/>
      <c r="BK132" s="240"/>
      <c r="BL132" s="240"/>
    </row>
    <row r="133" spans="2:92">
      <c r="B133" s="238" t="s">
        <v>113</v>
      </c>
      <c r="C133" s="363">
        <f>$I$133</f>
        <v>4.7458865562111274</v>
      </c>
      <c r="D133" s="363">
        <f t="shared" ref="D133:H133" si="184">$I$133</f>
        <v>4.7458865562111274</v>
      </c>
      <c r="E133" s="363">
        <f t="shared" si="184"/>
        <v>4.7458865562111274</v>
      </c>
      <c r="F133" s="363">
        <f t="shared" si="184"/>
        <v>4.7458865562111274</v>
      </c>
      <c r="G133" s="363">
        <f t="shared" si="184"/>
        <v>4.7458865562111274</v>
      </c>
      <c r="H133" s="363">
        <f t="shared" si="184"/>
        <v>4.7458865562111274</v>
      </c>
      <c r="I133" s="339">
        <f t="shared" si="161"/>
        <v>4.7458865562111274</v>
      </c>
      <c r="J133" s="339">
        <f t="shared" si="162"/>
        <v>4.9080936773170984</v>
      </c>
      <c r="K133" s="339">
        <f t="shared" si="163"/>
        <v>4.3147414642934478</v>
      </c>
      <c r="L133" s="339">
        <f t="shared" si="164"/>
        <v>3.95947924635096</v>
      </c>
      <c r="M133" s="339">
        <f t="shared" si="165"/>
        <v>4.250774288755478</v>
      </c>
      <c r="N133" s="363">
        <f>M133</f>
        <v>4.250774288755478</v>
      </c>
      <c r="O133" s="363">
        <f>N133</f>
        <v>4.250774288755478</v>
      </c>
      <c r="Q133" s="341">
        <f t="shared" si="168"/>
        <v>-0.10432450535668125</v>
      </c>
      <c r="V133" s="238" t="s">
        <v>113</v>
      </c>
      <c r="W133" s="363">
        <f>$AC$133</f>
        <v>4.7458865562111274</v>
      </c>
      <c r="X133" s="363">
        <f t="shared" ref="X133:AB133" si="185">$AC$133</f>
        <v>4.7458865562111274</v>
      </c>
      <c r="Y133" s="363">
        <f t="shared" si="185"/>
        <v>4.7458865562111274</v>
      </c>
      <c r="Z133" s="363">
        <f t="shared" si="185"/>
        <v>4.7458865562111274</v>
      </c>
      <c r="AA133" s="363">
        <f t="shared" si="185"/>
        <v>4.7458865562111274</v>
      </c>
      <c r="AB133" s="363">
        <f t="shared" si="185"/>
        <v>4.7458865562111274</v>
      </c>
      <c r="AC133" s="339">
        <f>STHAM!J100</f>
        <v>4.7458865562111274</v>
      </c>
      <c r="AD133" s="339">
        <f>STHAM!K100</f>
        <v>4.9080936773170984</v>
      </c>
      <c r="AE133" s="339">
        <f>STHAM!L100</f>
        <v>4.3147414642934478</v>
      </c>
      <c r="AF133" s="339">
        <f>STHAM!M100</f>
        <v>3.95947924635096</v>
      </c>
      <c r="AG133" s="339">
        <f>STHAM!N100</f>
        <v>4.250774288755478</v>
      </c>
      <c r="AH133" s="363">
        <f>AG133</f>
        <v>4.250774288755478</v>
      </c>
      <c r="AI133" s="363">
        <f>AH133</f>
        <v>4.250774288755478</v>
      </c>
      <c r="AK133" s="341">
        <f t="shared" si="169"/>
        <v>0.89567549464331875</v>
      </c>
      <c r="AP133" s="337">
        <f t="shared" si="170"/>
        <v>5</v>
      </c>
      <c r="AQ133" s="337">
        <v>10</v>
      </c>
      <c r="AR133" s="337" t="str">
        <f t="shared" si="179"/>
        <v>Manchester</v>
      </c>
      <c r="AS133" s="342">
        <f t="shared" si="171"/>
        <v>2.9439808860396015</v>
      </c>
      <c r="AT133" s="343">
        <f t="shared" si="180"/>
        <v>2.3644162417288164</v>
      </c>
      <c r="AU133" s="343">
        <f t="shared" si="172"/>
        <v>3.808760060860191</v>
      </c>
      <c r="AV133" s="343">
        <f t="shared" si="173"/>
        <v>3.892119272576009</v>
      </c>
      <c r="AW133" s="344">
        <f t="shared" si="181"/>
        <v>3.7964368784672078</v>
      </c>
      <c r="AX133" s="240"/>
      <c r="AY133" s="337">
        <f t="shared" si="174"/>
        <v>2</v>
      </c>
      <c r="AZ133" s="337">
        <v>10</v>
      </c>
      <c r="BA133" s="337" t="str">
        <f t="shared" si="167"/>
        <v>Manchester</v>
      </c>
      <c r="BB133" s="342">
        <f t="shared" si="175"/>
        <v>2.9439808860396015</v>
      </c>
      <c r="BC133" s="343">
        <f t="shared" si="182"/>
        <v>2.3644162417288164</v>
      </c>
      <c r="BD133" s="343">
        <f t="shared" si="176"/>
        <v>3.6010986750051597</v>
      </c>
      <c r="BE133" s="343">
        <f t="shared" si="177"/>
        <v>3.2597054564817736</v>
      </c>
      <c r="BF133" s="344">
        <f t="shared" si="183"/>
        <v>3.9850744357981194</v>
      </c>
      <c r="BG133" s="240"/>
      <c r="BH133" s="240"/>
      <c r="BI133" s="240"/>
      <c r="BJ133" s="240"/>
      <c r="BK133" s="240"/>
      <c r="BL133" s="240"/>
    </row>
    <row r="134" spans="2:92">
      <c r="B134" s="238" t="s">
        <v>112</v>
      </c>
      <c r="C134" s="339">
        <f t="shared" si="178"/>
        <v>2.9896746172736566</v>
      </c>
      <c r="D134" s="339">
        <f t="shared" si="156"/>
        <v>2.5037278131958418</v>
      </c>
      <c r="E134" s="339">
        <f t="shared" si="157"/>
        <v>2.4097330970449629</v>
      </c>
      <c r="F134" s="339">
        <f t="shared" si="158"/>
        <v>2.3307045998166842</v>
      </c>
      <c r="G134" s="339">
        <f t="shared" si="159"/>
        <v>2.3517685878205996</v>
      </c>
      <c r="H134" s="339">
        <f t="shared" si="160"/>
        <v>2.2224751670093714</v>
      </c>
      <c r="I134" s="339">
        <f t="shared" si="161"/>
        <v>2.3404540588461753</v>
      </c>
      <c r="J134" s="339">
        <f t="shared" si="162"/>
        <v>2.3607974079751948</v>
      </c>
      <c r="K134" s="339">
        <f t="shared" si="163"/>
        <v>2.5822884696699679</v>
      </c>
      <c r="L134" s="339">
        <f t="shared" si="164"/>
        <v>2.6062095011074899</v>
      </c>
      <c r="M134" s="339">
        <f t="shared" si="165"/>
        <v>2.6056318923696384</v>
      </c>
      <c r="N134" s="339">
        <f t="shared" si="166"/>
        <v>2.8769727404968219</v>
      </c>
      <c r="O134" s="339">
        <f t="shared" si="166"/>
        <v>3.1034568623358418</v>
      </c>
      <c r="Q134" s="341">
        <f t="shared" si="168"/>
        <v>0.39639664298789246</v>
      </c>
      <c r="V134" s="238" t="s">
        <v>112</v>
      </c>
      <c r="W134" s="339">
        <f>STAN!D116</f>
        <v>2.9896746172736566</v>
      </c>
      <c r="X134" s="339">
        <f>STAN!E116</f>
        <v>2.5037278131958418</v>
      </c>
      <c r="Y134" s="339">
        <f>STAN!F116</f>
        <v>2.4097330970449629</v>
      </c>
      <c r="Z134" s="339">
        <f>STAN!G116</f>
        <v>2.3307045998166842</v>
      </c>
      <c r="AA134" s="339">
        <f>STAN!H116</f>
        <v>2.3517685878205996</v>
      </c>
      <c r="AB134" s="339">
        <f>STAN!I116</f>
        <v>2.2224751670093714</v>
      </c>
      <c r="AC134" s="339">
        <f>STAN!J116</f>
        <v>2.3404540588461753</v>
      </c>
      <c r="AD134" s="339">
        <f>STAN!K116</f>
        <v>2.3607974079751948</v>
      </c>
      <c r="AE134" s="339">
        <f>STAN!L116</f>
        <v>2.5822884696699679</v>
      </c>
      <c r="AF134" s="339">
        <f>STAN!M116</f>
        <v>2.6062095011074899</v>
      </c>
      <c r="AG134" s="339">
        <f>STAN!N116</f>
        <v>2.6056318923696384</v>
      </c>
      <c r="AH134" s="339">
        <f>STAN!O116</f>
        <v>2.8769727404968219</v>
      </c>
      <c r="AI134" s="339">
        <f>STAN!P116</f>
        <v>3.1034568623358418</v>
      </c>
      <c r="AK134" s="341">
        <f t="shared" si="169"/>
        <v>1.3963966429878925</v>
      </c>
      <c r="AP134" s="337">
        <f t="shared" si="170"/>
        <v>9</v>
      </c>
      <c r="AQ134" s="337">
        <v>11</v>
      </c>
      <c r="AR134" s="337" t="str">
        <f t="shared" si="179"/>
        <v>Glasgow</v>
      </c>
      <c r="AS134" s="342">
        <f t="shared" si="171"/>
        <v>2.7194336133236723</v>
      </c>
      <c r="AT134" s="343">
        <f t="shared" si="180"/>
        <v>2.668224696447576</v>
      </c>
      <c r="AU134" s="343">
        <f t="shared" si="172"/>
        <v>3.808760060860191</v>
      </c>
      <c r="AV134" s="343">
        <f t="shared" si="173"/>
        <v>3.892119272576009</v>
      </c>
      <c r="AW134" s="344">
        <f t="shared" si="181"/>
        <v>3.7964368784672078</v>
      </c>
      <c r="AX134" s="240"/>
      <c r="AY134" s="337">
        <f t="shared" si="174"/>
        <v>9</v>
      </c>
      <c r="AZ134" s="337">
        <v>11</v>
      </c>
      <c r="BA134" s="337" t="str">
        <f t="shared" si="167"/>
        <v>Glasgow</v>
      </c>
      <c r="BB134" s="342">
        <f t="shared" si="175"/>
        <v>2.7194336133236723</v>
      </c>
      <c r="BC134" s="343">
        <f t="shared" si="182"/>
        <v>2.668224696447576</v>
      </c>
      <c r="BD134" s="343">
        <f t="shared" si="176"/>
        <v>3.6010986750051597</v>
      </c>
      <c r="BE134" s="343">
        <f t="shared" si="177"/>
        <v>3.2597054564817736</v>
      </c>
      <c r="BF134" s="344">
        <f t="shared" si="183"/>
        <v>3.9850744357981194</v>
      </c>
      <c r="BG134" s="240"/>
      <c r="BH134" s="240"/>
      <c r="BI134" s="240"/>
      <c r="BJ134" s="240"/>
      <c r="BK134" s="240"/>
      <c r="BL134" s="240"/>
    </row>
    <row r="135" spans="2:92">
      <c r="B135" s="5" t="s">
        <v>392</v>
      </c>
      <c r="C135" s="339">
        <f>Copenhagen!D106</f>
        <v>4.1905206177138412</v>
      </c>
      <c r="D135" s="339">
        <f>Copenhagen!E106</f>
        <v>4.5000218545189012</v>
      </c>
      <c r="E135" s="339">
        <f>Copenhagen!F106</f>
        <v>4.5260735423433474</v>
      </c>
      <c r="F135" s="339">
        <f>Copenhagen!G106</f>
        <v>4.6122611817138939</v>
      </c>
      <c r="G135" s="339">
        <f>Copenhagen!H106</f>
        <v>4.7741394811165732</v>
      </c>
      <c r="H135" s="339">
        <f>Copenhagen!I106</f>
        <v>5.3461102941513072</v>
      </c>
      <c r="I135" s="339">
        <f>Copenhagen!J106</f>
        <v>5.578201470311658</v>
      </c>
      <c r="J135" s="339">
        <f>Copenhagen!K106</f>
        <v>5.5647454485355148</v>
      </c>
      <c r="K135" s="339">
        <f>Copenhagen!L106</f>
        <v>5.4664559149501946</v>
      </c>
      <c r="L135" s="339">
        <f>Copenhagen!M106</f>
        <v>6.0767482313893124</v>
      </c>
      <c r="M135" s="339">
        <f>Copenhagen!N106</f>
        <v>5.4701228483562883</v>
      </c>
      <c r="N135" s="339">
        <f>Copenhagen!O106</f>
        <v>5.0586946962958921</v>
      </c>
      <c r="O135" s="339">
        <f>Copenhagen!P106</f>
        <v>5.0695914168434904</v>
      </c>
      <c r="Q135" s="341">
        <f t="shared" si="168"/>
        <v>-5.172337682788386E-2</v>
      </c>
      <c r="V135" s="5" t="s">
        <v>392</v>
      </c>
      <c r="W135" s="339">
        <f>Copenhagen!D157</f>
        <v>3.5200336951492579</v>
      </c>
      <c r="X135" s="339">
        <f>Copenhagen!E157</f>
        <v>3.7482198097403061</v>
      </c>
      <c r="Y135" s="339">
        <f>Copenhagen!F157</f>
        <v>3.8007359995524967</v>
      </c>
      <c r="Z135" s="339">
        <f>Copenhagen!G157</f>
        <v>3.6486116266612489</v>
      </c>
      <c r="AA135" s="339">
        <f>Copenhagen!H157</f>
        <v>3.8746563082221419</v>
      </c>
      <c r="AB135" s="339">
        <f>Copenhagen!I157</f>
        <v>4.2899326148158226</v>
      </c>
      <c r="AC135" s="339">
        <f>Copenhagen!J157</f>
        <v>4.48179201504957</v>
      </c>
      <c r="AD135" s="339">
        <f>Copenhagen!K157</f>
        <v>4.5384356260570726</v>
      </c>
      <c r="AE135" s="339">
        <f>Copenhagen!L157</f>
        <v>3.7826293893444087</v>
      </c>
      <c r="AF135" s="339">
        <f>Copenhagen!M157</f>
        <v>3.82947989932901</v>
      </c>
      <c r="AG135" s="339">
        <f>Copenhagen!N157</f>
        <v>3.5196069470033082</v>
      </c>
      <c r="AH135" s="339">
        <f>Copenhagen!O157</f>
        <v>3.3055520650669781</v>
      </c>
      <c r="AI135" s="339">
        <f>Copenhagen!P157</f>
        <v>3.3132623500540879</v>
      </c>
      <c r="AK135" s="341">
        <f t="shared" si="169"/>
        <v>0.77233435756340763</v>
      </c>
      <c r="AP135" s="337">
        <f t="shared" si="170"/>
        <v>3</v>
      </c>
      <c r="AQ135" s="337">
        <v>12</v>
      </c>
      <c r="AR135" s="337" t="str">
        <f t="shared" si="179"/>
        <v>Edinburgh</v>
      </c>
      <c r="AS135" s="342">
        <f t="shared" si="171"/>
        <v>2.5901911970169365</v>
      </c>
      <c r="AT135" s="343">
        <f t="shared" si="180"/>
        <v>2.2861067622450046</v>
      </c>
      <c r="AU135" s="343">
        <f t="shared" si="172"/>
        <v>3.808760060860191</v>
      </c>
      <c r="AV135" s="343">
        <f t="shared" si="173"/>
        <v>3.892119272576009</v>
      </c>
      <c r="AW135" s="344">
        <f t="shared" si="181"/>
        <v>3.7964368784672078</v>
      </c>
      <c r="AX135" s="240"/>
      <c r="AY135" s="337">
        <f t="shared" si="174"/>
        <v>8</v>
      </c>
      <c r="AZ135" s="337">
        <v>12</v>
      </c>
      <c r="BA135" s="337" t="str">
        <f t="shared" si="167"/>
        <v>Edinburgh</v>
      </c>
      <c r="BB135" s="342">
        <f t="shared" si="175"/>
        <v>2.5901911970169365</v>
      </c>
      <c r="BC135" s="343">
        <f t="shared" si="182"/>
        <v>2.2861067622450046</v>
      </c>
      <c r="BD135" s="343">
        <f t="shared" si="176"/>
        <v>3.6010986750051597</v>
      </c>
      <c r="BE135" s="343">
        <f t="shared" si="177"/>
        <v>3.2597054564817736</v>
      </c>
      <c r="BF135" s="344">
        <f t="shared" si="183"/>
        <v>3.9850744357981194</v>
      </c>
      <c r="BG135" s="240"/>
      <c r="BH135" s="240"/>
      <c r="BI135" s="240"/>
      <c r="BJ135" s="240"/>
      <c r="BK135" s="240"/>
      <c r="BL135" s="240"/>
    </row>
    <row r="136" spans="2:92">
      <c r="B136" s="238" t="s">
        <v>1125</v>
      </c>
      <c r="C136" s="363">
        <f>$I$136</f>
        <v>4.5642400058993919</v>
      </c>
      <c r="D136" s="363">
        <f t="shared" ref="D136:H136" si="186">J136</f>
        <v>4.6034146689685658</v>
      </c>
      <c r="E136" s="363">
        <f t="shared" si="186"/>
        <v>5.3444291506991064</v>
      </c>
      <c r="F136" s="363">
        <f t="shared" si="186"/>
        <v>4.3517020957346917</v>
      </c>
      <c r="G136" s="363">
        <f t="shared" si="186"/>
        <v>4.6729322587820663</v>
      </c>
      <c r="H136" s="363">
        <f t="shared" si="186"/>
        <v>4.7275604522681061</v>
      </c>
      <c r="I136" s="339">
        <f>Dublin!J118</f>
        <v>4.5642400058993919</v>
      </c>
      <c r="J136" s="339">
        <f>Dublin!K118</f>
        <v>4.6034146689685658</v>
      </c>
      <c r="K136" s="339">
        <f>Dublin!L118</f>
        <v>5.3444291506991064</v>
      </c>
      <c r="L136" s="339">
        <f>Dublin!M118</f>
        <v>4.3517020957346917</v>
      </c>
      <c r="M136" s="339">
        <f>Dublin!N118</f>
        <v>4.6729322587820663</v>
      </c>
      <c r="N136" s="339">
        <f>Dublin!O118</f>
        <v>4.7275604522681061</v>
      </c>
      <c r="O136" s="339">
        <f>Dublin!P118</f>
        <v>4.5390774636083506</v>
      </c>
      <c r="Q136" s="341">
        <f t="shared" si="168"/>
        <v>-3.9868974825975734E-2</v>
      </c>
      <c r="V136" s="238" t="s">
        <v>1125</v>
      </c>
      <c r="W136" s="363">
        <f>$AC$136</f>
        <v>3.5192828506893408</v>
      </c>
      <c r="X136" s="363">
        <f t="shared" ref="X136:AB136" si="187">$AC$136</f>
        <v>3.5192828506893408</v>
      </c>
      <c r="Y136" s="363">
        <f t="shared" si="187"/>
        <v>3.5192828506893408</v>
      </c>
      <c r="Z136" s="363">
        <f t="shared" si="187"/>
        <v>3.5192828506893408</v>
      </c>
      <c r="AA136" s="363">
        <f t="shared" si="187"/>
        <v>3.5192828506893408</v>
      </c>
      <c r="AB136" s="363">
        <f t="shared" si="187"/>
        <v>3.5192828506893408</v>
      </c>
      <c r="AC136" s="339">
        <f>Dublin!J171</f>
        <v>3.5192828506893408</v>
      </c>
      <c r="AD136" s="339">
        <f>Dublin!K171</f>
        <v>3.5745996019099846</v>
      </c>
      <c r="AE136" s="339">
        <f>Dublin!L171</f>
        <v>3.8707629905761061</v>
      </c>
      <c r="AF136" s="339">
        <f>Dublin!M171</f>
        <v>3.0729373592094036</v>
      </c>
      <c r="AG136" s="339">
        <f>Dublin!N171</f>
        <v>3.6932661792721961</v>
      </c>
      <c r="AH136" s="339">
        <f>Dublin!O171</f>
        <v>3.8113265238750302</v>
      </c>
      <c r="AI136" s="339">
        <f>Dublin!P171</f>
        <v>3.6593728426410843</v>
      </c>
      <c r="AK136" s="341">
        <f t="shared" si="169"/>
        <v>1.0398064031495233</v>
      </c>
      <c r="AP136" s="337">
        <f t="shared" si="170"/>
        <v>4</v>
      </c>
      <c r="AQ136" s="337">
        <v>13</v>
      </c>
      <c r="AR136" s="337" t="str">
        <f t="shared" si="179"/>
        <v>Birmingham</v>
      </c>
      <c r="AS136" s="342">
        <f t="shared" si="171"/>
        <v>2.5623537322633103</v>
      </c>
      <c r="AT136" s="343">
        <f t="shared" si="180"/>
        <v>2.935207230868488</v>
      </c>
      <c r="AU136" s="343">
        <f t="shared" si="172"/>
        <v>3.808760060860191</v>
      </c>
      <c r="AV136" s="343">
        <f t="shared" si="173"/>
        <v>3.892119272576009</v>
      </c>
      <c r="AW136" s="344">
        <f t="shared" si="181"/>
        <v>3.7964368784672078</v>
      </c>
      <c r="AX136" s="240"/>
      <c r="AY136" s="337">
        <f t="shared" si="174"/>
        <v>6</v>
      </c>
      <c r="AZ136" s="337">
        <v>13</v>
      </c>
      <c r="BA136" s="337" t="str">
        <f t="shared" si="167"/>
        <v>Birmingham</v>
      </c>
      <c r="BB136" s="342">
        <f t="shared" si="175"/>
        <v>2.5623537322633103</v>
      </c>
      <c r="BC136" s="343">
        <f t="shared" si="182"/>
        <v>2.935207230868488</v>
      </c>
      <c r="BD136" s="343">
        <f t="shared" si="176"/>
        <v>3.6010986750051597</v>
      </c>
      <c r="BE136" s="343">
        <f t="shared" si="177"/>
        <v>3.2597054564817736</v>
      </c>
      <c r="BF136" s="344">
        <f t="shared" si="183"/>
        <v>3.9850744357981194</v>
      </c>
      <c r="BG136" s="240"/>
      <c r="BH136" s="240"/>
      <c r="BI136" s="240"/>
      <c r="BJ136" s="240"/>
      <c r="BK136" s="240"/>
      <c r="BL136" s="240"/>
    </row>
    <row r="137" spans="2:92">
      <c r="B137" s="238" t="s">
        <v>394</v>
      </c>
      <c r="C137" s="339">
        <f>'Hong Kong'!D104</f>
        <v>1.6015332816790384</v>
      </c>
      <c r="D137" s="339">
        <f>'Hong Kong'!E104</f>
        <v>1.6895810894280041</v>
      </c>
      <c r="E137" s="339">
        <f>'Hong Kong'!F104</f>
        <v>1.6145720470699354</v>
      </c>
      <c r="F137" s="339">
        <f>'Hong Kong'!G104</f>
        <v>1.9180831171290658</v>
      </c>
      <c r="G137" s="339">
        <f>'Hong Kong'!H104</f>
        <v>1.4004152087621684</v>
      </c>
      <c r="H137" s="339">
        <f>'Hong Kong'!I104</f>
        <v>1.3091634313987917</v>
      </c>
      <c r="I137" s="339">
        <f>'Hong Kong'!J104</f>
        <v>1.2625474155606511</v>
      </c>
      <c r="J137" s="339">
        <f>'Hong Kong'!K104</f>
        <v>1.1523570900731541</v>
      </c>
      <c r="K137" s="339">
        <f>'Hong Kong'!L104</f>
        <v>1.2133366833244874</v>
      </c>
      <c r="L137" s="339">
        <f>'Hong Kong'!M104</f>
        <v>2.2122829723131328</v>
      </c>
      <c r="M137" s="339">
        <f>'Hong Kong'!N104</f>
        <v>1.9691475323044085</v>
      </c>
      <c r="N137" s="339">
        <f>'Hong Kong'!O104</f>
        <v>1.8872528564331845</v>
      </c>
      <c r="O137" s="339">
        <f>'Hong Kong'!P104</f>
        <v>1.9380338467245966</v>
      </c>
      <c r="Q137" s="341">
        <f t="shared" si="168"/>
        <v>0.4803605113334708</v>
      </c>
      <c r="V137" s="238" t="s">
        <v>394</v>
      </c>
      <c r="W137" s="339">
        <f>'Hong Kong'!D153</f>
        <v>1.5580667734735387</v>
      </c>
      <c r="X137" s="339">
        <f>'Hong Kong'!E153</f>
        <v>1.6632057823310495</v>
      </c>
      <c r="Y137" s="339">
        <f>'Hong Kong'!F153</f>
        <v>1.7671592794074396</v>
      </c>
      <c r="Z137" s="339">
        <f>'Hong Kong'!G153</f>
        <v>2.4921371078229071</v>
      </c>
      <c r="AA137" s="339">
        <f>'Hong Kong'!H153</f>
        <v>2.0614662989323231</v>
      </c>
      <c r="AB137" s="339">
        <f>'Hong Kong'!I153</f>
        <v>1.8727138040096574</v>
      </c>
      <c r="AC137" s="339">
        <f>'Hong Kong'!J153</f>
        <v>1.8108256688986804</v>
      </c>
      <c r="AD137" s="339">
        <f>'Hong Kong'!K153</f>
        <v>1.7475015150332003</v>
      </c>
      <c r="AE137" s="339">
        <f>'Hong Kong'!L153</f>
        <v>1.665881570577409</v>
      </c>
      <c r="AF137" s="339">
        <f>'Hong Kong'!M153</f>
        <v>2.5575235217089927</v>
      </c>
      <c r="AG137" s="339">
        <f>'Hong Kong'!N153</f>
        <v>2.2052380110993468</v>
      </c>
      <c r="AH137" s="339">
        <f>'Hong Kong'!O153</f>
        <v>2.0956489322462279</v>
      </c>
      <c r="AI137" s="339">
        <f>'Hong Kong'!P153</f>
        <v>2.1520373105813553</v>
      </c>
      <c r="AK137" s="341">
        <f t="shared" si="169"/>
        <v>1.1491544014753561</v>
      </c>
      <c r="AP137" s="337">
        <f t="shared" si="170"/>
        <v>16</v>
      </c>
      <c r="AQ137" s="337">
        <v>14</v>
      </c>
      <c r="AR137" s="337" t="str">
        <f t="shared" si="179"/>
        <v>Amsterdam</v>
      </c>
      <c r="AS137" s="342">
        <f t="shared" si="171"/>
        <v>2.5583718851229245</v>
      </c>
      <c r="AT137" s="343">
        <f t="shared" si="180"/>
        <v>3.1432329532352044</v>
      </c>
      <c r="AU137" s="343">
        <f t="shared" si="172"/>
        <v>3.808760060860191</v>
      </c>
      <c r="AV137" s="343">
        <f t="shared" si="173"/>
        <v>3.892119272576009</v>
      </c>
      <c r="AW137" s="344">
        <f t="shared" si="181"/>
        <v>3.7964368784672078</v>
      </c>
      <c r="AX137" s="240"/>
      <c r="AY137" s="337">
        <f t="shared" si="174"/>
        <v>15</v>
      </c>
      <c r="AZ137" s="337">
        <v>14</v>
      </c>
      <c r="BA137" s="337" t="str">
        <f t="shared" si="167"/>
        <v>Luton</v>
      </c>
      <c r="BB137" s="342">
        <f t="shared" si="175"/>
        <v>2.3059848143508326</v>
      </c>
      <c r="BC137" s="343">
        <f t="shared" si="182"/>
        <v>1.8575695940525183</v>
      </c>
      <c r="BD137" s="343">
        <f t="shared" si="176"/>
        <v>3.6010986750051597</v>
      </c>
      <c r="BE137" s="343">
        <f t="shared" si="177"/>
        <v>3.2597054564817736</v>
      </c>
      <c r="BF137" s="344">
        <f t="shared" si="183"/>
        <v>3.9850744357981194</v>
      </c>
      <c r="BG137" s="240"/>
      <c r="BH137" s="240"/>
      <c r="BI137" s="240"/>
      <c r="BJ137" s="240"/>
      <c r="BK137" s="240"/>
      <c r="BL137" s="240"/>
    </row>
    <row r="138" spans="2:92">
      <c r="B138" s="5" t="s">
        <v>1050</v>
      </c>
      <c r="C138" s="339">
        <f>Munich!D102</f>
        <v>8.1124813597192826</v>
      </c>
      <c r="D138" s="339">
        <f>Munich!E102</f>
        <v>8.6639699673822559</v>
      </c>
      <c r="E138" s="339">
        <f>Munich!F102</f>
        <v>9.139879908249231</v>
      </c>
      <c r="F138" s="339">
        <f>Munich!G102</f>
        <v>9.6713613775825689</v>
      </c>
      <c r="G138" s="339">
        <f>Munich!H102</f>
        <v>8.4879117494460505</v>
      </c>
      <c r="H138" s="339">
        <f>Munich!I102</f>
        <v>10.016004397990271</v>
      </c>
      <c r="I138" s="339">
        <f>Munich!J102</f>
        <v>9.2983695561045412</v>
      </c>
      <c r="J138" s="339">
        <f>Munich!K102</f>
        <v>8.1988760898307405</v>
      </c>
      <c r="K138" s="339">
        <f>Munich!L102</f>
        <v>8.1594407510760014</v>
      </c>
      <c r="L138" s="339">
        <f>Munich!M102</f>
        <v>8.5223463998029718</v>
      </c>
      <c r="M138" s="339">
        <f>Munich!N102</f>
        <v>7.6101489473061967</v>
      </c>
      <c r="N138" s="339">
        <f>Munich!O102</f>
        <v>6.4655747213521977</v>
      </c>
      <c r="O138" s="363">
        <f>N138</f>
        <v>6.4655747213521977</v>
      </c>
      <c r="Q138" s="341">
        <f t="shared" si="168"/>
        <v>-0.35447565072460163</v>
      </c>
      <c r="V138" s="5" t="s">
        <v>1050</v>
      </c>
      <c r="W138" s="339">
        <f>Munich!D149</f>
        <v>8.8591476520836103</v>
      </c>
      <c r="X138" s="339">
        <f>Munich!E149</f>
        <v>9.4211419677975421</v>
      </c>
      <c r="Y138" s="339">
        <f>Munich!F149</f>
        <v>10.143569252441591</v>
      </c>
      <c r="Z138" s="339">
        <f>Munich!G149</f>
        <v>10.259393445218505</v>
      </c>
      <c r="AA138" s="339">
        <f>Munich!H149</f>
        <v>9.4268966631815019</v>
      </c>
      <c r="AB138" s="339">
        <f>Munich!I149</f>
        <v>11.383246311334879</v>
      </c>
      <c r="AC138" s="339">
        <f>Munich!J149</f>
        <v>10.681967662492873</v>
      </c>
      <c r="AD138" s="339">
        <f>Munich!K149</f>
        <v>9.4016790321958901</v>
      </c>
      <c r="AE138" s="339">
        <f>Munich!L149</f>
        <v>7.977287791289255</v>
      </c>
      <c r="AF138" s="339">
        <f>Munich!M149</f>
        <v>7.4761897045529926</v>
      </c>
      <c r="AG138" s="339">
        <f>Munich!N149</f>
        <v>6.8697066534009581</v>
      </c>
      <c r="AH138" s="339">
        <f>Munich!O149</f>
        <v>5.7287123512076539</v>
      </c>
      <c r="AI138" s="363">
        <f>AH138</f>
        <v>5.7287123512076539</v>
      </c>
      <c r="AK138" s="341">
        <f t="shared" si="169"/>
        <v>0.5032582265661143</v>
      </c>
      <c r="AP138" s="337">
        <f t="shared" si="170"/>
        <v>2</v>
      </c>
      <c r="AQ138" s="337">
        <v>15</v>
      </c>
      <c r="AR138" s="337" t="str">
        <f t="shared" si="179"/>
        <v>Luton</v>
      </c>
      <c r="AS138" s="342">
        <f t="shared" si="171"/>
        <v>2.3059848143508326</v>
      </c>
      <c r="AT138" s="343">
        <f t="shared" si="180"/>
        <v>1.8575695940525183</v>
      </c>
      <c r="AU138" s="343">
        <f t="shared" si="172"/>
        <v>3.808760060860191</v>
      </c>
      <c r="AV138" s="343">
        <f t="shared" si="173"/>
        <v>3.892119272576009</v>
      </c>
      <c r="AW138" s="344">
        <f t="shared" si="181"/>
        <v>3.7964368784672078</v>
      </c>
      <c r="AX138" s="240"/>
      <c r="AY138" s="337">
        <f t="shared" si="174"/>
        <v>1</v>
      </c>
      <c r="AZ138" s="337">
        <v>15</v>
      </c>
      <c r="BA138" s="337" t="str">
        <f t="shared" si="167"/>
        <v>Hong Kong</v>
      </c>
      <c r="BB138" s="342">
        <f t="shared" si="175"/>
        <v>2.1520373105813553</v>
      </c>
      <c r="BC138" s="343">
        <f t="shared" si="182"/>
        <v>1.8727138040096574</v>
      </c>
      <c r="BD138" s="343">
        <f t="shared" si="176"/>
        <v>3.6010986750051597</v>
      </c>
      <c r="BE138" s="343">
        <f t="shared" si="177"/>
        <v>3.2597054564817736</v>
      </c>
      <c r="BF138" s="344">
        <f t="shared" si="183"/>
        <v>3.9850744357981194</v>
      </c>
      <c r="BG138" s="240"/>
      <c r="BH138" s="240"/>
      <c r="BI138" s="240"/>
      <c r="BJ138" s="240"/>
      <c r="BK138" s="240"/>
      <c r="BL138" s="240"/>
    </row>
    <row r="139" spans="2:92">
      <c r="B139" s="5" t="s">
        <v>399</v>
      </c>
      <c r="C139" s="339">
        <f>Zurich!D106</f>
        <v>4.6401117668938001</v>
      </c>
      <c r="D139" s="339">
        <f>Zurich!E106</f>
        <v>5.6079864020659613</v>
      </c>
      <c r="E139" s="339">
        <f>Zurich!F106</f>
        <v>6.7614897589553937</v>
      </c>
      <c r="F139" s="339">
        <f>Zurich!G106</f>
        <v>6.8889058673943451</v>
      </c>
      <c r="G139" s="339">
        <f>Zurich!H106</f>
        <v>6.3477067996704903</v>
      </c>
      <c r="H139" s="339">
        <f>Zurich!I106</f>
        <v>6.5096843071550818</v>
      </c>
      <c r="I139" s="339">
        <f>Zurich!J106</f>
        <v>6.1488100300551283</v>
      </c>
      <c r="J139" s="339">
        <f>Zurich!K106</f>
        <v>5.9682765122229586</v>
      </c>
      <c r="K139" s="339">
        <f>Zurich!L106</f>
        <v>5.1284810183732548</v>
      </c>
      <c r="L139" s="339">
        <f>Zurich!M106</f>
        <v>5.4017516999425768</v>
      </c>
      <c r="M139" s="339">
        <f>Zurich!N106</f>
        <v>4.9219192922885053</v>
      </c>
      <c r="N139" s="339">
        <f>Zurich!O106</f>
        <v>4.5648263157742308</v>
      </c>
      <c r="O139" s="339">
        <f>Zurich!P106</f>
        <v>7.6992136129597215</v>
      </c>
      <c r="Q139" s="341">
        <f t="shared" si="168"/>
        <v>0.18273225700010909</v>
      </c>
      <c r="V139" s="5" t="s">
        <v>399</v>
      </c>
      <c r="W139" s="339">
        <f>Zurich!D158</f>
        <v>3.2623969575387042</v>
      </c>
      <c r="X139" s="339">
        <f>Zurich!E158</f>
        <v>3.8339961729266552</v>
      </c>
      <c r="Y139" s="339">
        <f>Zurich!F158</f>
        <v>4.6388232796986211</v>
      </c>
      <c r="Z139" s="339">
        <f>Zurich!G158</f>
        <v>4.7075344936814423</v>
      </c>
      <c r="AA139" s="339">
        <f>Zurich!H158</f>
        <v>4.5995570617160952</v>
      </c>
      <c r="AB139" s="339">
        <f>Zurich!I158</f>
        <v>4.7968044725870609</v>
      </c>
      <c r="AC139" s="339">
        <f>Zurich!J158</f>
        <v>4.5974778516134309</v>
      </c>
      <c r="AD139" s="339">
        <f>Zurich!K158</f>
        <v>4.6344995759407697</v>
      </c>
      <c r="AE139" s="339">
        <f>Zurich!L158</f>
        <v>3.2277222007890209</v>
      </c>
      <c r="AF139" s="339">
        <f>Zurich!M158</f>
        <v>2.9009060894192276</v>
      </c>
      <c r="AG139" s="339">
        <f>Zurich!N158</f>
        <v>2.5289898000073889</v>
      </c>
      <c r="AH139" s="339">
        <f>Zurich!O158</f>
        <v>2.1371763585389618</v>
      </c>
      <c r="AI139" s="339">
        <f>Zurich!P158</f>
        <v>3.6046447717185548</v>
      </c>
      <c r="AK139" s="341">
        <f>AI139/AB139</f>
        <v>0.75146793919128863</v>
      </c>
      <c r="AP139" s="337">
        <f t="shared" si="170"/>
        <v>1</v>
      </c>
      <c r="AQ139" s="337">
        <v>16</v>
      </c>
      <c r="AR139" s="337" t="str">
        <f>INDEX($B$124:$B$139,MATCH(AQ139,$AP$124:$AP$139,0),0)</f>
        <v>Hong Kong</v>
      </c>
      <c r="AS139" s="342">
        <f t="shared" si="171"/>
        <v>1.9380338467245966</v>
      </c>
      <c r="AT139" s="343">
        <f t="shared" si="180"/>
        <v>1.3091634313987917</v>
      </c>
      <c r="AU139" s="343">
        <f t="shared" si="172"/>
        <v>3.808760060860191</v>
      </c>
      <c r="AV139" s="343">
        <f t="shared" si="173"/>
        <v>3.892119272576009</v>
      </c>
      <c r="AW139" s="344">
        <f t="shared" si="181"/>
        <v>3.7964368784672078</v>
      </c>
      <c r="AX139" s="240"/>
      <c r="AY139" s="337">
        <f t="shared" si="174"/>
        <v>7</v>
      </c>
      <c r="AZ139" s="337">
        <v>16</v>
      </c>
      <c r="BA139" s="337" t="str">
        <f t="shared" si="167"/>
        <v>Amsterdam</v>
      </c>
      <c r="BB139" s="342">
        <f t="shared" si="175"/>
        <v>1.9944550448165415</v>
      </c>
      <c r="BC139" s="343">
        <f t="shared" si="182"/>
        <v>8.2079767000565838</v>
      </c>
      <c r="BD139" s="343">
        <f t="shared" si="176"/>
        <v>3.6010986750051597</v>
      </c>
      <c r="BE139" s="343">
        <f t="shared" si="177"/>
        <v>3.2597054564817736</v>
      </c>
      <c r="BF139" s="344">
        <f t="shared" si="183"/>
        <v>3.9850744357981194</v>
      </c>
      <c r="BG139" s="240"/>
      <c r="BH139" s="240"/>
      <c r="BI139" s="240"/>
      <c r="BJ139" s="240"/>
      <c r="BK139" s="240"/>
      <c r="BL139" s="240"/>
    </row>
    <row r="140" spans="2:92">
      <c r="C140" s="110"/>
      <c r="D140" s="110"/>
      <c r="E140" s="110"/>
      <c r="F140" s="110"/>
      <c r="G140" s="110"/>
      <c r="H140" s="110"/>
      <c r="I140" s="110"/>
      <c r="J140" s="110"/>
      <c r="K140" s="110"/>
      <c r="L140" s="110"/>
      <c r="M140" s="110"/>
      <c r="N140" s="110"/>
      <c r="O140" s="110"/>
      <c r="Q140" s="224"/>
      <c r="W140" s="110"/>
      <c r="X140" s="110"/>
      <c r="Y140" s="110"/>
      <c r="Z140" s="110"/>
      <c r="AA140" s="110"/>
      <c r="AB140" s="110"/>
      <c r="AC140" s="110"/>
      <c r="AD140" s="110"/>
      <c r="AE140" s="110"/>
      <c r="AF140" s="110"/>
      <c r="AG140" s="110"/>
      <c r="AH140" s="110"/>
      <c r="AI140" s="110"/>
      <c r="AK140" s="224"/>
    </row>
    <row r="141" spans="2:92">
      <c r="B141" s="5" t="s">
        <v>1137</v>
      </c>
      <c r="C141" s="338">
        <f>AVERAGE(C124:C139)</f>
        <v>3.7778502458231964</v>
      </c>
      <c r="D141" s="338">
        <f t="shared" ref="D141:N141" si="188">AVERAGE(D124:D139)</f>
        <v>3.9629423260291854</v>
      </c>
      <c r="E141" s="338">
        <f t="shared" si="188"/>
        <v>3.914805242202708</v>
      </c>
      <c r="F141" s="338">
        <f t="shared" si="188"/>
        <v>3.9376356544980955</v>
      </c>
      <c r="G141" s="338">
        <f t="shared" si="188"/>
        <v>3.747411290949616</v>
      </c>
      <c r="H141" s="338">
        <f t="shared" si="188"/>
        <v>3.7964368784672078</v>
      </c>
      <c r="I141" s="338">
        <f t="shared" si="188"/>
        <v>3.7673440231457773</v>
      </c>
      <c r="J141" s="338">
        <f t="shared" si="188"/>
        <v>3.667147897077967</v>
      </c>
      <c r="K141" s="338">
        <f t="shared" si="188"/>
        <v>3.6898146477542926</v>
      </c>
      <c r="L141" s="338">
        <f t="shared" si="188"/>
        <v>3.8473189537564894</v>
      </c>
      <c r="M141" s="338">
        <f t="shared" si="188"/>
        <v>3.7793379819472372</v>
      </c>
      <c r="N141" s="338">
        <f t="shared" si="188"/>
        <v>3.5743491869632145</v>
      </c>
      <c r="O141" s="338">
        <f t="shared" ref="O141" si="189">AVERAGE(O124:O139)</f>
        <v>3.808760060860191</v>
      </c>
      <c r="Q141" s="341">
        <f>(O141/H141)-1</f>
        <v>3.2459863781426623E-3</v>
      </c>
      <c r="V141" s="5" t="s">
        <v>1137</v>
      </c>
      <c r="W141" s="338">
        <f>AVERAGE(W124:W139)</f>
        <v>3.8826212007898637</v>
      </c>
      <c r="X141" s="338">
        <f t="shared" ref="X141:AH141" si="190">AVERAGE(X124:X139)</f>
        <v>4.0541851711729358</v>
      </c>
      <c r="Y141" s="338">
        <f t="shared" si="190"/>
        <v>3.9619902683619714</v>
      </c>
      <c r="Z141" s="338">
        <f t="shared" si="190"/>
        <v>4.0240497486385216</v>
      </c>
      <c r="AA141" s="338">
        <f t="shared" si="190"/>
        <v>3.8917111762805421</v>
      </c>
      <c r="AB141" s="338">
        <f t="shared" si="190"/>
        <v>3.9850744357981194</v>
      </c>
      <c r="AC141" s="338">
        <f t="shared" si="190"/>
        <v>4.0368207241949436</v>
      </c>
      <c r="AD141" s="338">
        <f t="shared" si="190"/>
        <v>4.0325225937436429</v>
      </c>
      <c r="AE141" s="338">
        <f t="shared" si="190"/>
        <v>3.805175193611035</v>
      </c>
      <c r="AF141" s="338">
        <f t="shared" si="190"/>
        <v>3.785599485970411</v>
      </c>
      <c r="AG141" s="338">
        <f t="shared" si="190"/>
        <v>3.7690698805096154</v>
      </c>
      <c r="AH141" s="338">
        <f t="shared" si="190"/>
        <v>3.6010986750051597</v>
      </c>
      <c r="AI141" s="338">
        <f t="shared" ref="AI141" si="191">AVERAGE(AI124:AI139)</f>
        <v>3.3201739186356907</v>
      </c>
      <c r="AK141" s="341">
        <f>AI141/AB141</f>
        <v>0.83315229668244217</v>
      </c>
      <c r="CN141" s="5">
        <v>1</v>
      </c>
    </row>
    <row r="142" spans="2:92">
      <c r="B142" s="5" t="s">
        <v>1142</v>
      </c>
      <c r="C142" s="338">
        <f>MIN(C124:C139)</f>
        <v>1.6015332816790384</v>
      </c>
      <c r="D142" s="338">
        <f t="shared" ref="D142:N142" si="192">MIN(D124:D139)</f>
        <v>1.6895810894280041</v>
      </c>
      <c r="E142" s="338">
        <f t="shared" si="192"/>
        <v>1.6145720470699354</v>
      </c>
      <c r="F142" s="338">
        <f t="shared" si="192"/>
        <v>1.9180831171290658</v>
      </c>
      <c r="G142" s="338">
        <f t="shared" si="192"/>
        <v>1.4004152087621684</v>
      </c>
      <c r="H142" s="338">
        <f t="shared" si="192"/>
        <v>1.3091634313987917</v>
      </c>
      <c r="I142" s="338">
        <f t="shared" si="192"/>
        <v>1.2625474155606511</v>
      </c>
      <c r="J142" s="338">
        <f t="shared" si="192"/>
        <v>1.1523570900731541</v>
      </c>
      <c r="K142" s="338">
        <f t="shared" si="192"/>
        <v>1.2133366833244874</v>
      </c>
      <c r="L142" s="338">
        <f t="shared" si="192"/>
        <v>2.0535667779828892</v>
      </c>
      <c r="M142" s="338">
        <f t="shared" si="192"/>
        <v>1.9691475323044085</v>
      </c>
      <c r="N142" s="338">
        <f t="shared" si="192"/>
        <v>1.8872528564331845</v>
      </c>
      <c r="O142" s="338">
        <f t="shared" ref="O142" si="193">MIN(O124:O139)</f>
        <v>1.9380338467245966</v>
      </c>
      <c r="Q142" s="341">
        <f t="shared" ref="Q142:Q143" si="194">(O142/H142)-1</f>
        <v>0.4803605113334708</v>
      </c>
      <c r="V142" s="5" t="s">
        <v>1142</v>
      </c>
      <c r="W142" s="338">
        <f>MIN(W124:W139)</f>
        <v>1.5580667734735387</v>
      </c>
      <c r="X142" s="338">
        <f t="shared" ref="X142:AG142" si="195">MIN(X124:X139)</f>
        <v>1.6632057823310495</v>
      </c>
      <c r="Y142" s="338">
        <f t="shared" si="195"/>
        <v>1.7671592794074396</v>
      </c>
      <c r="Z142" s="338">
        <f t="shared" si="195"/>
        <v>2.2597872341826859</v>
      </c>
      <c r="AA142" s="338">
        <f t="shared" si="195"/>
        <v>2.0614662989323231</v>
      </c>
      <c r="AB142" s="338">
        <f t="shared" si="195"/>
        <v>1.8575695940525183</v>
      </c>
      <c r="AC142" s="338">
        <f t="shared" si="195"/>
        <v>1.8108256688986804</v>
      </c>
      <c r="AD142" s="338">
        <f t="shared" si="195"/>
        <v>1.7475015150332003</v>
      </c>
      <c r="AE142" s="338">
        <f t="shared" si="195"/>
        <v>1.665881570577409</v>
      </c>
      <c r="AF142" s="338">
        <f t="shared" si="195"/>
        <v>2.0535667779828892</v>
      </c>
      <c r="AG142" s="338">
        <f t="shared" si="195"/>
        <v>2.2052380110993468</v>
      </c>
      <c r="AH142" s="338">
        <f>MIN(AH124:AH139)</f>
        <v>2.0956489322462279</v>
      </c>
      <c r="AI142" s="338">
        <f>MIN(AI124:AI139)</f>
        <v>1.9944550448165415</v>
      </c>
      <c r="AK142" s="341">
        <f t="shared" ref="AK142:AK143" si="196">AI142/AB142</f>
        <v>1.0736906176771501</v>
      </c>
    </row>
    <row r="143" spans="2:92">
      <c r="B143" s="5" t="s">
        <v>1143</v>
      </c>
      <c r="C143" s="338">
        <f>MAX(C124:C139)</f>
        <v>8.1124813597192826</v>
      </c>
      <c r="D143" s="338">
        <f t="shared" ref="D143:N143" si="197">MAX(D124:D139)</f>
        <v>8.6639699673822559</v>
      </c>
      <c r="E143" s="338">
        <f t="shared" si="197"/>
        <v>9.139879908249231</v>
      </c>
      <c r="F143" s="338">
        <f t="shared" si="197"/>
        <v>9.6713613775825689</v>
      </c>
      <c r="G143" s="338">
        <f t="shared" si="197"/>
        <v>8.4879117494460505</v>
      </c>
      <c r="H143" s="338">
        <f t="shared" si="197"/>
        <v>10.016004397990271</v>
      </c>
      <c r="I143" s="338">
        <f t="shared" si="197"/>
        <v>9.2983695561045412</v>
      </c>
      <c r="J143" s="338">
        <f t="shared" si="197"/>
        <v>8.1988760898307405</v>
      </c>
      <c r="K143" s="338">
        <f t="shared" si="197"/>
        <v>8.1594407510760014</v>
      </c>
      <c r="L143" s="338">
        <f t="shared" si="197"/>
        <v>8.5223463998029718</v>
      </c>
      <c r="M143" s="338">
        <f t="shared" si="197"/>
        <v>7.6101489473061967</v>
      </c>
      <c r="N143" s="338">
        <f t="shared" si="197"/>
        <v>6.4655747213521977</v>
      </c>
      <c r="O143" s="338">
        <f t="shared" ref="O143" si="198">MAX(O124:O139)</f>
        <v>7.6992136129597215</v>
      </c>
      <c r="Q143" s="341">
        <f t="shared" si="194"/>
        <v>-0.23130888256153492</v>
      </c>
      <c r="V143" s="5" t="s">
        <v>1143</v>
      </c>
      <c r="W143" s="338">
        <f>MAX(W124:W139)</f>
        <v>8.8591476520836103</v>
      </c>
      <c r="X143" s="338">
        <f t="shared" ref="X143:AG143" si="199">MAX(X124:X139)</f>
        <v>9.4211419677975421</v>
      </c>
      <c r="Y143" s="338">
        <f t="shared" si="199"/>
        <v>10.143569252441591</v>
      </c>
      <c r="Z143" s="338">
        <f t="shared" si="199"/>
        <v>10.259393445218505</v>
      </c>
      <c r="AA143" s="338">
        <f t="shared" si="199"/>
        <v>9.4268966631815019</v>
      </c>
      <c r="AB143" s="338">
        <f t="shared" si="199"/>
        <v>11.383246311334879</v>
      </c>
      <c r="AC143" s="338">
        <f t="shared" si="199"/>
        <v>10.681967662492873</v>
      </c>
      <c r="AD143" s="338">
        <f t="shared" si="199"/>
        <v>10.458790526459726</v>
      </c>
      <c r="AE143" s="338">
        <f t="shared" si="199"/>
        <v>9.6364918015677361</v>
      </c>
      <c r="AF143" s="338">
        <f t="shared" si="199"/>
        <v>9.1162134680270182</v>
      </c>
      <c r="AG143" s="338">
        <f t="shared" si="199"/>
        <v>8.9014745462046854</v>
      </c>
      <c r="AH143" s="338">
        <f>MAX(AH124:AH139)</f>
        <v>8.7219969528559478</v>
      </c>
      <c r="AI143" s="338">
        <f>MAX(AI124:AI139)</f>
        <v>5.7287123512076539</v>
      </c>
      <c r="AK143" s="341">
        <f t="shared" si="196"/>
        <v>0.5032582265661143</v>
      </c>
    </row>
    <row r="144" spans="2:92">
      <c r="C144" s="110"/>
      <c r="D144" s="110"/>
      <c r="E144" s="110"/>
      <c r="F144" s="110"/>
      <c r="G144" s="110"/>
      <c r="H144" s="110"/>
      <c r="I144" s="110"/>
      <c r="J144" s="110"/>
      <c r="K144" s="110"/>
      <c r="L144" s="110"/>
      <c r="M144" s="110"/>
      <c r="N144" s="110"/>
      <c r="O144" s="110"/>
      <c r="Q144" s="224"/>
      <c r="W144" s="110"/>
      <c r="X144" s="110"/>
      <c r="Y144" s="110"/>
      <c r="Z144" s="110"/>
      <c r="AA144" s="110"/>
      <c r="AB144" s="110"/>
      <c r="AC144" s="110"/>
      <c r="AD144" s="110"/>
      <c r="AE144" s="110"/>
      <c r="AF144" s="110"/>
      <c r="AG144" s="110"/>
      <c r="AH144" s="110"/>
      <c r="AI144" s="110"/>
      <c r="AK144" s="224"/>
    </row>
    <row r="145" spans="2:67">
      <c r="B145" s="5" t="s">
        <v>1177</v>
      </c>
      <c r="C145" s="338">
        <f>AVERAGE(C126:C139,C124)</f>
        <v>3.8444567597238737</v>
      </c>
      <c r="D145" s="338">
        <f t="shared" ref="D145:N145" si="200">AVERAGE(D126:D139,D124)</f>
        <v>4.0179188716521628</v>
      </c>
      <c r="E145" s="338">
        <f t="shared" si="200"/>
        <v>3.9529571240597678</v>
      </c>
      <c r="F145" s="338">
        <f t="shared" si="200"/>
        <v>3.9600256143208403</v>
      </c>
      <c r="G145" s="338">
        <f t="shared" si="200"/>
        <v>3.7882515497783711</v>
      </c>
      <c r="H145" s="338">
        <f t="shared" si="200"/>
        <v>3.8399838068160079</v>
      </c>
      <c r="I145" s="338">
        <f t="shared" si="200"/>
        <v>3.8144536299349165</v>
      </c>
      <c r="J145" s="338">
        <f t="shared" si="200"/>
        <v>3.7101683621288379</v>
      </c>
      <c r="K145" s="338">
        <f t="shared" si="200"/>
        <v>3.7356113914703784</v>
      </c>
      <c r="L145" s="338">
        <f t="shared" si="200"/>
        <v>3.8787448754975076</v>
      </c>
      <c r="M145" s="338">
        <f t="shared" si="200"/>
        <v>3.8154071220135619</v>
      </c>
      <c r="N145" s="338">
        <f t="shared" si="200"/>
        <v>3.6347383105610245</v>
      </c>
      <c r="O145" s="338">
        <f t="shared" ref="O145" si="201">AVERAGE(O126:O139,O124)</f>
        <v>3.892119272576009</v>
      </c>
      <c r="Q145" s="341">
        <f>(O145/H145)-1</f>
        <v>1.3577001462209415E-2</v>
      </c>
      <c r="V145" s="5" t="s">
        <v>1177</v>
      </c>
      <c r="W145" s="338">
        <f>AVERAGE(W126:W139,W124)</f>
        <v>3.6851261528591475</v>
      </c>
      <c r="X145" s="338">
        <f t="shared" ref="X145:AH145" si="202">AVERAGE(X126:X139,X124)</f>
        <v>3.8259770450602431</v>
      </c>
      <c r="Y145" s="338">
        <f t="shared" si="202"/>
        <v>3.718498874357933</v>
      </c>
      <c r="Z145" s="338">
        <f t="shared" si="202"/>
        <v>3.7723353399554327</v>
      </c>
      <c r="AA145" s="338">
        <f t="shared" si="202"/>
        <v>3.6415017954426419</v>
      </c>
      <c r="AB145" s="338">
        <f t="shared" si="202"/>
        <v>3.7035476181808873</v>
      </c>
      <c r="AC145" s="338">
        <f t="shared" si="202"/>
        <v>3.6970654679890846</v>
      </c>
      <c r="AD145" s="338">
        <f t="shared" si="202"/>
        <v>3.6041047315625705</v>
      </c>
      <c r="AE145" s="338">
        <f t="shared" si="202"/>
        <v>3.4164207530805886</v>
      </c>
      <c r="AF145" s="338">
        <f t="shared" si="202"/>
        <v>3.4302252204999704</v>
      </c>
      <c r="AG145" s="338">
        <f t="shared" si="202"/>
        <v>3.4269095694632767</v>
      </c>
      <c r="AH145" s="338">
        <f t="shared" si="202"/>
        <v>3.2597054564817736</v>
      </c>
      <c r="AI145" s="338">
        <f t="shared" ref="AI145" si="203">AVERAGE(AI126:AI139,AI124)</f>
        <v>3.4085551768903009</v>
      </c>
      <c r="AK145" s="341">
        <f>AI145/AB145</f>
        <v>0.9203486840988746</v>
      </c>
    </row>
    <row r="146" spans="2:67">
      <c r="C146" s="110"/>
      <c r="D146" s="110"/>
      <c r="E146" s="110"/>
      <c r="F146" s="110"/>
      <c r="G146" s="110"/>
      <c r="H146" s="110"/>
      <c r="I146" s="110"/>
      <c r="J146" s="110"/>
      <c r="K146" s="110"/>
      <c r="L146" s="110"/>
      <c r="M146" s="110"/>
      <c r="N146" s="110"/>
      <c r="O146" s="110"/>
      <c r="Q146" s="224"/>
      <c r="W146" s="110"/>
      <c r="X146" s="110"/>
      <c r="Y146" s="110"/>
      <c r="Z146" s="110"/>
      <c r="AA146" s="110"/>
      <c r="AB146" s="110"/>
      <c r="AC146" s="110"/>
      <c r="AD146" s="110"/>
      <c r="AE146" s="110"/>
      <c r="AF146" s="110"/>
      <c r="AG146" s="110"/>
      <c r="AH146" s="110"/>
      <c r="AI146" s="110"/>
    </row>
    <row r="147" spans="2:67" ht="16.5">
      <c r="B147" s="7" t="s">
        <v>1343</v>
      </c>
      <c r="C147" s="6"/>
      <c r="D147" s="6"/>
      <c r="E147" s="6"/>
      <c r="F147" s="6"/>
      <c r="G147" s="6"/>
      <c r="H147" s="6"/>
      <c r="I147" s="6"/>
      <c r="J147" s="6"/>
      <c r="K147" s="6"/>
      <c r="L147" s="6"/>
      <c r="M147" s="6"/>
      <c r="N147" s="6"/>
      <c r="O147" s="6"/>
      <c r="P147" s="6"/>
      <c r="Q147" s="257"/>
      <c r="R147" s="6"/>
      <c r="S147" s="6"/>
      <c r="T147" s="6"/>
      <c r="V147" s="7" t="s">
        <v>1349</v>
      </c>
      <c r="W147" s="6"/>
      <c r="X147" s="6"/>
      <c r="Y147" s="6"/>
      <c r="Z147" s="6"/>
      <c r="AA147" s="6"/>
      <c r="AB147" s="6"/>
      <c r="AC147" s="6"/>
      <c r="AD147" s="6"/>
      <c r="AE147" s="6"/>
      <c r="AF147" s="6"/>
      <c r="AG147" s="6"/>
      <c r="AH147" s="6"/>
      <c r="AI147" s="6"/>
      <c r="AJ147" s="6"/>
      <c r="AK147" s="6"/>
      <c r="AL147" s="6"/>
      <c r="AM147" s="6"/>
      <c r="AN147" s="6"/>
      <c r="AP147" s="6"/>
      <c r="AQ147" s="6"/>
      <c r="AR147" s="6"/>
      <c r="AS147" s="6"/>
      <c r="AT147" s="6"/>
      <c r="AU147" s="6"/>
      <c r="AV147" s="6"/>
      <c r="AW147" s="6"/>
      <c r="AY147" s="6"/>
      <c r="AZ147" s="6"/>
      <c r="BA147" s="6"/>
      <c r="BB147" s="6"/>
      <c r="BC147" s="6"/>
      <c r="BD147" s="6"/>
      <c r="BE147" s="6"/>
      <c r="BF147" s="6"/>
      <c r="BG147" s="6"/>
      <c r="BH147" s="6"/>
      <c r="BO147" s="5" t="s">
        <v>1130</v>
      </c>
    </row>
    <row r="148" spans="2:67" ht="16.5">
      <c r="B148" s="64"/>
      <c r="C148" s="35"/>
      <c r="D148" s="35"/>
      <c r="E148" s="35"/>
      <c r="F148" s="35"/>
      <c r="G148" s="35"/>
      <c r="H148" s="35"/>
      <c r="I148" s="35"/>
      <c r="J148" s="35"/>
      <c r="K148" s="35"/>
      <c r="L148" s="35"/>
      <c r="M148" s="35"/>
      <c r="N148" s="35"/>
      <c r="O148" s="35"/>
      <c r="P148" s="35"/>
      <c r="Q148" s="258"/>
      <c r="R148" s="35"/>
      <c r="S148" s="35"/>
      <c r="T148" s="35"/>
      <c r="U148" s="60"/>
      <c r="V148" s="64"/>
      <c r="W148" s="35"/>
      <c r="X148" s="35"/>
      <c r="Y148" s="35"/>
      <c r="Z148" s="35"/>
      <c r="AA148" s="35"/>
      <c r="AB148" s="35"/>
      <c r="AC148" s="35"/>
      <c r="AD148" s="35"/>
      <c r="AE148" s="35"/>
      <c r="AF148" s="35"/>
      <c r="AG148" s="35"/>
      <c r="AH148" s="35"/>
      <c r="AI148" s="35"/>
    </row>
    <row r="150" spans="2:67">
      <c r="B150" s="30" t="s">
        <v>1126</v>
      </c>
      <c r="C150" s="239">
        <v>2000</v>
      </c>
      <c r="D150" s="239">
        <v>2001</v>
      </c>
      <c r="E150" s="239">
        <v>2002</v>
      </c>
      <c r="F150" s="239">
        <v>2003</v>
      </c>
      <c r="G150" s="239">
        <v>2004</v>
      </c>
      <c r="H150" s="239">
        <v>2005</v>
      </c>
      <c r="I150" s="239">
        <v>2006</v>
      </c>
      <c r="J150" s="239">
        <v>2007</v>
      </c>
      <c r="K150" s="239">
        <v>2008</v>
      </c>
      <c r="L150" s="239">
        <v>2009</v>
      </c>
      <c r="M150" s="239">
        <v>2010</v>
      </c>
      <c r="N150" s="239">
        <v>2011</v>
      </c>
      <c r="O150" s="239">
        <v>2012</v>
      </c>
      <c r="Q150" s="69" t="s">
        <v>1144</v>
      </c>
      <c r="V150" s="30" t="s">
        <v>1126</v>
      </c>
      <c r="W150" s="239">
        <v>2000</v>
      </c>
      <c r="X150" s="239">
        <v>2001</v>
      </c>
      <c r="Y150" s="239">
        <v>2002</v>
      </c>
      <c r="Z150" s="239">
        <v>2003</v>
      </c>
      <c r="AA150" s="239">
        <v>2004</v>
      </c>
      <c r="AB150" s="239">
        <v>2005</v>
      </c>
      <c r="AC150" s="239">
        <v>2006</v>
      </c>
      <c r="AD150" s="239">
        <v>2007</v>
      </c>
      <c r="AE150" s="239">
        <v>2008</v>
      </c>
      <c r="AF150" s="239">
        <v>2009</v>
      </c>
      <c r="AG150" s="239">
        <v>2010</v>
      </c>
      <c r="AH150" s="239">
        <v>2011</v>
      </c>
      <c r="AI150" s="239">
        <v>2012</v>
      </c>
    </row>
    <row r="151" spans="2:67">
      <c r="B151" s="238" t="s">
        <v>116</v>
      </c>
      <c r="C151" s="338">
        <f>C42/$C42</f>
        <v>1</v>
      </c>
      <c r="D151" s="338">
        <f t="shared" ref="D151:N151" si="204">D42/$C42</f>
        <v>1.0952274632198116</v>
      </c>
      <c r="E151" s="338">
        <f t="shared" si="204"/>
        <v>1.0578418104218048</v>
      </c>
      <c r="F151" s="338">
        <f t="shared" si="204"/>
        <v>1.1636450085352272</v>
      </c>
      <c r="G151" s="338">
        <f t="shared" si="204"/>
        <v>1.0866262771604021</v>
      </c>
      <c r="H151" s="338">
        <f t="shared" si="204"/>
        <v>1.0796018139975914</v>
      </c>
      <c r="I151" s="338">
        <f t="shared" si="204"/>
        <v>0.96380917009413103</v>
      </c>
      <c r="J151" s="338">
        <f t="shared" si="204"/>
        <v>0.97590255001898951</v>
      </c>
      <c r="K151" s="338">
        <f t="shared" si="204"/>
        <v>0.98059967344012489</v>
      </c>
      <c r="L151" s="338">
        <f t="shared" si="204"/>
        <v>1.7035853404094174</v>
      </c>
      <c r="M151" s="338">
        <f t="shared" si="204"/>
        <v>1.5938245961100268</v>
      </c>
      <c r="N151" s="338">
        <f t="shared" si="204"/>
        <v>1.4123923267915872</v>
      </c>
      <c r="O151" s="363">
        <f t="shared" ref="O151" si="205">O42/$C42</f>
        <v>1.4123923267915872</v>
      </c>
      <c r="Q151" s="341">
        <f>(O151/H151)-1</f>
        <v>0.30825301373079972</v>
      </c>
      <c r="R151" s="240"/>
      <c r="S151" s="240"/>
      <c r="V151" s="238" t="s">
        <v>116</v>
      </c>
      <c r="W151" s="338">
        <f>W42/$W42</f>
        <v>1</v>
      </c>
      <c r="X151" s="338">
        <f t="shared" ref="X151:AH151" si="206">X42/$W42</f>
        <v>1.0952274632198116</v>
      </c>
      <c r="Y151" s="338">
        <f t="shared" si="206"/>
        <v>1.0578418104218048</v>
      </c>
      <c r="Z151" s="338">
        <f t="shared" si="206"/>
        <v>1.1636450085352272</v>
      </c>
      <c r="AA151" s="338">
        <f t="shared" si="206"/>
        <v>1.0866262771604021</v>
      </c>
      <c r="AB151" s="338">
        <f t="shared" si="206"/>
        <v>1.0796018139975914</v>
      </c>
      <c r="AC151" s="338">
        <f t="shared" si="206"/>
        <v>0.96380917009413103</v>
      </c>
      <c r="AD151" s="338">
        <f t="shared" si="206"/>
        <v>0.97590255001898951</v>
      </c>
      <c r="AE151" s="338">
        <f t="shared" si="206"/>
        <v>0.98059967344012489</v>
      </c>
      <c r="AF151" s="338">
        <f t="shared" si="206"/>
        <v>1.7035853404094174</v>
      </c>
      <c r="AG151" s="338">
        <f t="shared" si="206"/>
        <v>1.5938245961100268</v>
      </c>
      <c r="AH151" s="338">
        <f t="shared" si="206"/>
        <v>1.4123923267915872</v>
      </c>
      <c r="AI151" s="363">
        <f>AI42/$W42</f>
        <v>1.4123923267915872</v>
      </c>
    </row>
    <row r="152" spans="2:67">
      <c r="B152" s="238" t="s">
        <v>1051</v>
      </c>
      <c r="C152" s="338">
        <f>C43/$C43</f>
        <v>1</v>
      </c>
      <c r="D152" s="338">
        <f t="shared" ref="D152:N152" si="207">D43/$C43</f>
        <v>1.0359431075543897</v>
      </c>
      <c r="E152" s="338">
        <f t="shared" si="207"/>
        <v>1.103899965892136</v>
      </c>
      <c r="F152" s="338">
        <f t="shared" si="207"/>
        <v>1.255840173058359</v>
      </c>
      <c r="G152" s="338">
        <f t="shared" si="207"/>
        <v>1.1872908655203434</v>
      </c>
      <c r="H152" s="338">
        <f t="shared" si="207"/>
        <v>1.1234854366154265</v>
      </c>
      <c r="I152" s="338">
        <f t="shared" si="207"/>
        <v>1.1986875624786615</v>
      </c>
      <c r="J152" s="338">
        <f t="shared" si="207"/>
        <v>1.2190912249723707</v>
      </c>
      <c r="K152" s="338">
        <f t="shared" si="207"/>
        <v>1.2372750104462451</v>
      </c>
      <c r="L152" s="338">
        <f t="shared" si="207"/>
        <v>1.4162114271170079</v>
      </c>
      <c r="M152" s="338">
        <f t="shared" si="207"/>
        <v>1.2657159814464942</v>
      </c>
      <c r="N152" s="338">
        <f t="shared" si="207"/>
        <v>1.168550929257979</v>
      </c>
      <c r="O152" s="338">
        <f t="shared" ref="O152" si="208">O43/$C43</f>
        <v>1.1743855979428288</v>
      </c>
      <c r="Q152" s="341">
        <f t="shared" ref="Q152:Q166" si="209">(O152/H152)-1</f>
        <v>4.5305581780162862E-2</v>
      </c>
      <c r="R152" s="240"/>
      <c r="S152" s="240"/>
      <c r="V152" s="238" t="s">
        <v>1051</v>
      </c>
      <c r="W152" s="338">
        <f>W43/$W43</f>
        <v>1</v>
      </c>
      <c r="X152" s="338">
        <f t="shared" ref="X152:AH152" si="210">X43/$W43</f>
        <v>0.9763601463468371</v>
      </c>
      <c r="Y152" s="338">
        <f t="shared" si="210"/>
        <v>1.048536760953662</v>
      </c>
      <c r="Z152" s="338">
        <f t="shared" si="210"/>
        <v>1.0676341778737242</v>
      </c>
      <c r="AA152" s="338">
        <f t="shared" si="210"/>
        <v>1.0642104048672172</v>
      </c>
      <c r="AB152" s="338">
        <f t="shared" si="210"/>
        <v>1.0153023680900142</v>
      </c>
      <c r="AC152" s="338">
        <f t="shared" si="210"/>
        <v>1.1075568996049607</v>
      </c>
      <c r="AD152" s="338">
        <f t="shared" si="210"/>
        <v>1.182646511440234</v>
      </c>
      <c r="AE152" s="338">
        <f t="shared" si="210"/>
        <v>1.0701547837948682</v>
      </c>
      <c r="AF152" s="338">
        <f t="shared" si="210"/>
        <v>1.0777684228307567</v>
      </c>
      <c r="AG152" s="338">
        <f t="shared" si="210"/>
        <v>1.0020682120574567</v>
      </c>
      <c r="AH152" s="338">
        <f t="shared" si="210"/>
        <v>0.95178795890227152</v>
      </c>
      <c r="AI152" s="338">
        <f t="shared" ref="AI152" si="211">AI43/$W43</f>
        <v>0.91080753202871456</v>
      </c>
    </row>
    <row r="153" spans="2:67">
      <c r="B153" s="238" t="s">
        <v>245</v>
      </c>
      <c r="C153" s="338">
        <f t="shared" ref="C153:N170" si="212">C44/$C44</f>
        <v>1</v>
      </c>
      <c r="D153" s="338">
        <f t="shared" si="212"/>
        <v>1.0498747942297328</v>
      </c>
      <c r="E153" s="338">
        <f t="shared" si="212"/>
        <v>0.99223303767224558</v>
      </c>
      <c r="F153" s="338">
        <f t="shared" si="212"/>
        <v>0.89012624395925244</v>
      </c>
      <c r="G153" s="338">
        <f t="shared" si="212"/>
        <v>0.93837202723023383</v>
      </c>
      <c r="H153" s="338">
        <f t="shared" si="212"/>
        <v>0.85058927405404028</v>
      </c>
      <c r="I153" s="338">
        <f t="shared" si="212"/>
        <v>0.96999200884588221</v>
      </c>
      <c r="J153" s="338">
        <f t="shared" si="212"/>
        <v>0.90659666224193625</v>
      </c>
      <c r="K153" s="338">
        <f t="shared" si="212"/>
        <v>0.865342930735992</v>
      </c>
      <c r="L153" s="338">
        <f t="shared" si="212"/>
        <v>0.89228065753559727</v>
      </c>
      <c r="M153" s="338">
        <f t="shared" si="212"/>
        <v>0.89660380932090011</v>
      </c>
      <c r="N153" s="338">
        <f t="shared" si="212"/>
        <v>0.89660380932090011</v>
      </c>
      <c r="O153" s="363">
        <f t="shared" ref="O153" si="213">O44/$C44</f>
        <v>0.89660380932090011</v>
      </c>
      <c r="Q153" s="341">
        <f t="shared" si="209"/>
        <v>5.4097243723221888E-2</v>
      </c>
      <c r="V153" s="238" t="s">
        <v>155</v>
      </c>
      <c r="W153" s="338">
        <f t="shared" ref="W153:AH170" si="214">W44/$W44</f>
        <v>1</v>
      </c>
      <c r="X153" s="338">
        <f t="shared" si="214"/>
        <v>1.0498747942297328</v>
      </c>
      <c r="Y153" s="338">
        <f t="shared" si="214"/>
        <v>0.99223303767224558</v>
      </c>
      <c r="Z153" s="338">
        <f t="shared" si="214"/>
        <v>0.89012624395925244</v>
      </c>
      <c r="AA153" s="338">
        <f t="shared" si="214"/>
        <v>0.93837202723023383</v>
      </c>
      <c r="AB153" s="338">
        <f t="shared" si="214"/>
        <v>0.85058927405404028</v>
      </c>
      <c r="AC153" s="338">
        <f t="shared" si="214"/>
        <v>0.96999200884588221</v>
      </c>
      <c r="AD153" s="338">
        <f t="shared" si="214"/>
        <v>0.90659666224193625</v>
      </c>
      <c r="AE153" s="338">
        <f t="shared" si="214"/>
        <v>0.865342930735992</v>
      </c>
      <c r="AF153" s="338">
        <f t="shared" si="214"/>
        <v>0.89228065753559727</v>
      </c>
      <c r="AG153" s="338">
        <f t="shared" si="214"/>
        <v>0.89660380932090011</v>
      </c>
      <c r="AH153" s="338">
        <f t="shared" si="214"/>
        <v>0.89660380932090011</v>
      </c>
      <c r="AI153" s="363">
        <f t="shared" ref="AI153" si="215">AI44/$W44</f>
        <v>0.89660380932090011</v>
      </c>
    </row>
    <row r="154" spans="2:67">
      <c r="B154" s="238" t="s">
        <v>115</v>
      </c>
      <c r="C154" s="338">
        <f t="shared" si="212"/>
        <v>1</v>
      </c>
      <c r="D154" s="338">
        <f t="shared" si="212"/>
        <v>1.0013587820327114</v>
      </c>
      <c r="E154" s="338">
        <f t="shared" si="212"/>
        <v>0.93494318871656146</v>
      </c>
      <c r="F154" s="338">
        <f t="shared" si="212"/>
        <v>0.88710308770204971</v>
      </c>
      <c r="G154" s="338">
        <f t="shared" si="212"/>
        <v>0.83500732498123098</v>
      </c>
      <c r="H154" s="338">
        <f t="shared" si="212"/>
        <v>0.81501741511247783</v>
      </c>
      <c r="I154" s="338">
        <f t="shared" si="212"/>
        <v>0.7848918558835225</v>
      </c>
      <c r="J154" s="338">
        <f t="shared" si="212"/>
        <v>0.80738395823250497</v>
      </c>
      <c r="K154" s="338">
        <f t="shared" si="212"/>
        <v>0.7940727409848426</v>
      </c>
      <c r="L154" s="338">
        <f t="shared" si="212"/>
        <v>1.16827263294795</v>
      </c>
      <c r="M154" s="338">
        <f t="shared" si="212"/>
        <v>0.98175533674706772</v>
      </c>
      <c r="N154" s="338">
        <f t="shared" si="212"/>
        <v>1.1020848038400648</v>
      </c>
      <c r="O154" s="338">
        <f t="shared" ref="O154" si="216">O45/$C45</f>
        <v>1.3603838470232035</v>
      </c>
      <c r="Q154" s="341">
        <f t="shared" si="209"/>
        <v>0.66914696765769288</v>
      </c>
      <c r="V154" s="238" t="s">
        <v>115</v>
      </c>
      <c r="W154" s="338">
        <f t="shared" si="214"/>
        <v>1</v>
      </c>
      <c r="X154" s="338">
        <f t="shared" si="214"/>
        <v>1.0013587820327114</v>
      </c>
      <c r="Y154" s="338">
        <f t="shared" si="214"/>
        <v>0.93494318871656146</v>
      </c>
      <c r="Z154" s="338">
        <f t="shared" si="214"/>
        <v>0.88710308770204971</v>
      </c>
      <c r="AA154" s="338">
        <f t="shared" si="214"/>
        <v>0.83500732498123098</v>
      </c>
      <c r="AB154" s="338">
        <f t="shared" si="214"/>
        <v>0.81501741511247783</v>
      </c>
      <c r="AC154" s="338">
        <f t="shared" si="214"/>
        <v>0.7848918558835225</v>
      </c>
      <c r="AD154" s="338">
        <f t="shared" si="214"/>
        <v>0.80738395823250497</v>
      </c>
      <c r="AE154" s="338">
        <f t="shared" si="214"/>
        <v>0.7940727409848426</v>
      </c>
      <c r="AF154" s="338">
        <f t="shared" si="214"/>
        <v>1.16827263294795</v>
      </c>
      <c r="AG154" s="338">
        <f t="shared" si="214"/>
        <v>0.98175533674706772</v>
      </c>
      <c r="AH154" s="338">
        <f t="shared" si="214"/>
        <v>1.1020848038400648</v>
      </c>
      <c r="AI154" s="338">
        <f t="shared" ref="AI154" si="217">AI45/$W45</f>
        <v>1.3603838470232035</v>
      </c>
    </row>
    <row r="155" spans="2:67">
      <c r="B155" s="238" t="s">
        <v>107</v>
      </c>
      <c r="C155" s="338">
        <f>C46/$C46</f>
        <v>1</v>
      </c>
      <c r="D155" s="338">
        <f t="shared" si="212"/>
        <v>1.1129916613258786</v>
      </c>
      <c r="E155" s="338">
        <f t="shared" si="212"/>
        <v>1.121336818906723</v>
      </c>
      <c r="F155" s="338">
        <f t="shared" si="212"/>
        <v>1.1533843122963314</v>
      </c>
      <c r="G155" s="338">
        <f t="shared" si="212"/>
        <v>1.0988437300208445</v>
      </c>
      <c r="H155" s="338">
        <f t="shared" si="212"/>
        <v>1.1838907445545144</v>
      </c>
      <c r="I155" s="338">
        <f t="shared" si="212"/>
        <v>1.0936320053981541</v>
      </c>
      <c r="J155" s="338">
        <f t="shared" si="212"/>
        <v>1.2098199919220789</v>
      </c>
      <c r="K155" s="338">
        <f t="shared" si="212"/>
        <v>1.3158660240785536</v>
      </c>
      <c r="L155" s="338">
        <f t="shared" si="212"/>
        <v>2.2952280031461862</v>
      </c>
      <c r="M155" s="338">
        <f t="shared" si="212"/>
        <v>1.4185063838898395</v>
      </c>
      <c r="N155" s="338">
        <f t="shared" si="212"/>
        <v>1.336100350110542</v>
      </c>
      <c r="O155" s="338">
        <f t="shared" ref="O155" si="218">O46/$C46</f>
        <v>1.3469222170725723</v>
      </c>
      <c r="Q155" s="341">
        <f t="shared" si="209"/>
        <v>0.13770820767705638</v>
      </c>
      <c r="V155" s="238" t="s">
        <v>107</v>
      </c>
      <c r="W155" s="338">
        <f t="shared" si="214"/>
        <v>1</v>
      </c>
      <c r="X155" s="338">
        <f t="shared" si="214"/>
        <v>1.1129916613258786</v>
      </c>
      <c r="Y155" s="338">
        <f t="shared" si="214"/>
        <v>1.121336818906723</v>
      </c>
      <c r="Z155" s="338">
        <f t="shared" si="214"/>
        <v>1.1533843122963314</v>
      </c>
      <c r="AA155" s="338">
        <f t="shared" si="214"/>
        <v>1.0988437300208445</v>
      </c>
      <c r="AB155" s="338">
        <f t="shared" si="214"/>
        <v>1.1838907445545144</v>
      </c>
      <c r="AC155" s="338">
        <f t="shared" si="214"/>
        <v>1.0936320053981541</v>
      </c>
      <c r="AD155" s="338">
        <f t="shared" si="214"/>
        <v>1.2098199919220789</v>
      </c>
      <c r="AE155" s="338">
        <f t="shared" si="214"/>
        <v>1.3158660240785536</v>
      </c>
      <c r="AF155" s="338">
        <f t="shared" si="214"/>
        <v>2.2952280031461862</v>
      </c>
      <c r="AG155" s="338">
        <f t="shared" si="214"/>
        <v>1.4185063838898395</v>
      </c>
      <c r="AH155" s="338">
        <f t="shared" si="214"/>
        <v>1.336100350110542</v>
      </c>
      <c r="AI155" s="338">
        <f t="shared" ref="AI155" si="219">AI46/$W46</f>
        <v>1.3469222170725723</v>
      </c>
    </row>
    <row r="156" spans="2:67">
      <c r="B156" s="238" t="s">
        <v>114</v>
      </c>
      <c r="C156" s="338">
        <f t="shared" si="212"/>
        <v>1</v>
      </c>
      <c r="D156" s="338">
        <f t="shared" si="212"/>
        <v>0.9903092106116943</v>
      </c>
      <c r="E156" s="338">
        <f t="shared" si="212"/>
        <v>0.97195601031591916</v>
      </c>
      <c r="F156" s="338">
        <f t="shared" si="212"/>
        <v>0.97449722624080382</v>
      </c>
      <c r="G156" s="338">
        <f t="shared" si="212"/>
        <v>0.93017958082973307</v>
      </c>
      <c r="H156" s="338">
        <f t="shared" si="212"/>
        <v>0.92120285690070025</v>
      </c>
      <c r="I156" s="338">
        <f t="shared" si="212"/>
        <v>0.81812618988038954</v>
      </c>
      <c r="J156" s="338">
        <f t="shared" si="212"/>
        <v>0.90423853650894592</v>
      </c>
      <c r="K156" s="338">
        <f t="shared" si="212"/>
        <v>0.83695067288356495</v>
      </c>
      <c r="L156" s="338">
        <f t="shared" si="212"/>
        <v>1.3133470428153506</v>
      </c>
      <c r="M156" s="338">
        <f t="shared" si="212"/>
        <v>1.3080166356789751</v>
      </c>
      <c r="N156" s="338">
        <f t="shared" si="212"/>
        <v>1.1325096288813461</v>
      </c>
      <c r="O156" s="363">
        <f t="shared" ref="O156" si="220">O47/$C47</f>
        <v>1.1325096288813461</v>
      </c>
      <c r="Q156" s="341">
        <f t="shared" si="209"/>
        <v>0.22938136849853841</v>
      </c>
      <c r="V156" s="238" t="s">
        <v>114</v>
      </c>
      <c r="W156" s="338">
        <f t="shared" si="214"/>
        <v>1</v>
      </c>
      <c r="X156" s="338">
        <f t="shared" si="214"/>
        <v>0.9903092106116943</v>
      </c>
      <c r="Y156" s="338">
        <f t="shared" si="214"/>
        <v>0.97195601031591916</v>
      </c>
      <c r="Z156" s="338">
        <f t="shared" si="214"/>
        <v>0.97449722624080382</v>
      </c>
      <c r="AA156" s="338">
        <f t="shared" si="214"/>
        <v>0.93017958082973307</v>
      </c>
      <c r="AB156" s="338">
        <f t="shared" si="214"/>
        <v>0.92120285690070025</v>
      </c>
      <c r="AC156" s="338">
        <f t="shared" si="214"/>
        <v>0.81812618988038954</v>
      </c>
      <c r="AD156" s="338">
        <f t="shared" si="214"/>
        <v>0.90423853650894592</v>
      </c>
      <c r="AE156" s="338">
        <f t="shared" si="214"/>
        <v>0.83695067288356495</v>
      </c>
      <c r="AF156" s="338">
        <f t="shared" si="214"/>
        <v>1.3133470428153506</v>
      </c>
      <c r="AG156" s="338">
        <f t="shared" si="214"/>
        <v>1.3080166356789751</v>
      </c>
      <c r="AH156" s="338">
        <f t="shared" si="214"/>
        <v>1.1325096288813461</v>
      </c>
      <c r="AI156" s="363">
        <f t="shared" ref="AI156" si="221">AI47/$W47</f>
        <v>1.1325096288813461</v>
      </c>
    </row>
    <row r="157" spans="2:67">
      <c r="B157" s="238" t="s">
        <v>105</v>
      </c>
      <c r="C157" s="338">
        <f t="shared" si="212"/>
        <v>1</v>
      </c>
      <c r="D157" s="338">
        <f t="shared" si="212"/>
        <v>1.1313581653155591</v>
      </c>
      <c r="E157" s="338">
        <f t="shared" si="212"/>
        <v>1.0898430706247344</v>
      </c>
      <c r="F157" s="338">
        <f t="shared" si="212"/>
        <v>1.1053850366369986</v>
      </c>
      <c r="G157" s="338">
        <f t="shared" si="212"/>
        <v>1.1157948831002154</v>
      </c>
      <c r="H157" s="338">
        <f t="shared" si="212"/>
        <v>1.2132564677129045</v>
      </c>
      <c r="I157" s="338">
        <f t="shared" si="212"/>
        <v>1.2925300606193399</v>
      </c>
      <c r="J157" s="338">
        <f t="shared" si="212"/>
        <v>1.5119559921852919</v>
      </c>
      <c r="K157" s="338">
        <f t="shared" si="212"/>
        <v>1.9727220191301365</v>
      </c>
      <c r="L157" s="338">
        <f t="shared" si="212"/>
        <v>2.3249910800005558</v>
      </c>
      <c r="M157" s="338">
        <f t="shared" si="212"/>
        <v>2.0109635518940432</v>
      </c>
      <c r="N157" s="338">
        <f t="shared" si="212"/>
        <v>1.885938713956792</v>
      </c>
      <c r="O157" s="338">
        <f t="shared" ref="O157" si="222">O48/$C48</f>
        <v>2.0039606093808868</v>
      </c>
      <c r="Q157" s="341">
        <f t="shared" si="209"/>
        <v>0.65172052464597963</v>
      </c>
      <c r="V157" s="238" t="s">
        <v>105</v>
      </c>
      <c r="W157" s="338">
        <f>W48/$W48</f>
        <v>1</v>
      </c>
      <c r="X157" s="338">
        <f t="shared" si="214"/>
        <v>1.1313581653155591</v>
      </c>
      <c r="Y157" s="338">
        <f t="shared" si="214"/>
        <v>1.0898430706247344</v>
      </c>
      <c r="Z157" s="338">
        <f t="shared" si="214"/>
        <v>1.1053850366369986</v>
      </c>
      <c r="AA157" s="338">
        <f t="shared" si="214"/>
        <v>1.1157948831002154</v>
      </c>
      <c r="AB157" s="338">
        <f t="shared" si="214"/>
        <v>1.2132564677129045</v>
      </c>
      <c r="AC157" s="338">
        <f t="shared" si="214"/>
        <v>1.2925300606193399</v>
      </c>
      <c r="AD157" s="338">
        <f t="shared" si="214"/>
        <v>1.5119559921852919</v>
      </c>
      <c r="AE157" s="338">
        <f t="shared" si="214"/>
        <v>1.9727220191301365</v>
      </c>
      <c r="AF157" s="338">
        <f t="shared" si="214"/>
        <v>2.3249910800005558</v>
      </c>
      <c r="AG157" s="338">
        <f t="shared" si="214"/>
        <v>2.0109635518940432</v>
      </c>
      <c r="AH157" s="338">
        <f t="shared" si="214"/>
        <v>1.885938713956792</v>
      </c>
      <c r="AI157" s="338">
        <f t="shared" ref="AI157" si="223">AI48/$W48</f>
        <v>2.0039606093808868</v>
      </c>
    </row>
    <row r="158" spans="2:67">
      <c r="B158" s="238" t="s">
        <v>156</v>
      </c>
      <c r="C158" s="338">
        <f t="shared" si="212"/>
        <v>1</v>
      </c>
      <c r="D158" s="338">
        <f t="shared" si="212"/>
        <v>1.4040746551372709</v>
      </c>
      <c r="E158" s="338">
        <f t="shared" si="212"/>
        <v>1.114595916430529</v>
      </c>
      <c r="F158" s="338">
        <f t="shared" si="212"/>
        <v>1.1130768412973753</v>
      </c>
      <c r="G158" s="338">
        <f t="shared" si="212"/>
        <v>0.86605473980447867</v>
      </c>
      <c r="H158" s="338">
        <f t="shared" si="212"/>
        <v>0.83418664204204618</v>
      </c>
      <c r="I158" s="338">
        <f t="shared" si="212"/>
        <v>0.86025820563587585</v>
      </c>
      <c r="J158" s="338">
        <f t="shared" si="212"/>
        <v>0.85964501577742947</v>
      </c>
      <c r="K158" s="338">
        <f t="shared" si="212"/>
        <v>0.86944582343461574</v>
      </c>
      <c r="L158" s="338">
        <f t="shared" si="212"/>
        <v>0.92708031342060182</v>
      </c>
      <c r="M158" s="338">
        <f t="shared" si="212"/>
        <v>0.95378982449245509</v>
      </c>
      <c r="N158" s="338">
        <f t="shared" si="212"/>
        <v>0.89997622343076622</v>
      </c>
      <c r="O158" s="338">
        <f t="shared" ref="O158" si="224">O49/$C49</f>
        <v>0.9130246158704679</v>
      </c>
      <c r="Q158" s="341">
        <f t="shared" si="209"/>
        <v>9.4508794381351402E-2</v>
      </c>
      <c r="V158" s="238" t="s">
        <v>156</v>
      </c>
      <c r="W158" s="338">
        <f t="shared" si="214"/>
        <v>1</v>
      </c>
      <c r="X158" s="338">
        <f t="shared" si="214"/>
        <v>1.4040746551372709</v>
      </c>
      <c r="Y158" s="338">
        <f t="shared" si="214"/>
        <v>1.114595916430529</v>
      </c>
      <c r="Z158" s="338">
        <f t="shared" si="214"/>
        <v>1.1130768412973753</v>
      </c>
      <c r="AA158" s="338">
        <f t="shared" si="214"/>
        <v>0.86605473980447867</v>
      </c>
      <c r="AB158" s="338">
        <f t="shared" si="214"/>
        <v>0.83418664204204618</v>
      </c>
      <c r="AC158" s="338">
        <f t="shared" si="214"/>
        <v>0.86025820563587585</v>
      </c>
      <c r="AD158" s="338">
        <f t="shared" si="214"/>
        <v>0.85964501577742947</v>
      </c>
      <c r="AE158" s="338">
        <f t="shared" si="214"/>
        <v>0.86944582343461574</v>
      </c>
      <c r="AF158" s="338">
        <f t="shared" si="214"/>
        <v>0.92708031342060182</v>
      </c>
      <c r="AG158" s="338">
        <f t="shared" si="214"/>
        <v>0.95378982449245509</v>
      </c>
      <c r="AH158" s="338">
        <f t="shared" si="214"/>
        <v>0.89997622343076622</v>
      </c>
      <c r="AI158" s="338">
        <f t="shared" ref="AI158" si="225">AI49/$W49</f>
        <v>0.9130246158704679</v>
      </c>
    </row>
    <row r="159" spans="2:67">
      <c r="B159" s="238" t="s">
        <v>204</v>
      </c>
      <c r="C159" s="338">
        <f t="shared" si="212"/>
        <v>1</v>
      </c>
      <c r="D159" s="338">
        <f t="shared" si="212"/>
        <v>1.1269901980845891</v>
      </c>
      <c r="E159" s="338">
        <f t="shared" si="212"/>
        <v>1.0597868562455011</v>
      </c>
      <c r="F159" s="338">
        <f t="shared" si="212"/>
        <v>0.86024744596296532</v>
      </c>
      <c r="G159" s="338">
        <f t="shared" si="212"/>
        <v>0.85605976468809997</v>
      </c>
      <c r="H159" s="338">
        <f t="shared" si="212"/>
        <v>0.88801532050284537</v>
      </c>
      <c r="I159" s="338">
        <f t="shared" si="212"/>
        <v>0.84321696661952894</v>
      </c>
      <c r="J159" s="338">
        <f t="shared" si="212"/>
        <v>0.80309821206566168</v>
      </c>
      <c r="K159" s="338">
        <f t="shared" si="212"/>
        <v>0.88462952560899288</v>
      </c>
      <c r="L159" s="338">
        <f t="shared" si="212"/>
        <v>0.95449531512445696</v>
      </c>
      <c r="M159" s="338">
        <f t="shared" si="212"/>
        <v>0.95180595979861438</v>
      </c>
      <c r="N159" s="338">
        <f t="shared" si="212"/>
        <v>0.88176225122665364</v>
      </c>
      <c r="O159" s="363">
        <f t="shared" ref="O159" si="226">O50/$C50</f>
        <v>0.88176225122665364</v>
      </c>
      <c r="Q159" s="341">
        <f t="shared" si="209"/>
        <v>-7.0416231925490846E-3</v>
      </c>
      <c r="V159" s="238" t="s">
        <v>204</v>
      </c>
      <c r="W159" s="338">
        <f t="shared" si="214"/>
        <v>1</v>
      </c>
      <c r="X159" s="338">
        <f t="shared" si="214"/>
        <v>1.1269901980845891</v>
      </c>
      <c r="Y159" s="338">
        <f t="shared" si="214"/>
        <v>1.0597868562455011</v>
      </c>
      <c r="Z159" s="338">
        <f t="shared" si="214"/>
        <v>0.86024744596296532</v>
      </c>
      <c r="AA159" s="338">
        <f t="shared" si="214"/>
        <v>0.85605976468809997</v>
      </c>
      <c r="AB159" s="338">
        <f t="shared" si="214"/>
        <v>0.88801532050284537</v>
      </c>
      <c r="AC159" s="338">
        <f t="shared" si="214"/>
        <v>0.84321696661952894</v>
      </c>
      <c r="AD159" s="338">
        <f t="shared" si="214"/>
        <v>0.80309821206566168</v>
      </c>
      <c r="AE159" s="338">
        <f t="shared" si="214"/>
        <v>0.88462952560899288</v>
      </c>
      <c r="AF159" s="338">
        <f t="shared" si="214"/>
        <v>0.95449531512445696</v>
      </c>
      <c r="AG159" s="338">
        <f t="shared" si="214"/>
        <v>0.95180595979861438</v>
      </c>
      <c r="AH159" s="338">
        <f t="shared" si="214"/>
        <v>0.88176225122665364</v>
      </c>
      <c r="AI159" s="363">
        <f t="shared" ref="AI159" si="227">AI50/$W50</f>
        <v>0.88176225122665364</v>
      </c>
    </row>
    <row r="160" spans="2:67">
      <c r="B160" s="238" t="s">
        <v>113</v>
      </c>
      <c r="C160" s="363">
        <f t="shared" si="212"/>
        <v>1</v>
      </c>
      <c r="D160" s="363">
        <f t="shared" si="212"/>
        <v>1</v>
      </c>
      <c r="E160" s="363">
        <f t="shared" si="212"/>
        <v>1</v>
      </c>
      <c r="F160" s="363">
        <f t="shared" si="212"/>
        <v>1</v>
      </c>
      <c r="G160" s="363">
        <f t="shared" si="212"/>
        <v>1</v>
      </c>
      <c r="H160" s="363">
        <f t="shared" si="212"/>
        <v>1</v>
      </c>
      <c r="I160" s="338">
        <f t="shared" si="212"/>
        <v>1</v>
      </c>
      <c r="J160" s="338">
        <f t="shared" si="212"/>
        <v>1.2603713011363604</v>
      </c>
      <c r="K160" s="338">
        <f t="shared" si="212"/>
        <v>1.3888056465274252</v>
      </c>
      <c r="L160" s="338">
        <f t="shared" si="212"/>
        <v>1.8579267414904193</v>
      </c>
      <c r="M160" s="338">
        <f t="shared" si="212"/>
        <v>1.3352015554769499</v>
      </c>
      <c r="N160" s="363">
        <f t="shared" si="212"/>
        <v>1.3352015554769499</v>
      </c>
      <c r="O160" s="363">
        <f t="shared" ref="O160" si="228">O51/$C51</f>
        <v>1.3352015554769499</v>
      </c>
      <c r="Q160" s="341">
        <f t="shared" si="209"/>
        <v>0.33520155547694985</v>
      </c>
      <c r="V160" s="238" t="s">
        <v>113</v>
      </c>
      <c r="W160" s="363">
        <f t="shared" si="214"/>
        <v>1</v>
      </c>
      <c r="X160" s="363">
        <f t="shared" si="214"/>
        <v>1</v>
      </c>
      <c r="Y160" s="363">
        <f t="shared" si="214"/>
        <v>1</v>
      </c>
      <c r="Z160" s="363">
        <f t="shared" si="214"/>
        <v>1</v>
      </c>
      <c r="AA160" s="363">
        <f t="shared" si="214"/>
        <v>1</v>
      </c>
      <c r="AB160" s="363">
        <f t="shared" si="214"/>
        <v>1</v>
      </c>
      <c r="AC160" s="338">
        <f t="shared" si="214"/>
        <v>1</v>
      </c>
      <c r="AD160" s="338">
        <f t="shared" si="214"/>
        <v>1.2603713011363604</v>
      </c>
      <c r="AE160" s="338">
        <f t="shared" si="214"/>
        <v>1.3888056465274252</v>
      </c>
      <c r="AF160" s="338">
        <f t="shared" si="214"/>
        <v>1.8579267414904193</v>
      </c>
      <c r="AG160" s="338">
        <f t="shared" si="214"/>
        <v>1.3352015554769499</v>
      </c>
      <c r="AH160" s="363">
        <f t="shared" si="214"/>
        <v>1.3352015554769499</v>
      </c>
      <c r="AI160" s="363">
        <f t="shared" ref="AI160" si="229">AI51/$W51</f>
        <v>1.3352015554769499</v>
      </c>
    </row>
    <row r="161" spans="2:111">
      <c r="B161" s="238" t="s">
        <v>112</v>
      </c>
      <c r="C161" s="338">
        <f t="shared" si="212"/>
        <v>1</v>
      </c>
      <c r="D161" s="338">
        <f t="shared" si="212"/>
        <v>0.95074922115626681</v>
      </c>
      <c r="E161" s="338">
        <f t="shared" si="212"/>
        <v>0.91665915597277881</v>
      </c>
      <c r="F161" s="338">
        <f t="shared" si="212"/>
        <v>0.69753138748188637</v>
      </c>
      <c r="G161" s="338">
        <f t="shared" si="212"/>
        <v>0.68415508228286914</v>
      </c>
      <c r="H161" s="338">
        <f t="shared" si="212"/>
        <v>0.6644751902636622</v>
      </c>
      <c r="I161" s="338">
        <f t="shared" si="212"/>
        <v>0.67270832079088805</v>
      </c>
      <c r="J161" s="338">
        <f t="shared" si="212"/>
        <v>0.65511943164294351</v>
      </c>
      <c r="K161" s="338">
        <f t="shared" si="212"/>
        <v>0.74426925061196458</v>
      </c>
      <c r="L161" s="338">
        <f t="shared" si="212"/>
        <v>0.81827296829849594</v>
      </c>
      <c r="M161" s="338">
        <f t="shared" si="212"/>
        <v>1.1183364992422296</v>
      </c>
      <c r="N161" s="338">
        <f t="shared" si="212"/>
        <v>0.89842507944543815</v>
      </c>
      <c r="O161" s="338">
        <f t="shared" ref="O161" si="230">O52/$C52</f>
        <v>1.0179672917170448</v>
      </c>
      <c r="Q161" s="341">
        <f t="shared" si="209"/>
        <v>0.53198690731119358</v>
      </c>
      <c r="V161" s="238" t="s">
        <v>112</v>
      </c>
      <c r="W161" s="338">
        <f t="shared" si="214"/>
        <v>1</v>
      </c>
      <c r="X161" s="338">
        <f t="shared" si="214"/>
        <v>0.95074922115626681</v>
      </c>
      <c r="Y161" s="338">
        <f t="shared" si="214"/>
        <v>0.91665915597277881</v>
      </c>
      <c r="Z161" s="338">
        <f t="shared" si="214"/>
        <v>0.69753138748188637</v>
      </c>
      <c r="AA161" s="338">
        <f t="shared" si="214"/>
        <v>0.68415508228286914</v>
      </c>
      <c r="AB161" s="338">
        <f t="shared" si="214"/>
        <v>0.6644751902636622</v>
      </c>
      <c r="AC161" s="338">
        <f t="shared" si="214"/>
        <v>0.67270832079088805</v>
      </c>
      <c r="AD161" s="338">
        <f t="shared" si="214"/>
        <v>0.65511943164294351</v>
      </c>
      <c r="AE161" s="338">
        <f t="shared" si="214"/>
        <v>0.74426925061196458</v>
      </c>
      <c r="AF161" s="338">
        <f t="shared" si="214"/>
        <v>0.81827296829849594</v>
      </c>
      <c r="AG161" s="338">
        <f t="shared" si="214"/>
        <v>1.1183364992422296</v>
      </c>
      <c r="AH161" s="338">
        <f t="shared" si="214"/>
        <v>0.89842507944543815</v>
      </c>
      <c r="AI161" s="338">
        <f t="shared" ref="AI161" si="231">AI52/$W52</f>
        <v>1.0179672917170448</v>
      </c>
    </row>
    <row r="162" spans="2:111">
      <c r="B162" s="5" t="s">
        <v>392</v>
      </c>
      <c r="C162" s="338">
        <f t="shared" si="212"/>
        <v>1</v>
      </c>
      <c r="D162" s="338">
        <f t="shared" si="212"/>
        <v>1.179246470725587</v>
      </c>
      <c r="E162" s="338">
        <f t="shared" si="212"/>
        <v>1.1685087065733037</v>
      </c>
      <c r="F162" s="338">
        <f t="shared" si="212"/>
        <v>1.1724084033814302</v>
      </c>
      <c r="G162" s="338">
        <f t="shared" si="212"/>
        <v>1.1399398651041406</v>
      </c>
      <c r="H162" s="338">
        <f t="shared" si="212"/>
        <v>1.2315193397337461</v>
      </c>
      <c r="I162" s="338">
        <f t="shared" si="212"/>
        <v>1.0660796411889297</v>
      </c>
      <c r="J162" s="338">
        <f t="shared" si="212"/>
        <v>1.0418897772061069</v>
      </c>
      <c r="K162" s="338">
        <f t="shared" si="212"/>
        <v>1.0927922525121403</v>
      </c>
      <c r="L162" s="338">
        <f t="shared" si="212"/>
        <v>1.1927214663735826</v>
      </c>
      <c r="M162" s="338">
        <f t="shared" si="212"/>
        <v>1.1431118783115217</v>
      </c>
      <c r="N162" s="338">
        <f t="shared" si="212"/>
        <v>1.0492116689617113</v>
      </c>
      <c r="O162" s="338">
        <f t="shared" ref="O162" si="232">O53/$C53</f>
        <v>1.0254862433939449</v>
      </c>
      <c r="Q162" s="341">
        <f t="shared" si="209"/>
        <v>-0.1672999275710485</v>
      </c>
      <c r="V162" s="5" t="s">
        <v>392</v>
      </c>
      <c r="W162" s="338">
        <f t="shared" si="214"/>
        <v>1</v>
      </c>
      <c r="X162" s="338">
        <f t="shared" si="214"/>
        <v>1.14769344962464</v>
      </c>
      <c r="Y162" s="338">
        <f t="shared" si="214"/>
        <v>1.1467721302857823</v>
      </c>
      <c r="Z162" s="338">
        <f t="shared" si="214"/>
        <v>1.0547293600040979</v>
      </c>
      <c r="AA162" s="338">
        <f t="shared" si="214"/>
        <v>1.0494702010300683</v>
      </c>
      <c r="AB162" s="338">
        <f t="shared" si="214"/>
        <v>1.1136939255223404</v>
      </c>
      <c r="AC162" s="338">
        <f t="shared" si="214"/>
        <v>0.97367353295879866</v>
      </c>
      <c r="AD162" s="338">
        <f t="shared" si="214"/>
        <v>0.9756793574700473</v>
      </c>
      <c r="AE162" s="338">
        <f t="shared" si="214"/>
        <v>0.8930461648095035</v>
      </c>
      <c r="AF162" s="338">
        <f t="shared" si="214"/>
        <v>0.89098946570220094</v>
      </c>
      <c r="AG162" s="338">
        <f t="shared" si="214"/>
        <v>0.89091229491571855</v>
      </c>
      <c r="AH162" s="338">
        <f t="shared" si="214"/>
        <v>0.82952697676210441</v>
      </c>
      <c r="AI162" s="338">
        <f t="shared" ref="AI162" si="233">AI53/$W53</f>
        <v>0.80954402506119361</v>
      </c>
    </row>
    <row r="163" spans="2:111">
      <c r="B163" s="238" t="s">
        <v>1053</v>
      </c>
      <c r="C163" s="363">
        <f t="shared" si="212"/>
        <v>1</v>
      </c>
      <c r="D163" s="363">
        <f t="shared" si="212"/>
        <v>1</v>
      </c>
      <c r="E163" s="363">
        <f t="shared" si="212"/>
        <v>1</v>
      </c>
      <c r="F163" s="363">
        <f t="shared" si="212"/>
        <v>1</v>
      </c>
      <c r="G163" s="363">
        <f t="shared" si="212"/>
        <v>1</v>
      </c>
      <c r="H163" s="363">
        <f t="shared" si="212"/>
        <v>1</v>
      </c>
      <c r="I163" s="338">
        <f t="shared" si="212"/>
        <v>1</v>
      </c>
      <c r="J163" s="338">
        <f t="shared" si="212"/>
        <v>1.0031381055554696</v>
      </c>
      <c r="K163" s="338">
        <f t="shared" si="212"/>
        <v>1.3801173248682148</v>
      </c>
      <c r="L163" s="338">
        <f t="shared" si="212"/>
        <v>0.93865328193668407</v>
      </c>
      <c r="M163" s="338">
        <f t="shared" si="212"/>
        <v>1.122322976667939</v>
      </c>
      <c r="N163" s="338">
        <f t="shared" si="212"/>
        <v>1.2113700834177838</v>
      </c>
      <c r="O163" s="338">
        <f t="shared" ref="O163" si="234">O54/$C54</f>
        <v>1.1846511023883481</v>
      </c>
      <c r="Q163" s="341">
        <f t="shared" si="209"/>
        <v>0.18465110238834814</v>
      </c>
      <c r="V163" s="238" t="s">
        <v>1125</v>
      </c>
      <c r="W163" s="363">
        <f t="shared" si="214"/>
        <v>1</v>
      </c>
      <c r="X163" s="363">
        <f t="shared" si="214"/>
        <v>1</v>
      </c>
      <c r="Y163" s="363">
        <f t="shared" si="214"/>
        <v>1</v>
      </c>
      <c r="Z163" s="363">
        <f t="shared" si="214"/>
        <v>1</v>
      </c>
      <c r="AA163" s="363">
        <f t="shared" si="214"/>
        <v>1</v>
      </c>
      <c r="AB163" s="363">
        <f t="shared" si="214"/>
        <v>1</v>
      </c>
      <c r="AC163" s="338">
        <f t="shared" si="214"/>
        <v>1</v>
      </c>
      <c r="AD163" s="338">
        <f t="shared" si="214"/>
        <v>1.0388503941595351</v>
      </c>
      <c r="AE163" s="338">
        <f t="shared" si="214"/>
        <v>1.2929439534546023</v>
      </c>
      <c r="AF163" s="338">
        <f t="shared" si="214"/>
        <v>0.83960382613189033</v>
      </c>
      <c r="AG163" s="338">
        <f t="shared" si="214"/>
        <v>1.1249166966125153</v>
      </c>
      <c r="AH163" s="338">
        <f t="shared" si="214"/>
        <v>1.0940151054163432</v>
      </c>
      <c r="AI163" s="338">
        <f t="shared" ref="AI163" si="235">AI54/$W54</f>
        <v>1.0639412107439363</v>
      </c>
    </row>
    <row r="164" spans="2:111">
      <c r="B164" s="238" t="s">
        <v>394</v>
      </c>
      <c r="C164" s="338">
        <f t="shared" si="212"/>
        <v>1</v>
      </c>
      <c r="D164" s="338">
        <f t="shared" si="212"/>
        <v>1.0134463525454858</v>
      </c>
      <c r="E164" s="338">
        <f t="shared" si="212"/>
        <v>0.94880351130941842</v>
      </c>
      <c r="F164" s="338">
        <f t="shared" si="212"/>
        <v>1.0720767480068945</v>
      </c>
      <c r="G164" s="338">
        <f t="shared" si="212"/>
        <v>0.78665885438854366</v>
      </c>
      <c r="H164" s="338">
        <f t="shared" si="212"/>
        <v>0.75152556178073471</v>
      </c>
      <c r="I164" s="338">
        <f t="shared" si="212"/>
        <v>0.71682502989958119</v>
      </c>
      <c r="J164" s="338">
        <f t="shared" si="212"/>
        <v>0.69131160849595974</v>
      </c>
      <c r="K164" s="338">
        <f t="shared" si="212"/>
        <v>0.70047277267389907</v>
      </c>
      <c r="L164" s="338">
        <f t="shared" si="212"/>
        <v>0.71959581933863204</v>
      </c>
      <c r="M164" s="338">
        <f t="shared" si="212"/>
        <v>0.64487549969008506</v>
      </c>
      <c r="N164" s="338">
        <f t="shared" si="212"/>
        <v>0.613511978004739</v>
      </c>
      <c r="O164" s="338">
        <f t="shared" ref="O164" si="236">O55/$C55</f>
        <v>0.60263773913276586</v>
      </c>
      <c r="Q164" s="341">
        <f t="shared" si="209"/>
        <v>-0.19811411643162236</v>
      </c>
      <c r="V164" s="238" t="s">
        <v>394</v>
      </c>
      <c r="W164" s="338">
        <f t="shared" si="214"/>
        <v>1</v>
      </c>
      <c r="X164" s="338">
        <f t="shared" si="214"/>
        <v>0.99380825510121429</v>
      </c>
      <c r="Y164" s="338">
        <f t="shared" si="214"/>
        <v>1.0223105854674426</v>
      </c>
      <c r="Z164" s="338">
        <f t="shared" si="214"/>
        <v>1.3909536450781896</v>
      </c>
      <c r="AA164" s="338">
        <f t="shared" si="214"/>
        <v>1.1990803841670234</v>
      </c>
      <c r="AB164" s="338">
        <f t="shared" si="214"/>
        <v>1.1745754183116106</v>
      </c>
      <c r="AC164" s="338">
        <f t="shared" si="214"/>
        <v>1.1549985950403909</v>
      </c>
      <c r="AD164" s="338">
        <f t="shared" si="214"/>
        <v>1.2424417366250644</v>
      </c>
      <c r="AE164" s="338">
        <f t="shared" si="214"/>
        <v>1.1705424132272413</v>
      </c>
      <c r="AF164" s="338">
        <f t="shared" si="214"/>
        <v>1.0207333972927595</v>
      </c>
      <c r="AG164" s="338">
        <f t="shared" si="214"/>
        <v>0.91416025842277659</v>
      </c>
      <c r="AH164" s="338">
        <f t="shared" si="214"/>
        <v>0.90631114865052653</v>
      </c>
      <c r="AI164" s="338">
        <f t="shared" ref="AI164" si="237">AI55/$W55</f>
        <v>0.85702848668078968</v>
      </c>
    </row>
    <row r="165" spans="2:111">
      <c r="B165" s="5" t="s">
        <v>1050</v>
      </c>
      <c r="C165" s="338">
        <f t="shared" si="212"/>
        <v>1</v>
      </c>
      <c r="D165" s="338">
        <f t="shared" si="212"/>
        <v>1.0026841380984255</v>
      </c>
      <c r="E165" s="338">
        <f t="shared" si="212"/>
        <v>1.0427409687741598</v>
      </c>
      <c r="F165" s="338">
        <f t="shared" si="212"/>
        <v>1.1453588170113453</v>
      </c>
      <c r="G165" s="338">
        <f t="shared" si="212"/>
        <v>1.0414981409169111</v>
      </c>
      <c r="H165" s="338">
        <f t="shared" si="212"/>
        <v>1.4238114475987722</v>
      </c>
      <c r="I165" s="338">
        <f t="shared" si="212"/>
        <v>1.1407204832909372</v>
      </c>
      <c r="J165" s="338">
        <f t="shared" si="212"/>
        <v>1.045529136471296</v>
      </c>
      <c r="K165" s="338">
        <f t="shared" si="212"/>
        <v>1.055240929105836</v>
      </c>
      <c r="L165" s="338">
        <f t="shared" si="212"/>
        <v>1.1149806229167933</v>
      </c>
      <c r="M165" s="338">
        <f t="shared" si="212"/>
        <v>0.89458521240539923</v>
      </c>
      <c r="N165" s="338">
        <f t="shared" si="212"/>
        <v>0.83661356851068547</v>
      </c>
      <c r="O165" s="363">
        <f t="shared" ref="O165" si="238">O56/$C56</f>
        <v>0.83661356851068547</v>
      </c>
      <c r="Q165" s="341">
        <f t="shared" si="209"/>
        <v>-0.41241266888139116</v>
      </c>
      <c r="V165" s="5" t="s">
        <v>1050</v>
      </c>
      <c r="W165" s="338">
        <f t="shared" si="214"/>
        <v>1</v>
      </c>
      <c r="X165" s="338">
        <f t="shared" si="214"/>
        <v>0.98664346374317291</v>
      </c>
      <c r="Y165" s="338">
        <f t="shared" si="214"/>
        <v>1.0379821313850259</v>
      </c>
      <c r="Z165" s="338">
        <f t="shared" si="214"/>
        <v>1.08638623873426</v>
      </c>
      <c r="AA165" s="338">
        <f t="shared" si="214"/>
        <v>1.0225942277463964</v>
      </c>
      <c r="AB165" s="338">
        <f t="shared" si="214"/>
        <v>1.4338572232579936</v>
      </c>
      <c r="AC165" s="338">
        <f t="shared" si="214"/>
        <v>1.1733815432464794</v>
      </c>
      <c r="AD165" s="338">
        <f t="shared" si="214"/>
        <v>1.0987645802206321</v>
      </c>
      <c r="AE165" s="338">
        <f t="shared" si="214"/>
        <v>0.97024665169060254</v>
      </c>
      <c r="AF165" s="338">
        <f t="shared" si="214"/>
        <v>0.92415035862026063</v>
      </c>
      <c r="AG165" s="338">
        <f t="shared" si="214"/>
        <v>0.77624838170609622</v>
      </c>
      <c r="AH165" s="338">
        <f t="shared" si="214"/>
        <v>0.7330531610156561</v>
      </c>
      <c r="AI165" s="363">
        <f t="shared" ref="AI165" si="239">AI56/$W56</f>
        <v>0.7330531610156561</v>
      </c>
    </row>
    <row r="166" spans="2:111">
      <c r="B166" s="5" t="s">
        <v>399</v>
      </c>
      <c r="C166" s="338">
        <f t="shared" si="212"/>
        <v>1</v>
      </c>
      <c r="D166" s="338">
        <f t="shared" si="212"/>
        <v>1.287764167402611</v>
      </c>
      <c r="E166" s="338">
        <f t="shared" si="212"/>
        <v>1.3831079415644496</v>
      </c>
      <c r="F166" s="338">
        <f t="shared" si="212"/>
        <v>1.6060040495398828</v>
      </c>
      <c r="G166" s="338">
        <f t="shared" si="212"/>
        <v>1.5298995874886874</v>
      </c>
      <c r="H166" s="338">
        <f t="shared" si="212"/>
        <v>1.5636941107536462</v>
      </c>
      <c r="I166" s="338">
        <f t="shared" si="212"/>
        <v>1.4634952679482018</v>
      </c>
      <c r="J166" s="338">
        <f t="shared" si="212"/>
        <v>1.3651743620464896</v>
      </c>
      <c r="K166" s="338">
        <f t="shared" si="212"/>
        <v>1.3307279069615403</v>
      </c>
      <c r="L166" s="338">
        <f t="shared" si="212"/>
        <v>1.3138612642897167</v>
      </c>
      <c r="M166" s="338">
        <f t="shared" si="212"/>
        <v>1.2340819299006012</v>
      </c>
      <c r="N166" s="338">
        <f t="shared" si="212"/>
        <v>1.1506420133474942</v>
      </c>
      <c r="O166" s="338">
        <f t="shared" ref="O166" si="240">O57/$C57</f>
        <v>1.3471691600630922</v>
      </c>
      <c r="Q166" s="341">
        <f t="shared" si="209"/>
        <v>-0.13847014528064983</v>
      </c>
      <c r="V166" s="5" t="s">
        <v>399</v>
      </c>
      <c r="W166" s="338">
        <f t="shared" si="214"/>
        <v>1</v>
      </c>
      <c r="X166" s="338">
        <f t="shared" si="214"/>
        <v>1.2277540560275773</v>
      </c>
      <c r="Y166" s="338">
        <f t="shared" si="214"/>
        <v>1.3119968460039539</v>
      </c>
      <c r="Z166" s="338">
        <f t="shared" si="214"/>
        <v>1.483766437151145</v>
      </c>
      <c r="AA166" s="338">
        <f t="shared" si="214"/>
        <v>1.47324456006275</v>
      </c>
      <c r="AB166" s="338">
        <f t="shared" si="214"/>
        <v>1.5193104041169132</v>
      </c>
      <c r="AC166" s="338">
        <f t="shared" si="214"/>
        <v>1.4854354769671341</v>
      </c>
      <c r="AD166" s="338">
        <f t="shared" si="214"/>
        <v>1.5117541501523157</v>
      </c>
      <c r="AE166" s="338">
        <f t="shared" si="214"/>
        <v>1.2658314131721071</v>
      </c>
      <c r="AF166" s="338">
        <f t="shared" si="214"/>
        <v>1.0830435865037522</v>
      </c>
      <c r="AG166" s="338">
        <f t="shared" si="214"/>
        <v>0.98468997348919474</v>
      </c>
      <c r="AH166" s="338">
        <f t="shared" si="214"/>
        <v>0.86532123151040996</v>
      </c>
      <c r="AI166" s="338">
        <f t="shared" ref="AI166" si="241">AI57/$W57</f>
        <v>0.97588964095665465</v>
      </c>
    </row>
    <row r="167" spans="2:111">
      <c r="C167" s="110"/>
      <c r="D167" s="110"/>
      <c r="E167" s="110"/>
      <c r="F167" s="110"/>
      <c r="G167" s="110"/>
      <c r="H167" s="110"/>
      <c r="I167" s="110"/>
      <c r="J167" s="110"/>
      <c r="K167" s="110"/>
      <c r="L167" s="110"/>
      <c r="M167" s="110"/>
      <c r="N167" s="110"/>
      <c r="O167" s="110"/>
      <c r="Q167" s="224"/>
      <c r="W167" s="110"/>
      <c r="X167" s="110"/>
      <c r="Y167" s="110"/>
      <c r="Z167" s="110"/>
      <c r="AA167" s="110"/>
      <c r="AB167" s="110"/>
      <c r="AC167" s="110"/>
      <c r="AD167" s="110"/>
      <c r="AE167" s="110"/>
      <c r="AF167" s="110"/>
      <c r="AG167" s="110"/>
      <c r="AH167" s="110"/>
      <c r="AI167" s="110"/>
    </row>
    <row r="168" spans="2:111">
      <c r="B168" s="5" t="s">
        <v>1137</v>
      </c>
      <c r="C168" s="338">
        <f t="shared" si="212"/>
        <v>1</v>
      </c>
      <c r="D168" s="338">
        <f t="shared" ref="D168:M168" si="242">D59/$C59</f>
        <v>1.0867588145230638</v>
      </c>
      <c r="E168" s="338">
        <f t="shared" si="242"/>
        <v>1.0646337970417763</v>
      </c>
      <c r="F168" s="338">
        <f t="shared" si="242"/>
        <v>1.0882243292728644</v>
      </c>
      <c r="G168" s="338">
        <f t="shared" si="242"/>
        <v>1.0187027611704356</v>
      </c>
      <c r="H168" s="338">
        <f t="shared" si="242"/>
        <v>1.0695318249770902</v>
      </c>
      <c r="I168" s="338">
        <f t="shared" si="242"/>
        <v>1.0144854492625792</v>
      </c>
      <c r="J168" s="338">
        <f t="shared" si="242"/>
        <v>1.0210290948281706</v>
      </c>
      <c r="K168" s="338">
        <f t="shared" si="242"/>
        <v>1.0902721682910081</v>
      </c>
      <c r="L168" s="338">
        <f t="shared" si="242"/>
        <v>1.265272534760725</v>
      </c>
      <c r="M168" s="338">
        <f t="shared" si="242"/>
        <v>1.143945383919055</v>
      </c>
      <c r="N168" s="338">
        <f>N59/$C59</f>
        <v>1.0772048330660027</v>
      </c>
      <c r="O168" s="338">
        <f>O59/$C59</f>
        <v>1.1166926099859589</v>
      </c>
      <c r="Q168" s="341">
        <f>(O168/H168)-1</f>
        <v>4.4094793541911592E-2</v>
      </c>
      <c r="V168" s="5" t="s">
        <v>1137</v>
      </c>
      <c r="W168" s="338">
        <f t="shared" si="214"/>
        <v>1</v>
      </c>
      <c r="X168" s="338">
        <f t="shared" si="214"/>
        <v>1.0683348003869175</v>
      </c>
      <c r="Y168" s="338">
        <f t="shared" si="214"/>
        <v>1.0549080595946356</v>
      </c>
      <c r="Z168" s="338">
        <f t="shared" si="214"/>
        <v>1.0714860824357209</v>
      </c>
      <c r="AA168" s="338">
        <f t="shared" si="214"/>
        <v>1.0247902704073875</v>
      </c>
      <c r="AB168" s="338">
        <f t="shared" si="214"/>
        <v>1.0836336483381672</v>
      </c>
      <c r="AC168" s="338">
        <f t="shared" si="214"/>
        <v>1.040024043128851</v>
      </c>
      <c r="AD168" s="338">
        <f t="shared" si="214"/>
        <v>1.0750681312455206</v>
      </c>
      <c r="AE168" s="338">
        <f t="shared" si="214"/>
        <v>1.0796254807298904</v>
      </c>
      <c r="AF168" s="338">
        <f t="shared" si="214"/>
        <v>1.2031063514311253</v>
      </c>
      <c r="AG168" s="338">
        <f t="shared" si="214"/>
        <v>1.0964235870566401</v>
      </c>
      <c r="AH168" s="338">
        <f t="shared" si="214"/>
        <v>1.0294344121233416</v>
      </c>
      <c r="AI168" s="338">
        <f t="shared" ref="AI168" si="243">AI59/$W59</f>
        <v>1.0540722209761948</v>
      </c>
    </row>
    <row r="169" spans="2:111">
      <c r="B169" s="5" t="s">
        <v>1142</v>
      </c>
      <c r="C169" s="338">
        <f t="shared" si="212"/>
        <v>1</v>
      </c>
      <c r="D169" s="338">
        <f t="shared" ref="D169:M169" si="244">D60/$C60</f>
        <v>1.0013587820327114</v>
      </c>
      <c r="E169" s="338">
        <f t="shared" si="244"/>
        <v>0.93494318871656146</v>
      </c>
      <c r="F169" s="338">
        <f t="shared" si="244"/>
        <v>0.88710308770204971</v>
      </c>
      <c r="G169" s="338">
        <f t="shared" si="244"/>
        <v>0.83500732498123098</v>
      </c>
      <c r="H169" s="338">
        <f t="shared" si="244"/>
        <v>0.81501741511247783</v>
      </c>
      <c r="I169" s="338">
        <f t="shared" si="244"/>
        <v>0.7848918558835225</v>
      </c>
      <c r="J169" s="338">
        <f t="shared" si="244"/>
        <v>0.80738395823250497</v>
      </c>
      <c r="K169" s="338">
        <f t="shared" si="244"/>
        <v>0.7940727409848426</v>
      </c>
      <c r="L169" s="338">
        <f t="shared" si="244"/>
        <v>1.0752299273185744</v>
      </c>
      <c r="M169" s="338">
        <f t="shared" si="244"/>
        <v>0.98175533674706772</v>
      </c>
      <c r="N169" s="338">
        <f>N60/$C60</f>
        <v>1.1020848038400648</v>
      </c>
      <c r="O169" s="338">
        <f>O60/$C60</f>
        <v>1.0954796238206279</v>
      </c>
      <c r="Q169" s="341">
        <f t="shared" ref="Q169" si="245">(O169/H169)-1</f>
        <v>0.34411805626195657</v>
      </c>
      <c r="V169" s="5" t="s">
        <v>1142</v>
      </c>
      <c r="W169" s="338">
        <f t="shared" si="214"/>
        <v>1</v>
      </c>
      <c r="X169" s="338">
        <f t="shared" si="214"/>
        <v>1.0013587820327114</v>
      </c>
      <c r="Y169" s="338">
        <f t="shared" si="214"/>
        <v>0.93494318871656146</v>
      </c>
      <c r="Z169" s="338">
        <f t="shared" si="214"/>
        <v>0.88710308770204971</v>
      </c>
      <c r="AA169" s="338">
        <f t="shared" si="214"/>
        <v>0.83500732498123098</v>
      </c>
      <c r="AB169" s="338">
        <f t="shared" si="214"/>
        <v>0.81501741511247783</v>
      </c>
      <c r="AC169" s="338">
        <f t="shared" si="214"/>
        <v>0.7848918558835225</v>
      </c>
      <c r="AD169" s="338">
        <f t="shared" si="214"/>
        <v>0.80738395823250497</v>
      </c>
      <c r="AE169" s="338">
        <f t="shared" si="214"/>
        <v>0.7940727409848426</v>
      </c>
      <c r="AF169" s="338">
        <f t="shared" si="214"/>
        <v>0.95080013062696034</v>
      </c>
      <c r="AG169" s="338">
        <f t="shared" si="214"/>
        <v>0.98175533674706772</v>
      </c>
      <c r="AH169" s="338">
        <f t="shared" si="214"/>
        <v>0.93618680759226092</v>
      </c>
      <c r="AI169" s="338">
        <f t="shared" ref="AI169" si="246">AI60/$W60</f>
        <v>0.91363446597684017</v>
      </c>
    </row>
    <row r="170" spans="2:111">
      <c r="B170" s="5" t="s">
        <v>1143</v>
      </c>
      <c r="C170" s="338">
        <f t="shared" si="212"/>
        <v>1</v>
      </c>
      <c r="D170" s="338">
        <f t="shared" ref="D170:N170" si="247">D61/$C61</f>
        <v>1.0026841380984255</v>
      </c>
      <c r="E170" s="338">
        <f t="shared" si="247"/>
        <v>1.0427409687741598</v>
      </c>
      <c r="F170" s="338">
        <f t="shared" si="247"/>
        <v>1.1453588170113453</v>
      </c>
      <c r="G170" s="338">
        <f t="shared" si="247"/>
        <v>1.0414981409169111</v>
      </c>
      <c r="H170" s="338">
        <f t="shared" si="247"/>
        <v>1.4238114475987722</v>
      </c>
      <c r="I170" s="338">
        <f t="shared" si="247"/>
        <v>1.1407204832909372</v>
      </c>
      <c r="J170" s="338">
        <f t="shared" si="247"/>
        <v>1.045529136471296</v>
      </c>
      <c r="K170" s="338">
        <f t="shared" si="247"/>
        <v>1.055240929105836</v>
      </c>
      <c r="L170" s="338">
        <f t="shared" si="247"/>
        <v>1.1569278752131795</v>
      </c>
      <c r="M170" s="338">
        <f t="shared" si="247"/>
        <v>1.0006661140495074</v>
      </c>
      <c r="N170" s="338">
        <f t="shared" si="247"/>
        <v>0.93845309252532105</v>
      </c>
      <c r="O170" s="338">
        <f t="shared" ref="O170" si="248">O61/$C61</f>
        <v>0.99718141276541317</v>
      </c>
      <c r="Q170" s="341">
        <f>(O170/H170)-1</f>
        <v>-0.29963941893630752</v>
      </c>
      <c r="V170" s="5" t="s">
        <v>1143</v>
      </c>
      <c r="W170" s="338">
        <f t="shared" si="214"/>
        <v>1</v>
      </c>
      <c r="X170" s="338">
        <f t="shared" si="214"/>
        <v>0.98664346374317291</v>
      </c>
      <c r="Y170" s="338">
        <f t="shared" si="214"/>
        <v>1.0379821313850259</v>
      </c>
      <c r="Z170" s="338">
        <f t="shared" si="214"/>
        <v>1.08638623873426</v>
      </c>
      <c r="AA170" s="338">
        <f t="shared" si="214"/>
        <v>1.0225942277463964</v>
      </c>
      <c r="AB170" s="338">
        <f t="shared" si="214"/>
        <v>1.4338572232579936</v>
      </c>
      <c r="AC170" s="338">
        <f t="shared" si="214"/>
        <v>1.1733815432464794</v>
      </c>
      <c r="AD170" s="338">
        <f t="shared" si="214"/>
        <v>1.0987645802206321</v>
      </c>
      <c r="AE170" s="338">
        <f t="shared" si="214"/>
        <v>0.97024665169060254</v>
      </c>
      <c r="AF170" s="338">
        <f t="shared" si="214"/>
        <v>1.0670078544668844</v>
      </c>
      <c r="AG170" s="338">
        <f t="shared" si="214"/>
        <v>0.92289124176642223</v>
      </c>
      <c r="AH170" s="338">
        <f t="shared" si="214"/>
        <v>0.86551360912515463</v>
      </c>
      <c r="AI170" s="338">
        <f t="shared" ref="AI170" si="249">AI61/$W61</f>
        <v>0.91967738226812434</v>
      </c>
    </row>
    <row r="171" spans="2:111">
      <c r="C171" s="110"/>
      <c r="D171" s="110"/>
      <c r="E171" s="110"/>
      <c r="F171" s="110"/>
      <c r="G171" s="110"/>
      <c r="H171" s="110"/>
      <c r="I171" s="110"/>
      <c r="J171" s="110"/>
      <c r="K171" s="110"/>
      <c r="L171" s="110"/>
      <c r="M171" s="110"/>
      <c r="N171" s="110"/>
      <c r="O171" s="110"/>
      <c r="Q171" s="224"/>
      <c r="W171" s="110"/>
      <c r="X171" s="110"/>
      <c r="Y171" s="110"/>
      <c r="Z171" s="110"/>
      <c r="AA171" s="110"/>
      <c r="AB171" s="110"/>
      <c r="AC171" s="110"/>
      <c r="AD171" s="110"/>
      <c r="AE171" s="110"/>
      <c r="AF171" s="110"/>
      <c r="AG171" s="110"/>
      <c r="AH171" s="110"/>
      <c r="AI171" s="110"/>
    </row>
    <row r="172" spans="2:111">
      <c r="B172" s="5" t="s">
        <v>1177</v>
      </c>
      <c r="C172" s="338">
        <f>C63/$C63</f>
        <v>1</v>
      </c>
      <c r="D172" s="338">
        <f t="shared" ref="D172:N172" si="250">D63/$C63</f>
        <v>1.0904291339500118</v>
      </c>
      <c r="E172" s="338">
        <f t="shared" si="250"/>
        <v>1.0617976782322489</v>
      </c>
      <c r="F172" s="338">
        <f t="shared" si="250"/>
        <v>1.0761177637164816</v>
      </c>
      <c r="G172" s="338">
        <f t="shared" si="250"/>
        <v>1.0065259711293313</v>
      </c>
      <c r="H172" s="338">
        <f t="shared" si="250"/>
        <v>1.0656348608145674</v>
      </c>
      <c r="I172" s="338">
        <f t="shared" si="250"/>
        <v>1.0011808898073966</v>
      </c>
      <c r="J172" s="338">
        <f t="shared" si="250"/>
        <v>1.006723453376422</v>
      </c>
      <c r="K172" s="338">
        <f t="shared" si="250"/>
        <v>1.0796544396483356</v>
      </c>
      <c r="L172" s="338">
        <f t="shared" si="250"/>
        <v>1.2543705128870786</v>
      </c>
      <c r="M172" s="338">
        <f t="shared" si="250"/>
        <v>1.1351501311045751</v>
      </c>
      <c r="N172" s="338">
        <f t="shared" si="250"/>
        <v>1.0706070826571388</v>
      </c>
      <c r="O172" s="338">
        <f t="shared" ref="O172" si="251">O63/$C63</f>
        <v>1.1125255579634945</v>
      </c>
      <c r="Q172" s="364">
        <f>(O172/H172)-1</f>
        <v>4.4002593076848173E-2</v>
      </c>
      <c r="V172" s="5" t="s">
        <v>1177</v>
      </c>
      <c r="W172" s="338">
        <f>W63/$W63</f>
        <v>1</v>
      </c>
      <c r="X172" s="338">
        <f t="shared" ref="X172:AH172" si="252">X63/$W63</f>
        <v>1.0762661126607784</v>
      </c>
      <c r="Y172" s="338">
        <f t="shared" si="252"/>
        <v>1.0554574800805185</v>
      </c>
      <c r="Z172" s="338">
        <f t="shared" si="252"/>
        <v>1.0718182463155328</v>
      </c>
      <c r="AA172" s="338">
        <f t="shared" si="252"/>
        <v>1.0213909274085844</v>
      </c>
      <c r="AB172" s="338">
        <f t="shared" si="252"/>
        <v>1.0895261056393348</v>
      </c>
      <c r="AC172" s="338">
        <f t="shared" si="252"/>
        <v>1.0342004368424449</v>
      </c>
      <c r="AD172" s="338">
        <f t="shared" si="252"/>
        <v>1.0657912523472473</v>
      </c>
      <c r="AE172" s="338">
        <f t="shared" si="252"/>
        <v>1.0804421737158736</v>
      </c>
      <c r="AF172" s="338">
        <f t="shared" si="252"/>
        <v>1.2139147014256273</v>
      </c>
      <c r="AG172" s="338">
        <f t="shared" si="252"/>
        <v>1.1045601976440489</v>
      </c>
      <c r="AH172" s="338">
        <f t="shared" si="252"/>
        <v>1.0361301510079444</v>
      </c>
      <c r="AI172" s="338">
        <f t="shared" ref="AI172" si="253">AI63/$W63</f>
        <v>1.0664264613668666</v>
      </c>
    </row>
    <row r="173" spans="2:111">
      <c r="C173" s="110"/>
      <c r="D173" s="110"/>
      <c r="E173" s="110"/>
      <c r="F173" s="110"/>
      <c r="G173" s="110"/>
      <c r="H173" s="110"/>
      <c r="I173" s="110"/>
      <c r="J173" s="110"/>
      <c r="K173" s="110"/>
      <c r="L173" s="110"/>
      <c r="M173" s="110"/>
      <c r="N173" s="110"/>
      <c r="O173" s="110"/>
      <c r="Q173" s="224"/>
      <c r="W173" s="110"/>
      <c r="X173" s="110"/>
      <c r="Y173" s="110"/>
      <c r="Z173" s="110"/>
      <c r="AA173" s="110"/>
      <c r="AB173" s="110"/>
      <c r="AC173" s="110"/>
      <c r="AD173" s="110"/>
      <c r="AE173" s="110"/>
      <c r="AF173" s="110"/>
      <c r="AG173" s="110"/>
      <c r="AH173" s="110"/>
      <c r="AI173" s="110"/>
    </row>
    <row r="174" spans="2:111" ht="16.5">
      <c r="B174" s="7" t="s">
        <v>1342</v>
      </c>
      <c r="C174" s="6"/>
      <c r="D174" s="6"/>
      <c r="E174" s="6"/>
      <c r="F174" s="6"/>
      <c r="G174" s="6"/>
      <c r="H174" s="6"/>
      <c r="I174" s="6"/>
      <c r="J174" s="6"/>
      <c r="K174" s="6"/>
      <c r="L174" s="6"/>
      <c r="M174" s="6"/>
      <c r="N174" s="6"/>
      <c r="O174" s="6"/>
      <c r="P174" s="6"/>
      <c r="Q174" s="257"/>
      <c r="R174" s="6"/>
      <c r="S174" s="6"/>
      <c r="T174" s="6"/>
      <c r="V174" s="7" t="s">
        <v>1350</v>
      </c>
      <c r="W174" s="6"/>
      <c r="X174" s="6"/>
      <c r="Y174" s="6"/>
      <c r="Z174" s="6"/>
      <c r="AA174" s="6"/>
      <c r="AB174" s="6"/>
      <c r="AC174" s="6"/>
      <c r="AD174" s="6"/>
      <c r="AE174" s="6"/>
      <c r="AF174" s="6"/>
      <c r="AG174" s="6"/>
      <c r="AH174" s="6"/>
      <c r="AI174" s="6"/>
      <c r="AJ174" s="6"/>
      <c r="AK174" s="6"/>
      <c r="AL174" s="6"/>
      <c r="AM174" s="6"/>
      <c r="AN174" s="6"/>
    </row>
    <row r="175" spans="2:111">
      <c r="C175" s="110"/>
      <c r="D175" s="110"/>
      <c r="E175" s="110"/>
      <c r="F175" s="110"/>
      <c r="G175" s="110"/>
      <c r="H175" s="110"/>
      <c r="I175" s="110"/>
      <c r="J175" s="110"/>
      <c r="K175" s="110"/>
      <c r="L175" s="110"/>
      <c r="M175" s="110"/>
      <c r="N175" s="110"/>
      <c r="O175" s="110"/>
      <c r="Q175" s="224"/>
      <c r="W175" s="110"/>
      <c r="X175" s="110"/>
      <c r="Y175" s="110"/>
      <c r="Z175" s="110"/>
      <c r="AA175" s="110"/>
      <c r="AB175" s="110"/>
      <c r="AC175" s="110"/>
      <c r="AD175" s="110"/>
      <c r="AE175" s="110"/>
      <c r="AF175" s="110"/>
      <c r="AG175" s="110"/>
      <c r="AH175" s="110"/>
      <c r="AI175" s="110"/>
    </row>
    <row r="176" spans="2:111">
      <c r="C176" s="110"/>
      <c r="D176" s="110"/>
      <c r="E176" s="110"/>
      <c r="F176" s="110"/>
      <c r="G176" s="110"/>
      <c r="H176" s="110"/>
      <c r="I176" s="110"/>
      <c r="J176" s="110"/>
      <c r="K176" s="110"/>
      <c r="L176" s="110"/>
      <c r="M176" s="110"/>
      <c r="N176" s="110"/>
      <c r="O176" s="110"/>
      <c r="Q176" s="224"/>
      <c r="W176" s="110"/>
      <c r="X176" s="110"/>
      <c r="Y176" s="110"/>
      <c r="Z176" s="110"/>
      <c r="AA176" s="110"/>
      <c r="AB176" s="110"/>
      <c r="AC176" s="110"/>
      <c r="AD176" s="110"/>
      <c r="AE176" s="110"/>
      <c r="AF176" s="110"/>
      <c r="AG176" s="110"/>
      <c r="AH176" s="110"/>
      <c r="AI176" s="110"/>
      <c r="DG176" s="5" t="s">
        <v>3</v>
      </c>
    </row>
    <row r="177" spans="2:35">
      <c r="B177" s="30" t="s">
        <v>1126</v>
      </c>
      <c r="C177" s="239">
        <v>2000</v>
      </c>
      <c r="D177" s="239">
        <v>2001</v>
      </c>
      <c r="E177" s="239">
        <v>2002</v>
      </c>
      <c r="F177" s="239">
        <v>2003</v>
      </c>
      <c r="G177" s="239">
        <v>2004</v>
      </c>
      <c r="H177" s="239">
        <v>2005</v>
      </c>
      <c r="I177" s="239">
        <v>2006</v>
      </c>
      <c r="J177" s="239">
        <v>2007</v>
      </c>
      <c r="K177" s="239">
        <v>2008</v>
      </c>
      <c r="L177" s="239">
        <v>2009</v>
      </c>
      <c r="M177" s="239">
        <v>2010</v>
      </c>
      <c r="N177" s="239">
        <v>2011</v>
      </c>
      <c r="O177" s="239">
        <v>2012</v>
      </c>
      <c r="Q177" s="69" t="s">
        <v>1144</v>
      </c>
      <c r="V177" s="30" t="s">
        <v>1126</v>
      </c>
      <c r="W177" s="239">
        <v>2000</v>
      </c>
      <c r="X177" s="239">
        <v>2001</v>
      </c>
      <c r="Y177" s="239">
        <v>2002</v>
      </c>
      <c r="Z177" s="239">
        <v>2003</v>
      </c>
      <c r="AA177" s="239">
        <v>2004</v>
      </c>
      <c r="AB177" s="239">
        <v>2005</v>
      </c>
      <c r="AC177" s="239">
        <v>2006</v>
      </c>
      <c r="AD177" s="239">
        <v>2007</v>
      </c>
      <c r="AE177" s="239">
        <v>2008</v>
      </c>
      <c r="AF177" s="239">
        <v>2009</v>
      </c>
      <c r="AG177" s="239">
        <v>2010</v>
      </c>
      <c r="AH177" s="239">
        <v>2011</v>
      </c>
      <c r="AI177" s="239">
        <v>2012</v>
      </c>
    </row>
    <row r="178" spans="2:35">
      <c r="B178" s="238" t="s">
        <v>116</v>
      </c>
      <c r="C178" s="338">
        <f>C69/$C69</f>
        <v>1</v>
      </c>
      <c r="D178" s="338">
        <f t="shared" ref="D178:N178" si="254">D69/$C69</f>
        <v>1.0952274632198116</v>
      </c>
      <c r="E178" s="338">
        <f t="shared" si="254"/>
        <v>1.0578418104218048</v>
      </c>
      <c r="F178" s="338">
        <f t="shared" si="254"/>
        <v>1.1636450085352272</v>
      </c>
      <c r="G178" s="338">
        <f t="shared" si="254"/>
        <v>1.0712512288040112</v>
      </c>
      <c r="H178" s="338">
        <f t="shared" si="254"/>
        <v>1.0796018139975914</v>
      </c>
      <c r="I178" s="338">
        <f t="shared" si="254"/>
        <v>0.95872945463455039</v>
      </c>
      <c r="J178" s="338">
        <f t="shared" si="254"/>
        <v>0.92889694726654204</v>
      </c>
      <c r="K178" s="338">
        <f t="shared" si="254"/>
        <v>0.95628728484243564</v>
      </c>
      <c r="L178" s="338">
        <f t="shared" si="254"/>
        <v>1.3667614211107346</v>
      </c>
      <c r="M178" s="338">
        <f t="shared" si="254"/>
        <v>1.7356505176168275</v>
      </c>
      <c r="N178" s="338">
        <f t="shared" si="254"/>
        <v>1.3520352435975205</v>
      </c>
      <c r="O178" s="363">
        <f t="shared" ref="O178" si="255">O69/$C69</f>
        <v>1.3520352435975205</v>
      </c>
      <c r="Q178" s="341">
        <f>(O178/H178)-1</f>
        <v>0.25234621326834583</v>
      </c>
      <c r="V178" s="238" t="s">
        <v>116</v>
      </c>
      <c r="W178" s="338">
        <f>W69/$W69</f>
        <v>1</v>
      </c>
      <c r="X178" s="338">
        <f t="shared" ref="X178:AH178" si="256">X69/$W69</f>
        <v>1.0952274632198116</v>
      </c>
      <c r="Y178" s="338">
        <f t="shared" si="256"/>
        <v>1.0578418104218048</v>
      </c>
      <c r="Z178" s="338">
        <f t="shared" si="256"/>
        <v>1.1636450085352272</v>
      </c>
      <c r="AA178" s="338">
        <f t="shared" si="256"/>
        <v>1.0712512288040112</v>
      </c>
      <c r="AB178" s="338">
        <f t="shared" si="256"/>
        <v>1.0796018139975914</v>
      </c>
      <c r="AC178" s="338">
        <f t="shared" si="256"/>
        <v>0.95872945463455039</v>
      </c>
      <c r="AD178" s="338">
        <f t="shared" si="256"/>
        <v>0.92889694726654204</v>
      </c>
      <c r="AE178" s="338">
        <f t="shared" si="256"/>
        <v>0.95628728484243564</v>
      </c>
      <c r="AF178" s="338">
        <f t="shared" si="256"/>
        <v>1.3667614211107346</v>
      </c>
      <c r="AG178" s="338">
        <f t="shared" si="256"/>
        <v>1.7356505176168275</v>
      </c>
      <c r="AH178" s="338">
        <f t="shared" si="256"/>
        <v>1.3520352435975205</v>
      </c>
      <c r="AI178" s="363">
        <f t="shared" ref="AI178" si="257">AI69/$W69</f>
        <v>1.3520352435975205</v>
      </c>
    </row>
    <row r="179" spans="2:35">
      <c r="B179" s="238" t="s">
        <v>1051</v>
      </c>
      <c r="C179" s="338">
        <f>C70/$C70</f>
        <v>1</v>
      </c>
      <c r="D179" s="338">
        <f t="shared" ref="D179:N179" si="258">D70/$C70</f>
        <v>1.0359431075543897</v>
      </c>
      <c r="E179" s="338">
        <f t="shared" si="258"/>
        <v>1.103899965892136</v>
      </c>
      <c r="F179" s="338">
        <f t="shared" si="258"/>
        <v>1.255840173058359</v>
      </c>
      <c r="G179" s="338">
        <f t="shared" si="258"/>
        <v>1.1872908655203434</v>
      </c>
      <c r="H179" s="338">
        <f t="shared" si="258"/>
        <v>1.1234854366154265</v>
      </c>
      <c r="I179" s="338">
        <f t="shared" si="258"/>
        <v>1.1986875624786615</v>
      </c>
      <c r="J179" s="338">
        <f t="shared" si="258"/>
        <v>1.2190912249723707</v>
      </c>
      <c r="K179" s="338">
        <f t="shared" si="258"/>
        <v>1.2372750104462451</v>
      </c>
      <c r="L179" s="338">
        <f t="shared" si="258"/>
        <v>1.3684133344355183</v>
      </c>
      <c r="M179" s="338">
        <f t="shared" si="258"/>
        <v>1.2529465597539642</v>
      </c>
      <c r="N179" s="338">
        <f t="shared" si="258"/>
        <v>1.168550929257979</v>
      </c>
      <c r="O179" s="338">
        <f t="shared" ref="O179" si="259">O70/$C70</f>
        <v>1.1743855979428288</v>
      </c>
      <c r="Q179" s="341">
        <f t="shared" ref="Q179:Q192" si="260">(O179/H179)-1</f>
        <v>4.5305581780162862E-2</v>
      </c>
      <c r="V179" s="238" t="s">
        <v>1051</v>
      </c>
      <c r="W179" s="338">
        <f>W70/$W70</f>
        <v>1</v>
      </c>
      <c r="X179" s="338">
        <f t="shared" ref="X179:AH179" si="261">X70/$W70</f>
        <v>0.9763601463468371</v>
      </c>
      <c r="Y179" s="338">
        <f t="shared" si="261"/>
        <v>1.048536760953662</v>
      </c>
      <c r="Z179" s="338">
        <f t="shared" si="261"/>
        <v>1.0676341778737242</v>
      </c>
      <c r="AA179" s="338">
        <f t="shared" si="261"/>
        <v>1.0642104048672172</v>
      </c>
      <c r="AB179" s="338">
        <f t="shared" si="261"/>
        <v>1.0153023680900142</v>
      </c>
      <c r="AC179" s="338">
        <f t="shared" si="261"/>
        <v>1.1075568996049607</v>
      </c>
      <c r="AD179" s="338">
        <f t="shared" si="261"/>
        <v>1.182646511440234</v>
      </c>
      <c r="AE179" s="338">
        <f t="shared" si="261"/>
        <v>1.0701547837948682</v>
      </c>
      <c r="AF179" s="338">
        <f t="shared" si="261"/>
        <v>1.0402638376394635</v>
      </c>
      <c r="AG179" s="338">
        <f t="shared" si="261"/>
        <v>0.99163939945197666</v>
      </c>
      <c r="AH179" s="338">
        <f t="shared" si="261"/>
        <v>0.95178795890227152</v>
      </c>
      <c r="AI179" s="338">
        <f t="shared" ref="AI179" si="262">AI70/$W70</f>
        <v>0.91080753202871456</v>
      </c>
    </row>
    <row r="180" spans="2:35">
      <c r="B180" s="238" t="s">
        <v>245</v>
      </c>
      <c r="C180" s="338">
        <f t="shared" ref="C180:N180" si="263">C71/$C71</f>
        <v>1</v>
      </c>
      <c r="D180" s="338">
        <f t="shared" si="263"/>
        <v>1.0498747942297328</v>
      </c>
      <c r="E180" s="338">
        <f t="shared" si="263"/>
        <v>0.99223303767224558</v>
      </c>
      <c r="F180" s="338">
        <f t="shared" si="263"/>
        <v>0.89012624395925244</v>
      </c>
      <c r="G180" s="338">
        <f t="shared" si="263"/>
        <v>0.93837202723023383</v>
      </c>
      <c r="H180" s="338">
        <f t="shared" si="263"/>
        <v>0.85058927405404028</v>
      </c>
      <c r="I180" s="338">
        <f t="shared" si="263"/>
        <v>0.96999200884588221</v>
      </c>
      <c r="J180" s="338">
        <f t="shared" si="263"/>
        <v>0.90659666224193625</v>
      </c>
      <c r="K180" s="338">
        <f t="shared" si="263"/>
        <v>0.865342930735992</v>
      </c>
      <c r="L180" s="338">
        <f t="shared" si="263"/>
        <v>0.92238828708434439</v>
      </c>
      <c r="M180" s="338">
        <f t="shared" si="263"/>
        <v>0.902509608220464</v>
      </c>
      <c r="N180" s="338">
        <f t="shared" si="263"/>
        <v>0.902509608220464</v>
      </c>
      <c r="O180" s="363">
        <f t="shared" ref="O180" si="264">O71/$C71</f>
        <v>0.902509608220464</v>
      </c>
      <c r="Q180" s="341">
        <f t="shared" si="260"/>
        <v>6.1040428971039562E-2</v>
      </c>
      <c r="V180" s="238" t="s">
        <v>155</v>
      </c>
      <c r="W180" s="338">
        <f t="shared" ref="W180:AH180" si="265">W71/$W71</f>
        <v>1</v>
      </c>
      <c r="X180" s="338">
        <f t="shared" si="265"/>
        <v>1.0498747942297328</v>
      </c>
      <c r="Y180" s="338">
        <f t="shared" si="265"/>
        <v>0.99223303767224558</v>
      </c>
      <c r="Z180" s="338">
        <f t="shared" si="265"/>
        <v>0.89012624395925244</v>
      </c>
      <c r="AA180" s="338">
        <f t="shared" si="265"/>
        <v>0.93837202723023383</v>
      </c>
      <c r="AB180" s="338">
        <f t="shared" si="265"/>
        <v>0.85058927405404028</v>
      </c>
      <c r="AC180" s="338">
        <f t="shared" si="265"/>
        <v>0.96999200884588221</v>
      </c>
      <c r="AD180" s="338">
        <f t="shared" si="265"/>
        <v>0.90659666224193625</v>
      </c>
      <c r="AE180" s="338">
        <f t="shared" si="265"/>
        <v>0.865342930735992</v>
      </c>
      <c r="AF180" s="338">
        <f t="shared" si="265"/>
        <v>0.92238828708434439</v>
      </c>
      <c r="AG180" s="338">
        <f t="shared" si="265"/>
        <v>0.902509608220464</v>
      </c>
      <c r="AH180" s="338">
        <f t="shared" si="265"/>
        <v>0.902509608220464</v>
      </c>
      <c r="AI180" s="363">
        <f t="shared" ref="AI180" si="266">AI71/$W71</f>
        <v>0.902509608220464</v>
      </c>
    </row>
    <row r="181" spans="2:35">
      <c r="B181" s="238" t="s">
        <v>115</v>
      </c>
      <c r="C181" s="338">
        <f t="shared" ref="C181:N181" si="267">C72/$C72</f>
        <v>1</v>
      </c>
      <c r="D181" s="338">
        <f t="shared" si="267"/>
        <v>1.0013587820327114</v>
      </c>
      <c r="E181" s="338">
        <f t="shared" si="267"/>
        <v>0.93494318871656146</v>
      </c>
      <c r="F181" s="338">
        <f t="shared" si="267"/>
        <v>0.88710308770204971</v>
      </c>
      <c r="G181" s="338">
        <f t="shared" si="267"/>
        <v>0.80946429765189121</v>
      </c>
      <c r="H181" s="338">
        <f t="shared" si="267"/>
        <v>0.80855042910125918</v>
      </c>
      <c r="I181" s="338">
        <f t="shared" si="267"/>
        <v>0.77723406045430721</v>
      </c>
      <c r="J181" s="338">
        <f t="shared" si="267"/>
        <v>0.77122872093179928</v>
      </c>
      <c r="K181" s="338">
        <f t="shared" si="267"/>
        <v>0.7788058716631594</v>
      </c>
      <c r="L181" s="338">
        <f t="shared" si="267"/>
        <v>0.96318326611684491</v>
      </c>
      <c r="M181" s="338">
        <f t="shared" si="267"/>
        <v>1.0675908772796669</v>
      </c>
      <c r="N181" s="338">
        <f t="shared" si="267"/>
        <v>1.065180558016374</v>
      </c>
      <c r="O181" s="338">
        <f t="shared" ref="O181" si="268">O72/$C72</f>
        <v>1.0241482475230388</v>
      </c>
      <c r="Q181" s="341">
        <f t="shared" si="260"/>
        <v>0.26664733659399142</v>
      </c>
      <c r="V181" s="238" t="s">
        <v>115</v>
      </c>
      <c r="W181" s="338">
        <f t="shared" ref="W181:AH181" si="269">W72/$W72</f>
        <v>1</v>
      </c>
      <c r="X181" s="338">
        <f t="shared" si="269"/>
        <v>1.0013587820327114</v>
      </c>
      <c r="Y181" s="338">
        <f t="shared" si="269"/>
        <v>0.93494318871656146</v>
      </c>
      <c r="Z181" s="338">
        <f t="shared" si="269"/>
        <v>0.88710308770204971</v>
      </c>
      <c r="AA181" s="338">
        <f t="shared" si="269"/>
        <v>0.80946429765189121</v>
      </c>
      <c r="AB181" s="338">
        <f t="shared" si="269"/>
        <v>0.80855042910125918</v>
      </c>
      <c r="AC181" s="338">
        <f t="shared" si="269"/>
        <v>0.77723406045430721</v>
      </c>
      <c r="AD181" s="338">
        <f t="shared" si="269"/>
        <v>0.77122872093179928</v>
      </c>
      <c r="AE181" s="338">
        <f t="shared" si="269"/>
        <v>0.7788058716631594</v>
      </c>
      <c r="AF181" s="338">
        <f t="shared" si="269"/>
        <v>0.96318326611684491</v>
      </c>
      <c r="AG181" s="338">
        <f t="shared" si="269"/>
        <v>1.0675908772796669</v>
      </c>
      <c r="AH181" s="338">
        <f t="shared" si="269"/>
        <v>1.065180558016374</v>
      </c>
      <c r="AI181" s="338">
        <f t="shared" ref="AI181" si="270">AI72/$W72</f>
        <v>1.0241482475230388</v>
      </c>
    </row>
    <row r="182" spans="2:35">
      <c r="B182" s="238" t="s">
        <v>107</v>
      </c>
      <c r="C182" s="338">
        <f>C73/$C73</f>
        <v>1</v>
      </c>
      <c r="D182" s="338">
        <f t="shared" ref="D182:N182" si="271">D73/$C73</f>
        <v>1.1129916613258786</v>
      </c>
      <c r="E182" s="338">
        <f t="shared" si="271"/>
        <v>1.121336818906723</v>
      </c>
      <c r="F182" s="338">
        <f t="shared" si="271"/>
        <v>1.1533843122963314</v>
      </c>
      <c r="G182" s="338">
        <f t="shared" si="271"/>
        <v>1.0935203046028992</v>
      </c>
      <c r="H182" s="338">
        <f t="shared" si="271"/>
        <v>1.1080273290971228</v>
      </c>
      <c r="I182" s="338">
        <f t="shared" si="271"/>
        <v>1.0584324057608416</v>
      </c>
      <c r="J182" s="338">
        <f t="shared" si="271"/>
        <v>1.1483910047980326</v>
      </c>
      <c r="K182" s="338">
        <f t="shared" si="271"/>
        <v>1.3468147269138269</v>
      </c>
      <c r="L182" s="338">
        <f t="shared" si="271"/>
        <v>1.7920595786683617</v>
      </c>
      <c r="M182" s="338">
        <f t="shared" si="271"/>
        <v>1.3551136169967608</v>
      </c>
      <c r="N182" s="338">
        <f t="shared" si="271"/>
        <v>1.336100350110542</v>
      </c>
      <c r="O182" s="338">
        <f t="shared" ref="O182" si="272">O73/$C73</f>
        <v>1.3469222170725723</v>
      </c>
      <c r="Q182" s="341">
        <f t="shared" si="260"/>
        <v>0.2156037867496583</v>
      </c>
      <c r="V182" s="238" t="s">
        <v>107</v>
      </c>
      <c r="W182" s="338">
        <f t="shared" ref="W182:AH182" si="273">W73/$W73</f>
        <v>1</v>
      </c>
      <c r="X182" s="338">
        <f t="shared" si="273"/>
        <v>1.1129916613258786</v>
      </c>
      <c r="Y182" s="338">
        <f t="shared" si="273"/>
        <v>1.121336818906723</v>
      </c>
      <c r="Z182" s="338">
        <f t="shared" si="273"/>
        <v>1.1533843122963314</v>
      </c>
      <c r="AA182" s="338">
        <f t="shared" si="273"/>
        <v>1.0935203046028992</v>
      </c>
      <c r="AB182" s="338">
        <f t="shared" si="273"/>
        <v>1.1080273290971228</v>
      </c>
      <c r="AC182" s="338">
        <f t="shared" si="273"/>
        <v>1.0584324057608416</v>
      </c>
      <c r="AD182" s="338">
        <f t="shared" si="273"/>
        <v>1.1483910047980326</v>
      </c>
      <c r="AE182" s="338">
        <f t="shared" si="273"/>
        <v>1.3468147269138269</v>
      </c>
      <c r="AF182" s="338">
        <f t="shared" si="273"/>
        <v>1.7920595786683617</v>
      </c>
      <c r="AG182" s="338">
        <f t="shared" si="273"/>
        <v>1.3551136169967608</v>
      </c>
      <c r="AH182" s="338">
        <f t="shared" si="273"/>
        <v>1.336100350110542</v>
      </c>
      <c r="AI182" s="338">
        <f t="shared" ref="AI182" si="274">AI73/$W73</f>
        <v>1.3469222170725723</v>
      </c>
    </row>
    <row r="183" spans="2:35">
      <c r="B183" s="238" t="s">
        <v>114</v>
      </c>
      <c r="C183" s="338">
        <f t="shared" ref="C183:N183" si="275">C74/$C74</f>
        <v>1</v>
      </c>
      <c r="D183" s="338">
        <f t="shared" si="275"/>
        <v>0.9903092106116943</v>
      </c>
      <c r="E183" s="338">
        <f t="shared" si="275"/>
        <v>0.97195601031591916</v>
      </c>
      <c r="F183" s="338">
        <f t="shared" si="275"/>
        <v>0.97449722624080382</v>
      </c>
      <c r="G183" s="338">
        <f t="shared" si="275"/>
        <v>0.90063384264653867</v>
      </c>
      <c r="H183" s="338">
        <f t="shared" si="275"/>
        <v>0.90283586227027612</v>
      </c>
      <c r="I183" s="338">
        <f t="shared" si="275"/>
        <v>0.79652900177790642</v>
      </c>
      <c r="J183" s="338">
        <f t="shared" si="275"/>
        <v>0.85922253109434765</v>
      </c>
      <c r="K183" s="338">
        <f t="shared" si="275"/>
        <v>0.81582719606011833</v>
      </c>
      <c r="L183" s="338">
        <f t="shared" si="275"/>
        <v>1.0742914246992148</v>
      </c>
      <c r="M183" s="338">
        <f t="shared" si="275"/>
        <v>1.2030838775071013</v>
      </c>
      <c r="N183" s="338">
        <f t="shared" si="275"/>
        <v>1.0843395670300051</v>
      </c>
      <c r="O183" s="363">
        <f t="shared" ref="O183" si="276">O74/$C74</f>
        <v>1.0843395670300051</v>
      </c>
      <c r="Q183" s="341">
        <f t="shared" si="260"/>
        <v>0.20103732288980947</v>
      </c>
      <c r="V183" s="238" t="s">
        <v>114</v>
      </c>
      <c r="W183" s="338">
        <f t="shared" ref="W183:AH183" si="277">W74/$W74</f>
        <v>1</v>
      </c>
      <c r="X183" s="338">
        <f t="shared" si="277"/>
        <v>0.9903092106116943</v>
      </c>
      <c r="Y183" s="338">
        <f t="shared" si="277"/>
        <v>0.97195601031591916</v>
      </c>
      <c r="Z183" s="338">
        <f t="shared" si="277"/>
        <v>0.97449722624080382</v>
      </c>
      <c r="AA183" s="338">
        <f t="shared" si="277"/>
        <v>0.90063384264653867</v>
      </c>
      <c r="AB183" s="338">
        <f t="shared" si="277"/>
        <v>0.90283586227027612</v>
      </c>
      <c r="AC183" s="338">
        <f t="shared" si="277"/>
        <v>0.79652900177790642</v>
      </c>
      <c r="AD183" s="338">
        <f t="shared" si="277"/>
        <v>0.85922253109434765</v>
      </c>
      <c r="AE183" s="338">
        <f t="shared" si="277"/>
        <v>0.81582719606011833</v>
      </c>
      <c r="AF183" s="338">
        <f t="shared" si="277"/>
        <v>1.0742914246992148</v>
      </c>
      <c r="AG183" s="338">
        <f t="shared" si="277"/>
        <v>1.2030838775071013</v>
      </c>
      <c r="AH183" s="338">
        <f t="shared" si="277"/>
        <v>1.0843395670300051</v>
      </c>
      <c r="AI183" s="363">
        <f t="shared" ref="AI183" si="278">AI74/$W74</f>
        <v>1.0843395670300051</v>
      </c>
    </row>
    <row r="184" spans="2:35">
      <c r="B184" s="238" t="s">
        <v>105</v>
      </c>
      <c r="C184" s="338">
        <f t="shared" ref="C184:N184" si="279">C75/$C75</f>
        <v>1</v>
      </c>
      <c r="D184" s="338">
        <f t="shared" si="279"/>
        <v>1.1167052647422833</v>
      </c>
      <c r="E184" s="338">
        <f t="shared" si="279"/>
        <v>1.0898430706247344</v>
      </c>
      <c r="F184" s="338">
        <f t="shared" si="279"/>
        <v>1.1053850366369986</v>
      </c>
      <c r="G184" s="338">
        <f t="shared" si="279"/>
        <v>1.1122960964086241</v>
      </c>
      <c r="H184" s="338">
        <f t="shared" si="279"/>
        <v>1.1737630494380005</v>
      </c>
      <c r="I184" s="338">
        <f t="shared" si="279"/>
        <v>1.2301685738529993</v>
      </c>
      <c r="J184" s="338">
        <f t="shared" si="279"/>
        <v>1.2892569626743815</v>
      </c>
      <c r="K184" s="338">
        <f t="shared" si="279"/>
        <v>1.813293067487721</v>
      </c>
      <c r="L184" s="338">
        <f t="shared" si="279"/>
        <v>1.9866276177241227</v>
      </c>
      <c r="M184" s="338">
        <f t="shared" si="279"/>
        <v>1.9513274161519623</v>
      </c>
      <c r="N184" s="338">
        <f t="shared" si="279"/>
        <v>1.8312360717011391</v>
      </c>
      <c r="O184" s="338">
        <f t="shared" ref="O184" si="280">O75/$C75</f>
        <v>1.8237757591558688</v>
      </c>
      <c r="Q184" s="341">
        <f t="shared" si="260"/>
        <v>0.55378528914255343</v>
      </c>
      <c r="V184" s="238" t="s">
        <v>105</v>
      </c>
      <c r="W184" s="338">
        <f>W75/$W75</f>
        <v>1</v>
      </c>
      <c r="X184" s="338">
        <f t="shared" ref="X184:AH184" si="281">X75/$W75</f>
        <v>1.1167052647422833</v>
      </c>
      <c r="Y184" s="338">
        <f t="shared" si="281"/>
        <v>1.0898430706247344</v>
      </c>
      <c r="Z184" s="338">
        <f t="shared" si="281"/>
        <v>1.1053850366369986</v>
      </c>
      <c r="AA184" s="338">
        <f t="shared" si="281"/>
        <v>1.1122960964086241</v>
      </c>
      <c r="AB184" s="338">
        <f t="shared" si="281"/>
        <v>1.1737630494380005</v>
      </c>
      <c r="AC184" s="338">
        <f t="shared" si="281"/>
        <v>1.2301685738529993</v>
      </c>
      <c r="AD184" s="338">
        <f t="shared" si="281"/>
        <v>1.2892569626743815</v>
      </c>
      <c r="AE184" s="338">
        <f t="shared" si="281"/>
        <v>1.813293067487721</v>
      </c>
      <c r="AF184" s="338">
        <f t="shared" si="281"/>
        <v>1.9866276177241227</v>
      </c>
      <c r="AG184" s="338">
        <f t="shared" si="281"/>
        <v>1.9513274161519623</v>
      </c>
      <c r="AH184" s="338">
        <f t="shared" si="281"/>
        <v>1.8312360717011391</v>
      </c>
      <c r="AI184" s="338">
        <f t="shared" ref="AI184" si="282">AI75/$W75</f>
        <v>1.8237757591558688</v>
      </c>
    </row>
    <row r="185" spans="2:35">
      <c r="B185" s="238" t="s">
        <v>156</v>
      </c>
      <c r="C185" s="338">
        <f t="shared" ref="C185:N185" si="283">C76/$C76</f>
        <v>1</v>
      </c>
      <c r="D185" s="338">
        <f t="shared" si="283"/>
        <v>1.2611257871967398</v>
      </c>
      <c r="E185" s="338">
        <f t="shared" si="283"/>
        <v>1.0639209041680775</v>
      </c>
      <c r="F185" s="338">
        <f t="shared" si="283"/>
        <v>0.97996013348424948</v>
      </c>
      <c r="G185" s="338">
        <f t="shared" si="283"/>
        <v>0.86484183460891684</v>
      </c>
      <c r="H185" s="338">
        <f t="shared" si="283"/>
        <v>0.83418664204204618</v>
      </c>
      <c r="I185" s="338">
        <f t="shared" si="283"/>
        <v>0.86025820563587585</v>
      </c>
      <c r="J185" s="338">
        <f t="shared" si="283"/>
        <v>0.85964501577742947</v>
      </c>
      <c r="K185" s="338">
        <f t="shared" si="283"/>
        <v>0.86944582343461574</v>
      </c>
      <c r="L185" s="338">
        <f t="shared" si="283"/>
        <v>0.92708031342060182</v>
      </c>
      <c r="M185" s="338">
        <f t="shared" si="283"/>
        <v>0.95378982449245509</v>
      </c>
      <c r="N185" s="338">
        <f t="shared" si="283"/>
        <v>0.89997622343076622</v>
      </c>
      <c r="O185" s="338">
        <f t="shared" ref="O185" si="284">O76/$C76</f>
        <v>0.9130246158704679</v>
      </c>
      <c r="Q185" s="341">
        <f t="shared" si="260"/>
        <v>9.4508794381351402E-2</v>
      </c>
      <c r="V185" s="238" t="s">
        <v>156</v>
      </c>
      <c r="W185" s="338">
        <f t="shared" ref="W185:AH185" si="285">W76/$W76</f>
        <v>1</v>
      </c>
      <c r="X185" s="338">
        <f t="shared" si="285"/>
        <v>1.2611257871967398</v>
      </c>
      <c r="Y185" s="338">
        <f t="shared" si="285"/>
        <v>1.0639209041680775</v>
      </c>
      <c r="Z185" s="338">
        <f t="shared" si="285"/>
        <v>0.97996013348424948</v>
      </c>
      <c r="AA185" s="338">
        <f t="shared" si="285"/>
        <v>0.86484183460891684</v>
      </c>
      <c r="AB185" s="338">
        <f t="shared" si="285"/>
        <v>0.83418664204204618</v>
      </c>
      <c r="AC185" s="338">
        <f t="shared" si="285"/>
        <v>0.86025820563587585</v>
      </c>
      <c r="AD185" s="338">
        <f t="shared" si="285"/>
        <v>0.85964501577742947</v>
      </c>
      <c r="AE185" s="338">
        <f t="shared" si="285"/>
        <v>0.86944582343461574</v>
      </c>
      <c r="AF185" s="338">
        <f t="shared" si="285"/>
        <v>0.92708031342060182</v>
      </c>
      <c r="AG185" s="338">
        <f t="shared" si="285"/>
        <v>0.95378982449245509</v>
      </c>
      <c r="AH185" s="338">
        <f t="shared" si="285"/>
        <v>0.89997622343076622</v>
      </c>
      <c r="AI185" s="338">
        <f t="shared" ref="AI185" si="286">AI76/$W76</f>
        <v>0.9130246158704679</v>
      </c>
    </row>
    <row r="186" spans="2:35">
      <c r="B186" s="238" t="s">
        <v>204</v>
      </c>
      <c r="C186" s="338">
        <f t="shared" ref="C186:N186" si="287">C77/$C77</f>
        <v>1</v>
      </c>
      <c r="D186" s="338">
        <f t="shared" si="287"/>
        <v>1.1269901980845891</v>
      </c>
      <c r="E186" s="338">
        <f t="shared" si="287"/>
        <v>1.0597868562455011</v>
      </c>
      <c r="F186" s="338">
        <f t="shared" si="287"/>
        <v>0.86024744596296532</v>
      </c>
      <c r="G186" s="338">
        <f t="shared" si="287"/>
        <v>0.85605976468809997</v>
      </c>
      <c r="H186" s="338">
        <f t="shared" si="287"/>
        <v>0.88801532050284537</v>
      </c>
      <c r="I186" s="338">
        <f t="shared" si="287"/>
        <v>0.84321696661952894</v>
      </c>
      <c r="J186" s="338">
        <f t="shared" si="287"/>
        <v>0.80309821206566168</v>
      </c>
      <c r="K186" s="338">
        <f t="shared" si="287"/>
        <v>0.88462952560899288</v>
      </c>
      <c r="L186" s="338">
        <f t="shared" si="287"/>
        <v>0.95449531512445696</v>
      </c>
      <c r="M186" s="338">
        <f t="shared" si="287"/>
        <v>0.95180595979861438</v>
      </c>
      <c r="N186" s="338">
        <f t="shared" si="287"/>
        <v>0.88176225122665364</v>
      </c>
      <c r="O186" s="363">
        <f t="shared" ref="O186" si="288">O77/$C77</f>
        <v>0.88176225122665364</v>
      </c>
      <c r="Q186" s="341">
        <f t="shared" si="260"/>
        <v>-7.0416231925490846E-3</v>
      </c>
      <c r="V186" s="238" t="s">
        <v>204</v>
      </c>
      <c r="W186" s="338">
        <f t="shared" ref="W186:AH186" si="289">W77/$W77</f>
        <v>1</v>
      </c>
      <c r="X186" s="338">
        <f t="shared" si="289"/>
        <v>1.1269901980845891</v>
      </c>
      <c r="Y186" s="338">
        <f t="shared" si="289"/>
        <v>1.0597868562455011</v>
      </c>
      <c r="Z186" s="338">
        <f t="shared" si="289"/>
        <v>0.86024744596296532</v>
      </c>
      <c r="AA186" s="338">
        <f t="shared" si="289"/>
        <v>0.85605976468809997</v>
      </c>
      <c r="AB186" s="338">
        <f t="shared" si="289"/>
        <v>0.88801532050284537</v>
      </c>
      <c r="AC186" s="338">
        <f t="shared" si="289"/>
        <v>0.84321696661952894</v>
      </c>
      <c r="AD186" s="338">
        <f t="shared" si="289"/>
        <v>0.80309821206566168</v>
      </c>
      <c r="AE186" s="338">
        <f t="shared" si="289"/>
        <v>0.88462952560899288</v>
      </c>
      <c r="AF186" s="338">
        <f t="shared" si="289"/>
        <v>0.95449531512445696</v>
      </c>
      <c r="AG186" s="338">
        <f t="shared" si="289"/>
        <v>0.95180595979861438</v>
      </c>
      <c r="AH186" s="338">
        <f t="shared" si="289"/>
        <v>0.88176225122665364</v>
      </c>
      <c r="AI186" s="363">
        <f t="shared" ref="AI186" si="290">AI77/$W77</f>
        <v>0.88176225122665364</v>
      </c>
    </row>
    <row r="187" spans="2:35">
      <c r="B187" s="238" t="s">
        <v>113</v>
      </c>
      <c r="C187" s="363">
        <f t="shared" ref="C187:N187" si="291">C78/$C78</f>
        <v>1</v>
      </c>
      <c r="D187" s="363">
        <f t="shared" si="291"/>
        <v>1</v>
      </c>
      <c r="E187" s="363">
        <f t="shared" si="291"/>
        <v>1</v>
      </c>
      <c r="F187" s="363">
        <f t="shared" si="291"/>
        <v>1</v>
      </c>
      <c r="G187" s="363">
        <f t="shared" si="291"/>
        <v>1</v>
      </c>
      <c r="H187" s="363">
        <f t="shared" si="291"/>
        <v>1</v>
      </c>
      <c r="I187" s="338">
        <f t="shared" si="291"/>
        <v>1</v>
      </c>
      <c r="J187" s="338">
        <f t="shared" si="291"/>
        <v>1.2018407664757778</v>
      </c>
      <c r="K187" s="338">
        <f t="shared" si="291"/>
        <v>1.3829129321159299</v>
      </c>
      <c r="L187" s="338">
        <f t="shared" si="291"/>
        <v>1.4930173680878844</v>
      </c>
      <c r="M187" s="338">
        <f t="shared" si="291"/>
        <v>1.4792880542694264</v>
      </c>
      <c r="N187" s="363">
        <f t="shared" si="291"/>
        <v>1.4792880542694264</v>
      </c>
      <c r="O187" s="363">
        <f t="shared" ref="O187" si="292">O78/$C78</f>
        <v>1.4792880542694264</v>
      </c>
      <c r="Q187" s="341">
        <f t="shared" si="260"/>
        <v>0.47928805426942644</v>
      </c>
      <c r="V187" s="238" t="s">
        <v>113</v>
      </c>
      <c r="W187" s="363">
        <f t="shared" ref="W187:AH187" si="293">W78/$W78</f>
        <v>1</v>
      </c>
      <c r="X187" s="363">
        <f t="shared" si="293"/>
        <v>1</v>
      </c>
      <c r="Y187" s="363">
        <f t="shared" si="293"/>
        <v>1</v>
      </c>
      <c r="Z187" s="363">
        <f t="shared" si="293"/>
        <v>1</v>
      </c>
      <c r="AA187" s="363">
        <f t="shared" si="293"/>
        <v>1</v>
      </c>
      <c r="AB187" s="363">
        <f t="shared" si="293"/>
        <v>1</v>
      </c>
      <c r="AC187" s="338">
        <f t="shared" si="293"/>
        <v>1</v>
      </c>
      <c r="AD187" s="338">
        <f t="shared" si="293"/>
        <v>1.2018407664757778</v>
      </c>
      <c r="AE187" s="338">
        <f t="shared" si="293"/>
        <v>1.3829129321159299</v>
      </c>
      <c r="AF187" s="338">
        <f t="shared" si="293"/>
        <v>1.4930173680878844</v>
      </c>
      <c r="AG187" s="338">
        <f t="shared" si="293"/>
        <v>1.4792880542694264</v>
      </c>
      <c r="AH187" s="363">
        <f t="shared" si="293"/>
        <v>1.4792880542694264</v>
      </c>
      <c r="AI187" s="363">
        <f t="shared" ref="AI187" si="294">AI78/$W78</f>
        <v>1.4792880542694264</v>
      </c>
    </row>
    <row r="188" spans="2:35">
      <c r="B188" s="238" t="s">
        <v>112</v>
      </c>
      <c r="C188" s="338">
        <f t="shared" ref="C188:N188" si="295">C79/$C79</f>
        <v>1</v>
      </c>
      <c r="D188" s="338">
        <f t="shared" si="295"/>
        <v>0.95074922115626681</v>
      </c>
      <c r="E188" s="338">
        <f t="shared" si="295"/>
        <v>0.91665915597277881</v>
      </c>
      <c r="F188" s="338">
        <f t="shared" si="295"/>
        <v>0.69753138748188637</v>
      </c>
      <c r="G188" s="338">
        <f t="shared" si="295"/>
        <v>0.68415508228286914</v>
      </c>
      <c r="H188" s="338">
        <f t="shared" si="295"/>
        <v>0.66336495602763268</v>
      </c>
      <c r="I188" s="338">
        <f t="shared" si="295"/>
        <v>0.6551818204790949</v>
      </c>
      <c r="J188" s="338">
        <f t="shared" si="295"/>
        <v>0.63448110571359795</v>
      </c>
      <c r="K188" s="338">
        <f t="shared" si="295"/>
        <v>0.7032713681630004</v>
      </c>
      <c r="L188" s="338">
        <f t="shared" si="295"/>
        <v>0.80399005049598848</v>
      </c>
      <c r="M188" s="338">
        <f t="shared" si="295"/>
        <v>0.92952644092860637</v>
      </c>
      <c r="N188" s="338">
        <f t="shared" si="295"/>
        <v>0.97888901004820272</v>
      </c>
      <c r="O188" s="338">
        <f t="shared" ref="O188" si="296">O79/$C79</f>
        <v>0.98097871561064232</v>
      </c>
      <c r="Q188" s="341">
        <f t="shared" si="260"/>
        <v>0.47879188777915993</v>
      </c>
      <c r="V188" s="238" t="s">
        <v>112</v>
      </c>
      <c r="W188" s="338">
        <f t="shared" ref="W188:AH188" si="297">W79/$W79</f>
        <v>1</v>
      </c>
      <c r="X188" s="338">
        <f t="shared" si="297"/>
        <v>0.95074922115626681</v>
      </c>
      <c r="Y188" s="338">
        <f t="shared" si="297"/>
        <v>0.91665915597277881</v>
      </c>
      <c r="Z188" s="338">
        <f t="shared" si="297"/>
        <v>0.69753138748188637</v>
      </c>
      <c r="AA188" s="338">
        <f t="shared" si="297"/>
        <v>0.68415508228286914</v>
      </c>
      <c r="AB188" s="338">
        <f t="shared" si="297"/>
        <v>0.66336495602763268</v>
      </c>
      <c r="AC188" s="338">
        <f t="shared" si="297"/>
        <v>0.6551818204790949</v>
      </c>
      <c r="AD188" s="338">
        <f t="shared" si="297"/>
        <v>0.63448110571359795</v>
      </c>
      <c r="AE188" s="338">
        <f t="shared" si="297"/>
        <v>0.7032713681630004</v>
      </c>
      <c r="AF188" s="338">
        <f t="shared" si="297"/>
        <v>0.80399005049598848</v>
      </c>
      <c r="AG188" s="338">
        <f t="shared" si="297"/>
        <v>0.92952644092860637</v>
      </c>
      <c r="AH188" s="338">
        <f t="shared" si="297"/>
        <v>0.97888901004820272</v>
      </c>
      <c r="AI188" s="338">
        <f t="shared" ref="AI188" si="298">AI79/$W79</f>
        <v>0.98097871561064232</v>
      </c>
    </row>
    <row r="189" spans="2:35">
      <c r="B189" s="5" t="s">
        <v>392</v>
      </c>
      <c r="C189" s="338">
        <f t="shared" ref="C189:N189" si="299">C80/$C80</f>
        <v>1</v>
      </c>
      <c r="D189" s="338">
        <f t="shared" si="299"/>
        <v>1.179246470725587</v>
      </c>
      <c r="E189" s="338">
        <f t="shared" si="299"/>
        <v>1.1685087065733037</v>
      </c>
      <c r="F189" s="338">
        <f t="shared" si="299"/>
        <v>1.1724084033814302</v>
      </c>
      <c r="G189" s="338">
        <f t="shared" si="299"/>
        <v>1.1399398651041406</v>
      </c>
      <c r="H189" s="338">
        <f t="shared" si="299"/>
        <v>1.2315193397337461</v>
      </c>
      <c r="I189" s="338">
        <f t="shared" si="299"/>
        <v>1.0660796411889297</v>
      </c>
      <c r="J189" s="338">
        <f t="shared" si="299"/>
        <v>1.0418897772061069</v>
      </c>
      <c r="K189" s="338">
        <f t="shared" si="299"/>
        <v>1.0927922525121403</v>
      </c>
      <c r="L189" s="338">
        <f t="shared" si="299"/>
        <v>1.1927214663735826</v>
      </c>
      <c r="M189" s="338">
        <f t="shared" si="299"/>
        <v>1.1431118783115217</v>
      </c>
      <c r="N189" s="338">
        <f t="shared" si="299"/>
        <v>1.0492116689617113</v>
      </c>
      <c r="O189" s="338">
        <f t="shared" ref="O189" si="300">O80/$C80</f>
        <v>1.0254862433939449</v>
      </c>
      <c r="Q189" s="341">
        <f t="shared" si="260"/>
        <v>-0.1672999275710485</v>
      </c>
      <c r="V189" s="5" t="s">
        <v>392</v>
      </c>
      <c r="W189" s="338">
        <f t="shared" ref="W189:AH189" si="301">W80/$W80</f>
        <v>1</v>
      </c>
      <c r="X189" s="338">
        <f t="shared" si="301"/>
        <v>1.14769344962464</v>
      </c>
      <c r="Y189" s="338">
        <f t="shared" si="301"/>
        <v>1.1467721302857823</v>
      </c>
      <c r="Z189" s="338">
        <f t="shared" si="301"/>
        <v>1.0547293600040979</v>
      </c>
      <c r="AA189" s="338">
        <f t="shared" si="301"/>
        <v>1.0494702010300683</v>
      </c>
      <c r="AB189" s="338">
        <f t="shared" si="301"/>
        <v>1.1136939255223404</v>
      </c>
      <c r="AC189" s="338">
        <f t="shared" si="301"/>
        <v>0.97367353295879866</v>
      </c>
      <c r="AD189" s="338">
        <f t="shared" si="301"/>
        <v>0.9756793574700473</v>
      </c>
      <c r="AE189" s="338">
        <f t="shared" si="301"/>
        <v>0.8930461648095035</v>
      </c>
      <c r="AF189" s="338">
        <f t="shared" si="301"/>
        <v>0.89098946570220094</v>
      </c>
      <c r="AG189" s="338">
        <f t="shared" si="301"/>
        <v>0.89091229491571855</v>
      </c>
      <c r="AH189" s="338">
        <f t="shared" si="301"/>
        <v>0.82952697676210441</v>
      </c>
      <c r="AI189" s="338">
        <f t="shared" ref="AI189" si="302">AI80/$W80</f>
        <v>0.80954402506119361</v>
      </c>
    </row>
    <row r="190" spans="2:35">
      <c r="B190" s="238" t="s">
        <v>1053</v>
      </c>
      <c r="C190" s="363">
        <f t="shared" ref="C190:N190" si="303">C81/$C81</f>
        <v>1</v>
      </c>
      <c r="D190" s="363">
        <f t="shared" si="303"/>
        <v>1</v>
      </c>
      <c r="E190" s="363">
        <f t="shared" si="303"/>
        <v>1</v>
      </c>
      <c r="F190" s="363">
        <f t="shared" si="303"/>
        <v>1</v>
      </c>
      <c r="G190" s="363">
        <f t="shared" si="303"/>
        <v>1</v>
      </c>
      <c r="H190" s="363">
        <f t="shared" si="303"/>
        <v>1</v>
      </c>
      <c r="I190" s="338">
        <f t="shared" si="303"/>
        <v>1</v>
      </c>
      <c r="J190" s="338">
        <f t="shared" si="303"/>
        <v>1.0031381055554696</v>
      </c>
      <c r="K190" s="338">
        <f t="shared" si="303"/>
        <v>1.2690125537228836</v>
      </c>
      <c r="L190" s="338">
        <f t="shared" si="303"/>
        <v>0.93865328193668407</v>
      </c>
      <c r="M190" s="338">
        <f t="shared" si="303"/>
        <v>1.122322976667939</v>
      </c>
      <c r="N190" s="338">
        <f t="shared" si="303"/>
        <v>1.2113700834177838</v>
      </c>
      <c r="O190" s="338">
        <f t="shared" ref="O190" si="304">O81/$C81</f>
        <v>1.1846511023883481</v>
      </c>
      <c r="Q190" s="341">
        <f t="shared" si="260"/>
        <v>0.18465110238834814</v>
      </c>
      <c r="V190" s="238" t="s">
        <v>1125</v>
      </c>
      <c r="W190" s="363">
        <f t="shared" ref="W190:AH190" si="305">W81/$W81</f>
        <v>1</v>
      </c>
      <c r="X190" s="363">
        <f t="shared" si="305"/>
        <v>1</v>
      </c>
      <c r="Y190" s="363">
        <f t="shared" si="305"/>
        <v>1</v>
      </c>
      <c r="Z190" s="363">
        <f t="shared" si="305"/>
        <v>1</v>
      </c>
      <c r="AA190" s="363">
        <f t="shared" si="305"/>
        <v>1</v>
      </c>
      <c r="AB190" s="363">
        <f t="shared" si="305"/>
        <v>1</v>
      </c>
      <c r="AC190" s="338">
        <f t="shared" si="305"/>
        <v>1</v>
      </c>
      <c r="AD190" s="338">
        <f t="shared" si="305"/>
        <v>1.0388503941595351</v>
      </c>
      <c r="AE190" s="338">
        <f t="shared" si="305"/>
        <v>1.1826174135719696</v>
      </c>
      <c r="AF190" s="338">
        <f t="shared" si="305"/>
        <v>0.83960382613189033</v>
      </c>
      <c r="AG190" s="338">
        <f t="shared" si="305"/>
        <v>1.1249166966125153</v>
      </c>
      <c r="AH190" s="338">
        <f t="shared" si="305"/>
        <v>1.0940151054163432</v>
      </c>
      <c r="AI190" s="338">
        <f t="shared" ref="AI190" si="306">AI81/$W81</f>
        <v>1.0639412107439363</v>
      </c>
    </row>
    <row r="191" spans="2:35">
      <c r="B191" s="238" t="s">
        <v>394</v>
      </c>
      <c r="C191" s="338">
        <f t="shared" ref="C191:N191" si="307">C82/$C82</f>
        <v>1</v>
      </c>
      <c r="D191" s="338">
        <f t="shared" si="307"/>
        <v>1.0134463525454858</v>
      </c>
      <c r="E191" s="338">
        <f t="shared" si="307"/>
        <v>0.94880351130941842</v>
      </c>
      <c r="F191" s="338">
        <f t="shared" si="307"/>
        <v>1.0720767480068945</v>
      </c>
      <c r="G191" s="338">
        <f t="shared" si="307"/>
        <v>0.78665885438854366</v>
      </c>
      <c r="H191" s="338">
        <f t="shared" si="307"/>
        <v>0.75152556178073471</v>
      </c>
      <c r="I191" s="338">
        <f t="shared" si="307"/>
        <v>0.71682502989958119</v>
      </c>
      <c r="J191" s="338">
        <f t="shared" si="307"/>
        <v>0.69131160849595974</v>
      </c>
      <c r="K191" s="338">
        <f t="shared" si="307"/>
        <v>0.70047277267389907</v>
      </c>
      <c r="L191" s="338">
        <f t="shared" si="307"/>
        <v>0.71959581933863204</v>
      </c>
      <c r="M191" s="338">
        <f t="shared" si="307"/>
        <v>0.64487549969008506</v>
      </c>
      <c r="N191" s="338">
        <f t="shared" si="307"/>
        <v>0.613511978004739</v>
      </c>
      <c r="O191" s="338">
        <f t="shared" ref="O191" si="308">O82/$C82</f>
        <v>0.60263773913276586</v>
      </c>
      <c r="Q191" s="341">
        <f t="shared" si="260"/>
        <v>-0.19811411643162236</v>
      </c>
      <c r="V191" s="238" t="s">
        <v>394</v>
      </c>
      <c r="W191" s="338">
        <f t="shared" ref="W191:AH191" si="309">W82/$W82</f>
        <v>1</v>
      </c>
      <c r="X191" s="338">
        <f t="shared" si="309"/>
        <v>0.99380825510121429</v>
      </c>
      <c r="Y191" s="338">
        <f t="shared" si="309"/>
        <v>1.0223105854674426</v>
      </c>
      <c r="Z191" s="338">
        <f t="shared" si="309"/>
        <v>1.3909536450781896</v>
      </c>
      <c r="AA191" s="338">
        <f t="shared" si="309"/>
        <v>1.1990803841670234</v>
      </c>
      <c r="AB191" s="338">
        <f t="shared" si="309"/>
        <v>1.1745754183116106</v>
      </c>
      <c r="AC191" s="338">
        <f t="shared" si="309"/>
        <v>1.1549985950403909</v>
      </c>
      <c r="AD191" s="338">
        <f t="shared" si="309"/>
        <v>1.2424417366250644</v>
      </c>
      <c r="AE191" s="338">
        <f t="shared" si="309"/>
        <v>1.1705424132272413</v>
      </c>
      <c r="AF191" s="338">
        <f t="shared" si="309"/>
        <v>1.0207333972927595</v>
      </c>
      <c r="AG191" s="338">
        <f t="shared" si="309"/>
        <v>0.91416025842277659</v>
      </c>
      <c r="AH191" s="338">
        <f t="shared" si="309"/>
        <v>0.90631114865052653</v>
      </c>
      <c r="AI191" s="338">
        <f t="shared" ref="AI191" si="310">AI82/$W82</f>
        <v>0.85702848668078968</v>
      </c>
    </row>
    <row r="192" spans="2:35">
      <c r="B192" s="5" t="s">
        <v>1050</v>
      </c>
      <c r="C192" s="338">
        <f t="shared" ref="C192:N192" si="311">C83/$C83</f>
        <v>1</v>
      </c>
      <c r="D192" s="338">
        <f t="shared" si="311"/>
        <v>1.0026841380984255</v>
      </c>
      <c r="E192" s="338">
        <f t="shared" si="311"/>
        <v>1.0427409687741598</v>
      </c>
      <c r="F192" s="338">
        <f t="shared" si="311"/>
        <v>1.1453588170113453</v>
      </c>
      <c r="G192" s="338">
        <f t="shared" si="311"/>
        <v>1.0414981409169111</v>
      </c>
      <c r="H192" s="338">
        <f t="shared" si="311"/>
        <v>1.4238114475987722</v>
      </c>
      <c r="I192" s="338">
        <f t="shared" si="311"/>
        <v>1.1407204832909372</v>
      </c>
      <c r="J192" s="338">
        <f t="shared" si="311"/>
        <v>1.045529136471296</v>
      </c>
      <c r="K192" s="338">
        <f t="shared" si="311"/>
        <v>1.055240929105836</v>
      </c>
      <c r="L192" s="338">
        <f t="shared" si="311"/>
        <v>1.1149806229167933</v>
      </c>
      <c r="M192" s="338">
        <f t="shared" si="311"/>
        <v>0.89458521240539923</v>
      </c>
      <c r="N192" s="338">
        <f t="shared" si="311"/>
        <v>0.83661356851068547</v>
      </c>
      <c r="O192" s="363">
        <f t="shared" ref="O192" si="312">O83/$C83</f>
        <v>0.83661356851068547</v>
      </c>
      <c r="Q192" s="341">
        <f t="shared" si="260"/>
        <v>-0.41241266888139116</v>
      </c>
      <c r="V192" s="5" t="s">
        <v>1050</v>
      </c>
      <c r="W192" s="338">
        <f t="shared" ref="W192:AH192" si="313">W83/$W83</f>
        <v>1</v>
      </c>
      <c r="X192" s="338">
        <f t="shared" si="313"/>
        <v>0.98664346374317291</v>
      </c>
      <c r="Y192" s="338">
        <f t="shared" si="313"/>
        <v>1.0379821313850259</v>
      </c>
      <c r="Z192" s="338">
        <f t="shared" si="313"/>
        <v>1.08638623873426</v>
      </c>
      <c r="AA192" s="338">
        <f t="shared" si="313"/>
        <v>1.0225942277463964</v>
      </c>
      <c r="AB192" s="338">
        <f t="shared" si="313"/>
        <v>1.4338572232579936</v>
      </c>
      <c r="AC192" s="338">
        <f t="shared" si="313"/>
        <v>1.1733815432464794</v>
      </c>
      <c r="AD192" s="338">
        <f t="shared" si="313"/>
        <v>1.0987645802206321</v>
      </c>
      <c r="AE192" s="338">
        <f t="shared" si="313"/>
        <v>0.97024665169060254</v>
      </c>
      <c r="AF192" s="338">
        <f t="shared" si="313"/>
        <v>0.92415035862026063</v>
      </c>
      <c r="AG192" s="338">
        <f t="shared" si="313"/>
        <v>0.77624838170609622</v>
      </c>
      <c r="AH192" s="338">
        <f t="shared" si="313"/>
        <v>0.7330531610156561</v>
      </c>
      <c r="AI192" s="363">
        <f t="shared" ref="AI192" si="314">AI83/$W83</f>
        <v>0.7330531610156561</v>
      </c>
    </row>
    <row r="193" spans="2:40">
      <c r="B193" s="5" t="s">
        <v>399</v>
      </c>
      <c r="C193" s="338">
        <f t="shared" ref="C193:N193" si="315">C84/$C84</f>
        <v>1</v>
      </c>
      <c r="D193" s="338">
        <f t="shared" si="315"/>
        <v>1.287764167402611</v>
      </c>
      <c r="E193" s="338">
        <f t="shared" si="315"/>
        <v>1.3831079415644496</v>
      </c>
      <c r="F193" s="338">
        <f t="shared" si="315"/>
        <v>1.6060040495398828</v>
      </c>
      <c r="G193" s="338">
        <f t="shared" si="315"/>
        <v>1.5298995874886874</v>
      </c>
      <c r="H193" s="338">
        <f t="shared" si="315"/>
        <v>1.5636941107536462</v>
      </c>
      <c r="I193" s="338">
        <f t="shared" si="315"/>
        <v>1.4634952679482018</v>
      </c>
      <c r="J193" s="338">
        <f t="shared" si="315"/>
        <v>1.3651743620464896</v>
      </c>
      <c r="K193" s="338">
        <f t="shared" si="315"/>
        <v>1.3307279069615403</v>
      </c>
      <c r="L193" s="338">
        <f t="shared" si="315"/>
        <v>1.3138612642897167</v>
      </c>
      <c r="M193" s="338">
        <f t="shared" si="315"/>
        <v>1.2340819299006012</v>
      </c>
      <c r="N193" s="338">
        <f t="shared" si="315"/>
        <v>1.1506420133474942</v>
      </c>
      <c r="O193" s="338">
        <f t="shared" ref="O193" si="316">O84/$C84</f>
        <v>1.3471691600630922</v>
      </c>
      <c r="Q193" s="341">
        <f>(O193/H193)-1</f>
        <v>-0.13847014528064983</v>
      </c>
      <c r="V193" s="5" t="s">
        <v>399</v>
      </c>
      <c r="W193" s="338">
        <f t="shared" ref="W193:AG193" si="317">W84/$W84</f>
        <v>1</v>
      </c>
      <c r="X193" s="338">
        <f t="shared" si="317"/>
        <v>1.2277540560275773</v>
      </c>
      <c r="Y193" s="338">
        <f t="shared" si="317"/>
        <v>1.3119968460039539</v>
      </c>
      <c r="Z193" s="338">
        <f t="shared" si="317"/>
        <v>1.483766437151145</v>
      </c>
      <c r="AA193" s="338">
        <f t="shared" si="317"/>
        <v>1.47324456006275</v>
      </c>
      <c r="AB193" s="338">
        <f t="shared" si="317"/>
        <v>1.5193104041169132</v>
      </c>
      <c r="AC193" s="338">
        <f t="shared" si="317"/>
        <v>1.4854354769671341</v>
      </c>
      <c r="AD193" s="338">
        <f t="shared" si="317"/>
        <v>1.5117541501523157</v>
      </c>
      <c r="AE193" s="338">
        <f t="shared" si="317"/>
        <v>1.2658314131721071</v>
      </c>
      <c r="AF193" s="338">
        <f t="shared" si="317"/>
        <v>1.0830435865037522</v>
      </c>
      <c r="AG193" s="338">
        <f t="shared" si="317"/>
        <v>0.98468997348919474</v>
      </c>
      <c r="AH193" s="338">
        <f>AH84/$W84</f>
        <v>0.86532123151040996</v>
      </c>
      <c r="AI193" s="338">
        <f>AI84/$W84</f>
        <v>0.97588964095665465</v>
      </c>
    </row>
    <row r="194" spans="2:40">
      <c r="C194" s="110"/>
      <c r="D194" s="110"/>
      <c r="E194" s="110"/>
      <c r="F194" s="110"/>
      <c r="G194" s="110"/>
      <c r="H194" s="110"/>
      <c r="I194" s="110"/>
      <c r="J194" s="110"/>
      <c r="K194" s="110"/>
      <c r="L194" s="110"/>
      <c r="M194" s="110"/>
      <c r="N194" s="110"/>
      <c r="O194" s="110"/>
      <c r="Q194" s="224"/>
      <c r="W194" s="110"/>
      <c r="X194" s="110"/>
      <c r="Y194" s="110"/>
      <c r="Z194" s="110"/>
      <c r="AA194" s="110"/>
      <c r="AB194" s="110"/>
      <c r="AC194" s="110"/>
      <c r="AD194" s="110"/>
      <c r="AE194" s="110"/>
      <c r="AF194" s="110"/>
      <c r="AG194" s="110"/>
      <c r="AH194" s="110"/>
      <c r="AI194" s="110"/>
    </row>
    <row r="195" spans="2:40">
      <c r="B195" s="5" t="s">
        <v>1137</v>
      </c>
      <c r="C195" s="338">
        <f>C86/$C86</f>
        <v>1</v>
      </c>
      <c r="D195" s="338">
        <f t="shared" ref="D195:M195" si="318">D86/$C86</f>
        <v>1.0779906114734663</v>
      </c>
      <c r="E195" s="338">
        <f t="shared" si="318"/>
        <v>1.061847288016881</v>
      </c>
      <c r="F195" s="338">
        <f t="shared" si="318"/>
        <v>1.0809045302017846</v>
      </c>
      <c r="G195" s="338">
        <f t="shared" si="318"/>
        <v>1.0149970319748438</v>
      </c>
      <c r="H195" s="338">
        <f t="shared" si="318"/>
        <v>1.062347849448209</v>
      </c>
      <c r="I195" s="338">
        <f t="shared" si="318"/>
        <v>1.0064237599246026</v>
      </c>
      <c r="J195" s="338">
        <f t="shared" si="318"/>
        <v>0.99472751572793039</v>
      </c>
      <c r="K195" s="338">
        <f t="shared" si="318"/>
        <v>1.0702081854705403</v>
      </c>
      <c r="L195" s="338">
        <f t="shared" si="318"/>
        <v>1.1665250959062561</v>
      </c>
      <c r="M195" s="338">
        <f t="shared" si="318"/>
        <v>1.1381686012883443</v>
      </c>
      <c r="N195" s="338">
        <f>N86/$C86</f>
        <v>1.0785621564988821</v>
      </c>
      <c r="O195" s="338">
        <f>O86/$C86</f>
        <v>1.090695687864863</v>
      </c>
      <c r="Q195" s="341">
        <f>(O195/H195)-1</f>
        <v>2.6684139692453979E-2</v>
      </c>
      <c r="V195" s="5" t="s">
        <v>1137</v>
      </c>
      <c r="W195" s="338">
        <f t="shared" ref="W195:AH195" si="319">W86/$W86</f>
        <v>1</v>
      </c>
      <c r="X195" s="338">
        <f t="shared" si="319"/>
        <v>1.0595139355292864</v>
      </c>
      <c r="Y195" s="338">
        <f t="shared" si="319"/>
        <v>1.0521048148027283</v>
      </c>
      <c r="Z195" s="338">
        <f t="shared" si="319"/>
        <v>1.0641223206676844</v>
      </c>
      <c r="AA195" s="338">
        <f t="shared" si="319"/>
        <v>1.0210622846104807</v>
      </c>
      <c r="AB195" s="338">
        <f t="shared" si="319"/>
        <v>1.0764065258682216</v>
      </c>
      <c r="AC195" s="338">
        <f t="shared" si="319"/>
        <v>1.0319139353026228</v>
      </c>
      <c r="AD195" s="338">
        <f t="shared" si="319"/>
        <v>1.0486085849196445</v>
      </c>
      <c r="AE195" s="338">
        <f t="shared" si="319"/>
        <v>1.0603357736693622</v>
      </c>
      <c r="AF195" s="338">
        <f t="shared" si="319"/>
        <v>1.1040275712178993</v>
      </c>
      <c r="AG195" s="338">
        <f t="shared" si="319"/>
        <v>1.0906495363279356</v>
      </c>
      <c r="AH195" s="338">
        <f t="shared" si="319"/>
        <v>1.0307998876377433</v>
      </c>
      <c r="AI195" s="338">
        <f t="shared" ref="AI195" si="320">AI86/$W86</f>
        <v>1.0279191613986027</v>
      </c>
    </row>
    <row r="196" spans="2:40">
      <c r="B196" s="5" t="s">
        <v>1142</v>
      </c>
      <c r="C196" s="338">
        <f>C87/$C87</f>
        <v>1</v>
      </c>
      <c r="D196" s="338">
        <f t="shared" ref="D196:M196" si="321">D87/$C87</f>
        <v>1.0013587820327114</v>
      </c>
      <c r="E196" s="338">
        <f t="shared" si="321"/>
        <v>0.93494318871656146</v>
      </c>
      <c r="F196" s="338">
        <f t="shared" si="321"/>
        <v>0.88710308770204971</v>
      </c>
      <c r="G196" s="338">
        <f t="shared" si="321"/>
        <v>0.80946429765189121</v>
      </c>
      <c r="H196" s="338">
        <f t="shared" si="321"/>
        <v>0.80855042910125918</v>
      </c>
      <c r="I196" s="338">
        <f t="shared" si="321"/>
        <v>0.77723406045430721</v>
      </c>
      <c r="J196" s="338">
        <f t="shared" si="321"/>
        <v>0.77122872093179928</v>
      </c>
      <c r="K196" s="338">
        <f t="shared" si="321"/>
        <v>0.7788058716631594</v>
      </c>
      <c r="L196" s="338">
        <f t="shared" si="321"/>
        <v>0.96318326611684491</v>
      </c>
      <c r="M196" s="338">
        <f t="shared" si="321"/>
        <v>1.0675908772796669</v>
      </c>
      <c r="N196" s="338">
        <f>N87/$C87</f>
        <v>1.065180558016374</v>
      </c>
      <c r="O196" s="338">
        <f>O87/$C87</f>
        <v>1.0241482475230388</v>
      </c>
      <c r="Q196" s="341">
        <f t="shared" ref="Q196" si="322">(O196/H196)-1</f>
        <v>0.26664733659399142</v>
      </c>
      <c r="V196" s="5" t="s">
        <v>1142</v>
      </c>
      <c r="W196" s="338">
        <f t="shared" ref="W196:AH196" si="323">W87/$W87</f>
        <v>1</v>
      </c>
      <c r="X196" s="338">
        <f t="shared" si="323"/>
        <v>1.0013587820327114</v>
      </c>
      <c r="Y196" s="338">
        <f t="shared" si="323"/>
        <v>0.93494318871656146</v>
      </c>
      <c r="Z196" s="338">
        <f t="shared" si="323"/>
        <v>0.88710308770204971</v>
      </c>
      <c r="AA196" s="338">
        <f t="shared" si="323"/>
        <v>0.80946429765189121</v>
      </c>
      <c r="AB196" s="338">
        <f t="shared" si="323"/>
        <v>0.80855042910125918</v>
      </c>
      <c r="AC196" s="338">
        <f t="shared" si="323"/>
        <v>0.77723406045430721</v>
      </c>
      <c r="AD196" s="338">
        <f t="shared" si="323"/>
        <v>0.77122872093179928</v>
      </c>
      <c r="AE196" s="338">
        <f t="shared" si="323"/>
        <v>0.7788058716631594</v>
      </c>
      <c r="AF196" s="338">
        <f t="shared" si="323"/>
        <v>0.95080013062696034</v>
      </c>
      <c r="AG196" s="338">
        <f t="shared" si="323"/>
        <v>1.0054649946134748</v>
      </c>
      <c r="AH196" s="338">
        <f t="shared" si="323"/>
        <v>0.93618680759226092</v>
      </c>
      <c r="AI196" s="338">
        <f t="shared" ref="AI196" si="324">AI87/$W87</f>
        <v>0.91363446597684017</v>
      </c>
    </row>
    <row r="197" spans="2:40">
      <c r="B197" s="5" t="s">
        <v>1143</v>
      </c>
      <c r="C197" s="338">
        <f>C88/$C88</f>
        <v>1</v>
      </c>
      <c r="D197" s="338">
        <f t="shared" ref="D197:N197" si="325">D88/$C88</f>
        <v>1.0026841380984255</v>
      </c>
      <c r="E197" s="338">
        <f t="shared" si="325"/>
        <v>1.0427409687741598</v>
      </c>
      <c r="F197" s="338">
        <f t="shared" si="325"/>
        <v>1.1453588170113453</v>
      </c>
      <c r="G197" s="338">
        <f t="shared" si="325"/>
        <v>1.0414981409169111</v>
      </c>
      <c r="H197" s="338">
        <f t="shared" si="325"/>
        <v>1.4238114475987722</v>
      </c>
      <c r="I197" s="338">
        <f t="shared" si="325"/>
        <v>1.1407204832909372</v>
      </c>
      <c r="J197" s="338">
        <f t="shared" si="325"/>
        <v>1.045529136471296</v>
      </c>
      <c r="K197" s="338">
        <f t="shared" si="325"/>
        <v>1.055240929105836</v>
      </c>
      <c r="L197" s="338">
        <f t="shared" si="325"/>
        <v>1.1149806229167933</v>
      </c>
      <c r="M197" s="338">
        <f t="shared" si="325"/>
        <v>0.97099085705454569</v>
      </c>
      <c r="N197" s="338">
        <f t="shared" si="325"/>
        <v>0.91123276801837105</v>
      </c>
      <c r="O197" s="338">
        <f t="shared" ref="O197" si="326">O88/$C88</f>
        <v>0.90752047698393679</v>
      </c>
      <c r="Q197" s="341">
        <f>(O197/H197)-1</f>
        <v>-0.36261189744298605</v>
      </c>
      <c r="V197" s="5" t="s">
        <v>1143</v>
      </c>
      <c r="W197" s="338">
        <f t="shared" ref="W197:AH197" si="327">W88/$W88</f>
        <v>1</v>
      </c>
      <c r="X197" s="338">
        <f t="shared" si="327"/>
        <v>0.98664346374317291</v>
      </c>
      <c r="Y197" s="338">
        <f t="shared" si="327"/>
        <v>1.0379821313850259</v>
      </c>
      <c r="Z197" s="338">
        <f t="shared" si="327"/>
        <v>1.08638623873426</v>
      </c>
      <c r="AA197" s="338">
        <f t="shared" si="327"/>
        <v>1.0225942277463964</v>
      </c>
      <c r="AB197" s="338">
        <f t="shared" si="327"/>
        <v>1.4338572232579936</v>
      </c>
      <c r="AC197" s="338">
        <f t="shared" si="327"/>
        <v>1.1733815432464794</v>
      </c>
      <c r="AD197" s="338">
        <f t="shared" si="327"/>
        <v>1.0987645802206321</v>
      </c>
      <c r="AE197" s="338">
        <f t="shared" si="327"/>
        <v>0.97024665169060254</v>
      </c>
      <c r="AF197" s="338">
        <f t="shared" si="327"/>
        <v>0.92415035862026063</v>
      </c>
      <c r="AG197" s="338">
        <f t="shared" si="327"/>
        <v>0.89552243773348894</v>
      </c>
      <c r="AH197" s="338">
        <f t="shared" si="327"/>
        <v>0.8404089326173807</v>
      </c>
      <c r="AI197" s="338">
        <f t="shared" ref="AI197" si="328">AI88/$W88</f>
        <v>0.83698517234962977</v>
      </c>
    </row>
    <row r="198" spans="2:40">
      <c r="C198" s="110"/>
      <c r="D198" s="110"/>
      <c r="E198" s="110"/>
      <c r="F198" s="110"/>
      <c r="G198" s="110"/>
      <c r="H198" s="110"/>
      <c r="I198" s="110"/>
      <c r="J198" s="110"/>
      <c r="K198" s="110"/>
      <c r="L198" s="110"/>
      <c r="M198" s="110"/>
      <c r="N198" s="110"/>
      <c r="O198" s="110"/>
      <c r="Q198" s="224"/>
      <c r="W198" s="110"/>
      <c r="X198" s="110"/>
      <c r="Y198" s="110"/>
      <c r="Z198" s="110"/>
      <c r="AA198" s="110"/>
      <c r="AB198" s="110"/>
      <c r="AC198" s="110"/>
      <c r="AD198" s="110"/>
      <c r="AE198" s="110"/>
      <c r="AF198" s="110"/>
      <c r="AG198" s="110"/>
      <c r="AH198" s="110"/>
      <c r="AI198" s="110"/>
    </row>
    <row r="199" spans="2:40">
      <c r="B199" s="5" t="s">
        <v>1177</v>
      </c>
      <c r="C199" s="338">
        <f>C90/$C90</f>
        <v>1</v>
      </c>
      <c r="D199" s="338">
        <f t="shared" ref="D199:N199" si="329">D90/$C90</f>
        <v>1.0810276206915808</v>
      </c>
      <c r="E199" s="338">
        <f t="shared" si="329"/>
        <v>1.0588099050940005</v>
      </c>
      <c r="F199" s="338">
        <f t="shared" si="329"/>
        <v>1.0682692698316407</v>
      </c>
      <c r="G199" s="338">
        <f t="shared" si="329"/>
        <v>1.0025525843398784</v>
      </c>
      <c r="H199" s="338">
        <f t="shared" si="329"/>
        <v>1.0579320007415307</v>
      </c>
      <c r="I199" s="338">
        <f t="shared" si="329"/>
        <v>0.99253692036831931</v>
      </c>
      <c r="J199" s="338">
        <f t="shared" si="329"/>
        <v>0.97852216250417901</v>
      </c>
      <c r="K199" s="338">
        <f t="shared" si="329"/>
        <v>1.0581412744722365</v>
      </c>
      <c r="L199" s="338">
        <f t="shared" si="329"/>
        <v>1.1519431021065227</v>
      </c>
      <c r="M199" s="338">
        <f t="shared" si="329"/>
        <v>1.1298784131580972</v>
      </c>
      <c r="N199" s="338">
        <f t="shared" si="329"/>
        <v>1.0720624429148804</v>
      </c>
      <c r="O199" s="338">
        <f t="shared" ref="O199" si="330">O90/$C90</f>
        <v>1.0846509288499375</v>
      </c>
      <c r="Q199" s="341">
        <f>(O199/H199)-1</f>
        <v>2.5255808586637674E-2</v>
      </c>
      <c r="V199" s="5" t="s">
        <v>1177</v>
      </c>
      <c r="W199" s="338">
        <f>W90/$W90</f>
        <v>1</v>
      </c>
      <c r="X199" s="338">
        <f t="shared" ref="X199:AH199" si="331">X90/$W90</f>
        <v>1.0666845922242647</v>
      </c>
      <c r="Y199" s="338">
        <f t="shared" si="331"/>
        <v>1.0524125011928784</v>
      </c>
      <c r="Z199" s="338">
        <f t="shared" si="331"/>
        <v>1.0638194803204928</v>
      </c>
      <c r="AA199" s="338">
        <f t="shared" si="331"/>
        <v>1.0173414637021778</v>
      </c>
      <c r="AB199" s="338">
        <f t="shared" si="331"/>
        <v>1.0816757618509858</v>
      </c>
      <c r="AC199" s="338">
        <f t="shared" si="331"/>
        <v>1.0253909646270178</v>
      </c>
      <c r="AD199" s="338">
        <f t="shared" si="331"/>
        <v>1.0370500021462605</v>
      </c>
      <c r="AE199" s="338">
        <f t="shared" si="331"/>
        <v>1.0594890443574838</v>
      </c>
      <c r="AF199" s="338">
        <f t="shared" si="331"/>
        <v>1.1095261521914954</v>
      </c>
      <c r="AG199" s="338">
        <f t="shared" si="331"/>
        <v>1.0991875441305932</v>
      </c>
      <c r="AH199" s="338">
        <f t="shared" si="331"/>
        <v>1.0376133764918354</v>
      </c>
      <c r="AI199" s="338">
        <f t="shared" ref="AI199" si="332">AI90/$W90</f>
        <v>1.0380181273923046</v>
      </c>
    </row>
    <row r="201" spans="2:40" ht="16.5">
      <c r="B201" s="7" t="s">
        <v>1344</v>
      </c>
      <c r="C201" s="6"/>
      <c r="D201" s="6"/>
      <c r="E201" s="6"/>
      <c r="F201" s="6"/>
      <c r="G201" s="6"/>
      <c r="H201" s="6"/>
      <c r="I201" s="6"/>
      <c r="J201" s="6"/>
      <c r="K201" s="6"/>
      <c r="L201" s="6"/>
      <c r="M201" s="6"/>
      <c r="N201" s="6"/>
      <c r="O201" s="6"/>
      <c r="P201" s="6"/>
      <c r="Q201" s="257"/>
      <c r="R201" s="6"/>
      <c r="S201" s="6"/>
      <c r="T201" s="6"/>
      <c r="V201" s="7" t="s">
        <v>1351</v>
      </c>
      <c r="W201" s="6"/>
      <c r="X201" s="6"/>
      <c r="Y201" s="6"/>
      <c r="Z201" s="6"/>
      <c r="AA201" s="6"/>
      <c r="AB201" s="6"/>
      <c r="AC201" s="6"/>
      <c r="AD201" s="6"/>
      <c r="AE201" s="6"/>
      <c r="AF201" s="6"/>
      <c r="AG201" s="6"/>
      <c r="AH201" s="6"/>
      <c r="AI201" s="6"/>
      <c r="AJ201" s="6"/>
      <c r="AK201" s="6"/>
      <c r="AL201" s="6"/>
      <c r="AM201" s="6"/>
      <c r="AN201" s="6"/>
    </row>
    <row r="202" spans="2:40" ht="16.5">
      <c r="B202" s="64"/>
      <c r="C202" s="247"/>
      <c r="D202" s="247"/>
      <c r="E202" s="247"/>
      <c r="F202" s="247"/>
      <c r="G202" s="247"/>
      <c r="H202" s="247"/>
      <c r="I202" s="247"/>
      <c r="J202" s="247"/>
      <c r="K202" s="247"/>
      <c r="L202" s="247"/>
      <c r="M202" s="247"/>
      <c r="N202" s="247"/>
      <c r="O202" s="247"/>
      <c r="P202" s="35"/>
      <c r="Q202" s="258"/>
      <c r="R202" s="35"/>
      <c r="S202" s="35"/>
      <c r="T202" s="35"/>
      <c r="U202" s="60"/>
      <c r="V202" s="64"/>
      <c r="W202" s="35"/>
      <c r="X202" s="35"/>
      <c r="Y202" s="35"/>
      <c r="Z202" s="35"/>
      <c r="AA202" s="35"/>
      <c r="AB202" s="35"/>
      <c r="AC202" s="35"/>
      <c r="AD202" s="35"/>
      <c r="AE202" s="35"/>
      <c r="AF202" s="35"/>
      <c r="AG202" s="35"/>
      <c r="AH202" s="35"/>
      <c r="AI202" s="35"/>
      <c r="AJ202" s="35"/>
      <c r="AK202" s="35"/>
      <c r="AL202" s="35"/>
      <c r="AM202" s="35"/>
      <c r="AN202" s="35"/>
    </row>
    <row r="203" spans="2:40">
      <c r="B203" s="5" t="s">
        <v>1308</v>
      </c>
      <c r="C203" s="247"/>
      <c r="D203" s="247"/>
      <c r="E203" s="247"/>
      <c r="F203" s="247"/>
      <c r="G203" s="247"/>
      <c r="H203" s="247"/>
      <c r="I203" s="247"/>
      <c r="J203" s="247"/>
      <c r="K203" s="247"/>
      <c r="L203" s="247"/>
      <c r="M203" s="247"/>
      <c r="N203" s="247"/>
      <c r="O203" s="247"/>
      <c r="V203" s="5" t="s">
        <v>1308</v>
      </c>
    </row>
    <row r="204" spans="2:40">
      <c r="B204" s="30" t="s">
        <v>1126</v>
      </c>
      <c r="C204" s="239">
        <v>2000</v>
      </c>
      <c r="D204" s="239">
        <v>2001</v>
      </c>
      <c r="E204" s="239">
        <v>2002</v>
      </c>
      <c r="F204" s="239">
        <v>2003</v>
      </c>
      <c r="G204" s="239">
        <v>2004</v>
      </c>
      <c r="H204" s="239">
        <v>2005</v>
      </c>
      <c r="I204" s="239">
        <v>2006</v>
      </c>
      <c r="J204" s="239">
        <v>2007</v>
      </c>
      <c r="K204" s="239">
        <v>2008</v>
      </c>
      <c r="L204" s="239">
        <v>2009</v>
      </c>
      <c r="M204" s="239">
        <v>2010</v>
      </c>
      <c r="N204" s="239">
        <v>2011</v>
      </c>
      <c r="O204" s="239">
        <v>2012</v>
      </c>
      <c r="Q204" s="69" t="s">
        <v>1144</v>
      </c>
      <c r="V204" s="30" t="s">
        <v>1126</v>
      </c>
      <c r="W204" s="239">
        <v>2000</v>
      </c>
      <c r="X204" s="239">
        <v>2001</v>
      </c>
      <c r="Y204" s="239">
        <v>2002</v>
      </c>
      <c r="Z204" s="239">
        <v>2003</v>
      </c>
      <c r="AA204" s="239">
        <v>2004</v>
      </c>
      <c r="AB204" s="239">
        <v>2005</v>
      </c>
      <c r="AC204" s="239">
        <v>2006</v>
      </c>
      <c r="AD204" s="239">
        <v>2007</v>
      </c>
      <c r="AE204" s="239">
        <v>2008</v>
      </c>
      <c r="AF204" s="239">
        <v>2009</v>
      </c>
      <c r="AG204" s="239">
        <v>2010</v>
      </c>
      <c r="AH204" s="239">
        <v>2011</v>
      </c>
      <c r="AI204" s="239">
        <v>2012</v>
      </c>
    </row>
    <row r="205" spans="2:40">
      <c r="B205" s="238" t="s">
        <v>116</v>
      </c>
      <c r="C205" s="338">
        <f>C96/$C96</f>
        <v>1</v>
      </c>
      <c r="D205" s="338">
        <f t="shared" ref="D205:N205" si="333">D96/$C96</f>
        <v>1.1042670481247669</v>
      </c>
      <c r="E205" s="338">
        <f t="shared" si="333"/>
        <v>1.0644721718818695</v>
      </c>
      <c r="F205" s="338">
        <f t="shared" si="333"/>
        <v>1.1565895975460831</v>
      </c>
      <c r="G205" s="338">
        <f t="shared" si="333"/>
        <v>1.0767263807307141</v>
      </c>
      <c r="H205" s="338">
        <f>H96/$C96</f>
        <v>1.0832729989621217</v>
      </c>
      <c r="I205" s="338">
        <f t="shared" si="333"/>
        <v>0.97043817944929112</v>
      </c>
      <c r="J205" s="338">
        <f t="shared" si="333"/>
        <v>0.92372530296836075</v>
      </c>
      <c r="K205" s="338">
        <f t="shared" si="333"/>
        <v>0.93964890631421527</v>
      </c>
      <c r="L205" s="338">
        <f t="shared" si="333"/>
        <v>1.0089187885908162</v>
      </c>
      <c r="M205" s="338">
        <f t="shared" si="333"/>
        <v>1.1298992339775997</v>
      </c>
      <c r="N205" s="338">
        <f t="shared" si="333"/>
        <v>1.0065922440408899</v>
      </c>
      <c r="O205" s="363">
        <f t="shared" ref="O205" si="334">O96/$C96</f>
        <v>1.0065922440408899</v>
      </c>
      <c r="Q205" s="341">
        <f>(O205/H205)-1</f>
        <v>-7.0786177625307034E-2</v>
      </c>
      <c r="R205" s="240"/>
      <c r="S205" s="240"/>
      <c r="V205" s="238" t="s">
        <v>116</v>
      </c>
      <c r="W205" s="338">
        <f t="shared" ref="W205:AA205" si="335">W96/$AB96</f>
        <v>0.9231283351085966</v>
      </c>
      <c r="X205" s="338">
        <f t="shared" si="335"/>
        <v>1.0193802016507008</v>
      </c>
      <c r="Y205" s="338">
        <f t="shared" si="335"/>
        <v>0.98264442379874217</v>
      </c>
      <c r="Z205" s="338">
        <f t="shared" si="335"/>
        <v>1.0676806295866375</v>
      </c>
      <c r="AA205" s="338">
        <f t="shared" si="335"/>
        <v>0.99395663121144906</v>
      </c>
      <c r="AB205" s="338">
        <f t="shared" ref="AB205:AB220" si="336">AB96/$AB96</f>
        <v>1</v>
      </c>
      <c r="AC205" s="338">
        <f t="shared" ref="AC205:AI205" si="337">AC96/$AB96</f>
        <v>0.89583898092084169</v>
      </c>
      <c r="AD205" s="338">
        <f t="shared" si="337"/>
        <v>0.85271700102686687</v>
      </c>
      <c r="AE205" s="338">
        <f t="shared" si="337"/>
        <v>0.86741653047245526</v>
      </c>
      <c r="AF205" s="338">
        <f t="shared" si="337"/>
        <v>0.93136152157162222</v>
      </c>
      <c r="AG205" s="338">
        <f t="shared" si="337"/>
        <v>1.0430419987022204</v>
      </c>
      <c r="AH205" s="338">
        <f t="shared" si="337"/>
        <v>0.92921382237469285</v>
      </c>
      <c r="AI205" s="338">
        <f t="shared" si="337"/>
        <v>0.92921382237469285</v>
      </c>
    </row>
    <row r="206" spans="2:40">
      <c r="B206" s="238" t="s">
        <v>1051</v>
      </c>
      <c r="C206" s="338">
        <f>C97/$C97</f>
        <v>1</v>
      </c>
      <c r="D206" s="338">
        <f t="shared" ref="D206:M206" si="338">D97/$C97</f>
        <v>1.0524027482454508</v>
      </c>
      <c r="E206" s="338">
        <f t="shared" si="338"/>
        <v>1.1457081408642502</v>
      </c>
      <c r="F206" s="338">
        <f t="shared" si="338"/>
        <v>1.2796811743549623</v>
      </c>
      <c r="G206" s="338">
        <f t="shared" si="338"/>
        <v>1.1942572220833985</v>
      </c>
      <c r="H206" s="338">
        <f t="shared" si="338"/>
        <v>1.0951310740075029</v>
      </c>
      <c r="I206" s="338">
        <f t="shared" si="338"/>
        <v>1.2206833497740255</v>
      </c>
      <c r="J206" s="338">
        <f t="shared" si="338"/>
        <v>1.1838162645247612</v>
      </c>
      <c r="K206" s="338">
        <f t="shared" si="338"/>
        <v>1.2211710252369494</v>
      </c>
      <c r="L206" s="338">
        <f t="shared" si="338"/>
        <v>1.3518908224334303</v>
      </c>
      <c r="M206" s="338">
        <f t="shared" si="338"/>
        <v>1.2285123599062704</v>
      </c>
      <c r="N206" s="338">
        <f>N97/$C97</f>
        <v>1.1125235326169625</v>
      </c>
      <c r="O206" s="338">
        <f>O97/$C97</f>
        <v>1.1275319482353061</v>
      </c>
      <c r="Q206" s="341">
        <f t="shared" ref="Q206:Q220" si="339">(O206/H206)-1</f>
        <v>2.958629792983225E-2</v>
      </c>
      <c r="R206" s="240"/>
      <c r="S206" s="240"/>
      <c r="V206" s="238" t="s">
        <v>1051</v>
      </c>
      <c r="W206" s="338">
        <f t="shared" ref="W206:AA206" si="340">W97/$AB97</f>
        <v>1.0073443231858614</v>
      </c>
      <c r="X206" s="338">
        <f t="shared" si="340"/>
        <v>0.99962315063462026</v>
      </c>
      <c r="Y206" s="338">
        <f t="shared" si="340"/>
        <v>1.0978113097660103</v>
      </c>
      <c r="Z206" s="338">
        <f t="shared" si="340"/>
        <v>1.1000141581901997</v>
      </c>
      <c r="AA206" s="338">
        <f t="shared" si="340"/>
        <v>1.0835106925913944</v>
      </c>
      <c r="AB206" s="338">
        <f t="shared" si="336"/>
        <v>1</v>
      </c>
      <c r="AC206" s="338">
        <f t="shared" ref="AC206:AI206" si="341">AC97/$AB97</f>
        <v>1.1398402175563536</v>
      </c>
      <c r="AD206" s="338">
        <f t="shared" si="341"/>
        <v>1.3002419150283553</v>
      </c>
      <c r="AE206" s="338">
        <f t="shared" si="341"/>
        <v>1.1797744950314646</v>
      </c>
      <c r="AF206" s="338">
        <f t="shared" si="341"/>
        <v>1.1201987278283967</v>
      </c>
      <c r="AG206" s="338">
        <f t="shared" si="341"/>
        <v>1.0672632821689123</v>
      </c>
      <c r="AH206" s="338">
        <f t="shared" si="341"/>
        <v>1.0418663273506417</v>
      </c>
      <c r="AI206" s="338">
        <f t="shared" si="341"/>
        <v>1.0036392185990743</v>
      </c>
    </row>
    <row r="207" spans="2:40">
      <c r="B207" s="238" t="s">
        <v>155</v>
      </c>
      <c r="C207" s="338">
        <f t="shared" ref="C207:N224" si="342">C98/$C98</f>
        <v>1</v>
      </c>
      <c r="D207" s="338">
        <f t="shared" si="342"/>
        <v>1.0284262230221071</v>
      </c>
      <c r="E207" s="338">
        <f t="shared" si="342"/>
        <v>0.97451267512197237</v>
      </c>
      <c r="F207" s="338">
        <f t="shared" si="342"/>
        <v>0.87179211399731382</v>
      </c>
      <c r="G207" s="338">
        <f t="shared" si="342"/>
        <v>0.92089872515060289</v>
      </c>
      <c r="H207" s="338">
        <f t="shared" si="342"/>
        <v>0.83681602084488949</v>
      </c>
      <c r="I207" s="338">
        <f t="shared" si="342"/>
        <v>0.93433049674243351</v>
      </c>
      <c r="J207" s="338">
        <f t="shared" si="342"/>
        <v>0.86044102015154922</v>
      </c>
      <c r="K207" s="338">
        <f t="shared" si="342"/>
        <v>0.81705154677351732</v>
      </c>
      <c r="L207" s="338">
        <f t="shared" si="342"/>
        <v>0.85516948697529571</v>
      </c>
      <c r="M207" s="338">
        <f t="shared" si="342"/>
        <v>0.81735176688902245</v>
      </c>
      <c r="N207" s="338">
        <f t="shared" si="342"/>
        <v>0.81735176688902245</v>
      </c>
      <c r="O207" s="363">
        <f t="shared" ref="O207" si="343">O98/$C98</f>
        <v>0.81735176688902245</v>
      </c>
      <c r="Q207" s="341">
        <f t="shared" si="339"/>
        <v>-2.3259896406159886E-2</v>
      </c>
      <c r="V207" s="238" t="s">
        <v>155</v>
      </c>
      <c r="W207" s="338">
        <f t="shared" ref="W207:AA207" si="344">W98/$AB98</f>
        <v>1.1950058018611451</v>
      </c>
      <c r="X207" s="338">
        <f t="shared" si="344"/>
        <v>1.2289753032975619</v>
      </c>
      <c r="Y207" s="338">
        <f t="shared" si="344"/>
        <v>1.1645483007579822</v>
      </c>
      <c r="Z207" s="338">
        <f t="shared" si="344"/>
        <v>1.0417966342435829</v>
      </c>
      <c r="AA207" s="338">
        <f t="shared" si="344"/>
        <v>1.1004793194815026</v>
      </c>
      <c r="AB207" s="338">
        <f t="shared" si="336"/>
        <v>1</v>
      </c>
      <c r="AC207" s="338">
        <f t="shared" ref="AC207:AI207" si="345">AC98/$AB98</f>
        <v>1.1165303644630138</v>
      </c>
      <c r="AD207" s="338">
        <f t="shared" si="345"/>
        <v>1.028232011240424</v>
      </c>
      <c r="AE207" s="338">
        <f t="shared" si="345"/>
        <v>0.97638133881397604</v>
      </c>
      <c r="AF207" s="338">
        <f t="shared" si="345"/>
        <v>1.0219324985100975</v>
      </c>
      <c r="AG207" s="338">
        <f t="shared" si="345"/>
        <v>0.97674010359384011</v>
      </c>
      <c r="AH207" s="338">
        <f t="shared" si="345"/>
        <v>0.97674010359384011</v>
      </c>
      <c r="AI207" s="338">
        <f t="shared" si="345"/>
        <v>0.97674010359384011</v>
      </c>
    </row>
    <row r="208" spans="2:40">
      <c r="B208" s="238" t="s">
        <v>115</v>
      </c>
      <c r="C208" s="338">
        <f t="shared" si="342"/>
        <v>1</v>
      </c>
      <c r="D208" s="338">
        <f t="shared" si="342"/>
        <v>1.0238533965575949</v>
      </c>
      <c r="E208" s="338">
        <f t="shared" si="342"/>
        <v>0.95519876889543953</v>
      </c>
      <c r="F208" s="338">
        <f t="shared" si="342"/>
        <v>0.90875952688353823</v>
      </c>
      <c r="G208" s="338">
        <f t="shared" si="342"/>
        <v>0.85037426238970348</v>
      </c>
      <c r="H208" s="338">
        <f t="shared" si="342"/>
        <v>0.83368604952222825</v>
      </c>
      <c r="I208" s="338">
        <f t="shared" si="342"/>
        <v>0.77785585167141891</v>
      </c>
      <c r="J208" s="338">
        <f t="shared" si="342"/>
        <v>0.77146837833179793</v>
      </c>
      <c r="K208" s="338">
        <f t="shared" si="342"/>
        <v>0.76128790624995446</v>
      </c>
      <c r="L208" s="338">
        <f t="shared" si="342"/>
        <v>0.80185295337205387</v>
      </c>
      <c r="M208" s="338">
        <f t="shared" si="342"/>
        <v>0.81129675753952524</v>
      </c>
      <c r="N208" s="338">
        <f t="shared" si="342"/>
        <v>0.78854751760978081</v>
      </c>
      <c r="O208" s="338">
        <f t="shared" ref="O208" si="346">O99/$C99</f>
        <v>0.79053307395820716</v>
      </c>
      <c r="Q208" s="341">
        <f t="shared" si="339"/>
        <v>-5.176166206541577E-2</v>
      </c>
      <c r="V208" s="238" t="s">
        <v>115</v>
      </c>
      <c r="W208" s="338">
        <f t="shared" ref="W208:AA208" si="347">W99/$AB99</f>
        <v>1.1994923035752891</v>
      </c>
      <c r="X208" s="338">
        <f t="shared" si="347"/>
        <v>1.2281042691602535</v>
      </c>
      <c r="Y208" s="338">
        <f t="shared" si="347"/>
        <v>1.145753571674671</v>
      </c>
      <c r="Z208" s="338">
        <f t="shared" si="347"/>
        <v>1.090050058297525</v>
      </c>
      <c r="AA208" s="338">
        <f t="shared" si="347"/>
        <v>1.0200173828949628</v>
      </c>
      <c r="AB208" s="338">
        <f t="shared" si="336"/>
        <v>1</v>
      </c>
      <c r="AC208" s="338">
        <f t="shared" ref="AC208:AI208" si="348">AC99/$AB99</f>
        <v>0.9330321073708685</v>
      </c>
      <c r="AD208" s="338">
        <f t="shared" si="348"/>
        <v>0.9253703822607009</v>
      </c>
      <c r="AE208" s="338">
        <f t="shared" si="348"/>
        <v>0.91315898435176657</v>
      </c>
      <c r="AF208" s="338">
        <f t="shared" si="348"/>
        <v>0.96181644616889372</v>
      </c>
      <c r="AG208" s="338">
        <f t="shared" si="348"/>
        <v>0.97314421658424788</v>
      </c>
      <c r="AH208" s="338">
        <f t="shared" si="348"/>
        <v>0.94585667837633181</v>
      </c>
      <c r="AI208" s="338">
        <f t="shared" si="348"/>
        <v>0.94823833793458434</v>
      </c>
    </row>
    <row r="209" spans="2:35">
      <c r="B209" s="238" t="s">
        <v>107</v>
      </c>
      <c r="C209" s="338">
        <f t="shared" si="342"/>
        <v>1</v>
      </c>
      <c r="D209" s="338">
        <f t="shared" si="342"/>
        <v>1.1020031345002743</v>
      </c>
      <c r="E209" s="338">
        <f t="shared" si="342"/>
        <v>1.108323744544679</v>
      </c>
      <c r="F209" s="338">
        <f t="shared" si="342"/>
        <v>1.1721239669330525</v>
      </c>
      <c r="G209" s="338">
        <f t="shared" si="342"/>
        <v>1.1146086678767513</v>
      </c>
      <c r="H209" s="338">
        <f t="shared" si="342"/>
        <v>1.1239511351139215</v>
      </c>
      <c r="I209" s="338">
        <f t="shared" si="342"/>
        <v>1.0357670970009798</v>
      </c>
      <c r="J209" s="338">
        <f t="shared" si="342"/>
        <v>1.1577208030884825</v>
      </c>
      <c r="K209" s="338">
        <f t="shared" si="342"/>
        <v>1.2875255200203704</v>
      </c>
      <c r="L209" s="338">
        <f t="shared" si="342"/>
        <v>1.6542273331070645</v>
      </c>
      <c r="M209" s="338">
        <f t="shared" si="342"/>
        <v>1.2021688751949242</v>
      </c>
      <c r="N209" s="338">
        <f t="shared" si="342"/>
        <v>1.1215969784772577</v>
      </c>
      <c r="O209" s="338">
        <f t="shared" ref="O209" si="349">O100/$C100</f>
        <v>1.1155370936903557</v>
      </c>
      <c r="Q209" s="341">
        <f t="shared" si="339"/>
        <v>-7.4861274308984926E-3</v>
      </c>
      <c r="V209" s="238" t="s">
        <v>107</v>
      </c>
      <c r="W209" s="338">
        <f t="shared" ref="W209:AA209" si="350">W100/$AB100</f>
        <v>0.8897183950071299</v>
      </c>
      <c r="X209" s="338">
        <f t="shared" si="350"/>
        <v>0.98047246012041045</v>
      </c>
      <c r="Y209" s="338">
        <f t="shared" si="350"/>
        <v>0.98609602314458411</v>
      </c>
      <c r="Z209" s="338">
        <f t="shared" si="350"/>
        <v>1.0428602546090657</v>
      </c>
      <c r="AA209" s="338">
        <f t="shared" si="350"/>
        <v>0.99168783504433822</v>
      </c>
      <c r="AB209" s="338">
        <f t="shared" si="336"/>
        <v>1</v>
      </c>
      <c r="AC209" s="338">
        <f t="shared" ref="AC209:AI209" si="351">AC100/$AB100</f>
        <v>0.92154103914490604</v>
      </c>
      <c r="AD209" s="338">
        <f t="shared" si="351"/>
        <v>1.0300454947902502</v>
      </c>
      <c r="AE209" s="338">
        <f t="shared" si="351"/>
        <v>1.145535139203244</v>
      </c>
      <c r="AF209" s="338">
        <f t="shared" si="351"/>
        <v>1.4717964877889422</v>
      </c>
      <c r="AG209" s="338">
        <f t="shared" si="351"/>
        <v>1.0695917621659545</v>
      </c>
      <c r="AH209" s="338">
        <f t="shared" si="351"/>
        <v>0.99790546353563214</v>
      </c>
      <c r="AI209" s="338">
        <f t="shared" si="351"/>
        <v>0.99251387256910162</v>
      </c>
    </row>
    <row r="210" spans="2:35">
      <c r="B210" s="238" t="s">
        <v>114</v>
      </c>
      <c r="C210" s="338">
        <f t="shared" si="342"/>
        <v>1</v>
      </c>
      <c r="D210" s="338">
        <f t="shared" si="342"/>
        <v>1.0002059908187242</v>
      </c>
      <c r="E210" s="338">
        <f t="shared" si="342"/>
        <v>0.99512982152216989</v>
      </c>
      <c r="F210" s="338">
        <f t="shared" si="342"/>
        <v>1.0050795744894039</v>
      </c>
      <c r="G210" s="338">
        <f t="shared" si="342"/>
        <v>0.9249935514319374</v>
      </c>
      <c r="H210" s="338">
        <f t="shared" si="342"/>
        <v>0.91850922808368107</v>
      </c>
      <c r="I210" s="338">
        <f t="shared" si="342"/>
        <v>0.81281351766559184</v>
      </c>
      <c r="J210" s="338">
        <f t="shared" si="342"/>
        <v>0.85426636825510416</v>
      </c>
      <c r="K210" s="338">
        <f t="shared" si="342"/>
        <v>0.79405532252191358</v>
      </c>
      <c r="L210" s="338">
        <f t="shared" si="342"/>
        <v>0.90863741340962101</v>
      </c>
      <c r="M210" s="338">
        <f t="shared" si="342"/>
        <v>0.98477704949221945</v>
      </c>
      <c r="N210" s="338">
        <f t="shared" si="342"/>
        <v>0.90657823070258337</v>
      </c>
      <c r="O210" s="363">
        <f t="shared" ref="O210" si="352">O101/$C101</f>
        <v>0.90657823070258337</v>
      </c>
      <c r="Q210" s="341">
        <f t="shared" si="339"/>
        <v>-1.2989523693724636E-2</v>
      </c>
      <c r="V210" s="238" t="s">
        <v>114</v>
      </c>
      <c r="W210" s="338">
        <f t="shared" ref="W210:AA210" si="353">W101/$AB101</f>
        <v>1.0887206893787404</v>
      </c>
      <c r="X210" s="338">
        <f t="shared" si="353"/>
        <v>1.0889449558449074</v>
      </c>
      <c r="Y210" s="338">
        <f t="shared" si="353"/>
        <v>1.0834184253089596</v>
      </c>
      <c r="Z210" s="338">
        <f t="shared" si="353"/>
        <v>1.0942509272185947</v>
      </c>
      <c r="AA210" s="338">
        <f t="shared" si="353"/>
        <v>1.0070596169858681</v>
      </c>
      <c r="AB210" s="338">
        <f t="shared" si="336"/>
        <v>1</v>
      </c>
      <c r="AC210" s="338">
        <f t="shared" ref="AC210:AI210" si="354">AC101/$AB101</f>
        <v>0.88492689328924212</v>
      </c>
      <c r="AD210" s="338">
        <f t="shared" si="354"/>
        <v>0.93005746935976996</v>
      </c>
      <c r="AE210" s="338">
        <f t="shared" si="354"/>
        <v>0.86450445814091581</v>
      </c>
      <c r="AF210" s="338">
        <f t="shared" si="354"/>
        <v>0.9892523511226381</v>
      </c>
      <c r="AG210" s="338">
        <f t="shared" si="354"/>
        <v>1.0721471482075311</v>
      </c>
      <c r="AH210" s="338">
        <f t="shared" si="354"/>
        <v>0.98701047630627536</v>
      </c>
      <c r="AI210" s="338">
        <f t="shared" si="354"/>
        <v>0.98701047630627536</v>
      </c>
    </row>
    <row r="211" spans="2:35">
      <c r="B211" s="238" t="s">
        <v>105</v>
      </c>
      <c r="C211" s="338">
        <f t="shared" si="342"/>
        <v>1</v>
      </c>
      <c r="D211" s="338">
        <f t="shared" si="342"/>
        <v>1.082766652824706</v>
      </c>
      <c r="E211" s="338">
        <f t="shared" si="342"/>
        <v>1.0739150573598124</v>
      </c>
      <c r="F211" s="338">
        <f t="shared" si="342"/>
        <v>1.1213568791096955</v>
      </c>
      <c r="G211" s="338">
        <f t="shared" si="342"/>
        <v>1.1161121109266052</v>
      </c>
      <c r="H211" s="338">
        <f t="shared" si="342"/>
        <v>1.1897867955179868</v>
      </c>
      <c r="I211" s="338">
        <f t="shared" si="342"/>
        <v>1.2106043388399967</v>
      </c>
      <c r="J211" s="338">
        <f t="shared" si="342"/>
        <v>1.2835319998752979</v>
      </c>
      <c r="K211" s="338">
        <f t="shared" si="342"/>
        <v>1.4631905600018085</v>
      </c>
      <c r="L211" s="338">
        <f t="shared" si="342"/>
        <v>1.5014485017833374</v>
      </c>
      <c r="M211" s="338">
        <f t="shared" si="342"/>
        <v>1.4536562777278519</v>
      </c>
      <c r="N211" s="338">
        <f t="shared" si="342"/>
        <v>1.3388479820474113</v>
      </c>
      <c r="O211" s="338">
        <f t="shared" ref="O211" si="355">O102/$C102</f>
        <v>1.3577513756072075</v>
      </c>
      <c r="Q211" s="341">
        <f t="shared" si="339"/>
        <v>0.14117199881689335</v>
      </c>
      <c r="V211" s="238" t="s">
        <v>105</v>
      </c>
      <c r="W211" s="338">
        <f t="shared" ref="W211:AA211" si="356">W102/$AB102</f>
        <v>0.84048671893743687</v>
      </c>
      <c r="X211" s="338">
        <f t="shared" si="356"/>
        <v>0.910050991407508</v>
      </c>
      <c r="Y211" s="338">
        <f t="shared" si="356"/>
        <v>0.90261134297785806</v>
      </c>
      <c r="Z211" s="338">
        <f t="shared" si="356"/>
        <v>0.94248556408083217</v>
      </c>
      <c r="AA211" s="338">
        <f t="shared" si="356"/>
        <v>0.93807740607903911</v>
      </c>
      <c r="AB211" s="338">
        <f t="shared" si="336"/>
        <v>1</v>
      </c>
      <c r="AC211" s="338">
        <f t="shared" ref="AC211:AI211" si="357">AC102/$AB102</f>
        <v>1.0174968686830541</v>
      </c>
      <c r="AD211" s="338">
        <f t="shared" si="357"/>
        <v>1.0787915992263957</v>
      </c>
      <c r="AE211" s="338">
        <f t="shared" si="357"/>
        <v>1.229792232956151</v>
      </c>
      <c r="AF211" s="338">
        <f t="shared" si="357"/>
        <v>1.2619475249174077</v>
      </c>
      <c r="AG211" s="338">
        <f t="shared" si="357"/>
        <v>1.2217787953302899</v>
      </c>
      <c r="AH211" s="338">
        <f t="shared" si="357"/>
        <v>1.1252839475870371</v>
      </c>
      <c r="AI211" s="338">
        <f t="shared" si="357"/>
        <v>1.1411719988168934</v>
      </c>
    </row>
    <row r="212" spans="2:35">
      <c r="B212" s="238" t="s">
        <v>156</v>
      </c>
      <c r="C212" s="338">
        <f t="shared" si="342"/>
        <v>1</v>
      </c>
      <c r="D212" s="338">
        <f t="shared" si="342"/>
        <v>1.2265297877560086</v>
      </c>
      <c r="E212" s="338">
        <f t="shared" si="342"/>
        <v>1.029902907331615</v>
      </c>
      <c r="F212" s="338">
        <f t="shared" si="342"/>
        <v>0.93466311327373774</v>
      </c>
      <c r="G212" s="338">
        <f t="shared" si="342"/>
        <v>0.80930930132320011</v>
      </c>
      <c r="H212" s="338">
        <f t="shared" si="342"/>
        <v>0.78303092341850089</v>
      </c>
      <c r="I212" s="338">
        <f t="shared" si="342"/>
        <v>0.78607306068816274</v>
      </c>
      <c r="J212" s="338">
        <f t="shared" si="342"/>
        <v>0.78776048278590649</v>
      </c>
      <c r="K212" s="338">
        <f t="shared" si="342"/>
        <v>0.80266758620715195</v>
      </c>
      <c r="L212" s="338">
        <f t="shared" si="342"/>
        <v>0.84353224669886651</v>
      </c>
      <c r="M212" s="338">
        <f t="shared" si="342"/>
        <v>0.8585148320660948</v>
      </c>
      <c r="N212" s="338">
        <f t="shared" si="342"/>
        <v>0.84558366321887202</v>
      </c>
      <c r="O212" s="338">
        <f t="shared" ref="O212" si="358">O103/$C103</f>
        <v>0.85455794962748499</v>
      </c>
      <c r="Q212" s="341">
        <f t="shared" si="339"/>
        <v>9.1346362027078687E-2</v>
      </c>
      <c r="V212" s="238" t="s">
        <v>156</v>
      </c>
      <c r="W212" s="338">
        <f t="shared" ref="W212:AA212" si="359">W103/$AB103</f>
        <v>1.2770887714552459</v>
      </c>
      <c r="X212" s="338">
        <f t="shared" si="359"/>
        <v>1.5663874197985845</v>
      </c>
      <c r="Y212" s="338">
        <f t="shared" si="359"/>
        <v>1.3152774386423183</v>
      </c>
      <c r="Z212" s="338">
        <f t="shared" si="359"/>
        <v>1.1936477670552932</v>
      </c>
      <c r="AA212" s="338">
        <f t="shared" si="359"/>
        <v>1.033559821354149</v>
      </c>
      <c r="AB212" s="338">
        <f t="shared" si="336"/>
        <v>1</v>
      </c>
      <c r="AC212" s="338">
        <f t="shared" ref="AC212:AI212" si="360">AC103/$AB103</f>
        <v>1.0038850793483107</v>
      </c>
      <c r="AD212" s="338">
        <f t="shared" si="360"/>
        <v>1.0060400671620446</v>
      </c>
      <c r="AE212" s="338">
        <f t="shared" si="360"/>
        <v>1.0250777615562394</v>
      </c>
      <c r="AF212" s="338">
        <f t="shared" si="360"/>
        <v>1.0772655606195389</v>
      </c>
      <c r="AG212" s="338">
        <f t="shared" si="360"/>
        <v>1.0963996521593957</v>
      </c>
      <c r="AH212" s="338">
        <f t="shared" si="360"/>
        <v>1.0798854016228157</v>
      </c>
      <c r="AI212" s="338">
        <f t="shared" si="360"/>
        <v>1.0913463620270787</v>
      </c>
    </row>
    <row r="213" spans="2:35">
      <c r="B213" s="238" t="s">
        <v>204</v>
      </c>
      <c r="C213" s="338">
        <f t="shared" si="342"/>
        <v>1</v>
      </c>
      <c r="D213" s="338">
        <f t="shared" si="342"/>
        <v>1.2223566431813537</v>
      </c>
      <c r="E213" s="338">
        <f t="shared" si="342"/>
        <v>1.1164226650411218</v>
      </c>
      <c r="F213" s="338">
        <f t="shared" si="342"/>
        <v>0.88422543960926403</v>
      </c>
      <c r="G213" s="338">
        <f t="shared" si="342"/>
        <v>0.84560777349369909</v>
      </c>
      <c r="H213" s="338">
        <f t="shared" si="342"/>
        <v>0.91763491649978823</v>
      </c>
      <c r="I213" s="338">
        <f t="shared" si="342"/>
        <v>0.88191844157437205</v>
      </c>
      <c r="J213" s="338">
        <f t="shared" si="342"/>
        <v>0.90407121870601093</v>
      </c>
      <c r="K213" s="338">
        <f t="shared" si="342"/>
        <v>0.95154363588433621</v>
      </c>
      <c r="L213" s="338">
        <f t="shared" si="342"/>
        <v>1.0169042879822734</v>
      </c>
      <c r="M213" s="338">
        <f t="shared" si="342"/>
        <v>0.99460885897718909</v>
      </c>
      <c r="N213" s="338">
        <f t="shared" si="342"/>
        <v>0.9308016392224937</v>
      </c>
      <c r="O213" s="363">
        <f t="shared" ref="O213" si="361">O104/$C104</f>
        <v>0.9308016392224937</v>
      </c>
      <c r="Q213" s="341">
        <f t="shared" si="339"/>
        <v>1.4348541545180504E-2</v>
      </c>
      <c r="V213" s="238" t="s">
        <v>204</v>
      </c>
      <c r="W213" s="338">
        <f t="shared" ref="W213:AA213" si="362">W104/$AB104</f>
        <v>1.089758009442779</v>
      </c>
      <c r="X213" s="338">
        <f t="shared" si="362"/>
        <v>1.3320729423024695</v>
      </c>
      <c r="Y213" s="338">
        <f t="shared" si="362"/>
        <v>1.2166305411520153</v>
      </c>
      <c r="Z213" s="338">
        <f t="shared" si="362"/>
        <v>0.9635917549672578</v>
      </c>
      <c r="AA213" s="338">
        <f t="shared" si="362"/>
        <v>0.92150784401183383</v>
      </c>
      <c r="AB213" s="338">
        <f t="shared" si="336"/>
        <v>1</v>
      </c>
      <c r="AC213" s="338">
        <f t="shared" ref="AC213:AI213" si="363">AC104/$AB104</f>
        <v>0.9610776853809655</v>
      </c>
      <c r="AD213" s="338">
        <f t="shared" si="363"/>
        <v>0.98521885169156975</v>
      </c>
      <c r="AE213" s="338">
        <f t="shared" si="363"/>
        <v>1.0369522985392587</v>
      </c>
      <c r="AF213" s="338">
        <f t="shared" si="363"/>
        <v>1.1081795926653888</v>
      </c>
      <c r="AG213" s="338">
        <f t="shared" si="363"/>
        <v>1.0838829703331352</v>
      </c>
      <c r="AH213" s="338">
        <f t="shared" si="363"/>
        <v>1.0143485415451805</v>
      </c>
      <c r="AI213" s="338">
        <f t="shared" si="363"/>
        <v>1.0143485415451805</v>
      </c>
    </row>
    <row r="214" spans="2:35">
      <c r="B214" s="238" t="s">
        <v>113</v>
      </c>
      <c r="C214" s="363">
        <f t="shared" si="342"/>
        <v>1</v>
      </c>
      <c r="D214" s="363">
        <f t="shared" si="342"/>
        <v>1</v>
      </c>
      <c r="E214" s="363">
        <f t="shared" si="342"/>
        <v>1</v>
      </c>
      <c r="F214" s="363">
        <f t="shared" si="342"/>
        <v>1</v>
      </c>
      <c r="G214" s="363">
        <f t="shared" si="342"/>
        <v>1</v>
      </c>
      <c r="H214" s="363">
        <f t="shared" si="342"/>
        <v>1</v>
      </c>
      <c r="I214" s="338">
        <f t="shared" si="342"/>
        <v>1</v>
      </c>
      <c r="J214" s="338">
        <f t="shared" si="342"/>
        <v>1.1695287422066347</v>
      </c>
      <c r="K214" s="338">
        <f t="shared" si="342"/>
        <v>1.1537789238193876</v>
      </c>
      <c r="L214" s="338">
        <f t="shared" si="342"/>
        <v>1.0872913799983719</v>
      </c>
      <c r="M214" s="338">
        <f t="shared" si="342"/>
        <v>1.0749309800342424</v>
      </c>
      <c r="N214" s="363">
        <f t="shared" si="342"/>
        <v>1.0749309800342424</v>
      </c>
      <c r="O214" s="363">
        <f t="shared" ref="O214" si="364">O105/$C105</f>
        <v>1.0749309800342424</v>
      </c>
      <c r="Q214" s="341">
        <f t="shared" si="339"/>
        <v>7.4930980034242367E-2</v>
      </c>
      <c r="V214" s="238" t="s">
        <v>113</v>
      </c>
      <c r="W214" s="363">
        <f t="shared" ref="W214:AA214" si="365">W105/$AB105</f>
        <v>1</v>
      </c>
      <c r="X214" s="363">
        <f t="shared" si="365"/>
        <v>1</v>
      </c>
      <c r="Y214" s="363">
        <f t="shared" si="365"/>
        <v>1</v>
      </c>
      <c r="Z214" s="363">
        <f t="shared" si="365"/>
        <v>1</v>
      </c>
      <c r="AA214" s="363">
        <f t="shared" si="365"/>
        <v>1</v>
      </c>
      <c r="AB214" s="363">
        <f t="shared" si="336"/>
        <v>1</v>
      </c>
      <c r="AC214" s="363">
        <f t="shared" ref="AC214:AI214" si="366">AC105/$AB105</f>
        <v>1</v>
      </c>
      <c r="AD214" s="363">
        <f t="shared" si="366"/>
        <v>1.1695287422066347</v>
      </c>
      <c r="AE214" s="363">
        <f t="shared" si="366"/>
        <v>1.1537789238193876</v>
      </c>
      <c r="AF214" s="363">
        <f t="shared" si="366"/>
        <v>1.0872913799983719</v>
      </c>
      <c r="AG214" s="363">
        <f t="shared" si="366"/>
        <v>1.0749309800342424</v>
      </c>
      <c r="AH214" s="363">
        <f t="shared" si="366"/>
        <v>1.0749309800342424</v>
      </c>
      <c r="AI214" s="363">
        <f t="shared" si="366"/>
        <v>1.0749309800342424</v>
      </c>
    </row>
    <row r="215" spans="2:35">
      <c r="B215" s="238" t="s">
        <v>112</v>
      </c>
      <c r="C215" s="338">
        <f t="shared" si="342"/>
        <v>1</v>
      </c>
      <c r="D215" s="338">
        <f t="shared" si="342"/>
        <v>0.94746753810543904</v>
      </c>
      <c r="E215" s="338">
        <f t="shared" si="342"/>
        <v>0.91288300510768239</v>
      </c>
      <c r="F215" s="338">
        <f t="shared" si="342"/>
        <v>0.65185006211239727</v>
      </c>
      <c r="G215" s="338">
        <f t="shared" si="342"/>
        <v>0.64429939324568586</v>
      </c>
      <c r="H215" s="338">
        <f t="shared" si="342"/>
        <v>0.63686219170925906</v>
      </c>
      <c r="I215" s="338">
        <f t="shared" si="342"/>
        <v>0.63442850604849521</v>
      </c>
      <c r="J215" s="338">
        <f t="shared" si="342"/>
        <v>0.63100143324211666</v>
      </c>
      <c r="K215" s="338">
        <f t="shared" si="342"/>
        <v>0.71347362422261307</v>
      </c>
      <c r="L215" s="338">
        <f t="shared" si="342"/>
        <v>0.75470733636722842</v>
      </c>
      <c r="M215" s="338">
        <f t="shared" si="342"/>
        <v>0.78733317103487666</v>
      </c>
      <c r="N215" s="338">
        <f t="shared" si="342"/>
        <v>0.82231400590781789</v>
      </c>
      <c r="O215" s="338">
        <f t="shared" ref="O215" si="367">O106/$C106</f>
        <v>0.84940681702463405</v>
      </c>
      <c r="Q215" s="341">
        <f t="shared" si="339"/>
        <v>0.33373723245358877</v>
      </c>
      <c r="V215" s="238" t="s">
        <v>112</v>
      </c>
      <c r="W215" s="338">
        <f t="shared" ref="W215:AA215" si="368">W106/$AB106</f>
        <v>1.570198408726579</v>
      </c>
      <c r="X215" s="338">
        <f t="shared" si="368"/>
        <v>1.4877120206532497</v>
      </c>
      <c r="Y215" s="338">
        <f t="shared" si="368"/>
        <v>1.4334074419736205</v>
      </c>
      <c r="Z215" s="338">
        <f t="shared" si="368"/>
        <v>1.0235339302572077</v>
      </c>
      <c r="AA215" s="338">
        <f t="shared" si="368"/>
        <v>1.0116778820178765</v>
      </c>
      <c r="AB215" s="338">
        <f t="shared" si="336"/>
        <v>1</v>
      </c>
      <c r="AC215" s="338">
        <f t="shared" ref="AC215:AI215" si="369">AC106/$AB106</f>
        <v>0.99617863064812806</v>
      </c>
      <c r="AD215" s="338">
        <f t="shared" si="369"/>
        <v>0.99079744638096223</v>
      </c>
      <c r="AE215" s="338">
        <f t="shared" si="369"/>
        <v>1.1202951494227322</v>
      </c>
      <c r="AF215" s="338">
        <f t="shared" si="369"/>
        <v>1.185040258618097</v>
      </c>
      <c r="AG215" s="338">
        <f t="shared" si="369"/>
        <v>1.2362692922966148</v>
      </c>
      <c r="AH215" s="338">
        <f t="shared" si="369"/>
        <v>1.2911961435500343</v>
      </c>
      <c r="AI215" s="338">
        <f t="shared" si="369"/>
        <v>1.3337372324535888</v>
      </c>
    </row>
    <row r="216" spans="2:35">
      <c r="B216" s="5" t="s">
        <v>392</v>
      </c>
      <c r="C216" s="338">
        <f t="shared" si="342"/>
        <v>1</v>
      </c>
      <c r="D216" s="338">
        <f t="shared" si="342"/>
        <v>1.1908137225303237</v>
      </c>
      <c r="E216" s="338">
        <f t="shared" si="342"/>
        <v>1.1940678661194328</v>
      </c>
      <c r="F216" s="338">
        <f t="shared" si="342"/>
        <v>1.2081642082809252</v>
      </c>
      <c r="G216" s="338">
        <f t="shared" si="342"/>
        <v>1.2067712613361068</v>
      </c>
      <c r="H216" s="338">
        <f t="shared" si="342"/>
        <v>1.5153122279681432</v>
      </c>
      <c r="I216" s="338">
        <f t="shared" si="342"/>
        <v>1.3086557582460447</v>
      </c>
      <c r="J216" s="338">
        <f t="shared" si="342"/>
        <v>1.2559050547215982</v>
      </c>
      <c r="K216" s="338">
        <f t="shared" si="342"/>
        <v>1.3091015867910207</v>
      </c>
      <c r="L216" s="338">
        <f t="shared" si="342"/>
        <v>1.3289625184243605</v>
      </c>
      <c r="M216" s="338">
        <f t="shared" si="342"/>
        <v>1.2839220444916424</v>
      </c>
      <c r="N216" s="338">
        <f t="shared" si="342"/>
        <v>1.1795041924336875</v>
      </c>
      <c r="O216" s="338">
        <f t="shared" ref="O216" si="370">O107/$C107</f>
        <v>1.1082653085775651</v>
      </c>
      <c r="Q216" s="341">
        <f t="shared" si="339"/>
        <v>-0.26862247388868532</v>
      </c>
      <c r="V216" s="5" t="s">
        <v>392</v>
      </c>
      <c r="W216" s="338">
        <f t="shared" ref="W216:AA216" si="371">W107/$AB107</f>
        <v>0.7146829303670944</v>
      </c>
      <c r="X216" s="338">
        <f t="shared" si="371"/>
        <v>0.83591093980103226</v>
      </c>
      <c r="Y216" s="338">
        <f t="shared" si="371"/>
        <v>0.84534299766275933</v>
      </c>
      <c r="Z216" s="338">
        <f t="shared" si="371"/>
        <v>0.79059627808468591</v>
      </c>
      <c r="AA216" s="338">
        <f t="shared" si="371"/>
        <v>0.80870335118671288</v>
      </c>
      <c r="AB216" s="338">
        <f t="shared" si="336"/>
        <v>1</v>
      </c>
      <c r="AC216" s="338">
        <f t="shared" ref="AC216:AI216" si="372">AC107/$AB107</f>
        <v>0.86993242406462856</v>
      </c>
      <c r="AD216" s="338">
        <f t="shared" si="372"/>
        <v>0.8530332935772027</v>
      </c>
      <c r="AE216" s="338">
        <f t="shared" si="372"/>
        <v>0.7706116344300743</v>
      </c>
      <c r="AF216" s="338">
        <f t="shared" si="372"/>
        <v>0.71040800235082202</v>
      </c>
      <c r="AG216" s="338">
        <f t="shared" si="372"/>
        <v>0.71322724415632555</v>
      </c>
      <c r="AH216" s="338">
        <f t="shared" si="372"/>
        <v>0.66473365074035673</v>
      </c>
      <c r="AI216" s="338">
        <f t="shared" si="372"/>
        <v>0.62096840017321731</v>
      </c>
    </row>
    <row r="217" spans="2:35">
      <c r="B217" s="238" t="s">
        <v>1125</v>
      </c>
      <c r="C217" s="363">
        <f t="shared" si="342"/>
        <v>1</v>
      </c>
      <c r="D217" s="363">
        <f t="shared" si="342"/>
        <v>1</v>
      </c>
      <c r="E217" s="363">
        <f t="shared" si="342"/>
        <v>1</v>
      </c>
      <c r="F217" s="363">
        <f t="shared" si="342"/>
        <v>1</v>
      </c>
      <c r="G217" s="363">
        <f t="shared" si="342"/>
        <v>1</v>
      </c>
      <c r="H217" s="363">
        <f t="shared" si="342"/>
        <v>1</v>
      </c>
      <c r="I217" s="338">
        <f t="shared" si="342"/>
        <v>1</v>
      </c>
      <c r="J217" s="338">
        <f t="shared" si="342"/>
        <v>1.0017243824004707</v>
      </c>
      <c r="K217" s="338">
        <f t="shared" si="342"/>
        <v>1.2717790289931985</v>
      </c>
      <c r="L217" s="338">
        <f t="shared" si="342"/>
        <v>0.91046134330677209</v>
      </c>
      <c r="M217" s="338">
        <f t="shared" si="342"/>
        <v>1.0268645389424238</v>
      </c>
      <c r="N217" s="338">
        <f t="shared" si="342"/>
        <v>1.0107305126360511</v>
      </c>
      <c r="O217" s="338">
        <f t="shared" ref="O217" si="373">O108/$C108</f>
        <v>0.96462926651949932</v>
      </c>
      <c r="Q217" s="341">
        <f t="shared" si="339"/>
        <v>-3.5370733480500682E-2</v>
      </c>
      <c r="V217" s="238" t="s">
        <v>1125</v>
      </c>
      <c r="W217" s="363">
        <f t="shared" ref="W217:AA217" si="374">W108/$AB108</f>
        <v>1</v>
      </c>
      <c r="X217" s="363">
        <f t="shared" si="374"/>
        <v>1</v>
      </c>
      <c r="Y217" s="363">
        <f t="shared" si="374"/>
        <v>1</v>
      </c>
      <c r="Z217" s="363">
        <f t="shared" si="374"/>
        <v>1</v>
      </c>
      <c r="AA217" s="363">
        <f t="shared" si="374"/>
        <v>1</v>
      </c>
      <c r="AB217" s="363">
        <f t="shared" si="336"/>
        <v>1</v>
      </c>
      <c r="AC217" s="363">
        <f t="shared" ref="AC217:AI217" si="375">AC108/$AB108</f>
        <v>1</v>
      </c>
      <c r="AD217" s="363">
        <f t="shared" si="375"/>
        <v>1.0329783277957636</v>
      </c>
      <c r="AE217" s="363">
        <f t="shared" si="375"/>
        <v>1.1891338193237684</v>
      </c>
      <c r="AF217" s="363">
        <f t="shared" si="375"/>
        <v>0.81475559641506101</v>
      </c>
      <c r="AG217" s="363">
        <f t="shared" si="375"/>
        <v>1.0279910020785215</v>
      </c>
      <c r="AH217" s="363">
        <f t="shared" si="375"/>
        <v>0.84213721704169131</v>
      </c>
      <c r="AI217" s="363">
        <f t="shared" si="375"/>
        <v>0.78985960389278009</v>
      </c>
    </row>
    <row r="218" spans="2:35">
      <c r="B218" s="238" t="s">
        <v>394</v>
      </c>
      <c r="C218" s="338">
        <f t="shared" si="342"/>
        <v>1</v>
      </c>
      <c r="D218" s="338">
        <f t="shared" si="342"/>
        <v>0.98201631723982452</v>
      </c>
      <c r="E218" s="338">
        <f t="shared" si="342"/>
        <v>0.92446095345671975</v>
      </c>
      <c r="F218" s="338">
        <f t="shared" si="342"/>
        <v>1.0930783395007351</v>
      </c>
      <c r="G218" s="338">
        <f t="shared" si="342"/>
        <v>0.81454398657260918</v>
      </c>
      <c r="H218" s="338">
        <f t="shared" si="342"/>
        <v>0.73416053487806454</v>
      </c>
      <c r="I218" s="338">
        <f t="shared" si="342"/>
        <v>0.73037734481333416</v>
      </c>
      <c r="J218" s="338">
        <f t="shared" si="342"/>
        <v>0.67683295663911891</v>
      </c>
      <c r="K218" s="338">
        <f t="shared" si="342"/>
        <v>0.72296775414731251</v>
      </c>
      <c r="L218" s="338">
        <f t="shared" si="342"/>
        <v>0.73612932110867713</v>
      </c>
      <c r="M218" s="338">
        <f t="shared" si="342"/>
        <v>0.66791824153548329</v>
      </c>
      <c r="N218" s="338">
        <f t="shared" si="342"/>
        <v>0.66874592658038667</v>
      </c>
      <c r="O218" s="338">
        <f t="shared" ref="O218" si="376">O109/$C109</f>
        <v>0.67144779883466299</v>
      </c>
      <c r="Q218" s="341">
        <f t="shared" si="339"/>
        <v>-8.5421012250157746E-2</v>
      </c>
      <c r="V218" s="238" t="s">
        <v>394</v>
      </c>
      <c r="W218" s="338">
        <f t="shared" ref="W218:AA218" si="377">W109/$AB109</f>
        <v>0.88119981590252205</v>
      </c>
      <c r="X218" s="338">
        <f t="shared" si="377"/>
        <v>0.85275853157015702</v>
      </c>
      <c r="Y218" s="338">
        <f t="shared" si="377"/>
        <v>0.88392046426373272</v>
      </c>
      <c r="Z218" s="338">
        <f t="shared" si="377"/>
        <v>1.2553404692885657</v>
      </c>
      <c r="AA218" s="338">
        <f t="shared" si="377"/>
        <v>1.0925101245597701</v>
      </c>
      <c r="AB218" s="338">
        <f t="shared" si="336"/>
        <v>1</v>
      </c>
      <c r="AC218" s="338">
        <f t="shared" ref="AC218:AI218" si="378">AC109/$AB109</f>
        <v>1.0221779025284565</v>
      </c>
      <c r="AD218" s="338">
        <f t="shared" si="378"/>
        <v>1.047918157821911</v>
      </c>
      <c r="AE218" s="338">
        <f t="shared" si="378"/>
        <v>1.0383584521722218</v>
      </c>
      <c r="AF218" s="338">
        <f t="shared" si="378"/>
        <v>0.86852261698101341</v>
      </c>
      <c r="AG218" s="338">
        <f t="shared" si="378"/>
        <v>0.78249941877301388</v>
      </c>
      <c r="AH218" s="338">
        <f t="shared" si="378"/>
        <v>0.81154848627169884</v>
      </c>
      <c r="AI218" s="338">
        <f t="shared" si="378"/>
        <v>0.74998177735760485</v>
      </c>
    </row>
    <row r="219" spans="2:35">
      <c r="B219" s="5" t="s">
        <v>1050</v>
      </c>
      <c r="C219" s="338">
        <f t="shared" si="342"/>
        <v>1</v>
      </c>
      <c r="D219" s="338">
        <f t="shared" si="342"/>
        <v>1.0397780201017466</v>
      </c>
      <c r="E219" s="338">
        <f t="shared" si="342"/>
        <v>1.0861536819623436</v>
      </c>
      <c r="F219" s="338">
        <f t="shared" si="342"/>
        <v>1.2582328907116183</v>
      </c>
      <c r="G219" s="338">
        <f t="shared" si="342"/>
        <v>1.1539599061783268</v>
      </c>
      <c r="H219" s="338">
        <f t="shared" si="342"/>
        <v>1.3053827136039458</v>
      </c>
      <c r="I219" s="338">
        <f t="shared" si="342"/>
        <v>1.2465804852743712</v>
      </c>
      <c r="J219" s="338">
        <f t="shared" si="342"/>
        <v>1.1583076557820138</v>
      </c>
      <c r="K219" s="338">
        <f t="shared" si="342"/>
        <v>1.1999971179199695</v>
      </c>
      <c r="L219" s="338">
        <f t="shared" si="342"/>
        <v>1.2664977394213688</v>
      </c>
      <c r="M219" s="338">
        <f t="shared" si="342"/>
        <v>0.95533558351609449</v>
      </c>
      <c r="N219" s="338">
        <f t="shared" si="342"/>
        <v>0.91377735121494641</v>
      </c>
      <c r="O219" s="363">
        <f t="shared" ref="O219" si="379">O110/$C110</f>
        <v>0.91377735121494641</v>
      </c>
      <c r="Q219" s="341">
        <f t="shared" si="339"/>
        <v>-0.29999275944741277</v>
      </c>
      <c r="V219" s="5" t="s">
        <v>1050</v>
      </c>
      <c r="W219" s="338">
        <f t="shared" ref="W219:AA219" si="380">W110/$AB110</f>
        <v>0.75994451495413962</v>
      </c>
      <c r="X219" s="338">
        <f t="shared" si="380"/>
        <v>0.77307350162255606</v>
      </c>
      <c r="Y219" s="338">
        <f t="shared" si="380"/>
        <v>0.81993141092577615</v>
      </c>
      <c r="Z219" s="338">
        <f t="shared" si="380"/>
        <v>0.90677094463371721</v>
      </c>
      <c r="AA219" s="338">
        <f t="shared" si="380"/>
        <v>0.86143792751889392</v>
      </c>
      <c r="AB219" s="338">
        <f t="shared" si="336"/>
        <v>1</v>
      </c>
      <c r="AC219" s="338">
        <f t="shared" ref="AC219:AI219" si="381">AC110/$AB110</f>
        <v>0.96560879692898083</v>
      </c>
      <c r="AD219" s="338">
        <f t="shared" si="381"/>
        <v>0.90816365975454982</v>
      </c>
      <c r="AE219" s="338">
        <f t="shared" si="381"/>
        <v>0.81889755949712983</v>
      </c>
      <c r="AF219" s="338">
        <f t="shared" si="381"/>
        <v>0.76960306323243211</v>
      </c>
      <c r="AG219" s="338">
        <f t="shared" si="381"/>
        <v>0.59878908317694868</v>
      </c>
      <c r="AH219" s="338">
        <f t="shared" si="381"/>
        <v>0.57996208568700114</v>
      </c>
      <c r="AI219" s="338">
        <f t="shared" si="381"/>
        <v>0.57996208568700114</v>
      </c>
    </row>
    <row r="220" spans="2:35">
      <c r="B220" s="5" t="s">
        <v>399</v>
      </c>
      <c r="C220" s="338">
        <f t="shared" si="342"/>
        <v>1</v>
      </c>
      <c r="D220" s="338">
        <f t="shared" si="342"/>
        <v>1.2283124763124911</v>
      </c>
      <c r="E220" s="338">
        <f t="shared" si="342"/>
        <v>1.415426159944023</v>
      </c>
      <c r="F220" s="338">
        <f t="shared" si="342"/>
        <v>1.5469492847788449</v>
      </c>
      <c r="G220" s="338">
        <f t="shared" si="342"/>
        <v>1.4001581299919843</v>
      </c>
      <c r="H220" s="338">
        <f t="shared" si="342"/>
        <v>1.4168552975118429</v>
      </c>
      <c r="I220" s="338">
        <f t="shared" si="342"/>
        <v>1.3404713319034165</v>
      </c>
      <c r="J220" s="338">
        <f t="shared" si="342"/>
        <v>1.2965587911375991</v>
      </c>
      <c r="K220" s="338">
        <f t="shared" si="342"/>
        <v>1.2872956478790154</v>
      </c>
      <c r="L220" s="338">
        <f t="shared" si="342"/>
        <v>1.226465740676614</v>
      </c>
      <c r="M220" s="338">
        <f t="shared" si="342"/>
        <v>1.1508392660363718</v>
      </c>
      <c r="N220" s="338">
        <f t="shared" si="342"/>
        <v>1.076645522602153</v>
      </c>
      <c r="O220" s="338">
        <f t="shared" ref="O220" si="382">O111/$C111</f>
        <v>1.3020729888414413</v>
      </c>
      <c r="Q220" s="341">
        <f t="shared" si="339"/>
        <v>-8.1012019273931646E-2</v>
      </c>
      <c r="V220" s="5" t="s">
        <v>399</v>
      </c>
      <c r="W220" s="338">
        <f t="shared" ref="W220:AA220" si="383">W111/$AB111</f>
        <v>0.71830413052688202</v>
      </c>
      <c r="X220" s="338">
        <f t="shared" si="383"/>
        <v>0.84548763523582859</v>
      </c>
      <c r="Y220" s="338">
        <f t="shared" si="383"/>
        <v>0.97096294859853294</v>
      </c>
      <c r="Z220" s="338">
        <f t="shared" si="383"/>
        <v>1.0356844861655472</v>
      </c>
      <c r="AA220" s="338">
        <f t="shared" si="383"/>
        <v>0.97803450903863876</v>
      </c>
      <c r="AB220" s="338">
        <f t="shared" si="336"/>
        <v>1</v>
      </c>
      <c r="AC220" s="338">
        <f t="shared" ref="AC220:AI220" si="384">AC111/$AB111</f>
        <v>0.98485002758725182</v>
      </c>
      <c r="AD220" s="338">
        <f t="shared" si="384"/>
        <v>1.0322848464499295</v>
      </c>
      <c r="AE220" s="338">
        <f t="shared" si="384"/>
        <v>0.87855137029998021</v>
      </c>
      <c r="AF220" s="338">
        <f t="shared" si="384"/>
        <v>0.72035438056514645</v>
      </c>
      <c r="AG220" s="338">
        <f t="shared" si="384"/>
        <v>0.6531138373595482</v>
      </c>
      <c r="AH220" s="338">
        <f t="shared" si="384"/>
        <v>0.57173752904832087</v>
      </c>
      <c r="AI220" s="338">
        <f t="shared" si="384"/>
        <v>0.65376846103335984</v>
      </c>
    </row>
    <row r="221" spans="2:35">
      <c r="C221" s="110"/>
      <c r="D221" s="110"/>
      <c r="E221" s="110"/>
      <c r="F221" s="110"/>
      <c r="G221" s="110"/>
      <c r="H221" s="110"/>
      <c r="I221" s="110"/>
      <c r="J221" s="110"/>
      <c r="K221" s="110"/>
      <c r="L221" s="110"/>
      <c r="M221" s="110"/>
      <c r="N221" s="110"/>
      <c r="O221" s="110"/>
      <c r="Q221" s="224"/>
      <c r="W221" s="110"/>
      <c r="X221" s="110"/>
      <c r="Y221" s="110"/>
      <c r="Z221" s="110"/>
      <c r="AA221" s="110"/>
      <c r="AB221" s="110"/>
      <c r="AC221" s="110"/>
      <c r="AD221" s="110"/>
      <c r="AE221" s="110"/>
      <c r="AF221" s="110"/>
      <c r="AG221" s="110"/>
      <c r="AH221" s="110"/>
      <c r="AI221" s="110"/>
    </row>
    <row r="222" spans="2:35">
      <c r="B222" s="5" t="s">
        <v>1137</v>
      </c>
      <c r="C222" s="338">
        <f t="shared" si="342"/>
        <v>1</v>
      </c>
      <c r="D222" s="338">
        <f t="shared" si="342"/>
        <v>1.0804883057688248</v>
      </c>
      <c r="E222" s="338">
        <f t="shared" si="342"/>
        <v>1.0730507709405732</v>
      </c>
      <c r="F222" s="338">
        <f t="shared" si="342"/>
        <v>1.0878547779388836</v>
      </c>
      <c r="G222" s="338">
        <f t="shared" si="342"/>
        <v>1.0222387380387628</v>
      </c>
      <c r="H222" s="338">
        <f t="shared" si="342"/>
        <v>1.0481964360732716</v>
      </c>
      <c r="I222" s="338">
        <f t="shared" si="342"/>
        <v>1.0205960513461281</v>
      </c>
      <c r="J222" s="338">
        <f t="shared" si="342"/>
        <v>1.0137065048656491</v>
      </c>
      <c r="K222" s="338">
        <f t="shared" si="342"/>
        <v>1.0627844620066753</v>
      </c>
      <c r="L222" s="338">
        <f t="shared" si="342"/>
        <v>1.0949170060157711</v>
      </c>
      <c r="M222" s="338">
        <f t="shared" si="342"/>
        <v>1.0274308547142221</v>
      </c>
      <c r="N222" s="338">
        <f t="shared" si="342"/>
        <v>0.97655164070099088</v>
      </c>
      <c r="O222" s="338">
        <f t="shared" ref="O222" si="385">O113/$C113</f>
        <v>0.99214129212047819</v>
      </c>
      <c r="Q222" s="341">
        <f>(O222/H222)-1</f>
        <v>-5.3477708971026328E-2</v>
      </c>
      <c r="V222" s="5" t="s">
        <v>1137</v>
      </c>
      <c r="W222" s="338">
        <f t="shared" ref="W222:AA222" si="386">W113/$AB113</f>
        <v>0.95358569694623785</v>
      </c>
      <c r="X222" s="338">
        <f t="shared" si="386"/>
        <v>1.0154242218287426</v>
      </c>
      <c r="Y222" s="338">
        <f t="shared" si="386"/>
        <v>1.0130558402428491</v>
      </c>
      <c r="Z222" s="338">
        <f t="shared" si="386"/>
        <v>1.015648043722011</v>
      </c>
      <c r="AA222" s="338">
        <f t="shared" si="386"/>
        <v>0.97305249695250517</v>
      </c>
      <c r="AB222" s="338">
        <f>AB113/$AB113</f>
        <v>1</v>
      </c>
      <c r="AC222" s="338">
        <f t="shared" ref="AC222:AI222" si="387">AC113/$AB113</f>
        <v>0.98485535196282747</v>
      </c>
      <c r="AD222" s="338">
        <f t="shared" si="387"/>
        <v>1.0075974914036632</v>
      </c>
      <c r="AE222" s="338">
        <f t="shared" si="387"/>
        <v>0.99278379653219151</v>
      </c>
      <c r="AF222" s="338">
        <f t="shared" si="387"/>
        <v>0.97454481149333283</v>
      </c>
      <c r="AG222" s="338">
        <f t="shared" si="387"/>
        <v>0.92675366556201677</v>
      </c>
      <c r="AH222" s="338">
        <f t="shared" si="387"/>
        <v>0.87907517909403077</v>
      </c>
      <c r="AI222" s="338">
        <f t="shared" si="387"/>
        <v>0.87794725280174157</v>
      </c>
    </row>
    <row r="223" spans="2:35">
      <c r="B223" s="5" t="s">
        <v>1142</v>
      </c>
      <c r="C223" s="338">
        <f t="shared" si="342"/>
        <v>1</v>
      </c>
      <c r="D223" s="338">
        <f t="shared" si="342"/>
        <v>0.98201631723982452</v>
      </c>
      <c r="E223" s="338">
        <f t="shared" si="342"/>
        <v>0.92446095345671975</v>
      </c>
      <c r="F223" s="338">
        <f t="shared" si="342"/>
        <v>0.85463379494529956</v>
      </c>
      <c r="G223" s="338">
        <f t="shared" si="342"/>
        <v>0.81454398657260918</v>
      </c>
      <c r="H223" s="338">
        <f t="shared" si="342"/>
        <v>0.73416053487806454</v>
      </c>
      <c r="I223" s="338">
        <f t="shared" si="342"/>
        <v>0.73037734481333416</v>
      </c>
      <c r="J223" s="338">
        <f t="shared" si="342"/>
        <v>0.67683295663911891</v>
      </c>
      <c r="K223" s="338">
        <f t="shared" si="342"/>
        <v>0.72296775414731251</v>
      </c>
      <c r="L223" s="338">
        <f t="shared" si="342"/>
        <v>0.73612932110867713</v>
      </c>
      <c r="M223" s="338">
        <f t="shared" si="342"/>
        <v>0.66791824153548329</v>
      </c>
      <c r="N223" s="338">
        <f t="shared" si="342"/>
        <v>0.66874592658038667</v>
      </c>
      <c r="O223" s="338">
        <f t="shared" ref="O223" si="388">O114/$C114</f>
        <v>0.67144779883466299</v>
      </c>
      <c r="Q223" s="341">
        <f t="shared" ref="Q223:Q224" si="389">(O223/H223)-1</f>
        <v>-8.5421012250157746E-2</v>
      </c>
      <c r="V223" s="5" t="s">
        <v>1142</v>
      </c>
      <c r="W223" s="338">
        <f t="shared" ref="W223:AA223" si="390">W114/$AB114</f>
        <v>1.0758310042275498</v>
      </c>
      <c r="X223" s="338">
        <f t="shared" si="390"/>
        <v>1.1546530884764494</v>
      </c>
      <c r="Y223" s="338">
        <f t="shared" si="390"/>
        <v>1.1636419476982629</v>
      </c>
      <c r="Z223" s="338">
        <f t="shared" si="390"/>
        <v>1.0235339302572077</v>
      </c>
      <c r="AA223" s="338">
        <f t="shared" si="390"/>
        <v>1.0116778820178765</v>
      </c>
      <c r="AB223" s="338">
        <f>AB114/$AB114</f>
        <v>1</v>
      </c>
      <c r="AC223" s="338">
        <f t="shared" ref="AC223:AI223" si="391">AC114/$AB114</f>
        <v>0.94759931413448284</v>
      </c>
      <c r="AD223" s="338">
        <f t="shared" si="391"/>
        <v>0.9398179683457083</v>
      </c>
      <c r="AE223" s="338">
        <f t="shared" si="391"/>
        <v>0.92741591680673607</v>
      </c>
      <c r="AF223" s="338">
        <f t="shared" si="391"/>
        <v>0.97683305591822767</v>
      </c>
      <c r="AG223" s="338">
        <f t="shared" si="391"/>
        <v>0.98833768409925538</v>
      </c>
      <c r="AH223" s="338">
        <f t="shared" si="391"/>
        <v>0.96062411209464083</v>
      </c>
      <c r="AI223" s="338">
        <f t="shared" si="391"/>
        <v>0.93476005815443541</v>
      </c>
    </row>
    <row r="224" spans="2:35">
      <c r="B224" s="5" t="s">
        <v>1143</v>
      </c>
      <c r="C224" s="338">
        <f t="shared" si="342"/>
        <v>1</v>
      </c>
      <c r="D224" s="338">
        <f t="shared" si="342"/>
        <v>1.0397780201017466</v>
      </c>
      <c r="E224" s="338">
        <f t="shared" si="342"/>
        <v>1.0861536819623436</v>
      </c>
      <c r="F224" s="338">
        <f t="shared" si="342"/>
        <v>1.2582328907116183</v>
      </c>
      <c r="G224" s="338">
        <f t="shared" si="342"/>
        <v>1.1539599061783268</v>
      </c>
      <c r="H224" s="338">
        <f t="shared" si="342"/>
        <v>1.3053827136039458</v>
      </c>
      <c r="I224" s="338">
        <f t="shared" si="342"/>
        <v>1.2465804852743712</v>
      </c>
      <c r="J224" s="338">
        <f t="shared" si="342"/>
        <v>1.1583076557820138</v>
      </c>
      <c r="K224" s="338">
        <f t="shared" si="342"/>
        <v>1.1999971179199695</v>
      </c>
      <c r="L224" s="338">
        <f t="shared" si="342"/>
        <v>1.2664977394213688</v>
      </c>
      <c r="M224" s="338">
        <f t="shared" si="342"/>
        <v>0.95533558351609449</v>
      </c>
      <c r="N224" s="338">
        <f t="shared" si="342"/>
        <v>0.91377735121494641</v>
      </c>
      <c r="O224" s="338">
        <f t="shared" ref="O224" si="392">O115/$C115</f>
        <v>0.91377735121494641</v>
      </c>
      <c r="Q224" s="341">
        <f t="shared" si="389"/>
        <v>-0.29999275944741277</v>
      </c>
      <c r="V224" s="5" t="s">
        <v>1143</v>
      </c>
      <c r="W224" s="338">
        <f t="shared" ref="W224:AA224" si="393">W115/$AB115</f>
        <v>0.75994451495413962</v>
      </c>
      <c r="X224" s="338">
        <f t="shared" si="393"/>
        <v>0.77307350162255606</v>
      </c>
      <c r="Y224" s="338">
        <f t="shared" si="393"/>
        <v>0.81993141092577615</v>
      </c>
      <c r="Z224" s="338">
        <f t="shared" si="393"/>
        <v>0.90677094463371721</v>
      </c>
      <c r="AA224" s="338">
        <f t="shared" si="393"/>
        <v>0.86143792751889392</v>
      </c>
      <c r="AB224" s="338">
        <f>AB115/$AB115</f>
        <v>1</v>
      </c>
      <c r="AC224" s="338">
        <f t="shared" ref="AC224:AI224" si="394">AC115/$AB115</f>
        <v>0.96560879692898083</v>
      </c>
      <c r="AD224" s="338">
        <f t="shared" si="394"/>
        <v>0.90816365975454982</v>
      </c>
      <c r="AE224" s="338">
        <f t="shared" si="394"/>
        <v>0.81889755949712983</v>
      </c>
      <c r="AF224" s="338">
        <f t="shared" si="394"/>
        <v>0.76960306323243211</v>
      </c>
      <c r="AG224" s="338">
        <f t="shared" si="394"/>
        <v>0.59878908317694868</v>
      </c>
      <c r="AH224" s="338">
        <f t="shared" si="394"/>
        <v>0.57996208568700114</v>
      </c>
      <c r="AI224" s="338">
        <f t="shared" si="394"/>
        <v>0.57996208568700114</v>
      </c>
    </row>
    <row r="225" spans="2:40">
      <c r="C225" s="110"/>
      <c r="D225" s="110"/>
      <c r="E225" s="110"/>
      <c r="F225" s="110"/>
      <c r="G225" s="110"/>
      <c r="H225" s="110"/>
      <c r="I225" s="110"/>
      <c r="J225" s="110"/>
      <c r="K225" s="110"/>
      <c r="L225" s="110"/>
      <c r="M225" s="110"/>
      <c r="N225" s="110"/>
      <c r="O225" s="110"/>
      <c r="Q225" s="224"/>
      <c r="W225" s="110"/>
      <c r="X225" s="110"/>
      <c r="Y225" s="110"/>
      <c r="Z225" s="110"/>
      <c r="AA225" s="110"/>
      <c r="AB225" s="110"/>
      <c r="AC225" s="110"/>
      <c r="AD225" s="110"/>
      <c r="AE225" s="110"/>
      <c r="AF225" s="110"/>
      <c r="AG225" s="110"/>
      <c r="AH225" s="110"/>
      <c r="AI225" s="110"/>
    </row>
    <row r="226" spans="2:40">
      <c r="B226" s="5" t="s">
        <v>1177</v>
      </c>
      <c r="C226" s="338">
        <f>C117/$C117</f>
        <v>1</v>
      </c>
      <c r="D226" s="338">
        <f t="shared" ref="D226:N226" si="395">D117/$C117</f>
        <v>1.0825758689678193</v>
      </c>
      <c r="E226" s="338">
        <f t="shared" si="395"/>
        <v>1.0676502425208636</v>
      </c>
      <c r="F226" s="338">
        <f t="shared" si="395"/>
        <v>1.0735965697683458</v>
      </c>
      <c r="G226" s="338">
        <f t="shared" si="395"/>
        <v>1.0094528263993197</v>
      </c>
      <c r="H226" s="338">
        <f t="shared" si="395"/>
        <v>1.0447078450838256</v>
      </c>
      <c r="I226" s="338">
        <f t="shared" si="395"/>
        <v>1.0057238210036603</v>
      </c>
      <c r="J226" s="338">
        <f t="shared" si="395"/>
        <v>1.0010624662433587</v>
      </c>
      <c r="K226" s="338">
        <f t="shared" si="395"/>
        <v>1.0510117934264092</v>
      </c>
      <c r="L226" s="338">
        <f t="shared" si="395"/>
        <v>1.0758164742989935</v>
      </c>
      <c r="M226" s="338">
        <f t="shared" si="395"/>
        <v>1.0124847262676735</v>
      </c>
      <c r="N226" s="338">
        <f t="shared" si="395"/>
        <v>0.96644502567562895</v>
      </c>
      <c r="O226" s="338">
        <f t="shared" ref="O226" si="396">O117/$C117</f>
        <v>0.98207787960115178</v>
      </c>
      <c r="P226" s="110"/>
      <c r="Q226" s="341">
        <f>(O226/H226)-1</f>
        <v>-5.9949741717167382E-2</v>
      </c>
      <c r="V226" s="5" t="s">
        <v>1177</v>
      </c>
      <c r="W226" s="338">
        <f t="shared" ref="W226:AA226" si="397">W117/$AB117</f>
        <v>0.94911301664815884</v>
      </c>
      <c r="X226" s="338">
        <f t="shared" si="397"/>
        <v>1.0167388599577656</v>
      </c>
      <c r="Y226" s="338">
        <f t="shared" si="397"/>
        <v>1.006004244151071</v>
      </c>
      <c r="Z226" s="338">
        <f t="shared" si="397"/>
        <v>1.008628841699895</v>
      </c>
      <c r="AA226" s="338">
        <f t="shared" si="397"/>
        <v>0.96386245193176245</v>
      </c>
      <c r="AB226" s="338">
        <f>AB117/$AB117</f>
        <v>1</v>
      </c>
      <c r="AC226" s="338">
        <f t="shared" ref="AC226:AI226" si="398">AC117/$AB117</f>
        <v>0.97196071898335479</v>
      </c>
      <c r="AD226" s="338">
        <f t="shared" si="398"/>
        <v>0.98324967897901971</v>
      </c>
      <c r="AE226" s="338">
        <f t="shared" si="398"/>
        <v>0.97722630052450332</v>
      </c>
      <c r="AF226" s="338">
        <f t="shared" si="398"/>
        <v>0.96242650699972332</v>
      </c>
      <c r="AG226" s="338">
        <f t="shared" si="398"/>
        <v>0.91506336322640591</v>
      </c>
      <c r="AH226" s="338">
        <f t="shared" si="398"/>
        <v>0.86553106882857256</v>
      </c>
      <c r="AI226" s="338">
        <f t="shared" si="398"/>
        <v>0.86748976870341832</v>
      </c>
    </row>
    <row r="228" spans="2:40" s="60" customFormat="1">
      <c r="Q228" s="81"/>
      <c r="W228" s="373"/>
      <c r="X228" s="373"/>
      <c r="Y228" s="373"/>
      <c r="Z228" s="373"/>
      <c r="AA228" s="373"/>
      <c r="AB228" s="373"/>
      <c r="AC228" s="373"/>
      <c r="AD228" s="373"/>
      <c r="AE228" s="373"/>
      <c r="AF228" s="373"/>
      <c r="AG228" s="373"/>
      <c r="AH228" s="373"/>
      <c r="AI228" s="373"/>
    </row>
    <row r="229" spans="2:40">
      <c r="W229" s="295"/>
      <c r="X229" s="295"/>
      <c r="Y229" s="295"/>
      <c r="Z229" s="295"/>
      <c r="AA229" s="295"/>
      <c r="AB229" s="295"/>
      <c r="AC229" s="295"/>
      <c r="AD229" s="295"/>
      <c r="AE229" s="295"/>
      <c r="AF229" s="295"/>
      <c r="AG229" s="295"/>
      <c r="AH229" s="295"/>
      <c r="AI229" s="295"/>
    </row>
    <row r="230" spans="2:40" ht="16.5">
      <c r="B230" s="7" t="s">
        <v>1345</v>
      </c>
      <c r="C230" s="6"/>
      <c r="D230" s="6"/>
      <c r="E230" s="6"/>
      <c r="F230" s="6"/>
      <c r="G230" s="6"/>
      <c r="H230" s="6"/>
      <c r="I230" s="6"/>
      <c r="J230" s="6"/>
      <c r="K230" s="6"/>
      <c r="L230" s="6"/>
      <c r="M230" s="6"/>
      <c r="N230" s="6"/>
      <c r="O230" s="6"/>
      <c r="P230" s="6"/>
      <c r="Q230" s="257"/>
      <c r="R230" s="6"/>
      <c r="S230" s="6"/>
      <c r="T230" s="6"/>
      <c r="V230" s="7" t="s">
        <v>1352</v>
      </c>
      <c r="W230" s="6"/>
      <c r="X230" s="6"/>
      <c r="Y230" s="6"/>
      <c r="Z230" s="6"/>
      <c r="AA230" s="6"/>
      <c r="AB230" s="6"/>
      <c r="AC230" s="6"/>
      <c r="AD230" s="6"/>
      <c r="AE230" s="6"/>
      <c r="AF230" s="6"/>
      <c r="AG230" s="6"/>
      <c r="AH230" s="6"/>
      <c r="AI230" s="6"/>
      <c r="AJ230" s="6"/>
      <c r="AK230" s="6"/>
      <c r="AL230" s="6"/>
      <c r="AM230" s="6"/>
      <c r="AN230" s="6"/>
    </row>
    <row r="231" spans="2:40" ht="16.5">
      <c r="B231" s="64"/>
      <c r="C231" s="247"/>
      <c r="D231" s="247"/>
      <c r="E231" s="247"/>
      <c r="F231" s="247"/>
      <c r="G231" s="247"/>
      <c r="H231" s="247"/>
      <c r="I231" s="247"/>
      <c r="J231" s="247"/>
      <c r="K231" s="247"/>
      <c r="L231" s="247"/>
      <c r="M231" s="247"/>
      <c r="N231" s="247"/>
      <c r="O231" s="247"/>
      <c r="P231" s="35"/>
      <c r="Q231" s="258"/>
      <c r="R231" s="35"/>
      <c r="S231" s="35"/>
      <c r="T231" s="35"/>
      <c r="U231" s="60"/>
      <c r="V231" s="64"/>
      <c r="W231" s="35"/>
      <c r="X231" s="35"/>
      <c r="Y231" s="35"/>
      <c r="Z231" s="35"/>
      <c r="AA231" s="35"/>
      <c r="AB231" s="35"/>
      <c r="AC231" s="35"/>
      <c r="AD231" s="35"/>
      <c r="AE231" s="35"/>
      <c r="AF231" s="35"/>
      <c r="AG231" s="35"/>
      <c r="AH231" s="35"/>
      <c r="AI231" s="35"/>
      <c r="AJ231" s="35"/>
      <c r="AK231" s="35"/>
      <c r="AL231" s="35"/>
      <c r="AM231" s="35"/>
      <c r="AN231" s="35"/>
    </row>
    <row r="232" spans="2:40">
      <c r="C232" s="247"/>
      <c r="D232" s="247"/>
      <c r="E232" s="247"/>
      <c r="F232" s="247"/>
      <c r="G232" s="247"/>
      <c r="H232" s="247"/>
      <c r="I232" s="247"/>
      <c r="J232" s="247"/>
      <c r="K232" s="247"/>
      <c r="L232" s="247"/>
      <c r="M232" s="247"/>
      <c r="N232" s="247"/>
      <c r="O232" s="247"/>
    </row>
    <row r="233" spans="2:40">
      <c r="B233" s="30" t="s">
        <v>1126</v>
      </c>
      <c r="C233" s="239">
        <v>2000</v>
      </c>
      <c r="D233" s="239">
        <v>2001</v>
      </c>
      <c r="E233" s="239">
        <v>2002</v>
      </c>
      <c r="F233" s="239">
        <v>2003</v>
      </c>
      <c r="G233" s="239">
        <v>2004</v>
      </c>
      <c r="H233" s="239">
        <v>2005</v>
      </c>
      <c r="I233" s="239">
        <v>2006</v>
      </c>
      <c r="J233" s="239">
        <v>2007</v>
      </c>
      <c r="K233" s="239">
        <v>2008</v>
      </c>
      <c r="L233" s="239">
        <v>2009</v>
      </c>
      <c r="M233" s="239">
        <v>2010</v>
      </c>
      <c r="N233" s="239">
        <v>2011</v>
      </c>
      <c r="O233" s="239">
        <v>2012</v>
      </c>
      <c r="Q233" s="69" t="s">
        <v>1144</v>
      </c>
      <c r="V233" s="30" t="s">
        <v>1126</v>
      </c>
      <c r="W233" s="239">
        <v>2000</v>
      </c>
      <c r="X233" s="239">
        <v>2001</v>
      </c>
      <c r="Y233" s="239">
        <v>2002</v>
      </c>
      <c r="Z233" s="239">
        <v>2003</v>
      </c>
      <c r="AA233" s="239">
        <v>2004</v>
      </c>
      <c r="AB233" s="239">
        <v>2005</v>
      </c>
      <c r="AC233" s="239">
        <v>2006</v>
      </c>
      <c r="AD233" s="239">
        <v>2007</v>
      </c>
      <c r="AE233" s="239">
        <v>2008</v>
      </c>
      <c r="AF233" s="239">
        <v>2009</v>
      </c>
      <c r="AG233" s="239">
        <v>2010</v>
      </c>
      <c r="AH233" s="239">
        <v>2011</v>
      </c>
      <c r="AI233" s="239">
        <v>2012</v>
      </c>
    </row>
    <row r="234" spans="2:40">
      <c r="B234" s="238" t="s">
        <v>116</v>
      </c>
      <c r="C234" s="338">
        <f>C124/$C124</f>
        <v>1</v>
      </c>
      <c r="D234" s="338">
        <f t="shared" ref="D234:N234" si="399">D124/$C124</f>
        <v>1.0783594665592833</v>
      </c>
      <c r="E234" s="338">
        <f t="shared" si="399"/>
        <v>1.1280234572790311</v>
      </c>
      <c r="F234" s="338">
        <f t="shared" si="399"/>
        <v>1.2832134864569213</v>
      </c>
      <c r="G234" s="338">
        <f t="shared" si="399"/>
        <v>1.1949999651468199</v>
      </c>
      <c r="H234" s="338">
        <f t="shared" si="399"/>
        <v>1.1807206905030416</v>
      </c>
      <c r="I234" s="338">
        <f t="shared" si="399"/>
        <v>1.0796138682998051</v>
      </c>
      <c r="J234" s="338">
        <f t="shared" si="399"/>
        <v>1.0246534467786261</v>
      </c>
      <c r="K234" s="338">
        <f t="shared" si="399"/>
        <v>1.0324120799806882</v>
      </c>
      <c r="L234" s="338">
        <f t="shared" si="399"/>
        <v>1.054594432193799</v>
      </c>
      <c r="M234" s="338">
        <f t="shared" si="399"/>
        <v>1.1839282560308182</v>
      </c>
      <c r="N234" s="338">
        <f t="shared" si="399"/>
        <v>1.0736825805424379</v>
      </c>
      <c r="O234" s="363">
        <f t="shared" ref="O234" si="400">O124/$C124</f>
        <v>1.0736825805424379</v>
      </c>
      <c r="Q234" s="341">
        <f>(O234/H234)-1</f>
        <v>-9.0654894778713913E-2</v>
      </c>
      <c r="R234" s="240"/>
      <c r="S234" s="240"/>
      <c r="V234" s="238" t="s">
        <v>116</v>
      </c>
      <c r="W234" s="338">
        <f>W124/$W124</f>
        <v>1</v>
      </c>
      <c r="X234" s="338">
        <f t="shared" ref="X234:AH234" si="401">X124/$W124</f>
        <v>1.0783594665592833</v>
      </c>
      <c r="Y234" s="338">
        <f t="shared" si="401"/>
        <v>1.1280234572790311</v>
      </c>
      <c r="Z234" s="338">
        <f t="shared" si="401"/>
        <v>1.2832134864569213</v>
      </c>
      <c r="AA234" s="338">
        <f t="shared" si="401"/>
        <v>1.1949999651468199</v>
      </c>
      <c r="AB234" s="338">
        <f t="shared" si="401"/>
        <v>1.1807206905030416</v>
      </c>
      <c r="AC234" s="338">
        <f t="shared" si="401"/>
        <v>1.0796138682998051</v>
      </c>
      <c r="AD234" s="338">
        <f t="shared" si="401"/>
        <v>1.0246534467786261</v>
      </c>
      <c r="AE234" s="338">
        <f t="shared" si="401"/>
        <v>1.0324120799806882</v>
      </c>
      <c r="AF234" s="338">
        <f t="shared" si="401"/>
        <v>1.054594432193799</v>
      </c>
      <c r="AG234" s="338">
        <f t="shared" si="401"/>
        <v>1.1839282560308182</v>
      </c>
      <c r="AH234" s="338">
        <f t="shared" si="401"/>
        <v>1.0736825805424379</v>
      </c>
      <c r="AI234" s="363">
        <f t="shared" ref="AI234" si="402">AI124/$W124</f>
        <v>1.0736825805424379</v>
      </c>
    </row>
    <row r="235" spans="2:40">
      <c r="B235" s="238" t="s">
        <v>1051</v>
      </c>
      <c r="C235" s="338">
        <f>C125/$C125</f>
        <v>1</v>
      </c>
      <c r="D235" s="338">
        <f t="shared" ref="D235:N235" si="403">D125/$C125</f>
        <v>1.1293895730345065</v>
      </c>
      <c r="E235" s="338">
        <f t="shared" si="403"/>
        <v>1.2028876157424679</v>
      </c>
      <c r="F235" s="338">
        <f t="shared" si="403"/>
        <v>1.2961882027248606</v>
      </c>
      <c r="G235" s="338">
        <f t="shared" si="403"/>
        <v>1.1281347894150913</v>
      </c>
      <c r="H235" s="338">
        <f t="shared" si="403"/>
        <v>1.1311669214973032</v>
      </c>
      <c r="I235" s="338">
        <f t="shared" si="403"/>
        <v>1.1014654526481495</v>
      </c>
      <c r="J235" s="338">
        <f t="shared" si="403"/>
        <v>1.0874811199405747</v>
      </c>
      <c r="K235" s="338">
        <f t="shared" si="403"/>
        <v>1.0806516419474634</v>
      </c>
      <c r="L235" s="338">
        <f t="shared" si="403"/>
        <v>1.2149085182322974</v>
      </c>
      <c r="M235" s="338">
        <f t="shared" si="403"/>
        <v>1.1653793698677848</v>
      </c>
      <c r="N235" s="338">
        <f t="shared" si="403"/>
        <v>0.96032744807726933</v>
      </c>
      <c r="O235" s="338">
        <f t="shared" ref="O235" si="404">O125/$C125</f>
        <v>0.92069079587662372</v>
      </c>
      <c r="Q235" s="341">
        <f t="shared" ref="Q235:Q249" si="405">(O235/H235)-1</f>
        <v>-0.18606990853487515</v>
      </c>
      <c r="R235" s="240"/>
      <c r="S235" s="240"/>
      <c r="V235" s="238" t="s">
        <v>1051</v>
      </c>
      <c r="W235" s="338">
        <f>W125/$W125</f>
        <v>1</v>
      </c>
      <c r="X235" s="338">
        <f t="shared" ref="X235:AG235" si="406">X125/$W125</f>
        <v>1.0923675397006243</v>
      </c>
      <c r="Y235" s="338">
        <f t="shared" si="406"/>
        <v>1.1123899175113281</v>
      </c>
      <c r="Z235" s="338">
        <f t="shared" si="406"/>
        <v>1.1394758823901592</v>
      </c>
      <c r="AA235" s="338">
        <f t="shared" si="406"/>
        <v>1.1168443370038392</v>
      </c>
      <c r="AB235" s="338">
        <f t="shared" si="406"/>
        <v>1.1991118244015817</v>
      </c>
      <c r="AC235" s="338">
        <f t="shared" si="406"/>
        <v>1.3342712875977749</v>
      </c>
      <c r="AD235" s="338">
        <f t="shared" si="406"/>
        <v>1.5279355494674642</v>
      </c>
      <c r="AE235" s="338">
        <f t="shared" si="406"/>
        <v>1.4078050763629864</v>
      </c>
      <c r="AF235" s="338">
        <f t="shared" si="406"/>
        <v>1.3317970753017354</v>
      </c>
      <c r="AG235" s="338">
        <f t="shared" si="406"/>
        <v>1.300425643616917</v>
      </c>
      <c r="AH235" s="338">
        <f>AH125/$W125</f>
        <v>1.2742055759602768</v>
      </c>
      <c r="AI235" s="338">
        <f>AI125/$W125</f>
        <v>0.29137200492545434</v>
      </c>
    </row>
    <row r="236" spans="2:40">
      <c r="B236" s="238" t="s">
        <v>155</v>
      </c>
      <c r="C236" s="338">
        <f t="shared" ref="C236:N253" si="407">C126/$C126</f>
        <v>1</v>
      </c>
      <c r="D236" s="338">
        <f t="shared" si="407"/>
        <v>1.0347236217319216</v>
      </c>
      <c r="E236" s="338">
        <f t="shared" si="407"/>
        <v>0.96710161685176199</v>
      </c>
      <c r="F236" s="338">
        <f t="shared" si="407"/>
        <v>0.87037238845652565</v>
      </c>
      <c r="G236" s="338">
        <f t="shared" si="407"/>
        <v>1.011673741598617</v>
      </c>
      <c r="H236" s="338">
        <f t="shared" si="407"/>
        <v>0.76919849922129602</v>
      </c>
      <c r="I236" s="338">
        <f t="shared" si="407"/>
        <v>0.94136815824323694</v>
      </c>
      <c r="J236" s="338">
        <f t="shared" si="407"/>
        <v>0.73589526196263588</v>
      </c>
      <c r="K236" s="338">
        <f t="shared" si="407"/>
        <v>0.72649386805356386</v>
      </c>
      <c r="L236" s="338">
        <f t="shared" si="407"/>
        <v>0.74814546937491844</v>
      </c>
      <c r="M236" s="338">
        <f t="shared" si="407"/>
        <v>0.67148875370814787</v>
      </c>
      <c r="N236" s="338">
        <f t="shared" si="407"/>
        <v>0.67148875370814787</v>
      </c>
      <c r="O236" s="363">
        <f t="shared" ref="O236" si="408">O126/$C126</f>
        <v>0.67148875370814787</v>
      </c>
      <c r="Q236" s="341">
        <f t="shared" si="405"/>
        <v>-0.12702799812020615</v>
      </c>
      <c r="V236" s="238" t="s">
        <v>155</v>
      </c>
      <c r="W236" s="338">
        <f t="shared" ref="W236:AH253" si="409">W126/$W126</f>
        <v>1</v>
      </c>
      <c r="X236" s="338">
        <f t="shared" si="409"/>
        <v>1.0347236217319216</v>
      </c>
      <c r="Y236" s="338">
        <f t="shared" si="409"/>
        <v>0.96710161685176199</v>
      </c>
      <c r="Z236" s="338">
        <f t="shared" si="409"/>
        <v>0.87037238845652565</v>
      </c>
      <c r="AA236" s="338">
        <f t="shared" si="409"/>
        <v>1.011673741598617</v>
      </c>
      <c r="AB236" s="338">
        <f t="shared" si="409"/>
        <v>0.76919849922129602</v>
      </c>
      <c r="AC236" s="338">
        <f t="shared" si="409"/>
        <v>0.94136815824323694</v>
      </c>
      <c r="AD236" s="338">
        <f t="shared" si="409"/>
        <v>0.73589526196263588</v>
      </c>
      <c r="AE236" s="338">
        <f t="shared" si="409"/>
        <v>0.72649386805356386</v>
      </c>
      <c r="AF236" s="338">
        <f t="shared" si="409"/>
        <v>0.74814546937491844</v>
      </c>
      <c r="AG236" s="338">
        <f t="shared" si="409"/>
        <v>0.67148875370814787</v>
      </c>
      <c r="AH236" s="338">
        <f t="shared" si="409"/>
        <v>0.67148875370814787</v>
      </c>
      <c r="AI236" s="363">
        <f t="shared" ref="AI236" si="410">AI126/$W126</f>
        <v>0.67148875370814787</v>
      </c>
    </row>
    <row r="237" spans="2:40">
      <c r="B237" s="238" t="s">
        <v>115</v>
      </c>
      <c r="C237" s="338">
        <f t="shared" si="407"/>
        <v>1</v>
      </c>
      <c r="D237" s="338">
        <f t="shared" si="407"/>
        <v>0.9730305010488951</v>
      </c>
      <c r="E237" s="338">
        <f t="shared" si="407"/>
        <v>0.94869103029909407</v>
      </c>
      <c r="F237" s="338">
        <f t="shared" si="407"/>
        <v>0.9584051170361082</v>
      </c>
      <c r="G237" s="338">
        <f t="shared" si="407"/>
        <v>0.87365998655167965</v>
      </c>
      <c r="H237" s="338">
        <f t="shared" si="407"/>
        <v>0.80952825925228711</v>
      </c>
      <c r="I237" s="338">
        <f t="shared" si="407"/>
        <v>0.81372876969611507</v>
      </c>
      <c r="J237" s="338">
        <f t="shared" si="407"/>
        <v>0.82911873047157425</v>
      </c>
      <c r="K237" s="338">
        <f t="shared" si="407"/>
        <v>0.80244429029383779</v>
      </c>
      <c r="L237" s="338">
        <f t="shared" si="407"/>
        <v>0.77014787063894097</v>
      </c>
      <c r="M237" s="338">
        <f t="shared" si="407"/>
        <v>0.8495172062196753</v>
      </c>
      <c r="N237" s="338">
        <f t="shared" si="407"/>
        <v>0.83774581341678722</v>
      </c>
      <c r="O237" s="338">
        <f t="shared" ref="O237" si="411">O127/$C127</f>
        <v>0.91720693253738705</v>
      </c>
      <c r="Q237" s="341">
        <f t="shared" si="405"/>
        <v>0.13301410056340268</v>
      </c>
      <c r="V237" s="238" t="s">
        <v>115</v>
      </c>
      <c r="W237" s="338">
        <f t="shared" si="409"/>
        <v>1</v>
      </c>
      <c r="X237" s="338">
        <f t="shared" si="409"/>
        <v>0.9730305010488951</v>
      </c>
      <c r="Y237" s="338">
        <f t="shared" si="409"/>
        <v>0.94869103029909407</v>
      </c>
      <c r="Z237" s="338">
        <f t="shared" si="409"/>
        <v>0.9584051170361082</v>
      </c>
      <c r="AA237" s="338">
        <f t="shared" si="409"/>
        <v>0.87365998655167965</v>
      </c>
      <c r="AB237" s="338">
        <f t="shared" si="409"/>
        <v>0.80952825925228711</v>
      </c>
      <c r="AC237" s="338">
        <f t="shared" si="409"/>
        <v>0.81372876969611507</v>
      </c>
      <c r="AD237" s="338">
        <f t="shared" si="409"/>
        <v>0.82911873047157425</v>
      </c>
      <c r="AE237" s="338">
        <f t="shared" si="409"/>
        <v>0.80244429029383779</v>
      </c>
      <c r="AF237" s="338">
        <f t="shared" si="409"/>
        <v>0.77014787063894097</v>
      </c>
      <c r="AG237" s="338">
        <f t="shared" si="409"/>
        <v>0.8495172062196753</v>
      </c>
      <c r="AH237" s="338">
        <f t="shared" si="409"/>
        <v>0.83774581341678722</v>
      </c>
      <c r="AI237" s="338">
        <f t="shared" ref="AI237" si="412">AI127/$W127</f>
        <v>0.91720693253738705</v>
      </c>
    </row>
    <row r="238" spans="2:40">
      <c r="B238" s="238" t="s">
        <v>107</v>
      </c>
      <c r="C238" s="338">
        <f t="shared" si="407"/>
        <v>1</v>
      </c>
      <c r="D238" s="338">
        <f t="shared" si="407"/>
        <v>1.1184081802740093</v>
      </c>
      <c r="E238" s="338">
        <f t="shared" si="407"/>
        <v>1.2411607243450633</v>
      </c>
      <c r="F238" s="338">
        <f t="shared" si="407"/>
        <v>1.3689685164852343</v>
      </c>
      <c r="G238" s="338">
        <f t="shared" si="407"/>
        <v>1.2938086208428812</v>
      </c>
      <c r="H238" s="338">
        <f t="shared" si="407"/>
        <v>1.2494199978226577</v>
      </c>
      <c r="I238" s="338">
        <f t="shared" si="407"/>
        <v>1.1208044561934443</v>
      </c>
      <c r="J238" s="338">
        <f t="shared" si="407"/>
        <v>1.2873547568820085</v>
      </c>
      <c r="K238" s="338">
        <f t="shared" si="407"/>
        <v>1.4140744863667947</v>
      </c>
      <c r="L238" s="338">
        <f t="shared" si="407"/>
        <v>1.9620285031345703</v>
      </c>
      <c r="M238" s="338">
        <f t="shared" si="407"/>
        <v>1.7689963445358377</v>
      </c>
      <c r="N238" s="338">
        <f t="shared" si="407"/>
        <v>1.7273784575149735</v>
      </c>
      <c r="O238" s="338">
        <f t="shared" ref="O238" si="413">O128/$C128</f>
        <v>1.7547953226229445</v>
      </c>
      <c r="Q238" s="341">
        <f t="shared" si="405"/>
        <v>0.40448794295032542</v>
      </c>
      <c r="V238" s="238" t="s">
        <v>107</v>
      </c>
      <c r="W238" s="338">
        <f t="shared" si="409"/>
        <v>1</v>
      </c>
      <c r="X238" s="338">
        <f t="shared" si="409"/>
        <v>1.1184081802740093</v>
      </c>
      <c r="Y238" s="338">
        <f t="shared" si="409"/>
        <v>1.2411607243450633</v>
      </c>
      <c r="Z238" s="338">
        <f t="shared" si="409"/>
        <v>1.3689685164852343</v>
      </c>
      <c r="AA238" s="338">
        <f t="shared" si="409"/>
        <v>1.2938086208428812</v>
      </c>
      <c r="AB238" s="338">
        <f t="shared" si="409"/>
        <v>1.2494199978226577</v>
      </c>
      <c r="AC238" s="338">
        <f t="shared" si="409"/>
        <v>1.1208044561934443</v>
      </c>
      <c r="AD238" s="338">
        <f t="shared" si="409"/>
        <v>1.2873547568820085</v>
      </c>
      <c r="AE238" s="338">
        <f t="shared" si="409"/>
        <v>1.4140744863667947</v>
      </c>
      <c r="AF238" s="338">
        <f t="shared" si="409"/>
        <v>1.9620285031345703</v>
      </c>
      <c r="AG238" s="338">
        <f t="shared" si="409"/>
        <v>1.7689963445358377</v>
      </c>
      <c r="AH238" s="338">
        <f t="shared" si="409"/>
        <v>1.7273784575149735</v>
      </c>
      <c r="AI238" s="338">
        <f t="shared" ref="AI238" si="414">AI128/$W128</f>
        <v>1.7547953226229445</v>
      </c>
    </row>
    <row r="239" spans="2:40">
      <c r="B239" s="238" t="s">
        <v>114</v>
      </c>
      <c r="C239" s="338">
        <f t="shared" si="407"/>
        <v>1</v>
      </c>
      <c r="D239" s="338">
        <f t="shared" si="407"/>
        <v>1.080071963029464</v>
      </c>
      <c r="E239" s="338">
        <f t="shared" si="407"/>
        <v>1.0679619193664851</v>
      </c>
      <c r="F239" s="338">
        <f t="shared" si="407"/>
        <v>1.1228376742967123</v>
      </c>
      <c r="G239" s="338">
        <f t="shared" si="407"/>
        <v>0.98693881272837702</v>
      </c>
      <c r="H239" s="338">
        <f t="shared" si="407"/>
        <v>0.96313344258236666</v>
      </c>
      <c r="I239" s="338">
        <f t="shared" si="407"/>
        <v>0.87556792684288565</v>
      </c>
      <c r="J239" s="338">
        <f t="shared" si="407"/>
        <v>0.94959827706284128</v>
      </c>
      <c r="K239" s="338">
        <f t="shared" si="407"/>
        <v>0.88012227799883769</v>
      </c>
      <c r="L239" s="338">
        <f t="shared" si="407"/>
        <v>0.92120206110472547</v>
      </c>
      <c r="M239" s="338">
        <f t="shared" si="407"/>
        <v>1.025832682568228</v>
      </c>
      <c r="N239" s="338">
        <f t="shared" si="407"/>
        <v>0.98161802540908816</v>
      </c>
      <c r="O239" s="363">
        <f t="shared" ref="O239" si="415">O129/$C129</f>
        <v>0.98161802540908816</v>
      </c>
      <c r="Q239" s="341">
        <f t="shared" si="405"/>
        <v>1.9192130611891622E-2</v>
      </c>
      <c r="V239" s="238" t="s">
        <v>114</v>
      </c>
      <c r="W239" s="338">
        <f t="shared" si="409"/>
        <v>1</v>
      </c>
      <c r="X239" s="338">
        <f t="shared" si="409"/>
        <v>1.080071963029464</v>
      </c>
      <c r="Y239" s="338">
        <f t="shared" si="409"/>
        <v>1.0679619193664851</v>
      </c>
      <c r="Z239" s="338">
        <f t="shared" si="409"/>
        <v>1.1228376742967123</v>
      </c>
      <c r="AA239" s="338">
        <f t="shared" si="409"/>
        <v>0.98693881272837702</v>
      </c>
      <c r="AB239" s="338">
        <f t="shared" si="409"/>
        <v>0.96313344258236666</v>
      </c>
      <c r="AC239" s="338">
        <f t="shared" si="409"/>
        <v>0.87556792684288565</v>
      </c>
      <c r="AD239" s="338">
        <f t="shared" si="409"/>
        <v>0.94959827706284128</v>
      </c>
      <c r="AE239" s="338">
        <f t="shared" si="409"/>
        <v>0.88012227799883769</v>
      </c>
      <c r="AF239" s="338">
        <f t="shared" si="409"/>
        <v>0.92120206110472547</v>
      </c>
      <c r="AG239" s="338">
        <f t="shared" si="409"/>
        <v>1.025832682568228</v>
      </c>
      <c r="AH239" s="338">
        <f t="shared" si="409"/>
        <v>0.98161802540908816</v>
      </c>
      <c r="AI239" s="363">
        <f t="shared" ref="AI239" si="416">AI129/$W129</f>
        <v>0.98161802540908816</v>
      </c>
    </row>
    <row r="240" spans="2:40">
      <c r="B240" s="238" t="s">
        <v>105</v>
      </c>
      <c r="C240" s="338">
        <f>C130/$C130</f>
        <v>1</v>
      </c>
      <c r="D240" s="338">
        <f>D130/$C130</f>
        <v>1.1795265628930138</v>
      </c>
      <c r="E240" s="338">
        <f t="shared" si="407"/>
        <v>1.2376478645521429</v>
      </c>
      <c r="F240" s="338">
        <f t="shared" si="407"/>
        <v>1.3306552877426525</v>
      </c>
      <c r="G240" s="338">
        <f t="shared" si="407"/>
        <v>1.3345357528761888</v>
      </c>
      <c r="H240" s="338">
        <f t="shared" si="407"/>
        <v>1.3703239473956714</v>
      </c>
      <c r="I240" s="338">
        <f t="shared" si="407"/>
        <v>1.4217201488352027</v>
      </c>
      <c r="J240" s="338">
        <f t="shared" si="407"/>
        <v>1.489854766130962</v>
      </c>
      <c r="K240" s="338">
        <f t="shared" si="407"/>
        <v>1.838634805742088</v>
      </c>
      <c r="L240" s="338">
        <f t="shared" si="407"/>
        <v>1.5768846147994848</v>
      </c>
      <c r="M240" s="338">
        <f t="shared" si="407"/>
        <v>1.6411256640690732</v>
      </c>
      <c r="N240" s="338">
        <f t="shared" si="407"/>
        <v>1.5760685247780331</v>
      </c>
      <c r="O240" s="338">
        <f t="shared" ref="O240" si="417">O130/$C130</f>
        <v>1.6828496890607507</v>
      </c>
      <c r="Q240" s="341">
        <f t="shared" si="405"/>
        <v>0.22806705104952796</v>
      </c>
      <c r="V240" s="238" t="s">
        <v>105</v>
      </c>
      <c r="W240" s="338">
        <f t="shared" si="409"/>
        <v>1</v>
      </c>
      <c r="X240" s="338">
        <f>X130/$W130</f>
        <v>1.1795265628930138</v>
      </c>
      <c r="Y240" s="338">
        <f t="shared" si="409"/>
        <v>1.2376478645521429</v>
      </c>
      <c r="Z240" s="338">
        <f t="shared" si="409"/>
        <v>1.3306552877426525</v>
      </c>
      <c r="AA240" s="338">
        <f t="shared" si="409"/>
        <v>1.3345357528761888</v>
      </c>
      <c r="AB240" s="338">
        <f t="shared" si="409"/>
        <v>1.3703239473956714</v>
      </c>
      <c r="AC240" s="338">
        <f t="shared" si="409"/>
        <v>1.4217201488352027</v>
      </c>
      <c r="AD240" s="338">
        <f t="shared" si="409"/>
        <v>1.489854766130962</v>
      </c>
      <c r="AE240" s="338">
        <f t="shared" si="409"/>
        <v>1.838634805742088</v>
      </c>
      <c r="AF240" s="338">
        <f t="shared" si="409"/>
        <v>1.5768846147994848</v>
      </c>
      <c r="AG240" s="338">
        <f t="shared" si="409"/>
        <v>1.6411256640690732</v>
      </c>
      <c r="AH240" s="338">
        <f t="shared" si="409"/>
        <v>1.5760685247780331</v>
      </c>
      <c r="AI240" s="338">
        <f t="shared" ref="AI240" si="418">AI130/$W130</f>
        <v>1.6828496890607507</v>
      </c>
    </row>
    <row r="241" spans="2:35">
      <c r="B241" s="238" t="s">
        <v>156</v>
      </c>
      <c r="C241" s="338">
        <f t="shared" si="407"/>
        <v>1</v>
      </c>
      <c r="D241" s="338">
        <f t="shared" si="407"/>
        <v>0.92188948069689114</v>
      </c>
      <c r="E241" s="338">
        <f t="shared" si="407"/>
        <v>0.57939530067302081</v>
      </c>
      <c r="F241" s="338">
        <f t="shared" si="407"/>
        <v>0.53341156646399535</v>
      </c>
      <c r="G241" s="338">
        <f t="shared" si="407"/>
        <v>0.49305432422783668</v>
      </c>
      <c r="H241" s="338">
        <f t="shared" si="407"/>
        <v>0.43847008779913282</v>
      </c>
      <c r="I241" s="338">
        <f t="shared" si="407"/>
        <v>0.46211619137481491</v>
      </c>
      <c r="J241" s="338">
        <f t="shared" si="407"/>
        <v>0.46380526231766833</v>
      </c>
      <c r="K241" s="338">
        <f t="shared" si="407"/>
        <v>0.4449089666020315</v>
      </c>
      <c r="L241" s="338">
        <f t="shared" si="407"/>
        <v>0.48473425077934512</v>
      </c>
      <c r="M241" s="338">
        <f t="shared" si="407"/>
        <v>0.5468560610181481</v>
      </c>
      <c r="N241" s="338">
        <f t="shared" si="407"/>
        <v>0.52589805883922369</v>
      </c>
      <c r="O241" s="338">
        <f t="shared" ref="O241" si="419">O131/$C131</f>
        <v>0.54431627608956756</v>
      </c>
      <c r="Q241" s="341">
        <f t="shared" si="405"/>
        <v>0.24139888041558688</v>
      </c>
      <c r="V241" s="238" t="s">
        <v>156</v>
      </c>
      <c r="W241" s="338">
        <f t="shared" si="409"/>
        <v>1</v>
      </c>
      <c r="X241" s="338">
        <f t="shared" si="409"/>
        <v>0.92188948069689114</v>
      </c>
      <c r="Y241" s="338">
        <f t="shared" si="409"/>
        <v>0.57939530067302081</v>
      </c>
      <c r="Z241" s="338">
        <f t="shared" si="409"/>
        <v>0.53341156646399535</v>
      </c>
      <c r="AA241" s="338">
        <f t="shared" si="409"/>
        <v>0.49305432422783668</v>
      </c>
      <c r="AB241" s="338">
        <f t="shared" si="409"/>
        <v>0.43847008779913282</v>
      </c>
      <c r="AC241" s="338">
        <f t="shared" si="409"/>
        <v>0.46211619137481491</v>
      </c>
      <c r="AD241" s="338">
        <f t="shared" si="409"/>
        <v>0.46380526231766833</v>
      </c>
      <c r="AE241" s="338">
        <f t="shared" si="409"/>
        <v>0.4449089666020315</v>
      </c>
      <c r="AF241" s="338">
        <f t="shared" si="409"/>
        <v>0.48473425077934512</v>
      </c>
      <c r="AG241" s="338">
        <f t="shared" si="409"/>
        <v>0.5468560610181481</v>
      </c>
      <c r="AH241" s="338">
        <f t="shared" si="409"/>
        <v>0.52589805883922369</v>
      </c>
      <c r="AI241" s="338">
        <f t="shared" ref="AI241" si="420">AI131/$W131</f>
        <v>0.54431627608956756</v>
      </c>
    </row>
    <row r="242" spans="2:35">
      <c r="B242" s="238" t="s">
        <v>204</v>
      </c>
      <c r="C242" s="338">
        <f t="shared" si="407"/>
        <v>1</v>
      </c>
      <c r="D242" s="338">
        <f t="shared" si="407"/>
        <v>1.0383038673521758</v>
      </c>
      <c r="E242" s="338">
        <f t="shared" si="407"/>
        <v>0.61280414341557221</v>
      </c>
      <c r="F242" s="338">
        <f t="shared" si="407"/>
        <v>0.4892466321658151</v>
      </c>
      <c r="G242" s="338">
        <f t="shared" si="407"/>
        <v>0.46829133464863637</v>
      </c>
      <c r="H242" s="338">
        <f t="shared" si="407"/>
        <v>0.50127252548616208</v>
      </c>
      <c r="I242" s="338">
        <f t="shared" si="407"/>
        <v>0.62457020300027977</v>
      </c>
      <c r="J242" s="338">
        <f t="shared" si="407"/>
        <v>0.57798604287711064</v>
      </c>
      <c r="K242" s="338">
        <f t="shared" si="407"/>
        <v>0.60684747199324884</v>
      </c>
      <c r="L242" s="338">
        <f t="shared" si="407"/>
        <v>0.64623872594660492</v>
      </c>
      <c r="M242" s="338">
        <f t="shared" si="407"/>
        <v>0.65347552887616611</v>
      </c>
      <c r="N242" s="338">
        <f t="shared" si="407"/>
        <v>0.62414422117529922</v>
      </c>
      <c r="O242" s="363">
        <f t="shared" ref="O242" si="421">O132/$C132</f>
        <v>0.62414422117529922</v>
      </c>
      <c r="Q242" s="341">
        <f t="shared" si="405"/>
        <v>0.24511954963015237</v>
      </c>
      <c r="V242" s="238" t="s">
        <v>204</v>
      </c>
      <c r="W242" s="338">
        <f t="shared" si="409"/>
        <v>1</v>
      </c>
      <c r="X242" s="338">
        <f t="shared" si="409"/>
        <v>1.0383038673521758</v>
      </c>
      <c r="Y242" s="338">
        <f t="shared" si="409"/>
        <v>0.61280414341557221</v>
      </c>
      <c r="Z242" s="338">
        <f t="shared" si="409"/>
        <v>0.4892466321658151</v>
      </c>
      <c r="AA242" s="338">
        <f t="shared" si="409"/>
        <v>0.46829133464863637</v>
      </c>
      <c r="AB242" s="338">
        <f t="shared" si="409"/>
        <v>0.50127252548616208</v>
      </c>
      <c r="AC242" s="338">
        <f t="shared" si="409"/>
        <v>0.62457020300027977</v>
      </c>
      <c r="AD242" s="338">
        <f t="shared" si="409"/>
        <v>0.57798604287711064</v>
      </c>
      <c r="AE242" s="338">
        <f t="shared" si="409"/>
        <v>0.60684747199324884</v>
      </c>
      <c r="AF242" s="338">
        <f t="shared" si="409"/>
        <v>0.64623872594660492</v>
      </c>
      <c r="AG242" s="338">
        <f t="shared" si="409"/>
        <v>0.65347552887616611</v>
      </c>
      <c r="AH242" s="338">
        <f t="shared" si="409"/>
        <v>0.62414422117529922</v>
      </c>
      <c r="AI242" s="363">
        <f t="shared" ref="AI242" si="422">AI132/$W132</f>
        <v>0.62414422117529922</v>
      </c>
    </row>
    <row r="243" spans="2:35">
      <c r="B243" s="238" t="s">
        <v>113</v>
      </c>
      <c r="C243" s="363">
        <f t="shared" si="407"/>
        <v>1</v>
      </c>
      <c r="D243" s="363">
        <f t="shared" si="407"/>
        <v>1</v>
      </c>
      <c r="E243" s="363">
        <f t="shared" si="407"/>
        <v>1</v>
      </c>
      <c r="F243" s="363">
        <f t="shared" si="407"/>
        <v>1</v>
      </c>
      <c r="G243" s="363">
        <f t="shared" si="407"/>
        <v>1</v>
      </c>
      <c r="H243" s="363">
        <f t="shared" si="407"/>
        <v>1</v>
      </c>
      <c r="I243" s="338">
        <f t="shared" si="407"/>
        <v>1</v>
      </c>
      <c r="J243" s="338">
        <f t="shared" si="407"/>
        <v>1.0341784657481297</v>
      </c>
      <c r="K243" s="338">
        <f t="shared" si="407"/>
        <v>0.90915394061549504</v>
      </c>
      <c r="L243" s="338">
        <f t="shared" si="407"/>
        <v>0.83429706956838967</v>
      </c>
      <c r="M243" s="338">
        <f t="shared" si="407"/>
        <v>0.89567549464331875</v>
      </c>
      <c r="N243" s="363">
        <f t="shared" si="407"/>
        <v>0.89567549464331875</v>
      </c>
      <c r="O243" s="363">
        <f t="shared" ref="O243" si="423">O133/$C133</f>
        <v>0.89567549464331875</v>
      </c>
      <c r="Q243" s="341">
        <f t="shared" si="405"/>
        <v>-0.10432450535668125</v>
      </c>
      <c r="V243" s="238" t="s">
        <v>113</v>
      </c>
      <c r="W243" s="363">
        <f t="shared" si="409"/>
        <v>1</v>
      </c>
      <c r="X243" s="363">
        <f t="shared" si="409"/>
        <v>1</v>
      </c>
      <c r="Y243" s="363">
        <f t="shared" si="409"/>
        <v>1</v>
      </c>
      <c r="Z243" s="363">
        <f t="shared" si="409"/>
        <v>1</v>
      </c>
      <c r="AA243" s="363">
        <f t="shared" si="409"/>
        <v>1</v>
      </c>
      <c r="AB243" s="363">
        <f t="shared" si="409"/>
        <v>1</v>
      </c>
      <c r="AC243" s="338">
        <f t="shared" si="409"/>
        <v>1</v>
      </c>
      <c r="AD243" s="338">
        <f t="shared" si="409"/>
        <v>1.0341784657481297</v>
      </c>
      <c r="AE243" s="338">
        <f t="shared" si="409"/>
        <v>0.90915394061549504</v>
      </c>
      <c r="AF243" s="338">
        <f t="shared" si="409"/>
        <v>0.83429706956838967</v>
      </c>
      <c r="AG243" s="338">
        <f t="shared" si="409"/>
        <v>0.89567549464331875</v>
      </c>
      <c r="AH243" s="363">
        <f t="shared" si="409"/>
        <v>0.89567549464331875</v>
      </c>
      <c r="AI243" s="363">
        <f t="shared" ref="AI243" si="424">AI133/$W133</f>
        <v>0.89567549464331875</v>
      </c>
    </row>
    <row r="244" spans="2:35">
      <c r="B244" s="238" t="s">
        <v>112</v>
      </c>
      <c r="C244" s="338">
        <f t="shared" si="407"/>
        <v>1</v>
      </c>
      <c r="D244" s="338">
        <f t="shared" si="407"/>
        <v>0.83745829687614659</v>
      </c>
      <c r="E244" s="338">
        <f t="shared" si="407"/>
        <v>0.80601851556757242</v>
      </c>
      <c r="F244" s="338">
        <f t="shared" si="407"/>
        <v>0.77958470341568464</v>
      </c>
      <c r="G244" s="338">
        <f t="shared" si="407"/>
        <v>0.78663028218275599</v>
      </c>
      <c r="H244" s="338">
        <f t="shared" si="407"/>
        <v>0.74338362916433043</v>
      </c>
      <c r="I244" s="338">
        <f t="shared" si="407"/>
        <v>0.78284574693298281</v>
      </c>
      <c r="J244" s="338">
        <f t="shared" si="407"/>
        <v>0.78965028312280106</v>
      </c>
      <c r="K244" s="338">
        <f t="shared" si="407"/>
        <v>0.86373562351905975</v>
      </c>
      <c r="L244" s="338">
        <f t="shared" si="407"/>
        <v>0.87173683920297118</v>
      </c>
      <c r="M244" s="338">
        <f t="shared" si="407"/>
        <v>0.87154363799822665</v>
      </c>
      <c r="N244" s="338">
        <f t="shared" si="407"/>
        <v>0.96230296229373291</v>
      </c>
      <c r="O244" s="338">
        <f t="shared" ref="O244" si="425">O134/$C134</f>
        <v>1.0380584042172274</v>
      </c>
      <c r="Q244" s="341">
        <f t="shared" si="405"/>
        <v>0.39639664298789246</v>
      </c>
      <c r="V244" s="238" t="s">
        <v>112</v>
      </c>
      <c r="W244" s="338">
        <f t="shared" si="409"/>
        <v>1</v>
      </c>
      <c r="X244" s="338">
        <f t="shared" si="409"/>
        <v>0.83745829687614659</v>
      </c>
      <c r="Y244" s="338">
        <f t="shared" si="409"/>
        <v>0.80601851556757242</v>
      </c>
      <c r="Z244" s="338">
        <f t="shared" si="409"/>
        <v>0.77958470341568464</v>
      </c>
      <c r="AA244" s="338">
        <f t="shared" si="409"/>
        <v>0.78663028218275599</v>
      </c>
      <c r="AB244" s="338">
        <f t="shared" si="409"/>
        <v>0.74338362916433043</v>
      </c>
      <c r="AC244" s="338">
        <f t="shared" si="409"/>
        <v>0.78284574693298281</v>
      </c>
      <c r="AD244" s="338">
        <f t="shared" si="409"/>
        <v>0.78965028312280106</v>
      </c>
      <c r="AE244" s="338">
        <f t="shared" si="409"/>
        <v>0.86373562351905975</v>
      </c>
      <c r="AF244" s="338">
        <f t="shared" si="409"/>
        <v>0.87173683920297118</v>
      </c>
      <c r="AG244" s="338">
        <f t="shared" si="409"/>
        <v>0.87154363799822665</v>
      </c>
      <c r="AH244" s="338">
        <f t="shared" si="409"/>
        <v>0.96230296229373291</v>
      </c>
      <c r="AI244" s="338">
        <f t="shared" ref="AI244" si="426">AI134/$W134</f>
        <v>1.0380584042172274</v>
      </c>
    </row>
    <row r="245" spans="2:35">
      <c r="B245" s="5" t="s">
        <v>392</v>
      </c>
      <c r="C245" s="338">
        <f t="shared" si="407"/>
        <v>1</v>
      </c>
      <c r="D245" s="338">
        <f t="shared" si="407"/>
        <v>1.07385746665862</v>
      </c>
      <c r="E245" s="338">
        <f t="shared" si="407"/>
        <v>1.0800742807972554</v>
      </c>
      <c r="F245" s="338">
        <f t="shared" si="407"/>
        <v>1.1006415675936074</v>
      </c>
      <c r="G245" s="338">
        <f t="shared" si="407"/>
        <v>1.1392712067650268</v>
      </c>
      <c r="H245" s="338">
        <f t="shared" si="407"/>
        <v>1.2757627946161743</v>
      </c>
      <c r="I245" s="338">
        <f t="shared" si="407"/>
        <v>1.3311476017399655</v>
      </c>
      <c r="J245" s="338">
        <f t="shared" si="407"/>
        <v>1.3279365396778284</v>
      </c>
      <c r="K245" s="338">
        <f t="shared" si="407"/>
        <v>1.3044813314705623</v>
      </c>
      <c r="L245" s="338">
        <f t="shared" si="407"/>
        <v>1.4501177265903804</v>
      </c>
      <c r="M245" s="338">
        <f t="shared" si="407"/>
        <v>1.3053563858470025</v>
      </c>
      <c r="N245" s="338">
        <f t="shared" si="407"/>
        <v>1.2071757086487471</v>
      </c>
      <c r="O245" s="338">
        <f t="shared" ref="O245" si="427">O135/$C135</f>
        <v>1.2097760348472477</v>
      </c>
      <c r="Q245" s="341">
        <f t="shared" si="405"/>
        <v>-5.172337682788386E-2</v>
      </c>
      <c r="V245" s="5" t="s">
        <v>392</v>
      </c>
      <c r="W245" s="338">
        <f t="shared" si="409"/>
        <v>1</v>
      </c>
      <c r="X245" s="338">
        <f t="shared" si="409"/>
        <v>1.0648249801999048</v>
      </c>
      <c r="Y245" s="338">
        <f t="shared" si="409"/>
        <v>1.0797442094915335</v>
      </c>
      <c r="Z245" s="338">
        <f t="shared" si="409"/>
        <v>1.0365274717935731</v>
      </c>
      <c r="AA245" s="338">
        <f t="shared" si="409"/>
        <v>1.1007440961606612</v>
      </c>
      <c r="AB245" s="338">
        <f t="shared" si="409"/>
        <v>1.2187191903098868</v>
      </c>
      <c r="AC245" s="338">
        <f t="shared" si="409"/>
        <v>1.2732241799917008</v>
      </c>
      <c r="AD245" s="338">
        <f t="shared" si="409"/>
        <v>1.2893159608986731</v>
      </c>
      <c r="AE245" s="338">
        <f t="shared" si="409"/>
        <v>1.0746003353766238</v>
      </c>
      <c r="AF245" s="338">
        <f t="shared" si="409"/>
        <v>1.0879100119428349</v>
      </c>
      <c r="AG245" s="338">
        <f t="shared" si="409"/>
        <v>0.99987876589177604</v>
      </c>
      <c r="AH245" s="338">
        <f t="shared" si="409"/>
        <v>0.93906830199442581</v>
      </c>
      <c r="AI245" s="338">
        <f t="shared" ref="AI245" si="428">AI135/$W135</f>
        <v>0.94125870289818281</v>
      </c>
    </row>
    <row r="246" spans="2:35">
      <c r="B246" s="238" t="s">
        <v>1125</v>
      </c>
      <c r="C246" s="363">
        <f t="shared" si="407"/>
        <v>1</v>
      </c>
      <c r="D246" s="363">
        <f t="shared" si="407"/>
        <v>1.0085829542308336</v>
      </c>
      <c r="E246" s="363">
        <f t="shared" si="407"/>
        <v>1.1709351707603677</v>
      </c>
      <c r="F246" s="363">
        <f t="shared" si="407"/>
        <v>0.95343410734536527</v>
      </c>
      <c r="G246" s="363">
        <f t="shared" si="407"/>
        <v>1.0238138776098951</v>
      </c>
      <c r="H246" s="363">
        <f t="shared" si="407"/>
        <v>1.0357826157602621</v>
      </c>
      <c r="I246" s="338">
        <f t="shared" si="407"/>
        <v>1</v>
      </c>
      <c r="J246" s="338">
        <f t="shared" si="407"/>
        <v>1.0085829542308336</v>
      </c>
      <c r="K246" s="338">
        <f t="shared" si="407"/>
        <v>1.1709351707603677</v>
      </c>
      <c r="L246" s="338">
        <f t="shared" si="407"/>
        <v>0.95343410734536527</v>
      </c>
      <c r="M246" s="338">
        <f t="shared" si="407"/>
        <v>1.0238138776098951</v>
      </c>
      <c r="N246" s="338">
        <f t="shared" si="407"/>
        <v>1.0357826157602621</v>
      </c>
      <c r="O246" s="338">
        <f t="shared" ref="O246" si="429">O136/$C136</f>
        <v>0.99448702472733286</v>
      </c>
      <c r="Q246" s="341">
        <f t="shared" si="405"/>
        <v>-3.9868974825975734E-2</v>
      </c>
      <c r="V246" s="238" t="s">
        <v>1125</v>
      </c>
      <c r="W246" s="363">
        <f t="shared" si="409"/>
        <v>1</v>
      </c>
      <c r="X246" s="363">
        <f t="shared" si="409"/>
        <v>1</v>
      </c>
      <c r="Y246" s="363">
        <f t="shared" si="409"/>
        <v>1</v>
      </c>
      <c r="Z246" s="363">
        <f t="shared" si="409"/>
        <v>1</v>
      </c>
      <c r="AA246" s="363">
        <f t="shared" si="409"/>
        <v>1</v>
      </c>
      <c r="AB246" s="363">
        <f t="shared" si="409"/>
        <v>1</v>
      </c>
      <c r="AC246" s="338">
        <f t="shared" si="409"/>
        <v>1</v>
      </c>
      <c r="AD246" s="338">
        <f t="shared" si="409"/>
        <v>1.0157181884967867</v>
      </c>
      <c r="AE246" s="338">
        <f t="shared" si="409"/>
        <v>1.0998726600841189</v>
      </c>
      <c r="AF246" s="338">
        <f t="shared" si="409"/>
        <v>0.87317146406901935</v>
      </c>
      <c r="AG246" s="338">
        <f t="shared" si="409"/>
        <v>1.0494371540919982</v>
      </c>
      <c r="AH246" s="338">
        <f t="shared" si="409"/>
        <v>1.0829838593759196</v>
      </c>
      <c r="AI246" s="338">
        <f t="shared" ref="AI246" si="430">AI136/$W136</f>
        <v>1.0398064031495233</v>
      </c>
    </row>
    <row r="247" spans="2:35">
      <c r="B247" s="238" t="s">
        <v>394</v>
      </c>
      <c r="C247" s="338">
        <f t="shared" si="407"/>
        <v>1</v>
      </c>
      <c r="D247" s="338">
        <f t="shared" si="407"/>
        <v>1.0549771951393085</v>
      </c>
      <c r="E247" s="338">
        <f t="shared" si="407"/>
        <v>1.0081414264318174</v>
      </c>
      <c r="F247" s="338">
        <f t="shared" si="407"/>
        <v>1.1976542348955486</v>
      </c>
      <c r="G247" s="338">
        <f t="shared" si="407"/>
        <v>0.87442154639083181</v>
      </c>
      <c r="H247" s="338">
        <f t="shared" si="407"/>
        <v>0.81744378738496903</v>
      </c>
      <c r="I247" s="338">
        <f t="shared" si="407"/>
        <v>0.78833667086643588</v>
      </c>
      <c r="J247" s="338">
        <f t="shared" si="407"/>
        <v>0.71953365144246606</v>
      </c>
      <c r="K247" s="338">
        <f t="shared" si="407"/>
        <v>0.75760940918594721</v>
      </c>
      <c r="L247" s="338">
        <f t="shared" si="407"/>
        <v>1.3813531055650543</v>
      </c>
      <c r="M247" s="338">
        <f t="shared" si="407"/>
        <v>1.22953893923451</v>
      </c>
      <c r="N247" s="338">
        <f t="shared" si="407"/>
        <v>1.1784037697016194</v>
      </c>
      <c r="O247" s="338">
        <f t="shared" ref="O247" si="431">O137/$C137</f>
        <v>1.2101115030795819</v>
      </c>
      <c r="Q247" s="341">
        <f t="shared" si="405"/>
        <v>0.48036051133347102</v>
      </c>
      <c r="V247" s="238" t="s">
        <v>394</v>
      </c>
      <c r="W247" s="338">
        <f t="shared" si="409"/>
        <v>1</v>
      </c>
      <c r="X247" s="338">
        <f t="shared" si="409"/>
        <v>1.0674804255167543</v>
      </c>
      <c r="Y247" s="338">
        <f t="shared" si="409"/>
        <v>1.1341999646573246</v>
      </c>
      <c r="Z247" s="338">
        <f t="shared" si="409"/>
        <v>1.5995059712793702</v>
      </c>
      <c r="AA247" s="338">
        <f t="shared" si="409"/>
        <v>1.3230923950303557</v>
      </c>
      <c r="AB247" s="338">
        <f t="shared" si="409"/>
        <v>1.2019470769116318</v>
      </c>
      <c r="AC247" s="338">
        <f t="shared" si="409"/>
        <v>1.1622259711383507</v>
      </c>
      <c r="AD247" s="338">
        <f t="shared" si="409"/>
        <v>1.1215831983486417</v>
      </c>
      <c r="AE247" s="338">
        <f t="shared" si="409"/>
        <v>1.0691978026484121</v>
      </c>
      <c r="AF247" s="338">
        <f t="shared" si="409"/>
        <v>1.6414723458913605</v>
      </c>
      <c r="AG247" s="338">
        <f t="shared" si="409"/>
        <v>1.4153681014472896</v>
      </c>
      <c r="AH247" s="338">
        <f t="shared" si="409"/>
        <v>1.3450315274833882</v>
      </c>
      <c r="AI247" s="338">
        <f t="shared" ref="AI247" si="432">AI137/$W137</f>
        <v>1.3812227737734402</v>
      </c>
    </row>
    <row r="248" spans="2:35">
      <c r="B248" s="5" t="s">
        <v>1050</v>
      </c>
      <c r="C248" s="338">
        <f t="shared" si="407"/>
        <v>1</v>
      </c>
      <c r="D248" s="338">
        <f t="shared" si="407"/>
        <v>1.0679802619210033</v>
      </c>
      <c r="E248" s="338">
        <f t="shared" si="407"/>
        <v>1.126644179872174</v>
      </c>
      <c r="F248" s="338">
        <f t="shared" si="407"/>
        <v>1.1921582249302363</v>
      </c>
      <c r="G248" s="338">
        <f t="shared" si="407"/>
        <v>1.0462781204762928</v>
      </c>
      <c r="H248" s="338">
        <f t="shared" si="407"/>
        <v>1.2346412834576739</v>
      </c>
      <c r="I248" s="338">
        <f t="shared" si="407"/>
        <v>1.1461806990735932</v>
      </c>
      <c r="J248" s="338">
        <f t="shared" si="407"/>
        <v>1.0106496059936028</v>
      </c>
      <c r="K248" s="338">
        <f t="shared" si="407"/>
        <v>1.0057885361179237</v>
      </c>
      <c r="L248" s="338">
        <f t="shared" si="407"/>
        <v>1.0505227712594549</v>
      </c>
      <c r="M248" s="338">
        <f t="shared" si="407"/>
        <v>0.9380790672866991</v>
      </c>
      <c r="N248" s="338">
        <f t="shared" si="407"/>
        <v>0.79699101109255766</v>
      </c>
      <c r="O248" s="363">
        <f t="shared" ref="O248" si="433">O138/$C138</f>
        <v>0.79699101109255766</v>
      </c>
      <c r="Q248" s="341">
        <f t="shared" si="405"/>
        <v>-0.35447565072460163</v>
      </c>
      <c r="V248" s="5" t="s">
        <v>1050</v>
      </c>
      <c r="W248" s="338">
        <f t="shared" si="409"/>
        <v>1</v>
      </c>
      <c r="X248" s="338">
        <f t="shared" si="409"/>
        <v>1.0634366123903303</v>
      </c>
      <c r="Y248" s="338">
        <f t="shared" si="409"/>
        <v>1.144982525497912</v>
      </c>
      <c r="Z248" s="338">
        <f t="shared" si="409"/>
        <v>1.1580564912252667</v>
      </c>
      <c r="AA248" s="338">
        <f t="shared" si="409"/>
        <v>1.0640861890324584</v>
      </c>
      <c r="AB248" s="338">
        <f t="shared" si="409"/>
        <v>1.2849143911330587</v>
      </c>
      <c r="AC248" s="338">
        <f t="shared" si="409"/>
        <v>1.2057556868894208</v>
      </c>
      <c r="AD248" s="338">
        <f t="shared" si="409"/>
        <v>1.0612396814477609</v>
      </c>
      <c r="AE248" s="338">
        <f t="shared" si="409"/>
        <v>0.90045770818742954</v>
      </c>
      <c r="AF248" s="338">
        <f t="shared" si="409"/>
        <v>0.84389492061289262</v>
      </c>
      <c r="AG248" s="338">
        <f t="shared" si="409"/>
        <v>0.77543652314963396</v>
      </c>
      <c r="AH248" s="338">
        <f t="shared" si="409"/>
        <v>0.64664373777090178</v>
      </c>
      <c r="AI248" s="363">
        <f t="shared" ref="AI248" si="434">AI138/$W138</f>
        <v>0.64664373777090178</v>
      </c>
    </row>
    <row r="249" spans="2:35">
      <c r="B249" s="5" t="s">
        <v>399</v>
      </c>
      <c r="C249" s="338">
        <f t="shared" si="407"/>
        <v>1</v>
      </c>
      <c r="D249" s="338">
        <f t="shared" si="407"/>
        <v>1.2085886469540967</v>
      </c>
      <c r="E249" s="338">
        <f t="shared" si="407"/>
        <v>1.4571825202998707</v>
      </c>
      <c r="F249" s="338">
        <f t="shared" si="407"/>
        <v>1.4846422270569446</v>
      </c>
      <c r="G249" s="338">
        <f t="shared" si="407"/>
        <v>1.3680073064101632</v>
      </c>
      <c r="H249" s="338">
        <f t="shared" si="407"/>
        <v>1.402915411133042</v>
      </c>
      <c r="I249" s="338">
        <f t="shared" si="407"/>
        <v>1.3251426558139323</v>
      </c>
      <c r="J249" s="338">
        <f t="shared" si="407"/>
        <v>1.2862355072576761</v>
      </c>
      <c r="K249" s="338">
        <f t="shared" si="407"/>
        <v>1.1052494586367216</v>
      </c>
      <c r="L249" s="338">
        <f t="shared" si="407"/>
        <v>1.1641425834788968</v>
      </c>
      <c r="M249" s="338">
        <f t="shared" si="407"/>
        <v>1.0607329175571463</v>
      </c>
      <c r="N249" s="338">
        <f t="shared" si="407"/>
        <v>0.9837750780796457</v>
      </c>
      <c r="O249" s="338">
        <f t="shared" ref="O249" si="435">O139/$C139</f>
        <v>1.6592733105896189</v>
      </c>
      <c r="Q249" s="341">
        <f t="shared" si="405"/>
        <v>0.18273225700010931</v>
      </c>
      <c r="V249" s="5" t="s">
        <v>399</v>
      </c>
      <c r="W249" s="338">
        <f t="shared" si="409"/>
        <v>1</v>
      </c>
      <c r="X249" s="338">
        <f t="shared" si="409"/>
        <v>1.1752083584025872</v>
      </c>
      <c r="Y249" s="338">
        <f t="shared" si="409"/>
        <v>1.4219064510158057</v>
      </c>
      <c r="Z249" s="338">
        <f t="shared" si="409"/>
        <v>1.4429680247228447</v>
      </c>
      <c r="AA249" s="338">
        <f t="shared" si="409"/>
        <v>1.409870448501829</v>
      </c>
      <c r="AB249" s="338">
        <f t="shared" si="409"/>
        <v>1.4703313346043521</v>
      </c>
      <c r="AC249" s="338">
        <f t="shared" si="409"/>
        <v>1.4092331225939994</v>
      </c>
      <c r="AD249" s="338">
        <f t="shared" si="409"/>
        <v>1.4205811359747098</v>
      </c>
      <c r="AE249" s="338">
        <f t="shared" si="409"/>
        <v>0.98937138637603339</v>
      </c>
      <c r="AF249" s="338">
        <f t="shared" si="409"/>
        <v>0.88919470167965053</v>
      </c>
      <c r="AG249" s="338">
        <f t="shared" si="409"/>
        <v>0.77519377099817122</v>
      </c>
      <c r="AH249" s="338">
        <f t="shared" si="409"/>
        <v>0.65509390376312193</v>
      </c>
      <c r="AI249" s="338">
        <f t="shared" ref="AI249" si="436">AI139/$W139</f>
        <v>1.1049068579435095</v>
      </c>
    </row>
    <row r="250" spans="2:35">
      <c r="C250" s="110"/>
      <c r="D250" s="110"/>
      <c r="E250" s="110"/>
      <c r="F250" s="110"/>
      <c r="G250" s="110"/>
      <c r="H250" s="110"/>
      <c r="I250" s="110"/>
      <c r="J250" s="110"/>
      <c r="K250" s="110"/>
      <c r="L250" s="110"/>
      <c r="M250" s="110"/>
      <c r="N250" s="110"/>
      <c r="O250" s="110"/>
      <c r="Q250" s="224"/>
      <c r="W250" s="110"/>
      <c r="X250" s="110"/>
      <c r="Y250" s="110"/>
      <c r="Z250" s="110"/>
      <c r="AA250" s="110"/>
      <c r="AB250" s="110"/>
      <c r="AC250" s="110"/>
      <c r="AD250" s="110"/>
      <c r="AE250" s="110"/>
      <c r="AF250" s="110"/>
      <c r="AG250" s="110"/>
      <c r="AH250" s="110"/>
      <c r="AI250" s="110"/>
    </row>
    <row r="251" spans="2:35">
      <c r="B251" s="5" t="s">
        <v>1137</v>
      </c>
      <c r="C251" s="338">
        <f t="shared" si="407"/>
        <v>1</v>
      </c>
      <c r="D251" s="338">
        <f t="shared" si="407"/>
        <v>1.0489940225689538</v>
      </c>
      <c r="E251" s="338">
        <f t="shared" si="407"/>
        <v>1.0362520977455181</v>
      </c>
      <c r="F251" s="338">
        <f t="shared" si="407"/>
        <v>1.0422953262511023</v>
      </c>
      <c r="G251" s="338">
        <f t="shared" si="407"/>
        <v>0.99194278415158621</v>
      </c>
      <c r="H251" s="338">
        <f t="shared" si="407"/>
        <v>1.0049198966170141</v>
      </c>
      <c r="I251" s="338">
        <f t="shared" si="407"/>
        <v>0.99721899440322315</v>
      </c>
      <c r="J251" s="338">
        <f t="shared" si="407"/>
        <v>0.97069699920804897</v>
      </c>
      <c r="K251" s="338">
        <f t="shared" si="407"/>
        <v>0.97669690635137374</v>
      </c>
      <c r="L251" s="338">
        <f t="shared" si="407"/>
        <v>1.0183884228894722</v>
      </c>
      <c r="M251" s="338">
        <f t="shared" si="407"/>
        <v>1.0003938049491734</v>
      </c>
      <c r="N251" s="338">
        <f t="shared" si="407"/>
        <v>0.94613310596814326</v>
      </c>
      <c r="O251" s="338">
        <f t="shared" ref="O251" si="437">O141/$C141</f>
        <v>1.0081818529125575</v>
      </c>
      <c r="Q251" s="341">
        <f>(O251/H251)-1</f>
        <v>3.2459863781426623E-3</v>
      </c>
      <c r="V251" s="5" t="s">
        <v>1137</v>
      </c>
      <c r="W251" s="338">
        <f t="shared" si="409"/>
        <v>1</v>
      </c>
      <c r="X251" s="338">
        <f t="shared" si="409"/>
        <v>1.0441876664012884</v>
      </c>
      <c r="Y251" s="338">
        <f t="shared" si="409"/>
        <v>1.0204421352142108</v>
      </c>
      <c r="Z251" s="338">
        <f t="shared" si="409"/>
        <v>1.0364260484179828</v>
      </c>
      <c r="AA251" s="338">
        <f t="shared" si="409"/>
        <v>1.0023411955533621</v>
      </c>
      <c r="AB251" s="338">
        <f t="shared" si="409"/>
        <v>1.0263876463115724</v>
      </c>
      <c r="AC251" s="338">
        <f t="shared" si="409"/>
        <v>1.0397153148428979</v>
      </c>
      <c r="AD251" s="338">
        <f t="shared" si="409"/>
        <v>1.0386082971275394</v>
      </c>
      <c r="AE251" s="338">
        <f t="shared" si="409"/>
        <v>0.98005316429965572</v>
      </c>
      <c r="AF251" s="338">
        <f t="shared" si="409"/>
        <v>0.97501128495365064</v>
      </c>
      <c r="AG251" s="338">
        <f t="shared" si="409"/>
        <v>0.97075395347422822</v>
      </c>
      <c r="AH251" s="338">
        <f t="shared" si="409"/>
        <v>0.92749163226960374</v>
      </c>
      <c r="AI251" s="338">
        <f t="shared" ref="AI251" si="438">AI141/$W141</f>
        <v>0.85513722481097276</v>
      </c>
    </row>
    <row r="252" spans="2:35">
      <c r="B252" s="5" t="s">
        <v>1142</v>
      </c>
      <c r="C252" s="338">
        <f t="shared" si="407"/>
        <v>1</v>
      </c>
      <c r="D252" s="338">
        <f t="shared" si="407"/>
        <v>1.0549771951393085</v>
      </c>
      <c r="E252" s="338">
        <f t="shared" si="407"/>
        <v>1.0081414264318174</v>
      </c>
      <c r="F252" s="338">
        <f t="shared" si="407"/>
        <v>1.1976542348955486</v>
      </c>
      <c r="G252" s="338">
        <f t="shared" si="407"/>
        <v>0.87442154639083181</v>
      </c>
      <c r="H252" s="338">
        <f t="shared" si="407"/>
        <v>0.81744378738496903</v>
      </c>
      <c r="I252" s="338">
        <f t="shared" si="407"/>
        <v>0.78833667086643588</v>
      </c>
      <c r="J252" s="338">
        <f t="shared" si="407"/>
        <v>0.71953365144246606</v>
      </c>
      <c r="K252" s="338">
        <f t="shared" si="407"/>
        <v>0.75760940918594721</v>
      </c>
      <c r="L252" s="338">
        <f t="shared" si="407"/>
        <v>1.2822504542833737</v>
      </c>
      <c r="M252" s="338">
        <f t="shared" si="407"/>
        <v>1.22953893923451</v>
      </c>
      <c r="N252" s="338">
        <f t="shared" si="407"/>
        <v>1.1784037697016194</v>
      </c>
      <c r="O252" s="338">
        <f t="shared" ref="O252" si="439">O142/$C142</f>
        <v>1.2101115030795819</v>
      </c>
      <c r="Q252" s="341">
        <f t="shared" ref="Q252:Q253" si="440">(O252/H252)-1</f>
        <v>0.48036051133347102</v>
      </c>
      <c r="V252" s="5" t="s">
        <v>1142</v>
      </c>
      <c r="W252" s="338">
        <f t="shared" si="409"/>
        <v>1</v>
      </c>
      <c r="X252" s="338">
        <f t="shared" si="409"/>
        <v>1.0674804255167543</v>
      </c>
      <c r="Y252" s="338">
        <f t="shared" si="409"/>
        <v>1.1341999646573246</v>
      </c>
      <c r="Z252" s="338">
        <f t="shared" si="409"/>
        <v>1.4503789392445219</v>
      </c>
      <c r="AA252" s="338">
        <f t="shared" si="409"/>
        <v>1.3230923950303557</v>
      </c>
      <c r="AB252" s="338">
        <f t="shared" si="409"/>
        <v>1.1922272046860167</v>
      </c>
      <c r="AC252" s="338">
        <f t="shared" si="409"/>
        <v>1.1622259711383507</v>
      </c>
      <c r="AD252" s="338">
        <f t="shared" si="409"/>
        <v>1.1215831983486417</v>
      </c>
      <c r="AE252" s="338">
        <f t="shared" si="409"/>
        <v>1.0691978026484121</v>
      </c>
      <c r="AF252" s="338">
        <f t="shared" si="409"/>
        <v>1.3180223164663782</v>
      </c>
      <c r="AG252" s="338">
        <f t="shared" si="409"/>
        <v>1.4153681014472896</v>
      </c>
      <c r="AH252" s="338">
        <f t="shared" si="409"/>
        <v>1.3450315274833882</v>
      </c>
      <c r="AI252" s="338">
        <f t="shared" ref="AI252" si="441">AI142/$W142</f>
        <v>1.2800831638108314</v>
      </c>
    </row>
    <row r="253" spans="2:35">
      <c r="B253" s="5" t="s">
        <v>1143</v>
      </c>
      <c r="C253" s="338">
        <f t="shared" si="407"/>
        <v>1</v>
      </c>
      <c r="D253" s="338">
        <f t="shared" si="407"/>
        <v>1.0679802619210033</v>
      </c>
      <c r="E253" s="338">
        <f t="shared" si="407"/>
        <v>1.126644179872174</v>
      </c>
      <c r="F253" s="338">
        <f t="shared" si="407"/>
        <v>1.1921582249302363</v>
      </c>
      <c r="G253" s="338">
        <f t="shared" si="407"/>
        <v>1.0462781204762928</v>
      </c>
      <c r="H253" s="338">
        <f t="shared" si="407"/>
        <v>1.2346412834576739</v>
      </c>
      <c r="I253" s="338">
        <f t="shared" si="407"/>
        <v>1.1461806990735932</v>
      </c>
      <c r="J253" s="338">
        <f t="shared" si="407"/>
        <v>1.0106496059936028</v>
      </c>
      <c r="K253" s="338">
        <f t="shared" si="407"/>
        <v>1.0057885361179237</v>
      </c>
      <c r="L253" s="338">
        <f t="shared" si="407"/>
        <v>1.0505227712594549</v>
      </c>
      <c r="M253" s="338">
        <f t="shared" si="407"/>
        <v>0.9380790672866991</v>
      </c>
      <c r="N253" s="338">
        <f t="shared" si="407"/>
        <v>0.79699101109255766</v>
      </c>
      <c r="O253" s="338">
        <f t="shared" ref="O253" si="442">O143/$C143</f>
        <v>0.94905778781674</v>
      </c>
      <c r="Q253" s="341">
        <f t="shared" si="440"/>
        <v>-0.23130888256153492</v>
      </c>
      <c r="V253" s="5" t="s">
        <v>1143</v>
      </c>
      <c r="W253" s="338">
        <f t="shared" si="409"/>
        <v>1</v>
      </c>
      <c r="X253" s="338">
        <f t="shared" si="409"/>
        <v>1.0634366123903303</v>
      </c>
      <c r="Y253" s="338">
        <f t="shared" si="409"/>
        <v>1.144982525497912</v>
      </c>
      <c r="Z253" s="338">
        <f t="shared" si="409"/>
        <v>1.1580564912252667</v>
      </c>
      <c r="AA253" s="338">
        <f t="shared" si="409"/>
        <v>1.0640861890324584</v>
      </c>
      <c r="AB253" s="338">
        <f t="shared" si="409"/>
        <v>1.2849143911330587</v>
      </c>
      <c r="AC253" s="338">
        <f t="shared" si="409"/>
        <v>1.2057556868894208</v>
      </c>
      <c r="AD253" s="338">
        <f t="shared" si="409"/>
        <v>1.1805639703950404</v>
      </c>
      <c r="AE253" s="338">
        <f t="shared" si="409"/>
        <v>1.0877448011944242</v>
      </c>
      <c r="AF253" s="338">
        <f t="shared" si="409"/>
        <v>1.0290169919318308</v>
      </c>
      <c r="AG253" s="338">
        <f t="shared" si="409"/>
        <v>1.0047777614487687</v>
      </c>
      <c r="AH253" s="338">
        <f t="shared" si="409"/>
        <v>0.98451874778321302</v>
      </c>
      <c r="AI253" s="338">
        <f t="shared" ref="AI253" si="443">AI143/$W143</f>
        <v>0.64664373777090178</v>
      </c>
    </row>
    <row r="254" spans="2:35" s="60" customFormat="1">
      <c r="C254" s="109"/>
      <c r="D254" s="109"/>
      <c r="E254" s="109"/>
      <c r="F254" s="109"/>
      <c r="G254" s="109"/>
      <c r="H254" s="109"/>
      <c r="I254" s="109"/>
      <c r="J254" s="109"/>
      <c r="K254" s="109"/>
      <c r="L254" s="109"/>
      <c r="M254" s="109"/>
      <c r="N254" s="109"/>
      <c r="O254" s="109"/>
      <c r="Q254" s="362"/>
      <c r="W254" s="109"/>
      <c r="X254" s="109"/>
      <c r="Y254" s="109"/>
      <c r="Z254" s="109"/>
      <c r="AA254" s="109"/>
      <c r="AB254" s="109"/>
      <c r="AC254" s="109"/>
      <c r="AD254" s="109"/>
      <c r="AE254" s="109"/>
      <c r="AF254" s="109"/>
      <c r="AG254" s="109"/>
      <c r="AH254" s="109"/>
      <c r="AI254" s="109"/>
    </row>
    <row r="255" spans="2:35">
      <c r="B255" s="5" t="s">
        <v>1177</v>
      </c>
      <c r="C255" s="338">
        <f>C145/$C145</f>
        <v>1</v>
      </c>
      <c r="D255" s="338">
        <f t="shared" ref="D255:N255" si="444">D145/$C145</f>
        <v>1.0451200579872688</v>
      </c>
      <c r="E255" s="338">
        <f t="shared" si="444"/>
        <v>1.0282225477140461</v>
      </c>
      <c r="F255" s="338">
        <f t="shared" si="444"/>
        <v>1.0300611664586046</v>
      </c>
      <c r="G255" s="338">
        <f t="shared" si="444"/>
        <v>0.98538019453506887</v>
      </c>
      <c r="H255" s="338">
        <f t="shared" si="444"/>
        <v>0.99883651886666369</v>
      </c>
      <c r="I255" s="338">
        <f t="shared" si="444"/>
        <v>0.99219574268508304</v>
      </c>
      <c r="J255" s="338">
        <f t="shared" si="444"/>
        <v>0.96506960385095319</v>
      </c>
      <c r="K255" s="338">
        <f t="shared" si="444"/>
        <v>0.97168771167000634</v>
      </c>
      <c r="L255" s="338">
        <f t="shared" si="444"/>
        <v>1.0089188454745674</v>
      </c>
      <c r="M255" s="338">
        <f t="shared" si="444"/>
        <v>0.99244376006133095</v>
      </c>
      <c r="N255" s="338">
        <f t="shared" si="444"/>
        <v>0.94544913305829137</v>
      </c>
      <c r="O255" s="338">
        <f t="shared" ref="O255" si="445">O145/$C145</f>
        <v>1.0123977237438244</v>
      </c>
      <c r="Q255" s="341">
        <f>(O255/H255)-1</f>
        <v>1.3577001462209193E-2</v>
      </c>
      <c r="V255" s="5" t="s">
        <v>1177</v>
      </c>
      <c r="W255" s="338">
        <f>W145/$W145</f>
        <v>1</v>
      </c>
      <c r="X255" s="338">
        <f t="shared" ref="X255:AG255" si="446">X145/$W145</f>
        <v>1.0382214573826232</v>
      </c>
      <c r="Y255" s="338">
        <f t="shared" si="446"/>
        <v>1.0090560594439604</v>
      </c>
      <c r="Z255" s="338">
        <f t="shared" si="446"/>
        <v>1.0236651836270578</v>
      </c>
      <c r="AA255" s="338">
        <f t="shared" si="446"/>
        <v>0.98816204504080296</v>
      </c>
      <c r="AB255" s="338">
        <f t="shared" si="446"/>
        <v>1.0049988696607977</v>
      </c>
      <c r="AC255" s="338">
        <f t="shared" si="446"/>
        <v>1.0032398660547004</v>
      </c>
      <c r="AD255" s="338">
        <f t="shared" si="446"/>
        <v>0.97801393549750926</v>
      </c>
      <c r="AE255" s="338">
        <f t="shared" si="446"/>
        <v>0.92708379886260317</v>
      </c>
      <c r="AF255" s="338">
        <f t="shared" si="446"/>
        <v>0.93082979475169136</v>
      </c>
      <c r="AG255" s="338">
        <f t="shared" si="446"/>
        <v>0.9299300559370185</v>
      </c>
      <c r="AH255" s="338">
        <f>AH145/$W145</f>
        <v>0.88455735876306263</v>
      </c>
      <c r="AI255" s="338">
        <f>AI145/$W145</f>
        <v>0.92494938721317155</v>
      </c>
    </row>
    <row r="256" spans="2:35">
      <c r="C256" s="110"/>
      <c r="D256" s="110"/>
      <c r="E256" s="110"/>
      <c r="F256" s="110"/>
      <c r="G256" s="110"/>
      <c r="H256" s="110"/>
      <c r="I256" s="110"/>
      <c r="J256" s="110"/>
      <c r="K256" s="110"/>
      <c r="L256" s="110"/>
      <c r="M256" s="110"/>
      <c r="N256" s="110"/>
      <c r="O256" s="110"/>
      <c r="Q256" s="224"/>
      <c r="W256" s="110"/>
      <c r="X256" s="110"/>
      <c r="Y256" s="110"/>
      <c r="Z256" s="110"/>
      <c r="AA256" s="110"/>
      <c r="AB256" s="110"/>
      <c r="AC256" s="110"/>
      <c r="AD256" s="110"/>
      <c r="AE256" s="110"/>
      <c r="AF256" s="110"/>
      <c r="AG256" s="110"/>
      <c r="AH256" s="110"/>
      <c r="AI256" s="110"/>
    </row>
    <row r="257" spans="2:120" ht="16.5">
      <c r="B257" s="7" t="s">
        <v>163</v>
      </c>
      <c r="C257" s="6"/>
      <c r="D257" s="6"/>
      <c r="E257" s="6"/>
      <c r="F257" s="6"/>
      <c r="G257" s="6"/>
      <c r="H257" s="6"/>
      <c r="I257" s="6"/>
      <c r="J257" s="6"/>
      <c r="K257" s="6"/>
      <c r="L257" s="6"/>
      <c r="M257" s="6"/>
      <c r="N257" s="6"/>
      <c r="O257" s="6"/>
      <c r="P257" s="6"/>
      <c r="Q257" s="257"/>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row>
  </sheetData>
  <conditionalFormatting sqref="N85:O85">
    <cfRule type="colorScale" priority="18">
      <colorScale>
        <cfvo type="min" val="0"/>
        <cfvo type="max" val="0"/>
        <color rgb="FFFFEF9C"/>
        <color rgb="FFFF7128"/>
      </colorScale>
    </cfRule>
  </conditionalFormatting>
  <conditionalFormatting sqref="N112:O112">
    <cfRule type="colorScale" priority="17">
      <colorScale>
        <cfvo type="min" val="0"/>
        <cfvo type="max" val="0"/>
        <color rgb="FFFFEF9C"/>
        <color rgb="FFFF7128"/>
      </colorScale>
    </cfRule>
  </conditionalFormatting>
  <conditionalFormatting sqref="N140:O140">
    <cfRule type="colorScale" priority="16">
      <colorScale>
        <cfvo type="min" val="0"/>
        <cfvo type="max" val="0"/>
        <color rgb="FFFFEF9C"/>
        <color rgb="FFFF7128"/>
      </colorScale>
    </cfRule>
  </conditionalFormatting>
  <conditionalFormatting sqref="N58:O58">
    <cfRule type="colorScale" priority="13">
      <colorScale>
        <cfvo type="min" val="0"/>
        <cfvo type="max" val="0"/>
        <color rgb="FFFFEF9C"/>
        <color rgb="FFFF7128"/>
      </colorScale>
    </cfRule>
  </conditionalFormatting>
  <conditionalFormatting sqref="N167:O167">
    <cfRule type="colorScale" priority="6">
      <colorScale>
        <cfvo type="min" val="0"/>
        <cfvo type="max" val="0"/>
        <color rgb="FFFFEF9C"/>
        <color rgb="FFFF7128"/>
      </colorScale>
    </cfRule>
  </conditionalFormatting>
  <conditionalFormatting sqref="N194:O194">
    <cfRule type="colorScale" priority="3">
      <colorScale>
        <cfvo type="min" val="0"/>
        <cfvo type="max" val="0"/>
        <color rgb="FFFFEF9C"/>
        <color rgb="FFFF7128"/>
      </colorScale>
    </cfRule>
  </conditionalFormatting>
  <conditionalFormatting sqref="N33:O33">
    <cfRule type="colorScale" priority="1">
      <colorScale>
        <cfvo type="min" val="0"/>
        <cfvo type="max" val="0"/>
        <color rgb="FFFFEF9C"/>
        <color rgb="FFFF7128"/>
      </colorScale>
    </cfRule>
  </conditionalFormatting>
  <pageMargins left="0.75" right="0.75" top="1" bottom="1" header="0.5" footer="0.5"/>
  <pageSetup paperSize="9" scale="83" orientation="landscape" r:id="rId1"/>
  <headerFooter alignWithMargins="0">
    <oddFooter>&amp;L&amp;F \ &amp;A&amp;R&amp;T  &amp;D</oddFooter>
  </headerFooter>
  <drawing r:id="rId2"/>
</worksheet>
</file>

<file path=xl/worksheets/sheet5.xml><?xml version="1.0" encoding="utf-8"?>
<worksheet xmlns="http://schemas.openxmlformats.org/spreadsheetml/2006/main" xmlns:r="http://schemas.openxmlformats.org/officeDocument/2006/relationships">
  <sheetPr>
    <pageSetUpPr autoPageBreaks="0" fitToPage="1"/>
  </sheetPr>
  <dimension ref="A1:AY180"/>
  <sheetViews>
    <sheetView showGridLines="0" zoomScale="55" zoomScaleNormal="55" workbookViewId="0">
      <selection activeCell="E10" sqref="E10"/>
    </sheetView>
  </sheetViews>
  <sheetFormatPr defaultRowHeight="12.75"/>
  <cols>
    <col min="1" max="1" width="3.140625" style="90" customWidth="1"/>
    <col min="2" max="2" width="43.7109375" style="90" customWidth="1"/>
    <col min="3" max="15" width="12.7109375" style="90" customWidth="1"/>
    <col min="16" max="16" width="5.140625" style="90" customWidth="1"/>
    <col min="17" max="17" width="17.28515625" style="90" customWidth="1"/>
    <col min="18" max="18" width="11.7109375" style="90" customWidth="1"/>
    <col min="19" max="19" width="16.28515625" style="90" customWidth="1"/>
    <col min="20" max="20" width="32.7109375" style="90" customWidth="1"/>
    <col min="21" max="30" width="11.28515625" style="90" bestFit="1" customWidth="1"/>
    <col min="31" max="34" width="11.140625" style="90" customWidth="1"/>
    <col min="35" max="35" width="9.140625" style="90"/>
    <col min="36" max="36" width="16.42578125" style="90" customWidth="1"/>
    <col min="37" max="46" width="10.7109375" style="90" customWidth="1"/>
    <col min="47" max="16384" width="9.140625" style="90"/>
  </cols>
  <sheetData>
    <row r="1" spans="1:36" ht="12.75" customHeight="1">
      <c r="A1" s="145"/>
    </row>
    <row r="2" spans="1:36">
      <c r="B2" s="308" t="s">
        <v>134</v>
      </c>
      <c r="C2" s="91"/>
      <c r="D2" s="147" t="str">
        <f>Info!$D$10</f>
        <v>Duncan Kernohan</v>
      </c>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c r="B3" s="310" t="s">
        <v>137</v>
      </c>
      <c r="C3" s="92"/>
      <c r="D3" s="149" t="str">
        <f>Info!$D$11 &amp; " - " &amp; Info!$D$12</f>
        <v>Airport Opex Benchmarking 2013 - duncan.kernohan@caa.co.uk</v>
      </c>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B4" s="310" t="s">
        <v>130</v>
      </c>
      <c r="C4" s="92"/>
      <c r="D4" s="150">
        <f>Info!$D$16</f>
        <v>2.8</v>
      </c>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row>
    <row r="5" spans="1:36">
      <c r="B5" s="312" t="s">
        <v>138</v>
      </c>
      <c r="C5" s="93"/>
      <c r="D5" s="152" t="str">
        <f ca="1">IF(CELL("filename",C1)="","",MID(CELL("filename",A1),FIND("]",CELL("filename",A1))+1,99))</f>
        <v>UK Analysis</v>
      </c>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row>
    <row r="9" spans="1:36">
      <c r="B9" s="314" t="s">
        <v>1336</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row>
    <row r="10" spans="1:36" s="134" customFormat="1">
      <c r="B10" s="398"/>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row>
    <row r="11" spans="1:36">
      <c r="B11" s="78"/>
    </row>
    <row r="12" spans="1:36">
      <c r="B12" s="314" t="s">
        <v>235</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row>
    <row r="13" spans="1:36" s="133" customFormat="1">
      <c r="B13" s="65"/>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row>
    <row r="14" spans="1:36">
      <c r="B14" s="78" t="s">
        <v>236</v>
      </c>
      <c r="C14" s="196">
        <v>2000</v>
      </c>
      <c r="D14" s="196">
        <v>2001</v>
      </c>
      <c r="E14" s="196">
        <v>2002</v>
      </c>
      <c r="F14" s="196">
        <v>2003</v>
      </c>
      <c r="G14" s="196">
        <v>2004</v>
      </c>
      <c r="H14" s="196">
        <v>2005</v>
      </c>
      <c r="I14" s="196">
        <v>2006</v>
      </c>
      <c r="J14" s="196">
        <v>2007</v>
      </c>
      <c r="K14" s="196">
        <v>2008</v>
      </c>
      <c r="L14" s="196">
        <v>2009</v>
      </c>
      <c r="M14" s="196">
        <v>2010</v>
      </c>
      <c r="N14" s="196">
        <v>2011</v>
      </c>
      <c r="O14" s="196">
        <v>2012</v>
      </c>
      <c r="P14" s="196"/>
    </row>
    <row r="15" spans="1:36">
      <c r="B15" s="90" t="s">
        <v>116</v>
      </c>
      <c r="C15" s="95" t="str">
        <f>ABD!D17</f>
        <v>March</v>
      </c>
      <c r="D15" s="95" t="str">
        <f>ABD!E17</f>
        <v>March</v>
      </c>
      <c r="E15" s="95" t="str">
        <f>ABD!F17</f>
        <v>March</v>
      </c>
      <c r="F15" s="95" t="str">
        <f>ABD!G17</f>
        <v>March</v>
      </c>
      <c r="G15" s="95" t="str">
        <f>ABD!H17</f>
        <v>March</v>
      </c>
      <c r="H15" s="95" t="str">
        <f>ABD!I17</f>
        <v>March</v>
      </c>
      <c r="I15" s="95" t="str">
        <f>ABD!J17</f>
        <v>December (9)</v>
      </c>
      <c r="J15" s="95" t="str">
        <f>ABD!K17</f>
        <v>December</v>
      </c>
      <c r="K15" s="95" t="str">
        <f>ABD!L17</f>
        <v>December</v>
      </c>
      <c r="L15" s="95" t="str">
        <f>ABD!M17</f>
        <v>December</v>
      </c>
      <c r="M15" s="95" t="str">
        <f>ABD!N17</f>
        <v>December</v>
      </c>
      <c r="N15" s="95" t="str">
        <f>ABD!O17</f>
        <v>December</v>
      </c>
      <c r="O15" s="95" t="str">
        <f>N15</f>
        <v>December</v>
      </c>
      <c r="P15" s="135"/>
    </row>
    <row r="16" spans="1:36">
      <c r="B16" s="90" t="s">
        <v>155</v>
      </c>
      <c r="C16" s="95" t="str">
        <f>BIR!D17</f>
        <v>March</v>
      </c>
      <c r="D16" s="95" t="str">
        <f>BIR!E17</f>
        <v>March</v>
      </c>
      <c r="E16" s="95" t="str">
        <f>BIR!F17</f>
        <v>March</v>
      </c>
      <c r="F16" s="95" t="str">
        <f>BIR!G17</f>
        <v>March</v>
      </c>
      <c r="G16" s="95" t="str">
        <f>BIR!H17</f>
        <v>March</v>
      </c>
      <c r="H16" s="95" t="str">
        <f>BIR!I17</f>
        <v>March</v>
      </c>
      <c r="I16" s="95" t="str">
        <f>BIR!J17</f>
        <v>March</v>
      </c>
      <c r="J16" s="95" t="str">
        <f>BIR!K17</f>
        <v>March</v>
      </c>
      <c r="K16" s="95" t="str">
        <f>BIR!L17</f>
        <v>March</v>
      </c>
      <c r="L16" s="95" t="str">
        <f>BIR!M17</f>
        <v>March</v>
      </c>
      <c r="M16" s="95" t="str">
        <f>BIR!N17</f>
        <v>March</v>
      </c>
      <c r="N16" s="95" t="s">
        <v>160</v>
      </c>
      <c r="O16" s="95" t="str">
        <f t="shared" ref="O16:O23" si="0">N16</f>
        <v>March</v>
      </c>
      <c r="P16" s="135"/>
    </row>
    <row r="17" spans="2:36">
      <c r="B17" s="90" t="s">
        <v>115</v>
      </c>
      <c r="C17" s="95" t="str">
        <f>EDIN!D18</f>
        <v>March</v>
      </c>
      <c r="D17" s="95" t="str">
        <f>EDIN!E18</f>
        <v>March</v>
      </c>
      <c r="E17" s="95" t="str">
        <f>EDIN!F18</f>
        <v>March</v>
      </c>
      <c r="F17" s="95" t="str">
        <f>EDIN!G18</f>
        <v>March</v>
      </c>
      <c r="G17" s="95" t="str">
        <f>EDIN!H18</f>
        <v>March</v>
      </c>
      <c r="H17" s="95" t="str">
        <f>EDIN!I18</f>
        <v>March</v>
      </c>
      <c r="I17" s="95" t="str">
        <f>EDIN!J18</f>
        <v>December (9)</v>
      </c>
      <c r="J17" s="95" t="str">
        <f>EDIN!K18</f>
        <v>December</v>
      </c>
      <c r="K17" s="95" t="str">
        <f>EDIN!L18</f>
        <v>December</v>
      </c>
      <c r="L17" s="95" t="str">
        <f>EDIN!M18</f>
        <v>December</v>
      </c>
      <c r="M17" s="95" t="str">
        <f>EDIN!N18</f>
        <v>December</v>
      </c>
      <c r="N17" s="95" t="str">
        <f>EDIN!O18</f>
        <v>December</v>
      </c>
      <c r="O17" s="95" t="str">
        <f t="shared" si="0"/>
        <v>December</v>
      </c>
      <c r="P17" s="135"/>
    </row>
    <row r="18" spans="2:36">
      <c r="B18" s="90" t="s">
        <v>107</v>
      </c>
      <c r="C18" s="95" t="str">
        <f>GAT!D17</f>
        <v>March</v>
      </c>
      <c r="D18" s="95" t="str">
        <f>GAT!E17</f>
        <v>March</v>
      </c>
      <c r="E18" s="95" t="str">
        <f>GAT!F17</f>
        <v>March</v>
      </c>
      <c r="F18" s="95" t="str">
        <f>GAT!G17</f>
        <v>March</v>
      </c>
      <c r="G18" s="95" t="str">
        <f>GAT!H17</f>
        <v>March</v>
      </c>
      <c r="H18" s="95" t="str">
        <f>GAT!I17</f>
        <v>March</v>
      </c>
      <c r="I18" s="95" t="str">
        <f>GAT!J17</f>
        <v>December (9)</v>
      </c>
      <c r="J18" s="95" t="str">
        <f>GAT!K17</f>
        <v>December</v>
      </c>
      <c r="K18" s="95" t="str">
        <f>GAT!L17</f>
        <v>December</v>
      </c>
      <c r="L18" s="95" t="str">
        <f>GAT!M17</f>
        <v>March</v>
      </c>
      <c r="M18" s="95" t="str">
        <f>GAT!N17</f>
        <v>March</v>
      </c>
      <c r="N18" s="95" t="str">
        <f>GAT!O17</f>
        <v>March</v>
      </c>
      <c r="O18" s="95" t="str">
        <f t="shared" si="0"/>
        <v>March</v>
      </c>
      <c r="P18" s="135"/>
    </row>
    <row r="19" spans="2:36">
      <c r="B19" s="90" t="s">
        <v>114</v>
      </c>
      <c r="C19" s="95" t="str">
        <f>GLAS!D17</f>
        <v>March</v>
      </c>
      <c r="D19" s="95" t="str">
        <f>GLAS!E17</f>
        <v>March</v>
      </c>
      <c r="E19" s="95" t="str">
        <f>GLAS!F17</f>
        <v>March</v>
      </c>
      <c r="F19" s="95" t="str">
        <f>GLAS!G17</f>
        <v>March</v>
      </c>
      <c r="G19" s="95" t="str">
        <f>GLAS!H17</f>
        <v>March</v>
      </c>
      <c r="H19" s="95" t="str">
        <f>GLAS!I17</f>
        <v>March</v>
      </c>
      <c r="I19" s="95" t="str">
        <f>GLAS!J17</f>
        <v>December (9)</v>
      </c>
      <c r="J19" s="95" t="str">
        <f>GLAS!K17</f>
        <v>December</v>
      </c>
      <c r="K19" s="95" t="str">
        <f>GLAS!L17</f>
        <v>December</v>
      </c>
      <c r="L19" s="95" t="str">
        <f>GLAS!M17</f>
        <v>December</v>
      </c>
      <c r="M19" s="95" t="str">
        <f>GLAS!N17</f>
        <v>December</v>
      </c>
      <c r="N19" s="95" t="str">
        <f>GLAS!O17</f>
        <v>December</v>
      </c>
      <c r="O19" s="95" t="str">
        <f t="shared" si="0"/>
        <v>December</v>
      </c>
      <c r="P19" s="135"/>
    </row>
    <row r="20" spans="2:36">
      <c r="B20" s="90" t="s">
        <v>105</v>
      </c>
      <c r="C20" s="95" t="str">
        <f>HTROW!D17</f>
        <v>March</v>
      </c>
      <c r="D20" s="95" t="str">
        <f>HTROW!E17</f>
        <v>March</v>
      </c>
      <c r="E20" s="95" t="str">
        <f>HTROW!F17</f>
        <v>March</v>
      </c>
      <c r="F20" s="95" t="str">
        <f>HTROW!G17</f>
        <v>March</v>
      </c>
      <c r="G20" s="95" t="str">
        <f>HTROW!H17</f>
        <v>March</v>
      </c>
      <c r="H20" s="95" t="str">
        <f>HTROW!I17</f>
        <v>March</v>
      </c>
      <c r="I20" s="95" t="str">
        <f>HTROW!J17</f>
        <v>December (6)</v>
      </c>
      <c r="J20" s="95" t="str">
        <f>HTROW!K17</f>
        <v>December</v>
      </c>
      <c r="K20" s="95" t="str">
        <f>HTROW!L17</f>
        <v>December</v>
      </c>
      <c r="L20" s="95" t="str">
        <f>HTROW!M17</f>
        <v>December</v>
      </c>
      <c r="M20" s="95" t="str">
        <f>HTROW!N17</f>
        <v>December</v>
      </c>
      <c r="N20" s="95" t="s">
        <v>174</v>
      </c>
      <c r="O20" s="95" t="str">
        <f t="shared" si="0"/>
        <v>December</v>
      </c>
      <c r="P20" s="135"/>
    </row>
    <row r="21" spans="2:36">
      <c r="B21" s="90" t="s">
        <v>156</v>
      </c>
      <c r="C21" s="95" t="str">
        <f>LTN!D17</f>
        <v>March</v>
      </c>
      <c r="D21" s="95" t="str">
        <f>LTN!E17</f>
        <v>March</v>
      </c>
      <c r="E21" s="95" t="str">
        <f>LTN!F17</f>
        <v>March</v>
      </c>
      <c r="F21" s="95" t="str">
        <f>LTN!G17</f>
        <v>March</v>
      </c>
      <c r="G21" s="95" t="str">
        <f>LTN!H17</f>
        <v>December (9)</v>
      </c>
      <c r="H21" s="95" t="str">
        <f>LTN!I17</f>
        <v>December</v>
      </c>
      <c r="I21" s="95" t="str">
        <f>LTN!J17</f>
        <v>December</v>
      </c>
      <c r="J21" s="95" t="str">
        <f>LTN!K17</f>
        <v>December</v>
      </c>
      <c r="K21" s="95" t="str">
        <f>LTN!L17</f>
        <v>December</v>
      </c>
      <c r="L21" s="95" t="str">
        <f>LTN!M17</f>
        <v>December</v>
      </c>
      <c r="M21" s="95" t="str">
        <f>LTN!N17</f>
        <v>December</v>
      </c>
      <c r="N21" s="95" t="s">
        <v>174</v>
      </c>
      <c r="O21" s="95" t="str">
        <f t="shared" si="0"/>
        <v>December</v>
      </c>
      <c r="P21" s="135"/>
    </row>
    <row r="22" spans="2:36">
      <c r="B22" s="90" t="s">
        <v>204</v>
      </c>
      <c r="C22" s="95" t="str">
        <f>MAN!D17</f>
        <v>March</v>
      </c>
      <c r="D22" s="95" t="str">
        <f>MAN!E17</f>
        <v>March</v>
      </c>
      <c r="E22" s="95" t="str">
        <f>MAN!F17</f>
        <v>March</v>
      </c>
      <c r="F22" s="95" t="str">
        <f>MAN!G17</f>
        <v>March</v>
      </c>
      <c r="G22" s="95" t="str">
        <f>MAN!H17</f>
        <v>March</v>
      </c>
      <c r="H22" s="95" t="str">
        <f>MAN!I17</f>
        <v>March</v>
      </c>
      <c r="I22" s="95" t="str">
        <f>MAN!J17</f>
        <v>March</v>
      </c>
      <c r="J22" s="95" t="str">
        <f>MAN!K17</f>
        <v>March</v>
      </c>
      <c r="K22" s="95" t="str">
        <f>MAN!L17</f>
        <v>March</v>
      </c>
      <c r="L22" s="95" t="str">
        <f>MAN!M17</f>
        <v>March</v>
      </c>
      <c r="M22" s="95" t="str">
        <f>MAN!N17</f>
        <v>March</v>
      </c>
      <c r="N22" s="95" t="str">
        <f>MAN!O17</f>
        <v>March</v>
      </c>
      <c r="O22" s="95" t="str">
        <f t="shared" si="0"/>
        <v>March</v>
      </c>
      <c r="P22" s="135"/>
    </row>
    <row r="23" spans="2:36">
      <c r="B23" s="90" t="s">
        <v>113</v>
      </c>
      <c r="C23" s="95" t="str">
        <f>STHAM!D17</f>
        <v>March</v>
      </c>
      <c r="D23" s="95" t="str">
        <f>STHAM!E17</f>
        <v>March</v>
      </c>
      <c r="E23" s="95" t="str">
        <f>STHAM!F17</f>
        <v>March</v>
      </c>
      <c r="F23" s="95" t="str">
        <f>STHAM!G17</f>
        <v>March</v>
      </c>
      <c r="G23" s="95" t="str">
        <f>STHAM!H17</f>
        <v>March</v>
      </c>
      <c r="H23" s="95" t="str">
        <f>STHAM!I17</f>
        <v>March</v>
      </c>
      <c r="I23" s="95" t="str">
        <f>STHAM!J17</f>
        <v>December (9)</v>
      </c>
      <c r="J23" s="95" t="str">
        <f>STHAM!K17</f>
        <v>December</v>
      </c>
      <c r="K23" s="95" t="str">
        <f>STHAM!L17</f>
        <v>December</v>
      </c>
      <c r="L23" s="95" t="str">
        <f>STHAM!M17</f>
        <v>December</v>
      </c>
      <c r="M23" s="95" t="str">
        <f>STHAM!N17</f>
        <v>December</v>
      </c>
      <c r="N23" s="95" t="s">
        <v>174</v>
      </c>
      <c r="O23" s="95" t="str">
        <f t="shared" si="0"/>
        <v>December</v>
      </c>
      <c r="P23" s="135"/>
    </row>
    <row r="24" spans="2:36">
      <c r="B24" s="90" t="s">
        <v>112</v>
      </c>
      <c r="C24" s="95" t="str">
        <f>STAN!E18</f>
        <v>March</v>
      </c>
      <c r="D24" s="95" t="str">
        <f>STAN!F18</f>
        <v>March</v>
      </c>
      <c r="E24" s="95" t="str">
        <f>STAN!G18</f>
        <v>March</v>
      </c>
      <c r="F24" s="95" t="str">
        <f>STAN!H18</f>
        <v>March</v>
      </c>
      <c r="G24" s="95" t="str">
        <f>STAN!I18</f>
        <v>March</v>
      </c>
      <c r="H24" s="95" t="str">
        <f>STAN!J18</f>
        <v>March</v>
      </c>
      <c r="I24" s="95" t="str">
        <f>STAN!K18</f>
        <v>December (9)</v>
      </c>
      <c r="J24" s="95" t="str">
        <f>STAN!L18</f>
        <v>December</v>
      </c>
      <c r="K24" s="95" t="str">
        <f>STAN!M18</f>
        <v>December</v>
      </c>
      <c r="L24" s="95" t="str">
        <f>STAN!N18</f>
        <v>December</v>
      </c>
      <c r="M24" s="95" t="str">
        <f>STAN!O18</f>
        <v>December</v>
      </c>
      <c r="N24" s="95" t="str">
        <f>STAN!P18</f>
        <v>December</v>
      </c>
      <c r="O24" s="95" t="str">
        <f>STAN!Q18</f>
        <v>December</v>
      </c>
      <c r="P24" s="135"/>
    </row>
    <row r="25" spans="2:36" s="134" customFormat="1">
      <c r="C25" s="185"/>
      <c r="D25" s="185"/>
      <c r="E25" s="185"/>
      <c r="F25" s="185"/>
      <c r="G25" s="185"/>
      <c r="H25" s="185"/>
      <c r="I25" s="185"/>
      <c r="J25" s="185"/>
      <c r="K25" s="185"/>
      <c r="L25" s="185"/>
      <c r="M25" s="185"/>
      <c r="N25" s="185"/>
      <c r="O25" s="185"/>
      <c r="P25" s="185"/>
    </row>
    <row r="26" spans="2:36" s="133" customFormat="1">
      <c r="C26" s="135"/>
      <c r="D26" s="135"/>
      <c r="E26" s="135"/>
      <c r="F26" s="135"/>
      <c r="G26" s="135"/>
      <c r="H26" s="135"/>
      <c r="I26" s="135"/>
      <c r="J26" s="135"/>
      <c r="K26" s="135"/>
      <c r="L26" s="135"/>
      <c r="M26" s="135"/>
      <c r="N26" s="135"/>
      <c r="O26" s="135"/>
      <c r="P26" s="135"/>
    </row>
    <row r="27" spans="2:36">
      <c r="B27" s="314" t="s">
        <v>321</v>
      </c>
      <c r="C27" s="100" t="s">
        <v>162</v>
      </c>
      <c r="D27" s="94"/>
      <c r="E27" s="94"/>
      <c r="F27" s="94"/>
      <c r="G27" s="94"/>
      <c r="H27" s="94"/>
      <c r="I27" s="94"/>
      <c r="J27" s="94"/>
      <c r="K27" s="94"/>
      <c r="L27" s="94"/>
      <c r="M27" s="94"/>
      <c r="N27" s="94"/>
      <c r="O27" s="94"/>
      <c r="P27" s="94"/>
      <c r="Q27" s="94"/>
      <c r="R27" s="94"/>
      <c r="S27" s="94"/>
      <c r="T27" s="100" t="s">
        <v>161</v>
      </c>
      <c r="U27" s="94"/>
      <c r="V27" s="94"/>
      <c r="W27" s="94"/>
      <c r="X27" s="94"/>
      <c r="Y27" s="94"/>
      <c r="Z27" s="94"/>
      <c r="AA27" s="94"/>
      <c r="AB27" s="94"/>
      <c r="AC27" s="94"/>
      <c r="AD27" s="94"/>
      <c r="AE27" s="94"/>
      <c r="AF27" s="94"/>
      <c r="AG27" s="94"/>
      <c r="AH27" s="94"/>
      <c r="AI27" s="94"/>
      <c r="AJ27" s="94"/>
    </row>
    <row r="29" spans="2:36">
      <c r="B29" s="395" t="s">
        <v>237</v>
      </c>
      <c r="C29" s="239">
        <v>2000</v>
      </c>
      <c r="D29" s="239">
        <v>2001</v>
      </c>
      <c r="E29" s="239">
        <v>2002</v>
      </c>
      <c r="F29" s="239">
        <v>2003</v>
      </c>
      <c r="G29" s="239">
        <v>2004</v>
      </c>
      <c r="H29" s="239">
        <v>2005</v>
      </c>
      <c r="I29" s="239">
        <v>2006</v>
      </c>
      <c r="J29" s="239">
        <v>2007</v>
      </c>
      <c r="K29" s="239">
        <v>2008</v>
      </c>
      <c r="L29" s="239">
        <v>2009</v>
      </c>
      <c r="M29" s="239">
        <v>2010</v>
      </c>
      <c r="N29" s="239">
        <v>2011</v>
      </c>
      <c r="O29" s="239">
        <v>2012</v>
      </c>
      <c r="P29" s="239"/>
      <c r="Q29" s="395" t="s">
        <v>239</v>
      </c>
      <c r="T29" s="398" t="s">
        <v>219</v>
      </c>
      <c r="U29" s="239" t="s">
        <v>108</v>
      </c>
      <c r="V29" s="239" t="s">
        <v>109</v>
      </c>
      <c r="W29" s="239" t="s">
        <v>110</v>
      </c>
      <c r="X29" s="239" t="s">
        <v>111</v>
      </c>
      <c r="Y29" s="239" t="s">
        <v>22</v>
      </c>
      <c r="Z29" s="239" t="s">
        <v>23</v>
      </c>
      <c r="AA29" s="239" t="s">
        <v>24</v>
      </c>
      <c r="AB29" s="239" t="s">
        <v>25</v>
      </c>
      <c r="AC29" s="239" t="s">
        <v>26</v>
      </c>
      <c r="AD29" s="239" t="s">
        <v>27</v>
      </c>
      <c r="AE29" s="239" t="s">
        <v>28</v>
      </c>
      <c r="AF29" s="239" t="s">
        <v>29</v>
      </c>
      <c r="AG29" s="239" t="s">
        <v>247</v>
      </c>
      <c r="AH29" s="239" t="s">
        <v>1183</v>
      </c>
      <c r="AI29" s="398"/>
      <c r="AJ29" s="398" t="s">
        <v>239</v>
      </c>
    </row>
    <row r="30" spans="2:36">
      <c r="B30" s="238" t="s">
        <v>116</v>
      </c>
      <c r="C30" s="163">
        <f>'Data Conversion'!D40</f>
        <v>2454196</v>
      </c>
      <c r="D30" s="163">
        <f>'Data Conversion'!E40</f>
        <v>2526161</v>
      </c>
      <c r="E30" s="163">
        <f>'Data Conversion'!F40</f>
        <v>2549333</v>
      </c>
      <c r="F30" s="163">
        <f>'Data Conversion'!G40</f>
        <v>2507878</v>
      </c>
      <c r="G30" s="163">
        <f>'Data Conversion'!H40</f>
        <v>2633808</v>
      </c>
      <c r="H30" s="163">
        <f>'Data Conversion'!I40</f>
        <v>2851784</v>
      </c>
      <c r="I30" s="163">
        <f>'Data Conversion'!J40</f>
        <v>3162624</v>
      </c>
      <c r="J30" s="163">
        <f>'Data Conversion'!K40</f>
        <v>3411140</v>
      </c>
      <c r="K30" s="163">
        <f>'Data Conversion'!L40</f>
        <v>3290236</v>
      </c>
      <c r="L30" s="163">
        <f>'Data Conversion'!M40</f>
        <v>2983793</v>
      </c>
      <c r="M30" s="163">
        <f>'Data Conversion'!N40</f>
        <v>2763491</v>
      </c>
      <c r="N30" s="163">
        <f>'Data Conversion'!O40</f>
        <v>3082575</v>
      </c>
      <c r="O30" s="163">
        <f>'Data Conversion'!P40</f>
        <v>3328558</v>
      </c>
      <c r="P30" s="384"/>
      <c r="Q30" s="385">
        <f>(O30/C30)^(1/($O$29-$C$29))-1</f>
        <v>2.5720196958274988E-2</v>
      </c>
      <c r="R30" s="126"/>
      <c r="T30" s="136" t="s">
        <v>116</v>
      </c>
      <c r="U30" s="163">
        <f>SUM('Data Conversion'!C30:C38)+SUM('Data Conversion'!D27:D29)</f>
        <v>2412654</v>
      </c>
      <c r="V30" s="163">
        <f>SUM('Data Conversion'!D30:D38)+SUM('Data Conversion'!E27:E29)</f>
        <v>2486208</v>
      </c>
      <c r="W30" s="163">
        <f>SUM('Data Conversion'!E30:E38)+SUM('Data Conversion'!F27:F29)</f>
        <v>2513345</v>
      </c>
      <c r="X30" s="163">
        <f>SUM('Data Conversion'!F30:F38)+SUM('Data Conversion'!G27:G29)</f>
        <v>2550059</v>
      </c>
      <c r="Y30" s="163">
        <f>SUM('Data Conversion'!G30:G38)+SUM('Data Conversion'!H27:H29)</f>
        <v>2520730</v>
      </c>
      <c r="Z30" s="163">
        <f>SUM('Data Conversion'!H30:H38)+SUM('Data Conversion'!I27:I29)</f>
        <v>2676866</v>
      </c>
      <c r="AA30" s="163">
        <f>SUM('Data Conversion'!I30:I38)+SUM('Data Conversion'!J27:J29)</f>
        <v>2926958</v>
      </c>
      <c r="AB30" s="163">
        <f>SUM('Data Conversion'!J30:J38)+SUM('Data Conversion'!K27:K29)</f>
        <v>3240127</v>
      </c>
      <c r="AC30" s="163">
        <f>SUM('Data Conversion'!K30:K38)+SUM('Data Conversion'!L27:L29)</f>
        <v>3390013</v>
      </c>
      <c r="AD30" s="163">
        <f>SUM('Data Conversion'!L30:L38)+SUM('Data Conversion'!M27:M29)</f>
        <v>3211930</v>
      </c>
      <c r="AE30" s="163">
        <f>SUM('Data Conversion'!M30:M38)+SUM('Data Conversion'!N27:N29)</f>
        <v>2935488</v>
      </c>
      <c r="AF30" s="163">
        <f>SUM('Data Conversion'!N30:N38)+SUM('Data Conversion'!O27:O29)</f>
        <v>2809805</v>
      </c>
      <c r="AG30" s="163">
        <f>SUM('Data Conversion'!O30:O38)+SUM('Data Conversion'!P27:P29)</f>
        <v>3170608</v>
      </c>
      <c r="AH30" s="163">
        <f>SUM('Data Conversion'!P30:P38)+SUM('Data Conversion'!Q27:Q29)</f>
        <v>3313736</v>
      </c>
      <c r="AI30" s="386"/>
      <c r="AJ30" s="385">
        <f>(AH30/V30)^(1/($O$29-$C$29))-1</f>
        <v>2.4232071200181338E-2</v>
      </c>
    </row>
    <row r="31" spans="2:36">
      <c r="B31" s="238" t="s">
        <v>155</v>
      </c>
      <c r="C31" s="163">
        <f>'Data Conversion'!D56</f>
        <v>7492221</v>
      </c>
      <c r="D31" s="163">
        <f>'Data Conversion'!E56</f>
        <v>7712141</v>
      </c>
      <c r="E31" s="163">
        <f>'Data Conversion'!F56</f>
        <v>7911293</v>
      </c>
      <c r="F31" s="163">
        <f>'Data Conversion'!G56</f>
        <v>8923902</v>
      </c>
      <c r="G31" s="163">
        <f>'Data Conversion'!H56</f>
        <v>8796712</v>
      </c>
      <c r="H31" s="163">
        <f>'Data Conversion'!I56</f>
        <v>9311403</v>
      </c>
      <c r="I31" s="163">
        <f>'Data Conversion'!J56</f>
        <v>9056004</v>
      </c>
      <c r="J31" s="163">
        <f>'Data Conversion'!K56</f>
        <v>9134055</v>
      </c>
      <c r="K31" s="163">
        <f>'Data Conversion'!L56</f>
        <v>9576700</v>
      </c>
      <c r="L31" s="163">
        <f>'Data Conversion'!M56</f>
        <v>9093201</v>
      </c>
      <c r="M31" s="163">
        <f>'Data Conversion'!N56</f>
        <v>8563505</v>
      </c>
      <c r="N31" s="163">
        <f>'Data Conversion'!O56</f>
        <v>8608192</v>
      </c>
      <c r="O31" s="163">
        <f>'Data Conversion'!P56</f>
        <v>8916209</v>
      </c>
      <c r="P31" s="384"/>
      <c r="Q31" s="385">
        <f t="shared" ref="Q31:Q41" si="1">(O31/C31)^(1/($O$29-$C$29))-1</f>
        <v>1.460610623377101E-2</v>
      </c>
      <c r="R31" s="126"/>
      <c r="T31" s="136" t="s">
        <v>155</v>
      </c>
      <c r="U31" s="163">
        <f>SUM('Data Conversion'!C46:C54)+SUM('Data Conversion'!D43:D45)</f>
        <v>6985299</v>
      </c>
      <c r="V31" s="163">
        <f>SUM('Data Conversion'!D46:D54)+SUM('Data Conversion'!E43:E45)</f>
        <v>7609661</v>
      </c>
      <c r="W31" s="163">
        <f>SUM('Data Conversion'!E46:E54)+SUM('Data Conversion'!F43:F45)</f>
        <v>7657480</v>
      </c>
      <c r="X31" s="163">
        <f>SUM('Data Conversion'!F46:F54)+SUM('Data Conversion'!G43:G45)</f>
        <v>8136060</v>
      </c>
      <c r="Y31" s="163">
        <f>SUM('Data Conversion'!G46:G54)+SUM('Data Conversion'!H43:H45)</f>
        <v>9058177</v>
      </c>
      <c r="Z31" s="163">
        <f>SUM('Data Conversion'!H46:H54)+SUM('Data Conversion'!I43:I45)</f>
        <v>8766972</v>
      </c>
      <c r="AA31" s="163">
        <f>SUM('Data Conversion'!I46:I54)+SUM('Data Conversion'!J43:J45)</f>
        <v>9379136</v>
      </c>
      <c r="AB31" s="163">
        <f>SUM('Data Conversion'!J46:J54)+SUM('Data Conversion'!K43:K45)</f>
        <v>9038805</v>
      </c>
      <c r="AC31" s="163">
        <f>SUM('Data Conversion'!K46:K54)+SUM('Data Conversion'!L43:L45)</f>
        <v>9251340</v>
      </c>
      <c r="AD31" s="163">
        <f>SUM('Data Conversion'!L46:L54)+SUM('Data Conversion'!M43:M45)</f>
        <v>9477197</v>
      </c>
      <c r="AE31" s="163">
        <f>SUM('Data Conversion'!M46:M54)+SUM('Data Conversion'!N43:N45)</f>
        <v>9002237</v>
      </c>
      <c r="AF31" s="163">
        <f>SUM('Data Conversion'!N46:N54)+SUM('Data Conversion'!O43:O45)</f>
        <v>8513165</v>
      </c>
      <c r="AG31" s="163">
        <f>SUM('Data Conversion'!O46:O54)+SUM('Data Conversion'!P43:P45)</f>
        <v>8592293</v>
      </c>
      <c r="AH31" s="163">
        <f>SUM('Data Conversion'!P46:P54)+SUM('Data Conversion'!Q43:Q45)</f>
        <v>8908430</v>
      </c>
      <c r="AI31" s="386"/>
      <c r="AJ31" s="385">
        <f t="shared" ref="AJ31:AJ39" si="2">(AH31/V31)^(1/($O$29-$C$29))-1</f>
        <v>1.3218214584254095E-2</v>
      </c>
    </row>
    <row r="32" spans="2:36">
      <c r="B32" s="238" t="s">
        <v>115</v>
      </c>
      <c r="C32" s="163">
        <f>'Data Conversion'!D72</f>
        <v>5493513</v>
      </c>
      <c r="D32" s="163">
        <f>'Data Conversion'!E72</f>
        <v>6038341</v>
      </c>
      <c r="E32" s="163">
        <f>'Data Conversion'!F72</f>
        <v>6911152</v>
      </c>
      <c r="F32" s="163">
        <f>'Data Conversion'!G72</f>
        <v>7476357</v>
      </c>
      <c r="G32" s="163">
        <f>'Data Conversion'!H72</f>
        <v>7992453</v>
      </c>
      <c r="H32" s="163">
        <f>'Data Conversion'!I72</f>
        <v>8448604</v>
      </c>
      <c r="I32" s="163">
        <f>'Data Conversion'!J72</f>
        <v>8606651</v>
      </c>
      <c r="J32" s="163">
        <f>'Data Conversion'!K72</f>
        <v>9037200</v>
      </c>
      <c r="K32" s="163">
        <f>'Data Conversion'!L72</f>
        <v>8992178</v>
      </c>
      <c r="L32" s="163">
        <f>'Data Conversion'!M72</f>
        <v>9043452</v>
      </c>
      <c r="M32" s="163">
        <f>'Data Conversion'!N72</f>
        <v>8594449</v>
      </c>
      <c r="N32" s="163">
        <f>'Data Conversion'!O72</f>
        <v>9383695</v>
      </c>
      <c r="O32" s="163">
        <f>'Data Conversion'!P72</f>
        <v>9194239</v>
      </c>
      <c r="P32" s="384"/>
      <c r="Q32" s="385">
        <f t="shared" si="1"/>
        <v>4.3851699645744757E-2</v>
      </c>
      <c r="R32" s="126"/>
      <c r="T32" s="136" t="s">
        <v>115</v>
      </c>
      <c r="U32" s="163">
        <f>SUM('Data Conversion'!C62:C70)+SUM('Data Conversion'!D59:D61)</f>
        <v>5211846</v>
      </c>
      <c r="V32" s="163">
        <f>SUM('Data Conversion'!D62:D70)+SUM('Data Conversion'!E59:E61)</f>
        <v>5604877</v>
      </c>
      <c r="W32" s="163">
        <f>SUM('Data Conversion'!E62:E70)+SUM('Data Conversion'!F59:F61)</f>
        <v>6254198</v>
      </c>
      <c r="X32" s="163">
        <f>SUM('Data Conversion'!F62:F70)+SUM('Data Conversion'!G59:G61)</f>
        <v>7071563</v>
      </c>
      <c r="Y32" s="163">
        <f>SUM('Data Conversion'!G62:G70)+SUM('Data Conversion'!H59:H61)</f>
        <v>7576192</v>
      </c>
      <c r="Z32" s="163">
        <f>SUM('Data Conversion'!H62:H70)+SUM('Data Conversion'!I59:I61)</f>
        <v>8040975</v>
      </c>
      <c r="AA32" s="163">
        <f>SUM('Data Conversion'!I62:I70)+SUM('Data Conversion'!J59:J61)</f>
        <v>8492266</v>
      </c>
      <c r="AB32" s="163">
        <f>SUM('Data Conversion'!J62:J70)+SUM('Data Conversion'!K59:K61)</f>
        <v>8658327</v>
      </c>
      <c r="AC32" s="163">
        <f>SUM('Data Conversion'!K62:K70)+SUM('Data Conversion'!L59:L61)</f>
        <v>9116915</v>
      </c>
      <c r="AD32" s="163">
        <f>SUM('Data Conversion'!L62:L70)+SUM('Data Conversion'!M59:M61)</f>
        <v>8856877</v>
      </c>
      <c r="AE32" s="163">
        <f>SUM('Data Conversion'!M62:M70)+SUM('Data Conversion'!N59:N61)</f>
        <v>8999003</v>
      </c>
      <c r="AF32" s="163">
        <f>SUM('Data Conversion'!N62:N70)+SUM('Data Conversion'!O59:O61)</f>
        <v>8743220</v>
      </c>
      <c r="AG32" s="163">
        <f>SUM('Data Conversion'!O62:O70)+SUM('Data Conversion'!P59:P61)</f>
        <v>9338270</v>
      </c>
      <c r="AH32" s="163">
        <f>SUM('Data Conversion'!P62:P70)+SUM('Data Conversion'!Q59:Q61)</f>
        <v>9114352</v>
      </c>
      <c r="AI32" s="386"/>
      <c r="AJ32" s="385">
        <f t="shared" si="2"/>
        <v>4.1349811061855757E-2</v>
      </c>
    </row>
    <row r="33" spans="2:36">
      <c r="B33" s="238" t="s">
        <v>107</v>
      </c>
      <c r="C33" s="163">
        <f>'Data Conversion'!D104</f>
        <v>31947524</v>
      </c>
      <c r="D33" s="163">
        <f>'Data Conversion'!E104</f>
        <v>31096563</v>
      </c>
      <c r="E33" s="163">
        <f>'Data Conversion'!F104</f>
        <v>29517894</v>
      </c>
      <c r="F33" s="163">
        <f>'Data Conversion'!G104</f>
        <v>29893286</v>
      </c>
      <c r="G33" s="163">
        <f>'Data Conversion'!H104</f>
        <v>31391719</v>
      </c>
      <c r="H33" s="163">
        <f>'Data Conversion'!I104</f>
        <v>32693005</v>
      </c>
      <c r="I33" s="163">
        <f>'Data Conversion'!J104</f>
        <v>34080345</v>
      </c>
      <c r="J33" s="163">
        <f>'Data Conversion'!K104</f>
        <v>35165530</v>
      </c>
      <c r="K33" s="163">
        <f>'Data Conversion'!L104</f>
        <v>34162014</v>
      </c>
      <c r="L33" s="163">
        <f>'Data Conversion'!M104</f>
        <v>32360773</v>
      </c>
      <c r="M33" s="163">
        <f>'Data Conversion'!N104</f>
        <v>31342263</v>
      </c>
      <c r="N33" s="163">
        <f>'Data Conversion'!O104</f>
        <v>33640111</v>
      </c>
      <c r="O33" s="163">
        <f>'Data Conversion'!P104</f>
        <v>34256770</v>
      </c>
      <c r="P33" s="384"/>
      <c r="Q33" s="385">
        <f t="shared" si="1"/>
        <v>5.8327385355267936E-3</v>
      </c>
      <c r="R33" s="126"/>
      <c r="T33" s="136" t="s">
        <v>107</v>
      </c>
      <c r="U33" s="163">
        <f>SUM('Data Conversion'!C94:C102)+SUM('Data Conversion'!D91:D93)</f>
        <v>30427026</v>
      </c>
      <c r="V33" s="163">
        <f>SUM('Data Conversion'!D94:D102)+SUM('Data Conversion'!E91:E93)</f>
        <v>32130643</v>
      </c>
      <c r="W33" s="163">
        <f>SUM('Data Conversion'!E94:E102)+SUM('Data Conversion'!F91:F93)</f>
        <v>30487501</v>
      </c>
      <c r="X33" s="163">
        <f>SUM('Data Conversion'!F94:F102)+SUM('Data Conversion'!G91:G93)</f>
        <v>29639827</v>
      </c>
      <c r="Y33" s="163">
        <f>SUM('Data Conversion'!G94:G102)+SUM('Data Conversion'!H91:H93)</f>
        <v>30051950</v>
      </c>
      <c r="Z33" s="163">
        <f>SUM('Data Conversion'!H94:H102)+SUM('Data Conversion'!I91:I93)</f>
        <v>32013832</v>
      </c>
      <c r="AA33" s="163">
        <f>SUM('Data Conversion'!I94:I102)+SUM('Data Conversion'!J91:J93)</f>
        <v>32831514</v>
      </c>
      <c r="AB33" s="163">
        <f>SUM('Data Conversion'!J94:J102)+SUM('Data Conversion'!K91:K93)</f>
        <v>34374918</v>
      </c>
      <c r="AC33" s="163">
        <f>SUM('Data Conversion'!K94:K102)+SUM('Data Conversion'!L91:L93)</f>
        <v>35553440</v>
      </c>
      <c r="AD33" s="163">
        <f>SUM('Data Conversion'!L94:L102)+SUM('Data Conversion'!M91:M93)</f>
        <v>33093491</v>
      </c>
      <c r="AE33" s="163">
        <f>SUM('Data Conversion'!M94:M102)+SUM('Data Conversion'!N91:N93)</f>
        <v>32389927</v>
      </c>
      <c r="AF33" s="163">
        <f>SUM('Data Conversion'!N94:N102)+SUM('Data Conversion'!O91:O93)</f>
        <v>31640312</v>
      </c>
      <c r="AG33" s="163">
        <f>SUM('Data Conversion'!O94:O102)+SUM('Data Conversion'!P91:P93)</f>
        <v>33806458</v>
      </c>
      <c r="AH33" s="163">
        <f>SUM('Data Conversion'!P94:P102)+SUM('Data Conversion'!Q91:Q93)</f>
        <v>34256770</v>
      </c>
      <c r="AI33" s="386"/>
      <c r="AJ33" s="385">
        <f t="shared" si="2"/>
        <v>5.3537825491623003E-3</v>
      </c>
    </row>
    <row r="34" spans="2:36">
      <c r="B34" s="238" t="s">
        <v>114</v>
      </c>
      <c r="C34" s="163">
        <f>'Data Conversion'!D88</f>
        <v>6919989</v>
      </c>
      <c r="D34" s="163">
        <f>'Data Conversion'!E88</f>
        <v>7242871</v>
      </c>
      <c r="E34" s="163">
        <f>'Data Conversion'!F88</f>
        <v>7768573</v>
      </c>
      <c r="F34" s="163">
        <f>'Data Conversion'!G88</f>
        <v>8115322</v>
      </c>
      <c r="G34" s="163">
        <f>'Data Conversion'!H88</f>
        <v>8557047</v>
      </c>
      <c r="H34" s="163">
        <f>'Data Conversion'!I88</f>
        <v>8775355</v>
      </c>
      <c r="I34" s="163">
        <f>'Data Conversion'!J88</f>
        <v>8820462</v>
      </c>
      <c r="J34" s="163">
        <f>'Data Conversion'!K88</f>
        <v>8726013</v>
      </c>
      <c r="K34" s="163">
        <f>'Data Conversion'!L88</f>
        <v>8135260</v>
      </c>
      <c r="L34" s="163">
        <f>'Data Conversion'!M88</f>
        <v>7213397</v>
      </c>
      <c r="M34" s="163">
        <f>'Data Conversion'!N88</f>
        <v>6521765</v>
      </c>
      <c r="N34" s="163">
        <f>'Data Conversion'!O88</f>
        <v>6858268</v>
      </c>
      <c r="O34" s="163">
        <f>'Data Conversion'!P88</f>
        <v>7150037</v>
      </c>
      <c r="P34" s="384"/>
      <c r="Q34" s="385">
        <f t="shared" si="1"/>
        <v>2.7289962398102663E-3</v>
      </c>
      <c r="R34" s="126"/>
      <c r="T34" s="136" t="s">
        <v>114</v>
      </c>
      <c r="U34" s="163">
        <f>SUM('Data Conversion'!C78:C86)+SUM('Data Conversion'!D75:D77)</f>
        <v>6779696</v>
      </c>
      <c r="V34" s="163">
        <f>SUM('Data Conversion'!D78:D86)+SUM('Data Conversion'!E75:E77)</f>
        <v>6962597</v>
      </c>
      <c r="W34" s="163">
        <f>SUM('Data Conversion'!E78:E86)+SUM('Data Conversion'!F75:F77)</f>
        <v>7326909</v>
      </c>
      <c r="X34" s="163">
        <f>SUM('Data Conversion'!F78:F86)+SUM('Data Conversion'!G75:G77)</f>
        <v>7897871</v>
      </c>
      <c r="Y34" s="163">
        <f>SUM('Data Conversion'!G78:G86)+SUM('Data Conversion'!H75:H77)</f>
        <v>8142365</v>
      </c>
      <c r="Z34" s="163">
        <f>SUM('Data Conversion'!H78:H86)+SUM('Data Conversion'!I75:I77)</f>
        <v>8606282</v>
      </c>
      <c r="AA34" s="163">
        <f>SUM('Data Conversion'!I78:I86)+SUM('Data Conversion'!J75:J77)</f>
        <v>8813661</v>
      </c>
      <c r="AB34" s="163">
        <f>SUM('Data Conversion'!J78:J86)+SUM('Data Conversion'!K75:K77)</f>
        <v>8854910</v>
      </c>
      <c r="AC34" s="163">
        <f>SUM('Data Conversion'!K78:K86)+SUM('Data Conversion'!L75:L77)</f>
        <v>8654681</v>
      </c>
      <c r="AD34" s="163">
        <f>SUM('Data Conversion'!L78:L86)+SUM('Data Conversion'!M75:M77)</f>
        <v>7905131</v>
      </c>
      <c r="AE34" s="163">
        <f>SUM('Data Conversion'!M78:M86)+SUM('Data Conversion'!N75:N77)</f>
        <v>7086955</v>
      </c>
      <c r="AF34" s="163">
        <f>SUM('Data Conversion'!N78:N86)+SUM('Data Conversion'!O75:O77)</f>
        <v>6580836</v>
      </c>
      <c r="AG34" s="163">
        <f>SUM('Data Conversion'!O78:O86)+SUM('Data Conversion'!P75:P77)</f>
        <v>6892816</v>
      </c>
      <c r="AH34" s="163">
        <f>SUM('Data Conversion'!P78:P86)+SUM('Data Conversion'!Q75:Q77)</f>
        <v>7143229</v>
      </c>
      <c r="AI34" s="386"/>
      <c r="AJ34" s="385">
        <f t="shared" si="2"/>
        <v>2.1366442183574641E-3</v>
      </c>
    </row>
    <row r="35" spans="2:36">
      <c r="B35" s="238" t="s">
        <v>105</v>
      </c>
      <c r="C35" s="163">
        <f>'Data Conversion'!D120</f>
        <v>64277045</v>
      </c>
      <c r="D35" s="163">
        <f>'Data Conversion'!E120</f>
        <v>60453330</v>
      </c>
      <c r="E35" s="163">
        <f>'Data Conversion'!F120</f>
        <v>63035489</v>
      </c>
      <c r="F35" s="163">
        <f>'Data Conversion'!G120</f>
        <v>63208042</v>
      </c>
      <c r="G35" s="163">
        <f>'Data Conversion'!H120</f>
        <v>67109174</v>
      </c>
      <c r="H35" s="163">
        <f>'Data Conversion'!I120</f>
        <v>67683317</v>
      </c>
      <c r="I35" s="163">
        <f>'Data Conversion'!J120</f>
        <v>67339227</v>
      </c>
      <c r="J35" s="163">
        <f>'Data Conversion'!K120</f>
        <v>67852387</v>
      </c>
      <c r="K35" s="163">
        <f>'Data Conversion'!L120</f>
        <v>66906954</v>
      </c>
      <c r="L35" s="163">
        <f>'Data Conversion'!M120</f>
        <v>65906643</v>
      </c>
      <c r="M35" s="163">
        <f>'Data Conversion'!N120</f>
        <v>65745250</v>
      </c>
      <c r="N35" s="163">
        <f>'Data Conversion'!O120</f>
        <v>69390591</v>
      </c>
      <c r="O35" s="163">
        <f>'Data Conversion'!P120</f>
        <v>69983531</v>
      </c>
      <c r="P35" s="384"/>
      <c r="Q35" s="385">
        <f t="shared" si="1"/>
        <v>7.1132946316341261E-3</v>
      </c>
      <c r="R35" s="126"/>
      <c r="T35" s="136" t="s">
        <v>105</v>
      </c>
      <c r="U35" s="163">
        <f>SUM('Data Conversion'!C110:C118)+SUM('Data Conversion'!D107:D109)</f>
        <v>62273759</v>
      </c>
      <c r="V35" s="163">
        <f>SUM('Data Conversion'!D110:D118)+SUM('Data Conversion'!E107:E109)</f>
        <v>64327303</v>
      </c>
      <c r="W35" s="163">
        <f>SUM('Data Conversion'!E110:E118)+SUM('Data Conversion'!F107:F109)</f>
        <v>60385086</v>
      </c>
      <c r="X35" s="163">
        <f>SUM('Data Conversion'!F110:F118)+SUM('Data Conversion'!G107:G109)</f>
        <v>62979337</v>
      </c>
      <c r="Y35" s="163">
        <f>SUM('Data Conversion'!G110:G118)+SUM('Data Conversion'!H107:H109)</f>
        <v>64260395</v>
      </c>
      <c r="Z35" s="163">
        <f>SUM('Data Conversion'!H110:H118)+SUM('Data Conversion'!I107:I109)</f>
        <v>67651563</v>
      </c>
      <c r="AA35" s="163">
        <f>SUM('Data Conversion'!I110:I118)+SUM('Data Conversion'!J107:J109)</f>
        <v>67419390</v>
      </c>
      <c r="AB35" s="163">
        <f>SUM('Data Conversion'!J110:J118)+SUM('Data Conversion'!K107:K109)</f>
        <v>67302130</v>
      </c>
      <c r="AC35" s="163">
        <f>SUM('Data Conversion'!K110:K118)+SUM('Data Conversion'!L107:L109)</f>
        <v>67948224</v>
      </c>
      <c r="AD35" s="163">
        <f>SUM('Data Conversion'!L110:L118)+SUM('Data Conversion'!M107:M109)</f>
        <v>65927338</v>
      </c>
      <c r="AE35" s="163">
        <f>SUM('Data Conversion'!M110:M118)+SUM('Data Conversion'!N107:N109)</f>
        <v>66129900</v>
      </c>
      <c r="AF35" s="163">
        <f>SUM('Data Conversion'!N110:N118)+SUM('Data Conversion'!O107:O109)</f>
        <v>66110702</v>
      </c>
      <c r="AG35" s="163">
        <f>SUM('Data Conversion'!O110:O118)+SUM('Data Conversion'!P107:P109)</f>
        <v>70049310</v>
      </c>
      <c r="AH35" s="163">
        <f>SUM('Data Conversion'!P110:P118)+SUM('Data Conversion'!Q107:Q109)</f>
        <v>70272923</v>
      </c>
      <c r="AI35" s="386"/>
      <c r="AJ35" s="385">
        <f t="shared" si="2"/>
        <v>7.3940688653777453E-3</v>
      </c>
    </row>
    <row r="36" spans="2:36">
      <c r="B36" s="238" t="s">
        <v>156</v>
      </c>
      <c r="C36" s="163">
        <f>'Data Conversion'!D136</f>
        <v>6164028</v>
      </c>
      <c r="D36" s="163">
        <f>'Data Conversion'!E136</f>
        <v>6540019</v>
      </c>
      <c r="E36" s="163">
        <f>'Data Conversion'!F136</f>
        <v>6474224</v>
      </c>
      <c r="F36" s="163">
        <f>'Data Conversion'!G136</f>
        <v>6785670</v>
      </c>
      <c r="G36" s="163">
        <f>'Data Conversion'!H136</f>
        <v>7520467</v>
      </c>
      <c r="H36" s="163">
        <f>'Data Conversion'!I136</f>
        <v>9134748</v>
      </c>
      <c r="I36" s="163">
        <f>'Data Conversion'!J136</f>
        <v>9414829</v>
      </c>
      <c r="J36" s="163">
        <f>'Data Conversion'!K136</f>
        <v>9919361</v>
      </c>
      <c r="K36" s="163">
        <f>'Data Conversion'!L136</f>
        <v>10173902</v>
      </c>
      <c r="L36" s="163">
        <f>'Data Conversion'!M136</f>
        <v>9115316</v>
      </c>
      <c r="M36" s="163">
        <f>'Data Conversion'!N136</f>
        <v>8733837</v>
      </c>
      <c r="N36" s="163">
        <f>'Data Conversion'!O136</f>
        <v>9509915</v>
      </c>
      <c r="O36" s="163">
        <f>'Data Conversion'!P136</f>
        <v>9614175</v>
      </c>
      <c r="P36" s="384"/>
      <c r="Q36" s="385">
        <f t="shared" si="1"/>
        <v>3.7736960455920565E-2</v>
      </c>
      <c r="R36" s="126"/>
      <c r="T36" s="136" t="s">
        <v>156</v>
      </c>
      <c r="U36" s="163">
        <f>SUM('Data Conversion'!C126:C134)+SUM('Data Conversion'!D123:D125)</f>
        <v>5442813</v>
      </c>
      <c r="V36" s="163">
        <f>SUM('Data Conversion'!D126:D134)+SUM('Data Conversion'!E123:E125)</f>
        <v>6323512</v>
      </c>
      <c r="W36" s="163">
        <f>SUM('Data Conversion'!E126:E134)+SUM('Data Conversion'!F123:F125)</f>
        <v>6533988</v>
      </c>
      <c r="X36" s="163">
        <f>SUM('Data Conversion'!F126:F134)+SUM('Data Conversion'!G123:G125)</f>
        <v>6566319</v>
      </c>
      <c r="Y36" s="163">
        <f>SUM('Data Conversion'!G126:G134)+SUM('Data Conversion'!H123:H125)</f>
        <v>6871808</v>
      </c>
      <c r="Z36" s="163">
        <f>SUM('Data Conversion'!H126:H134)+SUM('Data Conversion'!I123:I125)</f>
        <v>7951164</v>
      </c>
      <c r="AA36" s="163">
        <f>SUM('Data Conversion'!I126:I134)+SUM('Data Conversion'!J123:J125)</f>
        <v>9183156</v>
      </c>
      <c r="AB36" s="163">
        <f>SUM('Data Conversion'!J126:J134)+SUM('Data Conversion'!K123:K125)</f>
        <v>9442973</v>
      </c>
      <c r="AC36" s="163">
        <f>SUM('Data Conversion'!K126:K134)+SUM('Data Conversion'!L123:L125)</f>
        <v>10104869</v>
      </c>
      <c r="AD36" s="163">
        <f>SUM('Data Conversion'!L126:L134)+SUM('Data Conversion'!M123:M125)</f>
        <v>9766029</v>
      </c>
      <c r="AE36" s="163">
        <f>SUM('Data Conversion'!M126:M134)+SUM('Data Conversion'!N123:N125)</f>
        <v>9068631</v>
      </c>
      <c r="AF36" s="163">
        <f>SUM('Data Conversion'!N126:N134)+SUM('Data Conversion'!O123:O125)</f>
        <v>8811775</v>
      </c>
      <c r="AG36" s="163">
        <f>SUM('Data Conversion'!O126:O134)+SUM('Data Conversion'!P123:P125)</f>
        <v>9529378</v>
      </c>
      <c r="AH36" s="163">
        <f>SUM('Data Conversion'!P126:P134)+SUM('Data Conversion'!Q123:Q125)</f>
        <v>9636872</v>
      </c>
      <c r="AI36" s="386"/>
      <c r="AJ36" s="385">
        <f t="shared" si="2"/>
        <v>3.5733790718345038E-2</v>
      </c>
    </row>
    <row r="37" spans="2:36">
      <c r="B37" s="238" t="s">
        <v>204</v>
      </c>
      <c r="C37" s="163">
        <f>'Data Conversion'!D152</f>
        <v>18350061</v>
      </c>
      <c r="D37" s="163">
        <f>'Data Conversion'!E152</f>
        <v>19082572</v>
      </c>
      <c r="E37" s="163">
        <f>'Data Conversion'!F152</f>
        <v>18618381</v>
      </c>
      <c r="F37" s="163">
        <f>'Data Conversion'!G152</f>
        <v>19519895</v>
      </c>
      <c r="G37" s="163">
        <f>'Data Conversion'!H152</f>
        <v>20970076</v>
      </c>
      <c r="H37" s="163">
        <f>'Data Conversion'!I152</f>
        <v>22082614</v>
      </c>
      <c r="I37" s="163">
        <f>'Data Conversion'!J152</f>
        <v>22123762</v>
      </c>
      <c r="J37" s="163">
        <f>'Data Conversion'!K152</f>
        <v>21891723</v>
      </c>
      <c r="K37" s="163">
        <f>'Data Conversion'!L152</f>
        <v>21062749</v>
      </c>
      <c r="L37" s="163">
        <f>'Data Conversion'!M152</f>
        <v>18630394</v>
      </c>
      <c r="M37" s="163">
        <f>'Data Conversion'!N152</f>
        <v>17662699</v>
      </c>
      <c r="N37" s="163">
        <f>'Data Conversion'!O152</f>
        <v>18804302</v>
      </c>
      <c r="O37" s="163">
        <f>'Data Conversion'!P152</f>
        <v>19654100</v>
      </c>
      <c r="P37" s="384"/>
      <c r="Q37" s="385">
        <f t="shared" si="1"/>
        <v>5.7374857846601568E-3</v>
      </c>
      <c r="R37" s="126"/>
      <c r="T37" s="136" t="s">
        <v>204</v>
      </c>
      <c r="U37" s="163">
        <f>SUM('Data Conversion'!C142:C150)+SUM('Data Conversion'!D139:D141)</f>
        <v>17441343</v>
      </c>
      <c r="V37" s="163">
        <f>SUM('Data Conversion'!D142:D150)+SUM('Data Conversion'!E139:E141)</f>
        <v>18602363</v>
      </c>
      <c r="W37" s="163">
        <f>SUM('Data Conversion'!E142:E150)+SUM('Data Conversion'!F139:F141)</f>
        <v>19002040</v>
      </c>
      <c r="X37" s="163">
        <f>SUM('Data Conversion'!F142:F150)+SUM('Data Conversion'!G139:G141)</f>
        <v>18597013</v>
      </c>
      <c r="Y37" s="163">
        <f>SUM('Data Conversion'!G142:G150)+SUM('Data Conversion'!H139:H141)</f>
        <v>20100110</v>
      </c>
      <c r="Z37" s="163">
        <f>SUM('Data Conversion'!H142:H150)+SUM('Data Conversion'!I139:I141)</f>
        <v>21290760</v>
      </c>
      <c r="AA37" s="163">
        <f>SUM('Data Conversion'!I142:I150)+SUM('Data Conversion'!J139:J141)</f>
        <v>22036529</v>
      </c>
      <c r="AB37" s="163">
        <f>SUM('Data Conversion'!J142:J150)+SUM('Data Conversion'!K139:K141)</f>
        <v>22135847</v>
      </c>
      <c r="AC37" s="163">
        <f>SUM('Data Conversion'!K142:K150)+SUM('Data Conversion'!L139:L141)</f>
        <v>21996482</v>
      </c>
      <c r="AD37" s="163">
        <f>SUM('Data Conversion'!L142:L150)+SUM('Data Conversion'!M139:M141)</f>
        <v>20400053</v>
      </c>
      <c r="AE37" s="163">
        <f>SUM('Data Conversion'!M142:M150)+SUM('Data Conversion'!N139:N141)</f>
        <v>18249743</v>
      </c>
      <c r="AF37" s="163">
        <f>SUM('Data Conversion'!N142:N150)+SUM('Data Conversion'!O139:O141)</f>
        <v>17719594</v>
      </c>
      <c r="AG37" s="163">
        <f>SUM('Data Conversion'!O142:O150)+SUM('Data Conversion'!P139:P141)</f>
        <v>19119010</v>
      </c>
      <c r="AH37" s="163">
        <f>SUM('Data Conversion'!P142:P150)+SUM('Data Conversion'!Q139:Q141)</f>
        <v>19790984</v>
      </c>
      <c r="AI37" s="386"/>
      <c r="AJ37" s="385">
        <f t="shared" si="2"/>
        <v>5.1748321637163919E-3</v>
      </c>
    </row>
    <row r="38" spans="2:36">
      <c r="B38" s="238" t="s">
        <v>113</v>
      </c>
      <c r="C38" s="163">
        <f>'Data Conversion'!D168</f>
        <v>853916</v>
      </c>
      <c r="D38" s="163">
        <f>'Data Conversion'!E168</f>
        <v>856611</v>
      </c>
      <c r="E38" s="163">
        <f>'Data Conversion'!F168</f>
        <v>788316</v>
      </c>
      <c r="F38" s="163">
        <f>'Data Conversion'!G168</f>
        <v>1217891</v>
      </c>
      <c r="G38" s="163">
        <f>'Data Conversion'!H168</f>
        <v>1530736</v>
      </c>
      <c r="H38" s="163">
        <f>'Data Conversion'!I168</f>
        <v>1835029</v>
      </c>
      <c r="I38" s="163">
        <f>'Data Conversion'!J168</f>
        <v>1912702</v>
      </c>
      <c r="J38" s="163">
        <f>'Data Conversion'!K168</f>
        <v>1965422</v>
      </c>
      <c r="K38" s="163">
        <f>'Data Conversion'!L168</f>
        <v>1945767</v>
      </c>
      <c r="L38" s="163">
        <f>'Data Conversion'!M168</f>
        <v>1789443</v>
      </c>
      <c r="M38" s="163">
        <f>'Data Conversion'!N168</f>
        <v>1733553</v>
      </c>
      <c r="N38" s="163">
        <f>'Data Conversion'!O168</f>
        <v>1647085</v>
      </c>
      <c r="O38" s="163">
        <f>'Data Conversion'!P168</f>
        <v>1097339</v>
      </c>
      <c r="P38" s="384"/>
      <c r="Q38" s="385">
        <f t="shared" si="1"/>
        <v>2.1120837281432658E-2</v>
      </c>
      <c r="R38" s="126"/>
      <c r="T38" s="136" t="s">
        <v>113</v>
      </c>
      <c r="U38" s="163">
        <f>SUM('Data Conversion'!C158:C166)+SUM('Data Conversion'!D155:D157)</f>
        <v>765271</v>
      </c>
      <c r="V38" s="163">
        <f>SUM('Data Conversion'!D158:D166)+SUM('Data Conversion'!E155:E157)</f>
        <v>865005</v>
      </c>
      <c r="W38" s="163">
        <f>SUM('Data Conversion'!E158:E166)+SUM('Data Conversion'!F155:F157)</f>
        <v>840165</v>
      </c>
      <c r="X38" s="163">
        <f>SUM('Data Conversion'!F158:F166)+SUM('Data Conversion'!G155:G157)</f>
        <v>792217</v>
      </c>
      <c r="Y38" s="163">
        <f>SUM('Data Conversion'!G158:G166)+SUM('Data Conversion'!H155:H157)</f>
        <v>1371067</v>
      </c>
      <c r="Z38" s="163">
        <f>SUM('Data Conversion'!H158:H166)+SUM('Data Conversion'!I155:I157)</f>
        <v>1547746</v>
      </c>
      <c r="AA38" s="163">
        <f>SUM('Data Conversion'!I158:I166)+SUM('Data Conversion'!J155:J157)</f>
        <v>1859151</v>
      </c>
      <c r="AB38" s="163">
        <f>SUM('Data Conversion'!J158:J166)+SUM('Data Conversion'!K155:K157)</f>
        <v>1944403</v>
      </c>
      <c r="AC38" s="163">
        <f>SUM('Data Conversion'!K158:K166)+SUM('Data Conversion'!L155:L157)</f>
        <v>1978120</v>
      </c>
      <c r="AD38" s="163">
        <f>SUM('Data Conversion'!L158:L166)+SUM('Data Conversion'!M155:M157)</f>
        <v>1885691</v>
      </c>
      <c r="AE38" s="163">
        <f>SUM('Data Conversion'!M158:M166)+SUM('Data Conversion'!N155:N157)</f>
        <v>1792627</v>
      </c>
      <c r="AF38" s="163">
        <f>SUM('Data Conversion'!N158:N166)+SUM('Data Conversion'!O155:O157)</f>
        <v>1715110</v>
      </c>
      <c r="AG38" s="163">
        <f>SUM('Data Conversion'!O158:O166)+SUM('Data Conversion'!P155:P157)</f>
        <v>1320771</v>
      </c>
      <c r="AH38" s="163">
        <f>SUM('Data Conversion'!P158:P166)+SUM('Data Conversion'!Q155:Q157)</f>
        <v>1403671</v>
      </c>
      <c r="AI38" s="386"/>
      <c r="AJ38" s="385">
        <f t="shared" si="2"/>
        <v>4.1167394440618121E-2</v>
      </c>
    </row>
    <row r="39" spans="2:36">
      <c r="B39" s="238" t="s">
        <v>112</v>
      </c>
      <c r="C39" s="163">
        <f>'Data Conversion'!D184</f>
        <v>11858288</v>
      </c>
      <c r="D39" s="163">
        <f>'Data Conversion'!E184</f>
        <v>13653742</v>
      </c>
      <c r="E39" s="163">
        <f>'Data Conversion'!F184</f>
        <v>16048700</v>
      </c>
      <c r="F39" s="163">
        <f>'Data Conversion'!G184</f>
        <v>18716265</v>
      </c>
      <c r="G39" s="163">
        <f>'Data Conversion'!H184</f>
        <v>20907023</v>
      </c>
      <c r="H39" s="163">
        <f>'Data Conversion'!I184</f>
        <v>21991733</v>
      </c>
      <c r="I39" s="163">
        <f>'Data Conversion'!J184</f>
        <v>23680487</v>
      </c>
      <c r="J39" s="163">
        <f>'Data Conversion'!K184</f>
        <v>23759250</v>
      </c>
      <c r="K39" s="163">
        <f>'Data Conversion'!L184</f>
        <v>22340375</v>
      </c>
      <c r="L39" s="163">
        <f>'Data Conversion'!M184</f>
        <v>19949689</v>
      </c>
      <c r="M39" s="163">
        <f>'Data Conversion'!N184</f>
        <v>18561598</v>
      </c>
      <c r="N39" s="163">
        <f>'Data Conversion'!O184</f>
        <v>18047403</v>
      </c>
      <c r="O39" s="163">
        <f>'Data Conversion'!P184</f>
        <v>17464792</v>
      </c>
      <c r="P39" s="384"/>
      <c r="Q39" s="385">
        <f t="shared" si="1"/>
        <v>3.2789431898791355E-2</v>
      </c>
      <c r="R39" s="126"/>
      <c r="T39" s="136" t="s">
        <v>112</v>
      </c>
      <c r="U39" s="163">
        <f>SUM('Data Conversion'!C174:C182)+SUM('Data Conversion'!D171:D173)</f>
        <v>9892967</v>
      </c>
      <c r="V39" s="163">
        <f>SUM('Data Conversion'!D174:D182)+SUM('Data Conversion'!E171:E173)</f>
        <v>12264092</v>
      </c>
      <c r="W39" s="163">
        <f>SUM('Data Conversion'!E174:E182)+SUM('Data Conversion'!F171:F173)</f>
        <v>14088383</v>
      </c>
      <c r="X39" s="163">
        <f>SUM('Data Conversion'!F174:F182)+SUM('Data Conversion'!G171:G173)</f>
        <v>16750604</v>
      </c>
      <c r="Y39" s="163">
        <f>SUM('Data Conversion'!G174:G182)+SUM('Data Conversion'!H171:H173)</f>
        <v>19412575</v>
      </c>
      <c r="Z39" s="163">
        <f>SUM('Data Conversion'!H174:H182)+SUM('Data Conversion'!I171:I173)</f>
        <v>21171015</v>
      </c>
      <c r="AA39" s="163">
        <f>SUM('Data Conversion'!I174:I182)+SUM('Data Conversion'!J171:J173)</f>
        <v>22213307</v>
      </c>
      <c r="AB39" s="163">
        <f>SUM('Data Conversion'!J174:J182)+SUM('Data Conversion'!K171:K173)</f>
        <v>23842281</v>
      </c>
      <c r="AC39" s="163">
        <f>SUM('Data Conversion'!K174:K182)+SUM('Data Conversion'!L171:L173)</f>
        <v>23542134</v>
      </c>
      <c r="AD39" s="163">
        <f>SUM('Data Conversion'!L174:L182)+SUM('Data Conversion'!M171:M173)</f>
        <v>21637448</v>
      </c>
      <c r="AE39" s="163">
        <f>SUM('Data Conversion'!M174:M182)+SUM('Data Conversion'!N171:N173)</f>
        <v>19756383</v>
      </c>
      <c r="AF39" s="163">
        <f>SUM('Data Conversion'!N174:N182)+SUM('Data Conversion'!O171:O173)</f>
        <v>18305902</v>
      </c>
      <c r="AG39" s="163">
        <f>SUM('Data Conversion'!O174:O182)+SUM('Data Conversion'!P171:P173)</f>
        <v>17851283</v>
      </c>
      <c r="AH39" s="163">
        <f>SUM('Data Conversion'!P174:P182)+SUM('Data Conversion'!Q171:Q173)</f>
        <v>17523931</v>
      </c>
      <c r="AI39" s="386"/>
      <c r="AJ39" s="385">
        <f t="shared" si="2"/>
        <v>3.0187662701068652E-2</v>
      </c>
    </row>
    <row r="40" spans="2:36">
      <c r="B40" s="238"/>
      <c r="C40" s="386"/>
      <c r="D40" s="386"/>
      <c r="E40" s="386"/>
      <c r="F40" s="386"/>
      <c r="G40" s="386"/>
      <c r="H40" s="386"/>
      <c r="I40" s="386"/>
      <c r="J40" s="386"/>
      <c r="K40" s="386"/>
      <c r="L40" s="386"/>
      <c r="M40" s="386"/>
      <c r="N40" s="386"/>
      <c r="O40" s="386"/>
      <c r="P40" s="387"/>
      <c r="Q40" s="388"/>
      <c r="T40" s="136"/>
      <c r="U40" s="386"/>
      <c r="V40" s="386"/>
      <c r="W40" s="386"/>
      <c r="X40" s="386"/>
      <c r="Y40" s="386"/>
      <c r="Z40" s="386"/>
      <c r="AA40" s="386"/>
      <c r="AB40" s="386"/>
      <c r="AC40" s="386"/>
      <c r="AD40" s="386"/>
      <c r="AE40" s="386"/>
      <c r="AF40" s="386"/>
      <c r="AG40" s="386"/>
      <c r="AH40" s="386"/>
      <c r="AI40" s="386"/>
      <c r="AJ40" s="388"/>
    </row>
    <row r="41" spans="2:36">
      <c r="B41" s="238" t="s">
        <v>223</v>
      </c>
      <c r="C41" s="389">
        <f t="shared" ref="C41:M41" si="3">SUM(C30:C39)</f>
        <v>155810781</v>
      </c>
      <c r="D41" s="389">
        <f t="shared" si="3"/>
        <v>155202351</v>
      </c>
      <c r="E41" s="389">
        <f t="shared" si="3"/>
        <v>159623355</v>
      </c>
      <c r="F41" s="389">
        <f t="shared" si="3"/>
        <v>166364508</v>
      </c>
      <c r="G41" s="389">
        <f t="shared" si="3"/>
        <v>177409215</v>
      </c>
      <c r="H41" s="389">
        <f t="shared" si="3"/>
        <v>184807592</v>
      </c>
      <c r="I41" s="389">
        <f t="shared" si="3"/>
        <v>188197093</v>
      </c>
      <c r="J41" s="389">
        <f t="shared" si="3"/>
        <v>190862081</v>
      </c>
      <c r="K41" s="389">
        <f t="shared" si="3"/>
        <v>186586135</v>
      </c>
      <c r="L41" s="389">
        <f t="shared" si="3"/>
        <v>176086101</v>
      </c>
      <c r="M41" s="389">
        <f t="shared" si="3"/>
        <v>170222410</v>
      </c>
      <c r="N41" s="389">
        <f>SUM(N30:N39)</f>
        <v>178972137</v>
      </c>
      <c r="O41" s="389">
        <f>SUM(O30:O39)</f>
        <v>180659750</v>
      </c>
      <c r="P41" s="195"/>
      <c r="Q41" s="385">
        <f t="shared" si="1"/>
        <v>1.2407432975950261E-2</v>
      </c>
      <c r="T41" s="136" t="s">
        <v>223</v>
      </c>
      <c r="U41" s="389">
        <f t="shared" ref="U41:AE41" si="4">SUM(U30:U39)</f>
        <v>147632674</v>
      </c>
      <c r="V41" s="389">
        <f t="shared" si="4"/>
        <v>157176261</v>
      </c>
      <c r="W41" s="389">
        <f t="shared" si="4"/>
        <v>155089095</v>
      </c>
      <c r="X41" s="389">
        <f t="shared" si="4"/>
        <v>160980870</v>
      </c>
      <c r="Y41" s="389">
        <f t="shared" si="4"/>
        <v>169365369</v>
      </c>
      <c r="Z41" s="389">
        <f t="shared" si="4"/>
        <v>179717175</v>
      </c>
      <c r="AA41" s="389">
        <f t="shared" si="4"/>
        <v>185155068</v>
      </c>
      <c r="AB41" s="389">
        <f t="shared" si="4"/>
        <v>188834721</v>
      </c>
      <c r="AC41" s="389">
        <f t="shared" si="4"/>
        <v>191536218</v>
      </c>
      <c r="AD41" s="389">
        <f t="shared" si="4"/>
        <v>182161185</v>
      </c>
      <c r="AE41" s="389">
        <f t="shared" si="4"/>
        <v>175410894</v>
      </c>
      <c r="AF41" s="389">
        <f>SUM(AF30:AF39)</f>
        <v>170950421</v>
      </c>
      <c r="AG41" s="389">
        <f>SUM(AG30:AG39)</f>
        <v>179670197</v>
      </c>
      <c r="AH41" s="389">
        <f>SUM(AH30:AH39)</f>
        <v>181364898</v>
      </c>
      <c r="AI41" s="386"/>
      <c r="AJ41" s="385">
        <f>(AH41/V41)^(1/($O$29-$C$29))-1</f>
        <v>1.2000025752679999E-2</v>
      </c>
    </row>
    <row r="42" spans="2:36">
      <c r="C42" s="202"/>
      <c r="D42" s="202"/>
      <c r="E42" s="202"/>
      <c r="F42" s="202"/>
      <c r="G42" s="202"/>
      <c r="H42" s="202"/>
      <c r="I42" s="202"/>
      <c r="J42" s="202"/>
      <c r="K42" s="202"/>
      <c r="L42" s="202"/>
      <c r="M42" s="202"/>
      <c r="N42" s="202"/>
      <c r="O42" s="202"/>
      <c r="P42" s="133"/>
    </row>
    <row r="43" spans="2:36">
      <c r="C43" s="202"/>
      <c r="D43" s="202"/>
      <c r="E43" s="202"/>
      <c r="F43" s="202"/>
      <c r="G43" s="202"/>
      <c r="H43" s="202"/>
      <c r="I43" s="202"/>
      <c r="J43" s="202"/>
      <c r="K43" s="202"/>
      <c r="L43" s="202"/>
      <c r="M43" s="202"/>
      <c r="N43" s="202"/>
      <c r="O43" s="202"/>
      <c r="P43" s="133"/>
    </row>
    <row r="44" spans="2:36">
      <c r="B44" s="314" t="s">
        <v>322</v>
      </c>
      <c r="C44" s="100" t="s">
        <v>162</v>
      </c>
      <c r="D44" s="94"/>
      <c r="E44" s="94"/>
      <c r="F44" s="94"/>
      <c r="G44" s="94"/>
      <c r="H44" s="94"/>
      <c r="I44" s="94"/>
      <c r="J44" s="94"/>
      <c r="K44" s="94"/>
      <c r="L44" s="94"/>
      <c r="M44" s="94"/>
      <c r="N44" s="94"/>
      <c r="O44" s="94"/>
      <c r="P44" s="94"/>
      <c r="Q44" s="94"/>
      <c r="R44" s="94"/>
      <c r="S44" s="94"/>
      <c r="T44" s="100" t="s">
        <v>161</v>
      </c>
      <c r="U44" s="94"/>
      <c r="V44" s="94"/>
      <c r="W44" s="94"/>
      <c r="X44" s="94"/>
      <c r="Y44" s="94"/>
      <c r="Z44" s="94"/>
      <c r="AA44" s="94"/>
      <c r="AB44" s="94"/>
      <c r="AC44" s="94"/>
      <c r="AD44" s="94"/>
      <c r="AE44" s="94"/>
      <c r="AF44" s="94"/>
      <c r="AG44" s="94"/>
      <c r="AH44" s="94"/>
      <c r="AI44" s="94"/>
      <c r="AJ44" s="94"/>
    </row>
    <row r="45" spans="2:36">
      <c r="C45" s="202"/>
      <c r="D45" s="202"/>
      <c r="E45" s="202"/>
      <c r="F45" s="202"/>
      <c r="G45" s="202"/>
      <c r="H45" s="202"/>
      <c r="I45" s="202"/>
      <c r="J45" s="202"/>
      <c r="K45" s="202"/>
      <c r="L45" s="202"/>
      <c r="M45" s="202"/>
      <c r="N45" s="202"/>
      <c r="O45" s="202"/>
      <c r="P45" s="133"/>
    </row>
    <row r="46" spans="2:36">
      <c r="B46" s="398" t="s">
        <v>238</v>
      </c>
      <c r="C46" s="239">
        <v>2000</v>
      </c>
      <c r="D46" s="239">
        <v>2001</v>
      </c>
      <c r="E46" s="239">
        <v>2002</v>
      </c>
      <c r="F46" s="239">
        <v>2003</v>
      </c>
      <c r="G46" s="239">
        <v>2004</v>
      </c>
      <c r="H46" s="239">
        <v>2005</v>
      </c>
      <c r="I46" s="239">
        <v>2006</v>
      </c>
      <c r="J46" s="239">
        <v>2007</v>
      </c>
      <c r="K46" s="239">
        <v>2008</v>
      </c>
      <c r="L46" s="239">
        <v>2009</v>
      </c>
      <c r="M46" s="239">
        <v>2010</v>
      </c>
      <c r="N46" s="239">
        <v>2011</v>
      </c>
      <c r="O46" s="239">
        <v>2012</v>
      </c>
      <c r="P46" s="239"/>
      <c r="Q46" s="398" t="s">
        <v>239</v>
      </c>
      <c r="T46" s="398" t="s">
        <v>222</v>
      </c>
      <c r="U46" s="239" t="s">
        <v>108</v>
      </c>
      <c r="V46" s="239" t="s">
        <v>109</v>
      </c>
      <c r="W46" s="239" t="s">
        <v>110</v>
      </c>
      <c r="X46" s="239" t="s">
        <v>111</v>
      </c>
      <c r="Y46" s="239" t="s">
        <v>22</v>
      </c>
      <c r="Z46" s="239" t="s">
        <v>23</v>
      </c>
      <c r="AA46" s="239" t="s">
        <v>24</v>
      </c>
      <c r="AB46" s="239" t="s">
        <v>25</v>
      </c>
      <c r="AC46" s="239" t="s">
        <v>26</v>
      </c>
      <c r="AD46" s="239" t="s">
        <v>27</v>
      </c>
      <c r="AE46" s="239" t="s">
        <v>28</v>
      </c>
      <c r="AF46" s="239" t="s">
        <v>29</v>
      </c>
      <c r="AG46" s="239" t="s">
        <v>247</v>
      </c>
      <c r="AH46" s="239" t="s">
        <v>1183</v>
      </c>
      <c r="AI46" s="398"/>
      <c r="AJ46" s="398" t="s">
        <v>239</v>
      </c>
    </row>
    <row r="47" spans="2:36">
      <c r="B47" s="136" t="s">
        <v>116</v>
      </c>
      <c r="C47" s="163">
        <f>'Data Conversion'!W40</f>
        <v>78003</v>
      </c>
      <c r="D47" s="163">
        <f>'Data Conversion'!X40</f>
        <v>83291</v>
      </c>
      <c r="E47" s="163">
        <f>'Data Conversion'!Y40</f>
        <v>79516</v>
      </c>
      <c r="F47" s="163">
        <f>'Data Conversion'!Z40</f>
        <v>76818</v>
      </c>
      <c r="G47" s="163">
        <f>'Data Conversion'!AA40</f>
        <v>80684</v>
      </c>
      <c r="H47" s="163">
        <f>'Data Conversion'!AB40</f>
        <v>89480</v>
      </c>
      <c r="I47" s="163">
        <f>'Data Conversion'!AC40</f>
        <v>97863</v>
      </c>
      <c r="J47" s="163">
        <f>'Data Conversion'!AD40</f>
        <v>102835</v>
      </c>
      <c r="K47" s="163">
        <f>'Data Conversion'!AE40</f>
        <v>100169</v>
      </c>
      <c r="L47" s="163">
        <f>'Data Conversion'!AF40</f>
        <v>94386</v>
      </c>
      <c r="M47" s="163">
        <f>'Data Conversion'!AG40</f>
        <v>87950</v>
      </c>
      <c r="N47" s="163">
        <f>'Data Conversion'!AH40</f>
        <v>95255</v>
      </c>
      <c r="O47" s="163">
        <f>'Data Conversion'!AI40</f>
        <v>101167</v>
      </c>
      <c r="P47" s="325"/>
      <c r="Q47" s="385">
        <f t="shared" ref="Q47:Q56" si="5">(M47/C47)^(1/($AE$147-$U$147))-1</f>
        <v>1.2074432811431279E-2</v>
      </c>
      <c r="R47" s="126"/>
      <c r="T47" s="136" t="s">
        <v>116</v>
      </c>
      <c r="U47" s="163">
        <f>SUM('Data Conversion'!V30:V38)+SUM('Data Conversion'!W27:W29)</f>
        <v>76711</v>
      </c>
      <c r="V47" s="163">
        <f>SUM('Data Conversion'!W30:W38)+SUM('Data Conversion'!X27:X29)</f>
        <v>79444</v>
      </c>
      <c r="W47" s="163">
        <f>SUM('Data Conversion'!X30:X38)+SUM('Data Conversion'!Y27:Y29)</f>
        <v>82961</v>
      </c>
      <c r="X47" s="163">
        <f>SUM('Data Conversion'!Y30:Y38)+SUM('Data Conversion'!Z27:Z29)</f>
        <v>78392</v>
      </c>
      <c r="Y47" s="163">
        <f>SUM('Data Conversion'!Z30:Z38)+SUM('Data Conversion'!AA27:AA29)</f>
        <v>77454</v>
      </c>
      <c r="Z47" s="163">
        <f>SUM('Data Conversion'!AA30:AA38)+SUM('Data Conversion'!AB27:AB29)</f>
        <v>82248</v>
      </c>
      <c r="AA47" s="163">
        <f>SUM('Data Conversion'!AB30:AB38)+SUM('Data Conversion'!AC27:AC29)</f>
        <v>92092</v>
      </c>
      <c r="AB47" s="163">
        <f>SUM('Data Conversion'!AC30:AC38)+SUM('Data Conversion'!AD27:AD29)</f>
        <v>99849</v>
      </c>
      <c r="AC47" s="163">
        <f>SUM('Data Conversion'!AD30:AD38)+SUM('Data Conversion'!AE27:AE29)</f>
        <v>101720</v>
      </c>
      <c r="AD47" s="163">
        <f>SUM('Data Conversion'!AE30:AE38)+SUM('Data Conversion'!AF27:AF29)</f>
        <v>99040</v>
      </c>
      <c r="AE47" s="163">
        <f>SUM('Data Conversion'!AF30:AF38)+SUM('Data Conversion'!AG27:AG29)</f>
        <v>92582</v>
      </c>
      <c r="AF47" s="163">
        <f>SUM('Data Conversion'!AG30:AG38)+SUM('Data Conversion'!AH27:AH29)</f>
        <v>89381</v>
      </c>
      <c r="AG47" s="163">
        <f>SUM('Data Conversion'!AH30:AH38)+SUM('Data Conversion'!AI27:AI29)</f>
        <v>98397</v>
      </c>
      <c r="AH47" s="163">
        <f>SUM('Data Conversion'!AI30:AI38)+SUM('Data Conversion'!AJ27:AJ29)</f>
        <v>97928</v>
      </c>
      <c r="AI47" s="136"/>
      <c r="AJ47" s="385">
        <f>(AH47/V47)^(1/($O$29-$C$29))-1</f>
        <v>1.758449703229692E-2</v>
      </c>
    </row>
    <row r="48" spans="2:36">
      <c r="B48" s="136" t="s">
        <v>155</v>
      </c>
      <c r="C48" s="163">
        <f>'Data Conversion'!W56</f>
        <v>108445</v>
      </c>
      <c r="D48" s="163">
        <f>'Data Conversion'!X56</f>
        <v>111008</v>
      </c>
      <c r="E48" s="163">
        <f>'Data Conversion'!Y56</f>
        <v>112284</v>
      </c>
      <c r="F48" s="163">
        <f>'Data Conversion'!Z56</f>
        <v>116040</v>
      </c>
      <c r="G48" s="163">
        <f>'Data Conversion'!AA56</f>
        <v>109202</v>
      </c>
      <c r="H48" s="163">
        <f>'Data Conversion'!AB56</f>
        <v>112963</v>
      </c>
      <c r="I48" s="163">
        <f>'Data Conversion'!AC56</f>
        <v>108658</v>
      </c>
      <c r="J48" s="163">
        <f>'Data Conversion'!AD56</f>
        <v>104481</v>
      </c>
      <c r="K48" s="163">
        <f>'Data Conversion'!AE56</f>
        <v>102856</v>
      </c>
      <c r="L48" s="163">
        <f>'Data Conversion'!AF56</f>
        <v>93936</v>
      </c>
      <c r="M48" s="163">
        <f>'Data Conversion'!AG56</f>
        <v>84790</v>
      </c>
      <c r="N48" s="163">
        <f>'Data Conversion'!AH56</f>
        <v>83863</v>
      </c>
      <c r="O48" s="163">
        <f>'Data Conversion'!AI56</f>
        <v>84398</v>
      </c>
      <c r="P48" s="325"/>
      <c r="Q48" s="385">
        <f t="shared" si="5"/>
        <v>-2.4306278806030757E-2</v>
      </c>
      <c r="R48" s="126"/>
      <c r="T48" s="136" t="s">
        <v>155</v>
      </c>
      <c r="U48" s="163">
        <f>SUM('Data Conversion'!V46:V54)+SUM('Data Conversion'!W43:W45)</f>
        <v>100974</v>
      </c>
      <c r="V48" s="163">
        <f>SUM('Data Conversion'!W46:W54)+SUM('Data Conversion'!X43:X45)</f>
        <v>109968</v>
      </c>
      <c r="W48" s="163">
        <f>SUM('Data Conversion'!X46:X54)+SUM('Data Conversion'!Y43:Y45)</f>
        <v>109322</v>
      </c>
      <c r="X48" s="163">
        <f>SUM('Data Conversion'!Y46:Y54)+SUM('Data Conversion'!Z43:Z45)</f>
        <v>115186</v>
      </c>
      <c r="Y48" s="163">
        <f>SUM('Data Conversion'!Z46:Z54)+SUM('Data Conversion'!AA43:AA45)</f>
        <v>116138</v>
      </c>
      <c r="Z48" s="163">
        <f>SUM('Data Conversion'!AA46:AA54)+SUM('Data Conversion'!AB43:AB45)</f>
        <v>107259</v>
      </c>
      <c r="AA48" s="163">
        <f>SUM('Data Conversion'!AB46:AB54)+SUM('Data Conversion'!AC43:AC45)</f>
        <v>112960</v>
      </c>
      <c r="AB48" s="163">
        <f>SUM('Data Conversion'!AC46:AC54)+SUM('Data Conversion'!AD43:AD45)</f>
        <v>107900</v>
      </c>
      <c r="AC48" s="163">
        <f>SUM('Data Conversion'!AD46:AD54)+SUM('Data Conversion'!AE43:AE45)</f>
        <v>103670</v>
      </c>
      <c r="AD48" s="163">
        <f>SUM('Data Conversion'!AE46:AE54)+SUM('Data Conversion'!AF43:AF45)</f>
        <v>101496</v>
      </c>
      <c r="AE48" s="163">
        <f>SUM('Data Conversion'!AF46:AF54)+SUM('Data Conversion'!AG43:AG45)</f>
        <v>91337</v>
      </c>
      <c r="AF48" s="163">
        <f>SUM('Data Conversion'!AG46:AG54)+SUM('Data Conversion'!AH43:AH45)</f>
        <v>84160</v>
      </c>
      <c r="AG48" s="163">
        <f>SUM('Data Conversion'!AH46:AH54)+SUM('Data Conversion'!AI43:AI45)</f>
        <v>83337</v>
      </c>
      <c r="AH48" s="163">
        <f>SUM('Data Conversion'!AI46:AI54)+SUM('Data Conversion'!AJ43:AJ45)</f>
        <v>83101</v>
      </c>
      <c r="AI48" s="136"/>
      <c r="AJ48" s="385">
        <f t="shared" ref="AJ48:AJ56" si="6">(AH48/V48)^(1/($O$29-$C$29))-1</f>
        <v>-2.307401761642669E-2</v>
      </c>
    </row>
    <row r="49" spans="2:36">
      <c r="B49" s="136" t="s">
        <v>115</v>
      </c>
      <c r="C49" s="163">
        <f>'Data Conversion'!W72</f>
        <v>86150</v>
      </c>
      <c r="D49" s="163">
        <f>'Data Conversion'!X72</f>
        <v>98228</v>
      </c>
      <c r="E49" s="163">
        <f>'Data Conversion'!Y72</f>
        <v>104839</v>
      </c>
      <c r="F49" s="163">
        <f>'Data Conversion'!Z72</f>
        <v>105179</v>
      </c>
      <c r="G49" s="163">
        <f>'Data Conversion'!AA72</f>
        <v>111768</v>
      </c>
      <c r="H49" s="163">
        <f>'Data Conversion'!AB72</f>
        <v>115959</v>
      </c>
      <c r="I49" s="163">
        <f>'Data Conversion'!AC72</f>
        <v>115846</v>
      </c>
      <c r="J49" s="163">
        <f>'Data Conversion'!AD72</f>
        <v>115190</v>
      </c>
      <c r="K49" s="163">
        <f>'Data Conversion'!AE72</f>
        <v>113535</v>
      </c>
      <c r="L49" s="163">
        <f>'Data Conversion'!AF72</f>
        <v>106477</v>
      </c>
      <c r="M49" s="163">
        <f>'Data Conversion'!AG72</f>
        <v>100584</v>
      </c>
      <c r="N49" s="163">
        <f>'Data Conversion'!AH72</f>
        <v>105371</v>
      </c>
      <c r="O49" s="163">
        <f>'Data Conversion'!AI72</f>
        <v>104747</v>
      </c>
      <c r="P49" s="325"/>
      <c r="Q49" s="385">
        <f t="shared" si="5"/>
        <v>1.5610920585440669E-2</v>
      </c>
      <c r="R49" s="126"/>
      <c r="T49" s="136" t="s">
        <v>115</v>
      </c>
      <c r="U49" s="163">
        <f>SUM('Data Conversion'!V62:V70)+SUM('Data Conversion'!W59:W61)</f>
        <v>83081</v>
      </c>
      <c r="V49" s="163">
        <f>SUM('Data Conversion'!W62:W70)+SUM('Data Conversion'!X59:X61)</f>
        <v>87893</v>
      </c>
      <c r="W49" s="163">
        <f>SUM('Data Conversion'!X62:X70)+SUM('Data Conversion'!Y59:Y61)</f>
        <v>100771</v>
      </c>
      <c r="X49" s="163">
        <f>SUM('Data Conversion'!Y62:Y70)+SUM('Data Conversion'!Z59:Z61)</f>
        <v>105230</v>
      </c>
      <c r="Y49" s="163">
        <f>SUM('Data Conversion'!Z62:Z70)+SUM('Data Conversion'!AA59:AA61)</f>
        <v>106779</v>
      </c>
      <c r="Z49" s="163">
        <f>SUM('Data Conversion'!AA62:AA70)+SUM('Data Conversion'!AB59:AB61)</f>
        <v>111722</v>
      </c>
      <c r="AA49" s="163">
        <f>SUM('Data Conversion'!AB62:AB70)+SUM('Data Conversion'!AC59:AC61)</f>
        <v>116442</v>
      </c>
      <c r="AB49" s="163">
        <f>SUM('Data Conversion'!AC62:AC70)+SUM('Data Conversion'!AD59:AD61)</f>
        <v>115737</v>
      </c>
      <c r="AC49" s="163">
        <f>SUM('Data Conversion'!AD62:AD70)+SUM('Data Conversion'!AE59:AE61)</f>
        <v>114529</v>
      </c>
      <c r="AD49" s="163">
        <f>SUM('Data Conversion'!AE62:AE70)+SUM('Data Conversion'!AF59:AF61)</f>
        <v>111478</v>
      </c>
      <c r="AE49" s="163">
        <f>SUM('Data Conversion'!AF62:AF70)+SUM('Data Conversion'!AG59:AG61)</f>
        <v>104864</v>
      </c>
      <c r="AF49" s="163">
        <f>SUM('Data Conversion'!AG62:AG70)+SUM('Data Conversion'!AH59:AH61)</f>
        <v>101271</v>
      </c>
      <c r="AG49" s="163">
        <f>SUM('Data Conversion'!AH62:AH70)+SUM('Data Conversion'!AI59:AI61)</f>
        <v>105964</v>
      </c>
      <c r="AH49" s="163">
        <f>SUM('Data Conversion'!AI62:AI70)+SUM('Data Conversion'!AJ59:AJ61)</f>
        <v>101744</v>
      </c>
      <c r="AI49" s="136"/>
      <c r="AJ49" s="385">
        <f t="shared" si="6"/>
        <v>1.226963596722852E-2</v>
      </c>
    </row>
    <row r="50" spans="2:36">
      <c r="B50" s="136" t="s">
        <v>107</v>
      </c>
      <c r="C50" s="163">
        <f>'Data Conversion'!W104</f>
        <v>251207</v>
      </c>
      <c r="D50" s="163">
        <f>'Data Conversion'!X104</f>
        <v>243981</v>
      </c>
      <c r="E50" s="163">
        <f>'Data Conversion'!Y104</f>
        <v>233643</v>
      </c>
      <c r="F50" s="163">
        <f>'Data Conversion'!Z104</f>
        <v>234455</v>
      </c>
      <c r="G50" s="163">
        <f>'Data Conversion'!AA104</f>
        <v>241174</v>
      </c>
      <c r="H50" s="163">
        <f>'Data Conversion'!AB104</f>
        <v>251953</v>
      </c>
      <c r="I50" s="163">
        <f>'Data Conversion'!AC104</f>
        <v>254414</v>
      </c>
      <c r="J50" s="163">
        <f>'Data Conversion'!AD104</f>
        <v>258921</v>
      </c>
      <c r="K50" s="163">
        <f>'Data Conversion'!AE104</f>
        <v>256352</v>
      </c>
      <c r="L50" s="163">
        <f>'Data Conversion'!AF104</f>
        <v>245377</v>
      </c>
      <c r="M50" s="163">
        <f>'Data Conversion'!AG104</f>
        <v>233553</v>
      </c>
      <c r="N50" s="163">
        <f>'Data Conversion'!AH104</f>
        <v>244570</v>
      </c>
      <c r="O50" s="163">
        <f>'Data Conversion'!AI104</f>
        <v>186774</v>
      </c>
      <c r="P50" s="325"/>
      <c r="Q50" s="385">
        <f t="shared" si="5"/>
        <v>-7.2603422825284758E-3</v>
      </c>
      <c r="R50" s="126"/>
      <c r="T50" s="136" t="s">
        <v>107</v>
      </c>
      <c r="U50" s="163">
        <f>SUM('Data Conversion'!V94:V102)+SUM('Data Conversion'!W91:W93)</f>
        <v>245709</v>
      </c>
      <c r="V50" s="163">
        <f>SUM('Data Conversion'!W94:W102)+SUM('Data Conversion'!X91:X93)</f>
        <v>250621</v>
      </c>
      <c r="W50" s="163">
        <f>SUM('Data Conversion'!X94:X102)+SUM('Data Conversion'!Y91:Y93)</f>
        <v>237543</v>
      </c>
      <c r="X50" s="163">
        <f>SUM('Data Conversion'!Y94:Y102)+SUM('Data Conversion'!Z91:Z93)</f>
        <v>236499</v>
      </c>
      <c r="Y50" s="163">
        <f>SUM('Data Conversion'!Z94:Z102)+SUM('Data Conversion'!AA91:AA93)</f>
        <v>233614</v>
      </c>
      <c r="Z50" s="163">
        <f>SUM('Data Conversion'!AA94:AA102)+SUM('Data Conversion'!AB91:AB93)</f>
        <v>244941</v>
      </c>
      <c r="AA50" s="163">
        <f>SUM('Data Conversion'!AB94:AB102)+SUM('Data Conversion'!AC91:AC93)</f>
        <v>253789</v>
      </c>
      <c r="AB50" s="163">
        <f>SUM('Data Conversion'!AC94:AC102)+SUM('Data Conversion'!AD91:AD93)</f>
        <v>254218</v>
      </c>
      <c r="AC50" s="163">
        <f>SUM('Data Conversion'!AD94:AD102)+SUM('Data Conversion'!AE91:AE93)</f>
        <v>260676</v>
      </c>
      <c r="AD50" s="163">
        <f>SUM('Data Conversion'!AE94:AE102)+SUM('Data Conversion'!AF91:AF93)</f>
        <v>250449</v>
      </c>
      <c r="AE50" s="163">
        <f>SUM('Data Conversion'!AF94:AF102)+SUM('Data Conversion'!AG91:AG93)</f>
        <v>244571</v>
      </c>
      <c r="AF50" s="163">
        <f>SUM('Data Conversion'!AG94:AG102)+SUM('Data Conversion'!AH91:AH93)</f>
        <v>235625</v>
      </c>
      <c r="AG50" s="163">
        <f>SUM('Data Conversion'!AH94:AH102)+SUM('Data Conversion'!AI91:AI93)</f>
        <v>242312</v>
      </c>
      <c r="AH50" s="163">
        <f>SUM('Data Conversion'!AI94:AI102)+SUM('Data Conversion'!AJ91:AJ93)</f>
        <v>135210</v>
      </c>
      <c r="AI50" s="136"/>
      <c r="AJ50" s="385">
        <f t="shared" si="6"/>
        <v>-5.0126118362915473E-2</v>
      </c>
    </row>
    <row r="51" spans="2:36">
      <c r="B51" s="136" t="s">
        <v>114</v>
      </c>
      <c r="C51" s="163">
        <f>'Data Conversion'!W88</f>
        <v>87652</v>
      </c>
      <c r="D51" s="163">
        <f>'Data Conversion'!X88</f>
        <v>91197</v>
      </c>
      <c r="E51" s="163">
        <f>'Data Conversion'!Y88</f>
        <v>87312</v>
      </c>
      <c r="F51" s="163">
        <f>'Data Conversion'!Z88</f>
        <v>88076</v>
      </c>
      <c r="G51" s="163">
        <f>'Data Conversion'!AA88</f>
        <v>92146</v>
      </c>
      <c r="H51" s="163">
        <f>'Data Conversion'!AB88</f>
        <v>96555</v>
      </c>
      <c r="I51" s="163">
        <f>'Data Conversion'!AC88</f>
        <v>96754</v>
      </c>
      <c r="J51" s="163">
        <f>'Data Conversion'!AD88</f>
        <v>93668</v>
      </c>
      <c r="K51" s="163">
        <f>'Data Conversion'!AE88</f>
        <v>86647</v>
      </c>
      <c r="L51" s="163">
        <f>'Data Conversion'!AF88</f>
        <v>74051</v>
      </c>
      <c r="M51" s="163">
        <f>'Data Conversion'!AG88</f>
        <v>68871</v>
      </c>
      <c r="N51" s="163">
        <f>'Data Conversion'!AH88</f>
        <v>70112</v>
      </c>
      <c r="O51" s="163">
        <f>'Data Conversion'!AI88</f>
        <v>73346</v>
      </c>
      <c r="P51" s="325"/>
      <c r="Q51" s="385">
        <f t="shared" si="5"/>
        <v>-2.382550623826285E-2</v>
      </c>
      <c r="R51" s="126"/>
      <c r="T51" s="136" t="s">
        <v>114</v>
      </c>
      <c r="U51" s="163">
        <f>SUM('Data Conversion'!V78:V86)+SUM('Data Conversion'!W75:W77)</f>
        <v>86793</v>
      </c>
      <c r="V51" s="163">
        <f>SUM('Data Conversion'!W78:W86)+SUM('Data Conversion'!X75:X77)</f>
        <v>88233</v>
      </c>
      <c r="W51" s="163">
        <f>SUM('Data Conversion'!X78:X86)+SUM('Data Conversion'!Y75:Y77)</f>
        <v>89858</v>
      </c>
      <c r="X51" s="163">
        <f>SUM('Data Conversion'!Y78:Y86)+SUM('Data Conversion'!Z75:Z77)</f>
        <v>87830</v>
      </c>
      <c r="Y51" s="163">
        <f>SUM('Data Conversion'!Z78:Z86)+SUM('Data Conversion'!AA75:AA77)</f>
        <v>88282</v>
      </c>
      <c r="Z51" s="163">
        <f>SUM('Data Conversion'!AA78:AA86)+SUM('Data Conversion'!AB75:AB77)</f>
        <v>92766</v>
      </c>
      <c r="AA51" s="163">
        <f>SUM('Data Conversion'!AB78:AB86)+SUM('Data Conversion'!AC75:AC77)</f>
        <v>97279</v>
      </c>
      <c r="AB51" s="163">
        <f>SUM('Data Conversion'!AC78:AC86)+SUM('Data Conversion'!AD75:AD77)</f>
        <v>96804</v>
      </c>
      <c r="AC51" s="163">
        <f>SUM('Data Conversion'!AD78:AD86)+SUM('Data Conversion'!AE75:AE77)</f>
        <v>91670</v>
      </c>
      <c r="AD51" s="163">
        <f>SUM('Data Conversion'!AE78:AE86)+SUM('Data Conversion'!AF75:AF77)</f>
        <v>84085</v>
      </c>
      <c r="AE51" s="163">
        <f>SUM('Data Conversion'!AF78:AF86)+SUM('Data Conversion'!AG75:AG77)</f>
        <v>72222</v>
      </c>
      <c r="AF51" s="163">
        <f>SUM('Data Conversion'!AG78:AG86)+SUM('Data Conversion'!AH75:AH77)</f>
        <v>69870</v>
      </c>
      <c r="AG51" s="163">
        <f>SUM('Data Conversion'!AH78:AH86)+SUM('Data Conversion'!AI75:AI77)</f>
        <v>70318</v>
      </c>
      <c r="AH51" s="163">
        <f>SUM('Data Conversion'!AI78:AI86)+SUM('Data Conversion'!AJ75:AJ77)</f>
        <v>72367</v>
      </c>
      <c r="AI51" s="136"/>
      <c r="AJ51" s="385">
        <f t="shared" si="6"/>
        <v>-1.6383526581472241E-2</v>
      </c>
    </row>
    <row r="52" spans="2:36">
      <c r="B52" s="136" t="s">
        <v>105</v>
      </c>
      <c r="C52" s="163">
        <f>'Data Conversion'!W120</f>
        <v>459723</v>
      </c>
      <c r="D52" s="163">
        <f>'Data Conversion'!X120</f>
        <v>457639</v>
      </c>
      <c r="E52" s="163">
        <f>'Data Conversion'!Y120</f>
        <v>460292</v>
      </c>
      <c r="F52" s="163">
        <f>'Data Conversion'!Z120</f>
        <v>457077</v>
      </c>
      <c r="G52" s="163">
        <f>'Data Conversion'!AA120</f>
        <v>469786</v>
      </c>
      <c r="H52" s="163">
        <f>'Data Conversion'!AB120</f>
        <v>472041</v>
      </c>
      <c r="I52" s="163">
        <f>'Data Conversion'!AC120</f>
        <v>470891</v>
      </c>
      <c r="J52" s="163">
        <f>'Data Conversion'!AD120</f>
        <v>475789</v>
      </c>
      <c r="K52" s="163">
        <f>'Data Conversion'!AE120</f>
        <v>473207</v>
      </c>
      <c r="L52" s="163">
        <f>'Data Conversion'!AF120</f>
        <v>460178</v>
      </c>
      <c r="M52" s="163">
        <f>'Data Conversion'!AG120</f>
        <v>449271</v>
      </c>
      <c r="N52" s="163">
        <f>'Data Conversion'!AH120</f>
        <v>476342</v>
      </c>
      <c r="O52" s="163">
        <f>'Data Conversion'!AI120</f>
        <v>471663</v>
      </c>
      <c r="P52" s="325"/>
      <c r="Q52" s="385">
        <f t="shared" si="5"/>
        <v>-2.297144021630726E-3</v>
      </c>
      <c r="R52" s="126"/>
      <c r="T52" s="136" t="s">
        <v>105</v>
      </c>
      <c r="U52" s="163">
        <f>SUM('Data Conversion'!V110:V118)+SUM('Data Conversion'!W107:W109)</f>
        <v>454220</v>
      </c>
      <c r="V52" s="163">
        <f>SUM('Data Conversion'!W110:W118)+SUM('Data Conversion'!X107:X109)</f>
        <v>459490</v>
      </c>
      <c r="W52" s="163">
        <f>SUM('Data Conversion'!X110:X118)+SUM('Data Conversion'!Y107:Y109)</f>
        <v>455871</v>
      </c>
      <c r="X52" s="163">
        <f>SUM('Data Conversion'!Y110:Y118)+SUM('Data Conversion'!Z107:Z109)</f>
        <v>461118</v>
      </c>
      <c r="Y52" s="163">
        <f>SUM('Data Conversion'!Z110:Z118)+SUM('Data Conversion'!AA107:AA109)</f>
        <v>460787</v>
      </c>
      <c r="Z52" s="163">
        <f>SUM('Data Conversion'!AA110:AA118)+SUM('Data Conversion'!AB107:AB109)</f>
        <v>469607</v>
      </c>
      <c r="AA52" s="163">
        <f>SUM('Data Conversion'!AB110:AB118)+SUM('Data Conversion'!AC107:AC109)</f>
        <v>473019</v>
      </c>
      <c r="AB52" s="163">
        <f>SUM('Data Conversion'!AC110:AC118)+SUM('Data Conversion'!AD107:AD109)</f>
        <v>470806</v>
      </c>
      <c r="AC52" s="163">
        <f>SUM('Data Conversion'!AD110:AD118)+SUM('Data Conversion'!AE107:AE109)</f>
        <v>475757</v>
      </c>
      <c r="AD52" s="163">
        <f>SUM('Data Conversion'!AE110:AE118)+SUM('Data Conversion'!AF107:AF109)</f>
        <v>470116</v>
      </c>
      <c r="AE52" s="163">
        <f>SUM('Data Conversion'!AF110:AF118)+SUM('Data Conversion'!AG107:AG109)</f>
        <v>456453</v>
      </c>
      <c r="AF52" s="163">
        <f>SUM('Data Conversion'!AG110:AG118)+SUM('Data Conversion'!AH107:AH109)</f>
        <v>456494</v>
      </c>
      <c r="AG52" s="163">
        <f>SUM('Data Conversion'!AH110:AH118)+SUM('Data Conversion'!AI107:AI109)</f>
        <v>476509</v>
      </c>
      <c r="AH52" s="163">
        <f>SUM('Data Conversion'!AI110:AI118)+SUM('Data Conversion'!AJ107:AJ109)</f>
        <v>467286</v>
      </c>
      <c r="AI52" s="136"/>
      <c r="AJ52" s="385">
        <f t="shared" si="6"/>
        <v>1.4030092264518679E-3</v>
      </c>
    </row>
    <row r="53" spans="2:36">
      <c r="B53" s="136" t="s">
        <v>156</v>
      </c>
      <c r="C53" s="163">
        <f>'Data Conversion'!W136</f>
        <v>55547</v>
      </c>
      <c r="D53" s="163">
        <f>'Data Conversion'!X136</f>
        <v>55982</v>
      </c>
      <c r="E53" s="163">
        <f>'Data Conversion'!Y136</f>
        <v>55009</v>
      </c>
      <c r="F53" s="163">
        <f>'Data Conversion'!Z136</f>
        <v>58421</v>
      </c>
      <c r="G53" s="163">
        <f>'Data Conversion'!AA136</f>
        <v>64243</v>
      </c>
      <c r="H53" s="163">
        <f>'Data Conversion'!AB136</f>
        <v>75424</v>
      </c>
      <c r="I53" s="163">
        <f>'Data Conversion'!AC136</f>
        <v>78840</v>
      </c>
      <c r="J53" s="163">
        <f>'Data Conversion'!AD136</f>
        <v>83319</v>
      </c>
      <c r="K53" s="163">
        <f>'Data Conversion'!AE136</f>
        <v>85661</v>
      </c>
      <c r="L53" s="163">
        <f>'Data Conversion'!AF136</f>
        <v>75093</v>
      </c>
      <c r="M53" s="163">
        <f>'Data Conversion'!AG136</f>
        <v>68571</v>
      </c>
      <c r="N53" s="163">
        <f>'Data Conversion'!AH136</f>
        <v>72403</v>
      </c>
      <c r="O53" s="163">
        <f>'Data Conversion'!AI136</f>
        <v>73658</v>
      </c>
      <c r="P53" s="325"/>
      <c r="Q53" s="385">
        <f t="shared" si="5"/>
        <v>2.1287431916757305E-2</v>
      </c>
      <c r="R53" s="126"/>
      <c r="T53" s="136" t="s">
        <v>156</v>
      </c>
      <c r="U53" s="163">
        <f>SUM('Data Conversion'!V126:V134)+SUM('Data Conversion'!W123:W125)</f>
        <v>51506</v>
      </c>
      <c r="V53" s="163">
        <f>SUM('Data Conversion'!W126:W134)+SUM('Data Conversion'!X123:X125)</f>
        <v>56482</v>
      </c>
      <c r="W53" s="163">
        <f>SUM('Data Conversion'!X126:X134)+SUM('Data Conversion'!Y123:Y125)</f>
        <v>54903</v>
      </c>
      <c r="X53" s="163">
        <f>SUM('Data Conversion'!Y126:Y134)+SUM('Data Conversion'!Z123:Z125)</f>
        <v>56499</v>
      </c>
      <c r="Y53" s="163">
        <f>SUM('Data Conversion'!Z126:Z134)+SUM('Data Conversion'!AA123:AA125)</f>
        <v>59122</v>
      </c>
      <c r="Z53" s="163">
        <f>SUM('Data Conversion'!AA126:AA134)+SUM('Data Conversion'!AB123:AB125)</f>
        <v>67062</v>
      </c>
      <c r="AA53" s="163">
        <f>SUM('Data Conversion'!AB126:AB134)+SUM('Data Conversion'!AC123:AC125)</f>
        <v>76807</v>
      </c>
      <c r="AB53" s="163">
        <f>SUM('Data Conversion'!AC126:AC134)+SUM('Data Conversion'!AD123:AD125)</f>
        <v>79204</v>
      </c>
      <c r="AC53" s="163">
        <f>SUM('Data Conversion'!AD126:AD134)+SUM('Data Conversion'!AE123:AE125)</f>
        <v>84717</v>
      </c>
      <c r="AD53" s="163">
        <f>SUM('Data Conversion'!AE126:AE134)+SUM('Data Conversion'!AF123:AF125)</f>
        <v>82032</v>
      </c>
      <c r="AE53" s="163">
        <f>SUM('Data Conversion'!AF126:AF134)+SUM('Data Conversion'!AG123:AG125)</f>
        <v>73716</v>
      </c>
      <c r="AF53" s="163">
        <f>SUM('Data Conversion'!AG126:AG134)+SUM('Data Conversion'!AH123:AH125)</f>
        <v>69334</v>
      </c>
      <c r="AG53" s="163">
        <f>SUM('Data Conversion'!AH126:AH134)+SUM('Data Conversion'!AI123:AI125)</f>
        <v>72594</v>
      </c>
      <c r="AH53" s="163">
        <f>SUM('Data Conversion'!AI126:AI134)+SUM('Data Conversion'!AJ123:AJ125)</f>
        <v>72437</v>
      </c>
      <c r="AI53" s="136"/>
      <c r="AJ53" s="385">
        <f t="shared" si="6"/>
        <v>2.0949354981707025E-2</v>
      </c>
    </row>
    <row r="54" spans="2:36">
      <c r="B54" s="136" t="s">
        <v>204</v>
      </c>
      <c r="C54" s="163">
        <f>'Data Conversion'!W152</f>
        <v>177575</v>
      </c>
      <c r="D54" s="163">
        <f>'Data Conversion'!X152</f>
        <v>182097</v>
      </c>
      <c r="E54" s="163">
        <f>'Data Conversion'!Y152</f>
        <v>177543</v>
      </c>
      <c r="F54" s="163">
        <f>'Data Conversion'!Z152</f>
        <v>191518</v>
      </c>
      <c r="G54" s="163">
        <f>'Data Conversion'!AA152</f>
        <v>208493</v>
      </c>
      <c r="H54" s="163">
        <f>'Data Conversion'!AB152</f>
        <v>217987</v>
      </c>
      <c r="I54" s="163">
        <f>'Data Conversion'!AC152</f>
        <v>213026</v>
      </c>
      <c r="J54" s="163">
        <f>'Data Conversion'!AD152</f>
        <v>206503</v>
      </c>
      <c r="K54" s="163">
        <f>'Data Conversion'!AE152</f>
        <v>191228</v>
      </c>
      <c r="L54" s="163">
        <f>'Data Conversion'!AF152</f>
        <v>162126</v>
      </c>
      <c r="M54" s="163">
        <f>'Data Conversion'!AG152</f>
        <v>148876</v>
      </c>
      <c r="N54" s="163">
        <f>'Data Conversion'!AH152</f>
        <v>157988</v>
      </c>
      <c r="O54" s="163">
        <f>'Data Conversion'!AI152</f>
        <v>160562</v>
      </c>
      <c r="P54" s="325"/>
      <c r="Q54" s="385">
        <f t="shared" si="5"/>
        <v>-1.7473467995540948E-2</v>
      </c>
      <c r="R54" s="126"/>
      <c r="T54" s="136" t="s">
        <v>204</v>
      </c>
      <c r="U54" s="163">
        <f>SUM('Data Conversion'!V142:V150)+SUM('Data Conversion'!W139:W141)</f>
        <v>170678</v>
      </c>
      <c r="V54" s="163">
        <f>SUM('Data Conversion'!W142:W150)+SUM('Data Conversion'!X139:X141)</f>
        <v>178493</v>
      </c>
      <c r="W54" s="163">
        <f>SUM('Data Conversion'!X142:X150)+SUM('Data Conversion'!Y139:Y141)</f>
        <v>181384</v>
      </c>
      <c r="X54" s="163">
        <f>SUM('Data Conversion'!Y142:Y150)+SUM('Data Conversion'!Z139:Z141)</f>
        <v>179245</v>
      </c>
      <c r="Y54" s="163">
        <f>SUM('Data Conversion'!Z142:Z150)+SUM('Data Conversion'!AA139:AA141)</f>
        <v>196723</v>
      </c>
      <c r="Z54" s="163">
        <f>SUM('Data Conversion'!AA142:AA150)+SUM('Data Conversion'!AB139:AB141)</f>
        <v>211900</v>
      </c>
      <c r="AA54" s="163">
        <f>SUM('Data Conversion'!AB142:AB150)+SUM('Data Conversion'!AC139:AC141)</f>
        <v>217115</v>
      </c>
      <c r="AB54" s="163">
        <f>SUM('Data Conversion'!AC142:AC150)+SUM('Data Conversion'!AD139:AD141)</f>
        <v>211269</v>
      </c>
      <c r="AC54" s="163">
        <f>SUM('Data Conversion'!AD142:AD150)+SUM('Data Conversion'!AE139:AE141)</f>
        <v>204651</v>
      </c>
      <c r="AD54" s="163">
        <f>SUM('Data Conversion'!AE142:AE150)+SUM('Data Conversion'!AF139:AF141)</f>
        <v>184661</v>
      </c>
      <c r="AE54" s="163">
        <f>SUM('Data Conversion'!AF142:AF150)+SUM('Data Conversion'!AG139:AG141)</f>
        <v>156332</v>
      </c>
      <c r="AF54" s="163">
        <f>SUM('Data Conversion'!AG142:AG150)+SUM('Data Conversion'!AH139:AH141)</f>
        <v>150557</v>
      </c>
      <c r="AG54" s="163">
        <f>SUM('Data Conversion'!AH142:AH150)+SUM('Data Conversion'!AI139:AI141)</f>
        <v>159283</v>
      </c>
      <c r="AH54" s="163">
        <f>SUM('Data Conversion'!AI142:AI150)+SUM('Data Conversion'!AJ139:AJ141)</f>
        <v>159014</v>
      </c>
      <c r="AI54" s="136"/>
      <c r="AJ54" s="385">
        <f t="shared" si="6"/>
        <v>-9.5835436644546856E-3</v>
      </c>
    </row>
    <row r="55" spans="2:36">
      <c r="B55" s="136" t="s">
        <v>113</v>
      </c>
      <c r="C55" s="163">
        <f>'Data Conversion'!W168</f>
        <v>27711</v>
      </c>
      <c r="D55" s="163">
        <f>'Data Conversion'!X168</f>
        <v>28140</v>
      </c>
      <c r="E55" s="163">
        <f>'Data Conversion'!Y168</f>
        <v>27662</v>
      </c>
      <c r="F55" s="163">
        <f>'Data Conversion'!Z168</f>
        <v>32431</v>
      </c>
      <c r="G55" s="163">
        <f>'Data Conversion'!AA168</f>
        <v>37199</v>
      </c>
      <c r="H55" s="163">
        <f>'Data Conversion'!AB168</f>
        <v>43829</v>
      </c>
      <c r="I55" s="163">
        <f>'Data Conversion'!AC168</f>
        <v>46314</v>
      </c>
      <c r="J55" s="163">
        <f>'Data Conversion'!AD168</f>
        <v>47016</v>
      </c>
      <c r="K55" s="163">
        <f>'Data Conversion'!AE168</f>
        <v>44525</v>
      </c>
      <c r="L55" s="163">
        <f>'Data Conversion'!AF168</f>
        <v>40520</v>
      </c>
      <c r="M55" s="163">
        <f>'Data Conversion'!AG168</f>
        <v>40333</v>
      </c>
      <c r="N55" s="163">
        <f>'Data Conversion'!AH168</f>
        <v>38101</v>
      </c>
      <c r="O55" s="163">
        <f>'Data Conversion'!AI168</f>
        <v>22459</v>
      </c>
      <c r="P55" s="325"/>
      <c r="Q55" s="385">
        <f t="shared" si="5"/>
        <v>3.8247353594017541E-2</v>
      </c>
      <c r="R55" s="126"/>
      <c r="T55" s="136" t="s">
        <v>113</v>
      </c>
      <c r="U55" s="163">
        <f>SUM('Data Conversion'!V158:V166)+SUM('Data Conversion'!W155:W157)</f>
        <v>25044</v>
      </c>
      <c r="V55" s="163">
        <f>SUM('Data Conversion'!W158:W166)+SUM('Data Conversion'!X155:X157)</f>
        <v>27940</v>
      </c>
      <c r="W55" s="163">
        <f>SUM('Data Conversion'!X158:X166)+SUM('Data Conversion'!Y155:Y157)</f>
        <v>28140</v>
      </c>
      <c r="X55" s="163">
        <f>SUM('Data Conversion'!Y158:Y166)+SUM('Data Conversion'!Z155:Z157)</f>
        <v>27518</v>
      </c>
      <c r="Y55" s="163">
        <f>SUM('Data Conversion'!Z158:Z166)+SUM('Data Conversion'!AA155:AA157)</f>
        <v>34745</v>
      </c>
      <c r="Z55" s="163">
        <f>SUM('Data Conversion'!AA158:AA166)+SUM('Data Conversion'!AB155:AB157)</f>
        <v>37729</v>
      </c>
      <c r="AA55" s="163">
        <f>SUM('Data Conversion'!AB158:AB166)+SUM('Data Conversion'!AC155:AC157)</f>
        <v>45044</v>
      </c>
      <c r="AB55" s="163">
        <f>SUM('Data Conversion'!AC158:AC166)+SUM('Data Conversion'!AD155:AD157)</f>
        <v>46676</v>
      </c>
      <c r="AC55" s="163">
        <f>SUM('Data Conversion'!AD158:AD166)+SUM('Data Conversion'!AE155:AE157)</f>
        <v>46158</v>
      </c>
      <c r="AD55" s="163">
        <f>SUM('Data Conversion'!AE158:AE166)+SUM('Data Conversion'!AF155:AF157)</f>
        <v>43442</v>
      </c>
      <c r="AE55" s="163">
        <f>SUM('Data Conversion'!AF158:AF166)+SUM('Data Conversion'!AG155:AG157)</f>
        <v>40322</v>
      </c>
      <c r="AF55" s="163">
        <f>SUM('Data Conversion'!AG158:AG166)+SUM('Data Conversion'!AH155:AH157)</f>
        <v>40522</v>
      </c>
      <c r="AG55" s="163">
        <f>SUM('Data Conversion'!AH158:AH166)+SUM('Data Conversion'!AI155:AI157)</f>
        <v>29725</v>
      </c>
      <c r="AH55" s="163">
        <f>SUM('Data Conversion'!AI158:AI166)+SUM('Data Conversion'!AJ155:AJ157)</f>
        <v>29962</v>
      </c>
      <c r="AI55" s="136"/>
      <c r="AJ55" s="385">
        <f t="shared" si="6"/>
        <v>5.8395304935201509E-3</v>
      </c>
    </row>
    <row r="56" spans="2:36">
      <c r="B56" s="136" t="s">
        <v>112</v>
      </c>
      <c r="C56" s="163">
        <f>'Data Conversion'!W184</f>
        <v>143634</v>
      </c>
      <c r="D56" s="163">
        <f>'Data Conversion'!X184</f>
        <v>150565</v>
      </c>
      <c r="E56" s="163">
        <f>'Data Conversion'!Y184</f>
        <v>152435</v>
      </c>
      <c r="F56" s="163">
        <f>'Data Conversion'!Z184</f>
        <v>169219</v>
      </c>
      <c r="G56" s="163">
        <f>'Data Conversion'!AA184</f>
        <v>176768</v>
      </c>
      <c r="H56" s="163">
        <f>'Data Conversion'!AB184</f>
        <v>178012</v>
      </c>
      <c r="I56" s="163">
        <f>'Data Conversion'!AC184</f>
        <v>189995</v>
      </c>
      <c r="J56" s="163">
        <f>'Data Conversion'!AD184</f>
        <v>191522</v>
      </c>
      <c r="K56" s="163">
        <f>'Data Conversion'!AE184</f>
        <v>177285</v>
      </c>
      <c r="L56" s="163">
        <f>'Data Conversion'!AF184</f>
        <v>155985</v>
      </c>
      <c r="M56" s="163">
        <f>'Data Conversion'!AG184</f>
        <v>142993</v>
      </c>
      <c r="N56" s="163">
        <f>'Data Conversion'!AH184</f>
        <v>137026</v>
      </c>
      <c r="O56" s="163">
        <f>'Data Conversion'!AI184</f>
        <v>132092</v>
      </c>
      <c r="P56" s="325"/>
      <c r="Q56" s="385">
        <f t="shared" si="5"/>
        <v>-4.4717192664089911E-4</v>
      </c>
      <c r="R56" s="126"/>
      <c r="T56" s="136" t="s">
        <v>112</v>
      </c>
      <c r="U56" s="163">
        <f>SUM('Data Conversion'!V174:V182)+SUM('Data Conversion'!W171:W173)</f>
        <v>136079</v>
      </c>
      <c r="V56" s="163">
        <f>SUM('Data Conversion'!W174:W182)+SUM('Data Conversion'!X171:X173)</f>
        <v>144914</v>
      </c>
      <c r="W56" s="163">
        <f>SUM('Data Conversion'!X174:X182)+SUM('Data Conversion'!Y171:Y173)</f>
        <v>148281</v>
      </c>
      <c r="X56" s="163">
        <f>SUM('Data Conversion'!Y174:Y182)+SUM('Data Conversion'!Z171:Z173)</f>
        <v>159739</v>
      </c>
      <c r="Y56" s="163">
        <f>SUM('Data Conversion'!Z174:Z182)+SUM('Data Conversion'!AA171:AA173)</f>
        <v>171492</v>
      </c>
      <c r="Z56" s="163">
        <f>SUM('Data Conversion'!AA174:AA182)+SUM('Data Conversion'!AB171:AB173)</f>
        <v>176319</v>
      </c>
      <c r="AA56" s="163">
        <f>SUM('Data Conversion'!AB174:AB182)+SUM('Data Conversion'!AC171:AC173)</f>
        <v>180332</v>
      </c>
      <c r="AB56" s="163">
        <f>SUM('Data Conversion'!AC174:AC182)+SUM('Data Conversion'!AD171:AD173)</f>
        <v>191934</v>
      </c>
      <c r="AC56" s="163">
        <f>SUM('Data Conversion'!AD174:AD182)+SUM('Data Conversion'!AE171:AE173)</f>
        <v>188774</v>
      </c>
      <c r="AD56" s="163">
        <f>SUM('Data Conversion'!AE174:AE182)+SUM('Data Conversion'!AF171:AF173)</f>
        <v>170701</v>
      </c>
      <c r="AE56" s="163">
        <f>SUM('Data Conversion'!AF174:AF182)+SUM('Data Conversion'!AG171:AG173)</f>
        <v>154178</v>
      </c>
      <c r="AF56" s="163">
        <f>SUM('Data Conversion'!AG174:AG182)+SUM('Data Conversion'!AH171:AH173)</f>
        <v>140407</v>
      </c>
      <c r="AG56" s="163">
        <f>SUM('Data Conversion'!AH174:AH182)+SUM('Data Conversion'!AI171:AI173)</f>
        <v>135649</v>
      </c>
      <c r="AH56" s="163">
        <f>SUM('Data Conversion'!AI174:AI182)+SUM('Data Conversion'!AJ171:AJ173)</f>
        <v>131310</v>
      </c>
      <c r="AI56" s="136"/>
      <c r="AJ56" s="385">
        <f t="shared" si="6"/>
        <v>-8.1813096852063616E-3</v>
      </c>
    </row>
    <row r="57" spans="2:36">
      <c r="B57" s="136"/>
      <c r="C57" s="386"/>
      <c r="D57" s="386"/>
      <c r="E57" s="386"/>
      <c r="F57" s="386"/>
      <c r="G57" s="386"/>
      <c r="H57" s="386"/>
      <c r="I57" s="386"/>
      <c r="J57" s="386"/>
      <c r="K57" s="386"/>
      <c r="L57" s="386"/>
      <c r="M57" s="386"/>
      <c r="N57" s="386"/>
      <c r="O57" s="386"/>
      <c r="P57" s="387"/>
      <c r="Q57" s="390"/>
      <c r="T57" s="136"/>
      <c r="U57" s="136"/>
      <c r="V57" s="136"/>
      <c r="W57" s="136"/>
      <c r="X57" s="136"/>
      <c r="Y57" s="136"/>
      <c r="Z57" s="136"/>
      <c r="AA57" s="136"/>
      <c r="AB57" s="136"/>
      <c r="AC57" s="136"/>
      <c r="AD57" s="136"/>
      <c r="AE57" s="136"/>
      <c r="AF57" s="136"/>
      <c r="AG57" s="136"/>
      <c r="AH57" s="136"/>
      <c r="AI57" s="136"/>
      <c r="AJ57" s="388"/>
    </row>
    <row r="58" spans="2:36">
      <c r="B58" s="136" t="s">
        <v>106</v>
      </c>
      <c r="C58" s="389">
        <f t="shared" ref="C58:M58" si="7">SUM(C47:C56)</f>
        <v>1475647</v>
      </c>
      <c r="D58" s="389">
        <f t="shared" si="7"/>
        <v>1502128</v>
      </c>
      <c r="E58" s="389">
        <f t="shared" si="7"/>
        <v>1490535</v>
      </c>
      <c r="F58" s="389">
        <f t="shared" si="7"/>
        <v>1529234</v>
      </c>
      <c r="G58" s="389">
        <f t="shared" si="7"/>
        <v>1591463</v>
      </c>
      <c r="H58" s="389">
        <f t="shared" si="7"/>
        <v>1654203</v>
      </c>
      <c r="I58" s="389">
        <f t="shared" si="7"/>
        <v>1672601</v>
      </c>
      <c r="J58" s="389">
        <f t="shared" si="7"/>
        <v>1679244</v>
      </c>
      <c r="K58" s="389">
        <f t="shared" si="7"/>
        <v>1631465</v>
      </c>
      <c r="L58" s="389">
        <f t="shared" si="7"/>
        <v>1508129</v>
      </c>
      <c r="M58" s="389">
        <f t="shared" si="7"/>
        <v>1425792</v>
      </c>
      <c r="N58" s="389">
        <f>SUM(N47:N56)</f>
        <v>1481031</v>
      </c>
      <c r="O58" s="389">
        <f>SUM(O47:O56)</f>
        <v>1410866</v>
      </c>
      <c r="P58" s="195"/>
      <c r="Q58" s="385">
        <f>(M58/C58)^(1/($AE$147-$U$147))-1</f>
        <v>-3.4310094774474553E-3</v>
      </c>
      <c r="T58" s="136" t="s">
        <v>106</v>
      </c>
      <c r="U58" s="389">
        <f t="shared" ref="U58:AE58" si="8">SUM(U47:U56)</f>
        <v>1430795</v>
      </c>
      <c r="V58" s="389">
        <f t="shared" si="8"/>
        <v>1483478</v>
      </c>
      <c r="W58" s="389">
        <f t="shared" si="8"/>
        <v>1489034</v>
      </c>
      <c r="X58" s="389">
        <f t="shared" si="8"/>
        <v>1507256</v>
      </c>
      <c r="Y58" s="389">
        <f t="shared" si="8"/>
        <v>1545136</v>
      </c>
      <c r="Z58" s="389">
        <f t="shared" si="8"/>
        <v>1601553</v>
      </c>
      <c r="AA58" s="389">
        <f t="shared" si="8"/>
        <v>1664879</v>
      </c>
      <c r="AB58" s="389">
        <f t="shared" si="8"/>
        <v>1674397</v>
      </c>
      <c r="AC58" s="389">
        <f t="shared" si="8"/>
        <v>1672322</v>
      </c>
      <c r="AD58" s="389">
        <f t="shared" si="8"/>
        <v>1597500</v>
      </c>
      <c r="AE58" s="389">
        <f t="shared" si="8"/>
        <v>1486577</v>
      </c>
      <c r="AF58" s="389">
        <f>SUM(AF47:AF56)</f>
        <v>1437621</v>
      </c>
      <c r="AG58" s="389">
        <f>SUM(AG47:AG56)</f>
        <v>1474088</v>
      </c>
      <c r="AH58" s="389">
        <f>SUM(AH47:AH56)</f>
        <v>1350359</v>
      </c>
      <c r="AI58" s="136"/>
      <c r="AJ58" s="385">
        <f>(AH58/V58)^(1/($O$29-$C$29))-1</f>
        <v>-7.8042911265592263E-3</v>
      </c>
    </row>
    <row r="59" spans="2:36" s="133" customFormat="1">
      <c r="B59" s="137"/>
      <c r="C59" s="195"/>
      <c r="D59" s="195"/>
      <c r="E59" s="195"/>
      <c r="F59" s="195"/>
      <c r="G59" s="195"/>
      <c r="H59" s="195"/>
      <c r="I59" s="195"/>
      <c r="J59" s="195"/>
      <c r="K59" s="195"/>
      <c r="L59" s="195"/>
      <c r="M59" s="195"/>
      <c r="N59" s="195"/>
      <c r="O59" s="195"/>
      <c r="P59" s="195"/>
      <c r="Q59" s="212"/>
      <c r="T59" s="137"/>
      <c r="U59" s="195"/>
      <c r="V59" s="195"/>
      <c r="W59" s="195"/>
      <c r="X59" s="195"/>
      <c r="Y59" s="195"/>
      <c r="Z59" s="195"/>
      <c r="AA59" s="195"/>
      <c r="AB59" s="195"/>
      <c r="AC59" s="195"/>
      <c r="AD59" s="195"/>
      <c r="AE59" s="195"/>
      <c r="AF59" s="195"/>
      <c r="AG59" s="195"/>
      <c r="AH59" s="195"/>
      <c r="AI59" s="137"/>
      <c r="AJ59" s="212"/>
    </row>
    <row r="61" spans="2:36">
      <c r="B61" s="314" t="s">
        <v>316</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row>
    <row r="63" spans="2:36">
      <c r="B63" s="78" t="s">
        <v>233</v>
      </c>
      <c r="C63" s="196">
        <v>2000</v>
      </c>
      <c r="D63" s="196">
        <v>2001</v>
      </c>
      <c r="E63" s="196">
        <v>2002</v>
      </c>
      <c r="F63" s="196">
        <v>2003</v>
      </c>
      <c r="G63" s="196">
        <v>2004</v>
      </c>
      <c r="H63" s="196">
        <v>2005</v>
      </c>
      <c r="I63" s="196">
        <v>2006</v>
      </c>
      <c r="J63" s="196">
        <v>2007</v>
      </c>
      <c r="K63" s="196">
        <v>2008</v>
      </c>
      <c r="L63" s="196">
        <v>2009</v>
      </c>
      <c r="M63" s="196">
        <v>2010</v>
      </c>
      <c r="N63" s="196">
        <v>2011</v>
      </c>
      <c r="O63" s="196">
        <v>2012</v>
      </c>
      <c r="P63" s="196"/>
      <c r="Q63" s="30" t="s">
        <v>239</v>
      </c>
      <c r="T63" s="108"/>
      <c r="U63" s="167"/>
      <c r="V63" s="167"/>
      <c r="W63" s="167"/>
      <c r="X63" s="167"/>
      <c r="Y63" s="167"/>
      <c r="Z63" s="167"/>
      <c r="AA63" s="167"/>
      <c r="AB63" s="167"/>
      <c r="AC63" s="167"/>
      <c r="AD63" s="167"/>
      <c r="AE63" s="167"/>
      <c r="AF63" s="167"/>
      <c r="AG63" s="167"/>
      <c r="AH63" s="167"/>
      <c r="AI63" s="167"/>
      <c r="AJ63" s="106"/>
    </row>
    <row r="64" spans="2:36">
      <c r="B64" s="90" t="s">
        <v>116</v>
      </c>
      <c r="C64" s="95">
        <f t="shared" ref="C64:C73" si="9">IF(C15="march",V30,IF(C15="december",C30,0))</f>
        <v>2486208</v>
      </c>
      <c r="D64" s="95">
        <f t="shared" ref="D64:D73" si="10">IF(D15="march",W30,IF(D15="december",D30,0))</f>
        <v>2513345</v>
      </c>
      <c r="E64" s="95">
        <f t="shared" ref="E64:E73" si="11">IF(E15="march",X30,IF(E15="december",E30,0))</f>
        <v>2550059</v>
      </c>
      <c r="F64" s="95">
        <f t="shared" ref="F64:F73" si="12">IF(F15="march",Y30,IF(F15="december",F30,0))</f>
        <v>2520730</v>
      </c>
      <c r="G64" s="95">
        <f t="shared" ref="G64:H69" si="13">IF(G15="march",Z30,IF(G15="december",G30,0))</f>
        <v>2676866</v>
      </c>
      <c r="H64" s="95">
        <f t="shared" si="13"/>
        <v>2926958</v>
      </c>
      <c r="I64" s="189">
        <f>'Data Conversion'!F190</f>
        <v>2487135</v>
      </c>
      <c r="J64" s="95">
        <f t="shared" ref="J64:J73" si="14">IF(J15="march",AC30,IF(J15="december",J30,0))</f>
        <v>3411140</v>
      </c>
      <c r="K64" s="95">
        <f t="shared" ref="K64:K73" si="15">IF(K15="march",AD30,IF(K15="december",K30,0))</f>
        <v>3290236</v>
      </c>
      <c r="L64" s="95">
        <f t="shared" ref="L64:L73" si="16">IF(L15="march",AE30,IF(L15="december",L30,0))</f>
        <v>2983793</v>
      </c>
      <c r="M64" s="95">
        <f t="shared" ref="M64:M73" si="17">IF(M15="march",AF30,IF(M15="december",M30,0))</f>
        <v>2763491</v>
      </c>
      <c r="N64" s="95">
        <f>IF(N15="march",AG30,IF(N15="december",N30,0))</f>
        <v>3082575</v>
      </c>
      <c r="O64" s="95">
        <f>IF(O15="march",AH30,IF(O15="december",O30,0))</f>
        <v>3328558</v>
      </c>
      <c r="P64" s="135"/>
      <c r="Q64" s="203">
        <f>(O64/C64)^(1/($O$63-$C$63))-1</f>
        <v>2.4613064481719515E-2</v>
      </c>
      <c r="T64" s="133"/>
      <c r="U64" s="135"/>
      <c r="V64" s="396"/>
      <c r="W64" s="396"/>
      <c r="X64" s="396"/>
      <c r="Y64" s="396"/>
      <c r="Z64" s="396"/>
      <c r="AA64" s="396"/>
      <c r="AB64" s="396"/>
      <c r="AC64" s="396"/>
      <c r="AD64" s="396"/>
      <c r="AE64" s="396"/>
      <c r="AF64" s="396"/>
      <c r="AG64" s="396"/>
      <c r="AH64" s="396"/>
      <c r="AI64" s="135"/>
      <c r="AJ64" s="204"/>
    </row>
    <row r="65" spans="2:36">
      <c r="B65" s="90" t="s">
        <v>155</v>
      </c>
      <c r="C65" s="95">
        <f t="shared" si="9"/>
        <v>7609661</v>
      </c>
      <c r="D65" s="95">
        <f t="shared" si="10"/>
        <v>7657480</v>
      </c>
      <c r="E65" s="95">
        <f t="shared" si="11"/>
        <v>8136060</v>
      </c>
      <c r="F65" s="95">
        <f t="shared" si="12"/>
        <v>9058177</v>
      </c>
      <c r="G65" s="95">
        <f t="shared" si="13"/>
        <v>8766972</v>
      </c>
      <c r="H65" s="95">
        <f t="shared" si="13"/>
        <v>9379136</v>
      </c>
      <c r="I65" s="95">
        <f>IF(I16="march",AB31,IF(I16="december",I31,0))</f>
        <v>9038805</v>
      </c>
      <c r="J65" s="95">
        <f t="shared" si="14"/>
        <v>9251340</v>
      </c>
      <c r="K65" s="95">
        <f t="shared" si="15"/>
        <v>9477197</v>
      </c>
      <c r="L65" s="95">
        <f t="shared" si="16"/>
        <v>9002237</v>
      </c>
      <c r="M65" s="95">
        <f t="shared" si="17"/>
        <v>8513165</v>
      </c>
      <c r="N65" s="95">
        <f t="shared" ref="N65:N73" si="18">IF(N16="march",AG31,IF(N16="december",N31,0))</f>
        <v>8592293</v>
      </c>
      <c r="O65" s="95">
        <f t="shared" ref="O65:O73" si="19">IF(O16="march",AH31,IF(O16="december",O31,0))</f>
        <v>8908430</v>
      </c>
      <c r="P65" s="135"/>
      <c r="Q65" s="203">
        <f t="shared" ref="Q65:Q73" si="20">(O65/C65)^(1/($O$63-$C$63))-1</f>
        <v>1.3218214584254095E-2</v>
      </c>
      <c r="T65" s="133"/>
      <c r="U65" s="135"/>
      <c r="V65" s="396"/>
      <c r="W65" s="396"/>
      <c r="X65" s="396"/>
      <c r="Y65" s="396"/>
      <c r="Z65" s="396"/>
      <c r="AA65" s="396"/>
      <c r="AB65" s="396"/>
      <c r="AC65" s="396"/>
      <c r="AD65" s="396"/>
      <c r="AE65" s="396"/>
      <c r="AF65" s="396"/>
      <c r="AG65" s="396"/>
      <c r="AH65" s="396"/>
      <c r="AI65" s="135"/>
      <c r="AJ65" s="204"/>
    </row>
    <row r="66" spans="2:36">
      <c r="B66" s="90" t="s">
        <v>115</v>
      </c>
      <c r="C66" s="95">
        <f t="shared" si="9"/>
        <v>5604877</v>
      </c>
      <c r="D66" s="95">
        <f t="shared" si="10"/>
        <v>6254198</v>
      </c>
      <c r="E66" s="95">
        <f t="shared" si="11"/>
        <v>7071563</v>
      </c>
      <c r="F66" s="95">
        <f t="shared" si="12"/>
        <v>7576192</v>
      </c>
      <c r="G66" s="95">
        <f t="shared" si="13"/>
        <v>8040975</v>
      </c>
      <c r="H66" s="95">
        <f t="shared" si="13"/>
        <v>8492266</v>
      </c>
      <c r="I66" s="189">
        <f>'Data Conversion'!F192</f>
        <v>6792799</v>
      </c>
      <c r="J66" s="95">
        <f t="shared" si="14"/>
        <v>9037200</v>
      </c>
      <c r="K66" s="95">
        <f t="shared" si="15"/>
        <v>8992178</v>
      </c>
      <c r="L66" s="95">
        <f t="shared" si="16"/>
        <v>9043452</v>
      </c>
      <c r="M66" s="95">
        <f t="shared" si="17"/>
        <v>8594449</v>
      </c>
      <c r="N66" s="95">
        <f t="shared" si="18"/>
        <v>9383695</v>
      </c>
      <c r="O66" s="95">
        <f>IF(O17="march",AH32,IF(O17="december",O32,0))</f>
        <v>9194239</v>
      </c>
      <c r="P66" s="135"/>
      <c r="Q66" s="203">
        <f t="shared" si="20"/>
        <v>4.2107388903759757E-2</v>
      </c>
      <c r="T66" s="133"/>
      <c r="U66" s="135"/>
      <c r="V66" s="396"/>
      <c r="W66" s="396"/>
      <c r="X66" s="396"/>
      <c r="Y66" s="396"/>
      <c r="Z66" s="396"/>
      <c r="AA66" s="396"/>
      <c r="AB66" s="396"/>
      <c r="AC66" s="396"/>
      <c r="AD66" s="396"/>
      <c r="AE66" s="396"/>
      <c r="AF66" s="396"/>
      <c r="AG66" s="396"/>
      <c r="AH66" s="396"/>
      <c r="AI66" s="135"/>
      <c r="AJ66" s="204"/>
    </row>
    <row r="67" spans="2:36">
      <c r="B67" s="90" t="s">
        <v>107</v>
      </c>
      <c r="C67" s="95">
        <f t="shared" si="9"/>
        <v>32130643</v>
      </c>
      <c r="D67" s="95">
        <f t="shared" si="10"/>
        <v>30487501</v>
      </c>
      <c r="E67" s="95">
        <f t="shared" si="11"/>
        <v>29639827</v>
      </c>
      <c r="F67" s="95">
        <f t="shared" si="12"/>
        <v>30051950</v>
      </c>
      <c r="G67" s="95">
        <f t="shared" si="13"/>
        <v>32013832</v>
      </c>
      <c r="H67" s="95">
        <f t="shared" si="13"/>
        <v>32831514</v>
      </c>
      <c r="I67" s="189">
        <f>'Data Conversion'!F193</f>
        <v>27409255</v>
      </c>
      <c r="J67" s="95">
        <f t="shared" si="14"/>
        <v>35165530</v>
      </c>
      <c r="K67" s="95">
        <f t="shared" si="15"/>
        <v>34162014</v>
      </c>
      <c r="L67" s="95">
        <f t="shared" si="16"/>
        <v>32389927</v>
      </c>
      <c r="M67" s="95">
        <f t="shared" si="17"/>
        <v>31640312</v>
      </c>
      <c r="N67" s="95">
        <f t="shared" si="18"/>
        <v>33806458</v>
      </c>
      <c r="O67" s="95">
        <f t="shared" si="19"/>
        <v>34256770</v>
      </c>
      <c r="P67" s="135"/>
      <c r="Q67" s="203">
        <f t="shared" si="20"/>
        <v>5.3537825491623003E-3</v>
      </c>
      <c r="T67" s="133"/>
      <c r="U67" s="135"/>
      <c r="V67" s="396"/>
      <c r="W67" s="396"/>
      <c r="X67" s="396"/>
      <c r="Y67" s="396"/>
      <c r="Z67" s="396"/>
      <c r="AA67" s="396"/>
      <c r="AB67" s="396"/>
      <c r="AC67" s="396"/>
      <c r="AD67" s="396"/>
      <c r="AE67" s="396"/>
      <c r="AF67" s="396"/>
      <c r="AG67" s="396"/>
      <c r="AH67" s="396"/>
      <c r="AI67" s="135"/>
      <c r="AJ67" s="204"/>
    </row>
    <row r="68" spans="2:36">
      <c r="B68" s="90" t="s">
        <v>114</v>
      </c>
      <c r="C68" s="95">
        <f t="shared" si="9"/>
        <v>6962597</v>
      </c>
      <c r="D68" s="95">
        <f t="shared" si="10"/>
        <v>7326909</v>
      </c>
      <c r="E68" s="95">
        <f t="shared" si="11"/>
        <v>7897871</v>
      </c>
      <c r="F68" s="95">
        <f t="shared" si="12"/>
        <v>8142365</v>
      </c>
      <c r="G68" s="95">
        <f t="shared" si="13"/>
        <v>8606282</v>
      </c>
      <c r="H68" s="95">
        <f t="shared" si="13"/>
        <v>8813661</v>
      </c>
      <c r="I68" s="189">
        <f>'Data Conversion'!F194</f>
        <v>7168843</v>
      </c>
      <c r="J68" s="95">
        <f t="shared" si="14"/>
        <v>8726013</v>
      </c>
      <c r="K68" s="95">
        <f t="shared" si="15"/>
        <v>8135260</v>
      </c>
      <c r="L68" s="95">
        <f t="shared" si="16"/>
        <v>7213397</v>
      </c>
      <c r="M68" s="95">
        <f t="shared" si="17"/>
        <v>6521765</v>
      </c>
      <c r="N68" s="95">
        <f t="shared" si="18"/>
        <v>6858268</v>
      </c>
      <c r="O68" s="95">
        <f t="shared" si="19"/>
        <v>7150037</v>
      </c>
      <c r="P68" s="135"/>
      <c r="Q68" s="203">
        <f t="shared" si="20"/>
        <v>2.2162017013460655E-3</v>
      </c>
      <c r="T68" s="133"/>
      <c r="U68" s="135"/>
      <c r="V68" s="396"/>
      <c r="W68" s="396"/>
      <c r="X68" s="396"/>
      <c r="Y68" s="396"/>
      <c r="Z68" s="396"/>
      <c r="AA68" s="396"/>
      <c r="AB68" s="396"/>
      <c r="AC68" s="396"/>
      <c r="AD68" s="396"/>
      <c r="AE68" s="396"/>
      <c r="AF68" s="396"/>
      <c r="AG68" s="396"/>
      <c r="AH68" s="396"/>
      <c r="AI68" s="135"/>
      <c r="AJ68" s="204"/>
    </row>
    <row r="69" spans="2:36">
      <c r="B69" s="90" t="s">
        <v>105</v>
      </c>
      <c r="C69" s="95">
        <f t="shared" si="9"/>
        <v>64327303</v>
      </c>
      <c r="D69" s="95">
        <f t="shared" si="10"/>
        <v>60385086</v>
      </c>
      <c r="E69" s="95">
        <f t="shared" si="11"/>
        <v>62979337</v>
      </c>
      <c r="F69" s="95">
        <f t="shared" si="12"/>
        <v>64260395</v>
      </c>
      <c r="G69" s="95">
        <f t="shared" si="13"/>
        <v>67651563</v>
      </c>
      <c r="H69" s="95">
        <f t="shared" si="13"/>
        <v>67419390</v>
      </c>
      <c r="I69" s="189">
        <f>'Data Conversion'!G195</f>
        <v>34351288</v>
      </c>
      <c r="J69" s="95">
        <f t="shared" si="14"/>
        <v>67852387</v>
      </c>
      <c r="K69" s="95">
        <f t="shared" si="15"/>
        <v>66906954</v>
      </c>
      <c r="L69" s="95">
        <f t="shared" si="16"/>
        <v>65906643</v>
      </c>
      <c r="M69" s="95">
        <f t="shared" si="17"/>
        <v>65745250</v>
      </c>
      <c r="N69" s="95">
        <f t="shared" si="18"/>
        <v>69390591</v>
      </c>
      <c r="O69" s="95">
        <f t="shared" si="19"/>
        <v>69983531</v>
      </c>
      <c r="P69" s="135"/>
      <c r="Q69" s="203">
        <f t="shared" si="20"/>
        <v>7.047700874499796E-3</v>
      </c>
      <c r="T69" s="133"/>
      <c r="U69" s="135"/>
      <c r="V69" s="396"/>
      <c r="W69" s="396"/>
      <c r="X69" s="396"/>
      <c r="Y69" s="396"/>
      <c r="Z69" s="396"/>
      <c r="AA69" s="396"/>
      <c r="AB69" s="396"/>
      <c r="AC69" s="396"/>
      <c r="AD69" s="396"/>
      <c r="AE69" s="396"/>
      <c r="AF69" s="396"/>
      <c r="AG69" s="396"/>
      <c r="AH69" s="396"/>
      <c r="AI69" s="135"/>
      <c r="AJ69" s="204"/>
    </row>
    <row r="70" spans="2:36">
      <c r="B70" s="90" t="s">
        <v>156</v>
      </c>
      <c r="C70" s="95">
        <f t="shared" si="9"/>
        <v>6323512</v>
      </c>
      <c r="D70" s="95">
        <f t="shared" si="10"/>
        <v>6533988</v>
      </c>
      <c r="E70" s="95">
        <f t="shared" si="11"/>
        <v>6566319</v>
      </c>
      <c r="F70" s="95">
        <f t="shared" si="12"/>
        <v>6871808</v>
      </c>
      <c r="G70" s="189">
        <f>'Data Conversion'!E196</f>
        <v>6012345</v>
      </c>
      <c r="H70" s="95">
        <f>IF(H21="march",AA36,IF(H21="december",H36,0))</f>
        <v>9134748</v>
      </c>
      <c r="I70" s="95">
        <f>IF(I21="march",AB36,IF(I21="december",I36,0))</f>
        <v>9414829</v>
      </c>
      <c r="J70" s="95">
        <f t="shared" si="14"/>
        <v>9919361</v>
      </c>
      <c r="K70" s="95">
        <f t="shared" si="15"/>
        <v>10173902</v>
      </c>
      <c r="L70" s="95">
        <f t="shared" si="16"/>
        <v>9115316</v>
      </c>
      <c r="M70" s="95">
        <f t="shared" si="17"/>
        <v>8733837</v>
      </c>
      <c r="N70" s="95">
        <f t="shared" si="18"/>
        <v>9509915</v>
      </c>
      <c r="O70" s="95">
        <f t="shared" si="19"/>
        <v>9614175</v>
      </c>
      <c r="P70" s="135"/>
      <c r="Q70" s="203">
        <f t="shared" si="20"/>
        <v>3.5530288789142661E-2</v>
      </c>
      <c r="T70" s="133"/>
      <c r="U70" s="135"/>
      <c r="V70" s="396"/>
      <c r="W70" s="396"/>
      <c r="X70" s="396"/>
      <c r="Y70" s="396"/>
      <c r="Z70" s="396"/>
      <c r="AA70" s="396"/>
      <c r="AB70" s="396"/>
      <c r="AC70" s="396"/>
      <c r="AD70" s="396"/>
      <c r="AE70" s="396"/>
      <c r="AF70" s="396"/>
      <c r="AG70" s="396"/>
      <c r="AH70" s="396"/>
      <c r="AI70" s="135"/>
      <c r="AJ70" s="204"/>
    </row>
    <row r="71" spans="2:36">
      <c r="B71" s="90" t="s">
        <v>204</v>
      </c>
      <c r="C71" s="95">
        <f t="shared" si="9"/>
        <v>18602363</v>
      </c>
      <c r="D71" s="95">
        <f t="shared" si="10"/>
        <v>19002040</v>
      </c>
      <c r="E71" s="95">
        <f t="shared" si="11"/>
        <v>18597013</v>
      </c>
      <c r="F71" s="95">
        <f t="shared" si="12"/>
        <v>20100110</v>
      </c>
      <c r="G71" s="95">
        <f>IF(G22="march",Z37,IF(G22="december",G37,0))</f>
        <v>21290760</v>
      </c>
      <c r="H71" s="95">
        <f>IF(H22="march",AA37,IF(H22="december",H37,0))</f>
        <v>22036529</v>
      </c>
      <c r="I71" s="95">
        <f>IF(I22="march",AB37,IF(I22="december",I37,0))</f>
        <v>22135847</v>
      </c>
      <c r="J71" s="95">
        <f t="shared" si="14"/>
        <v>21996482</v>
      </c>
      <c r="K71" s="95">
        <f t="shared" si="15"/>
        <v>20400053</v>
      </c>
      <c r="L71" s="95">
        <f t="shared" si="16"/>
        <v>18249743</v>
      </c>
      <c r="M71" s="95">
        <f t="shared" si="17"/>
        <v>17719594</v>
      </c>
      <c r="N71" s="95">
        <f t="shared" si="18"/>
        <v>19119010</v>
      </c>
      <c r="O71" s="95">
        <f t="shared" si="19"/>
        <v>19790984</v>
      </c>
      <c r="P71" s="135"/>
      <c r="Q71" s="203">
        <f t="shared" si="20"/>
        <v>5.1748321637163919E-3</v>
      </c>
      <c r="T71" s="133"/>
      <c r="U71" s="135"/>
      <c r="V71" s="396"/>
      <c r="W71" s="396"/>
      <c r="X71" s="396"/>
      <c r="Y71" s="396"/>
      <c r="Z71" s="396"/>
      <c r="AA71" s="396"/>
      <c r="AB71" s="396"/>
      <c r="AC71" s="396"/>
      <c r="AD71" s="396"/>
      <c r="AE71" s="396"/>
      <c r="AF71" s="396"/>
      <c r="AG71" s="396"/>
      <c r="AH71" s="396"/>
      <c r="AI71" s="135"/>
      <c r="AJ71" s="204"/>
    </row>
    <row r="72" spans="2:36">
      <c r="B72" s="90" t="s">
        <v>113</v>
      </c>
      <c r="C72" s="95">
        <f t="shared" si="9"/>
        <v>865005</v>
      </c>
      <c r="D72" s="95">
        <f t="shared" si="10"/>
        <v>840165</v>
      </c>
      <c r="E72" s="95">
        <f t="shared" si="11"/>
        <v>792217</v>
      </c>
      <c r="F72" s="95">
        <f t="shared" si="12"/>
        <v>1371067</v>
      </c>
      <c r="G72" s="95">
        <f>IF(G23="march",Z38,IF(G23="december",G38,0))</f>
        <v>1547746</v>
      </c>
      <c r="H72" s="95">
        <f>IF(H23="march",AA38,IF(H23="december",H38,0))</f>
        <v>1859151</v>
      </c>
      <c r="I72" s="189">
        <f>'Data Conversion'!F198</f>
        <v>1548367</v>
      </c>
      <c r="J72" s="95">
        <f t="shared" si="14"/>
        <v>1965422</v>
      </c>
      <c r="K72" s="95">
        <f t="shared" si="15"/>
        <v>1945767</v>
      </c>
      <c r="L72" s="95">
        <f t="shared" si="16"/>
        <v>1789443</v>
      </c>
      <c r="M72" s="95">
        <f t="shared" si="17"/>
        <v>1733553</v>
      </c>
      <c r="N72" s="95">
        <f t="shared" si="18"/>
        <v>1647085</v>
      </c>
      <c r="O72" s="95">
        <f t="shared" si="19"/>
        <v>1097339</v>
      </c>
      <c r="P72" s="135"/>
      <c r="Q72" s="203">
        <f t="shared" si="20"/>
        <v>2.0023513169348028E-2</v>
      </c>
      <c r="T72" s="133"/>
      <c r="U72" s="135"/>
      <c r="V72" s="396"/>
      <c r="W72" s="396"/>
      <c r="X72" s="396"/>
      <c r="Y72" s="396"/>
      <c r="Z72" s="396"/>
      <c r="AA72" s="396"/>
      <c r="AB72" s="396"/>
      <c r="AC72" s="396"/>
      <c r="AD72" s="396"/>
      <c r="AE72" s="396"/>
      <c r="AF72" s="396"/>
      <c r="AG72" s="396"/>
      <c r="AH72" s="396"/>
      <c r="AI72" s="135"/>
      <c r="AJ72" s="204"/>
    </row>
    <row r="73" spans="2:36">
      <c r="B73" s="90" t="s">
        <v>112</v>
      </c>
      <c r="C73" s="95">
        <f t="shared" si="9"/>
        <v>12264092</v>
      </c>
      <c r="D73" s="95">
        <f t="shared" si="10"/>
        <v>14088383</v>
      </c>
      <c r="E73" s="95">
        <f t="shared" si="11"/>
        <v>16750604</v>
      </c>
      <c r="F73" s="95">
        <f t="shared" si="12"/>
        <v>19412575</v>
      </c>
      <c r="G73" s="95">
        <f>IF(G24="march",Z39,IF(G24="december",G39,0))</f>
        <v>21171015</v>
      </c>
      <c r="H73" s="95">
        <f>IF(H24="march",AA39,IF(H24="december",H39,0))</f>
        <v>22213307</v>
      </c>
      <c r="I73" s="95">
        <f>'Data Conversion'!F199</f>
        <v>18805061</v>
      </c>
      <c r="J73" s="95">
        <f t="shared" si="14"/>
        <v>23759250</v>
      </c>
      <c r="K73" s="95">
        <f t="shared" si="15"/>
        <v>22340375</v>
      </c>
      <c r="L73" s="95">
        <f t="shared" si="16"/>
        <v>19949689</v>
      </c>
      <c r="M73" s="95">
        <f t="shared" si="17"/>
        <v>18561598</v>
      </c>
      <c r="N73" s="95">
        <f t="shared" si="18"/>
        <v>18047403</v>
      </c>
      <c r="O73" s="95">
        <f t="shared" si="19"/>
        <v>17464792</v>
      </c>
      <c r="P73" s="135"/>
      <c r="Q73" s="203">
        <f t="shared" si="20"/>
        <v>2.9897494229479182E-2</v>
      </c>
      <c r="T73" s="133"/>
      <c r="U73" s="135"/>
      <c r="V73" s="396"/>
      <c r="W73" s="396"/>
      <c r="X73" s="396"/>
      <c r="Y73" s="396"/>
      <c r="Z73" s="396"/>
      <c r="AA73" s="396"/>
      <c r="AB73" s="396"/>
      <c r="AC73" s="396"/>
      <c r="AD73" s="396"/>
      <c r="AE73" s="396"/>
      <c r="AF73" s="396"/>
      <c r="AG73" s="396"/>
      <c r="AH73" s="396"/>
      <c r="AI73" s="135"/>
      <c r="AJ73" s="204"/>
    </row>
    <row r="74" spans="2:36">
      <c r="P74" s="133"/>
      <c r="Q74" s="204"/>
      <c r="T74" s="133"/>
      <c r="U74" s="133"/>
      <c r="V74" s="133"/>
      <c r="W74" s="133"/>
      <c r="X74" s="133"/>
      <c r="Y74" s="133"/>
      <c r="Z74" s="133"/>
      <c r="AA74" s="133"/>
      <c r="AB74" s="133"/>
      <c r="AC74" s="133"/>
      <c r="AD74" s="133"/>
      <c r="AE74" s="133"/>
      <c r="AF74" s="133"/>
      <c r="AG74" s="133"/>
      <c r="AH74" s="133"/>
      <c r="AI74" s="133"/>
      <c r="AJ74" s="397"/>
    </row>
    <row r="75" spans="2:36">
      <c r="B75" s="30" t="s">
        <v>223</v>
      </c>
      <c r="C75" s="205">
        <f t="shared" ref="C75:M75" si="21">SUM(C64:C73)</f>
        <v>157176261</v>
      </c>
      <c r="D75" s="205">
        <f t="shared" si="21"/>
        <v>155089095</v>
      </c>
      <c r="E75" s="205">
        <f t="shared" si="21"/>
        <v>160980870</v>
      </c>
      <c r="F75" s="205">
        <f t="shared" si="21"/>
        <v>169365369</v>
      </c>
      <c r="G75" s="205">
        <f t="shared" si="21"/>
        <v>177778356</v>
      </c>
      <c r="H75" s="205">
        <f t="shared" si="21"/>
        <v>185106660</v>
      </c>
      <c r="I75" s="205">
        <f t="shared" si="21"/>
        <v>139152229</v>
      </c>
      <c r="J75" s="205">
        <f t="shared" si="21"/>
        <v>191084125</v>
      </c>
      <c r="K75" s="205">
        <f t="shared" si="21"/>
        <v>185823936</v>
      </c>
      <c r="L75" s="205">
        <f t="shared" si="21"/>
        <v>175643640</v>
      </c>
      <c r="M75" s="205">
        <f t="shared" si="21"/>
        <v>170527014</v>
      </c>
      <c r="N75" s="205">
        <f>SUM(N64:N73)</f>
        <v>179437293</v>
      </c>
      <c r="O75" s="205">
        <f>SUM(O64:O73)</f>
        <v>180788855</v>
      </c>
      <c r="P75" s="131"/>
      <c r="Q75" s="203">
        <f>(O75/C75)^(1/($O$63-$C$63))-1</f>
        <v>1.1731779299614109E-2</v>
      </c>
      <c r="T75" s="106"/>
      <c r="U75" s="131"/>
      <c r="V75" s="396"/>
      <c r="W75" s="396"/>
      <c r="X75" s="396"/>
      <c r="Y75" s="396"/>
      <c r="Z75" s="396"/>
      <c r="AA75" s="396"/>
      <c r="AB75" s="396"/>
      <c r="AC75" s="396"/>
      <c r="AD75" s="396"/>
      <c r="AE75" s="396"/>
      <c r="AF75" s="396"/>
      <c r="AG75" s="396"/>
      <c r="AH75" s="396"/>
      <c r="AI75" s="131"/>
      <c r="AJ75" s="204"/>
    </row>
    <row r="76" spans="2:36">
      <c r="P76" s="133"/>
      <c r="T76" s="133"/>
      <c r="U76" s="133"/>
      <c r="V76" s="133"/>
      <c r="W76" s="133"/>
      <c r="X76" s="133"/>
      <c r="Y76" s="133"/>
      <c r="Z76" s="133"/>
      <c r="AA76" s="133"/>
      <c r="AB76" s="133"/>
      <c r="AC76" s="133"/>
      <c r="AD76" s="133"/>
      <c r="AE76" s="133"/>
      <c r="AF76" s="133"/>
      <c r="AG76" s="133"/>
      <c r="AH76" s="133"/>
      <c r="AI76" s="133"/>
      <c r="AJ76" s="133"/>
    </row>
    <row r="77" spans="2:36">
      <c r="B77" s="314" t="s">
        <v>317</v>
      </c>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row>
    <row r="78" spans="2:36">
      <c r="P78" s="133"/>
      <c r="T78" s="133"/>
      <c r="U78" s="133"/>
      <c r="V78" s="133"/>
      <c r="W78" s="133"/>
      <c r="X78" s="133"/>
      <c r="Y78" s="133"/>
      <c r="Z78" s="133"/>
      <c r="AA78" s="133"/>
      <c r="AB78" s="133"/>
      <c r="AC78" s="133"/>
      <c r="AD78" s="133"/>
      <c r="AE78" s="133"/>
      <c r="AF78" s="133"/>
      <c r="AG78" s="133"/>
      <c r="AH78" s="133"/>
      <c r="AI78" s="133"/>
      <c r="AJ78" s="133"/>
    </row>
    <row r="79" spans="2:36">
      <c r="B79" s="78" t="s">
        <v>232</v>
      </c>
      <c r="C79" s="196">
        <v>2000</v>
      </c>
      <c r="D79" s="196">
        <v>2001</v>
      </c>
      <c r="E79" s="196">
        <v>2002</v>
      </c>
      <c r="F79" s="196">
        <v>2003</v>
      </c>
      <c r="G79" s="196">
        <v>2004</v>
      </c>
      <c r="H79" s="196">
        <v>2005</v>
      </c>
      <c r="I79" s="196">
        <v>2006</v>
      </c>
      <c r="J79" s="196">
        <v>2007</v>
      </c>
      <c r="K79" s="196">
        <v>2008</v>
      </c>
      <c r="L79" s="196">
        <v>2009</v>
      </c>
      <c r="M79" s="196">
        <v>2010</v>
      </c>
      <c r="N79" s="196">
        <v>2011</v>
      </c>
      <c r="O79" s="196">
        <v>2012</v>
      </c>
      <c r="P79" s="167"/>
      <c r="Q79" s="30" t="s">
        <v>239</v>
      </c>
      <c r="T79" s="108"/>
      <c r="U79" s="167"/>
      <c r="V79" s="167"/>
      <c r="W79" s="167"/>
      <c r="X79" s="167"/>
      <c r="Y79" s="167"/>
      <c r="Z79" s="167"/>
      <c r="AA79" s="167"/>
      <c r="AB79" s="167"/>
      <c r="AC79" s="167"/>
      <c r="AD79" s="167"/>
      <c r="AE79" s="167"/>
      <c r="AF79" s="167"/>
      <c r="AG79" s="167"/>
      <c r="AH79" s="167"/>
      <c r="AI79" s="167"/>
      <c r="AJ79" s="106"/>
    </row>
    <row r="80" spans="2:36">
      <c r="B80" s="90" t="s">
        <v>116</v>
      </c>
      <c r="C80" s="95">
        <f t="shared" ref="C80:H85" si="22">IF(C15="march",V47,IF(C15="december",C47,0))</f>
        <v>79444</v>
      </c>
      <c r="D80" s="95">
        <f t="shared" si="22"/>
        <v>82961</v>
      </c>
      <c r="E80" s="95">
        <f t="shared" si="22"/>
        <v>78392</v>
      </c>
      <c r="F80" s="95">
        <f t="shared" si="22"/>
        <v>77454</v>
      </c>
      <c r="G80" s="95">
        <f t="shared" si="22"/>
        <v>82248</v>
      </c>
      <c r="H80" s="95">
        <f t="shared" si="22"/>
        <v>92092</v>
      </c>
      <c r="I80" s="189">
        <f>'Data Conversion'!L190</f>
        <v>75123</v>
      </c>
      <c r="J80" s="95">
        <f t="shared" ref="J80:J89" si="23">IF(J15="march",AC47,IF(J15="december",J47,0))</f>
        <v>102835</v>
      </c>
      <c r="K80" s="95">
        <f t="shared" ref="K80:K89" si="24">IF(K15="march",AD47,IF(K15="december",K47,0))</f>
        <v>100169</v>
      </c>
      <c r="L80" s="95">
        <f t="shared" ref="L80:L89" si="25">IF(L15="march",AE47,IF(L15="december",L47,0))</f>
        <v>94386</v>
      </c>
      <c r="M80" s="95">
        <f t="shared" ref="M80:M89" si="26">IF(M15="march",AF47,IF(M15="december",M47,0))</f>
        <v>87950</v>
      </c>
      <c r="N80" s="95">
        <f t="shared" ref="N80:O89" si="27">IF(N15="march",AG47,IF(N15="december",N47,0))</f>
        <v>95255</v>
      </c>
      <c r="O80" s="95">
        <f>IF(O15="march",AH47,IF(O15="december",O47,0))</f>
        <v>101167</v>
      </c>
      <c r="P80" s="135"/>
      <c r="Q80" s="203">
        <f>(O80/C80)^(1/($O$79-$C$79))-1</f>
        <v>2.0347600264350563E-2</v>
      </c>
      <c r="T80" s="133"/>
      <c r="U80" s="135"/>
      <c r="V80" s="396"/>
      <c r="W80" s="396"/>
      <c r="X80" s="396"/>
      <c r="Y80" s="396"/>
      <c r="Z80" s="396"/>
      <c r="AA80" s="396"/>
      <c r="AB80" s="396"/>
      <c r="AC80" s="396"/>
      <c r="AD80" s="396"/>
      <c r="AE80" s="396"/>
      <c r="AF80" s="396"/>
      <c r="AG80" s="396"/>
      <c r="AH80" s="396"/>
      <c r="AI80" s="135"/>
      <c r="AJ80" s="204"/>
    </row>
    <row r="81" spans="2:36">
      <c r="B81" s="90" t="s">
        <v>155</v>
      </c>
      <c r="C81" s="95">
        <f t="shared" si="22"/>
        <v>109968</v>
      </c>
      <c r="D81" s="95">
        <f t="shared" si="22"/>
        <v>109322</v>
      </c>
      <c r="E81" s="95">
        <f t="shared" si="22"/>
        <v>115186</v>
      </c>
      <c r="F81" s="95">
        <f t="shared" si="22"/>
        <v>116138</v>
      </c>
      <c r="G81" s="95">
        <f t="shared" si="22"/>
        <v>107259</v>
      </c>
      <c r="H81" s="95">
        <f t="shared" si="22"/>
        <v>112960</v>
      </c>
      <c r="I81" s="95">
        <f>IF(I16="march",AB48,IF(I16="december",I48,0))</f>
        <v>107900</v>
      </c>
      <c r="J81" s="95">
        <f t="shared" si="23"/>
        <v>103670</v>
      </c>
      <c r="K81" s="95">
        <f t="shared" si="24"/>
        <v>101496</v>
      </c>
      <c r="L81" s="95">
        <f t="shared" si="25"/>
        <v>91337</v>
      </c>
      <c r="M81" s="95">
        <f t="shared" si="26"/>
        <v>84160</v>
      </c>
      <c r="N81" s="95">
        <f t="shared" si="27"/>
        <v>83337</v>
      </c>
      <c r="O81" s="95">
        <f t="shared" si="27"/>
        <v>83101</v>
      </c>
      <c r="P81" s="135"/>
      <c r="Q81" s="203">
        <f t="shared" ref="Q81:Q89" si="28">(O81/C81)^(1/($O$79-$C$79))-1</f>
        <v>-2.307401761642669E-2</v>
      </c>
      <c r="T81" s="133"/>
      <c r="U81" s="135"/>
      <c r="V81" s="396"/>
      <c r="W81" s="396"/>
      <c r="X81" s="396"/>
      <c r="Y81" s="396"/>
      <c r="Z81" s="396"/>
      <c r="AA81" s="396"/>
      <c r="AB81" s="396"/>
      <c r="AC81" s="396"/>
      <c r="AD81" s="396"/>
      <c r="AE81" s="396"/>
      <c r="AF81" s="396"/>
      <c r="AG81" s="396"/>
      <c r="AH81" s="396"/>
      <c r="AI81" s="135"/>
      <c r="AJ81" s="204"/>
    </row>
    <row r="82" spans="2:36">
      <c r="B82" s="90" t="s">
        <v>115</v>
      </c>
      <c r="C82" s="95">
        <f t="shared" si="22"/>
        <v>87893</v>
      </c>
      <c r="D82" s="95">
        <f t="shared" si="22"/>
        <v>100771</v>
      </c>
      <c r="E82" s="95">
        <f t="shared" si="22"/>
        <v>105230</v>
      </c>
      <c r="F82" s="95">
        <f t="shared" si="22"/>
        <v>106779</v>
      </c>
      <c r="G82" s="95">
        <f t="shared" si="22"/>
        <v>111722</v>
      </c>
      <c r="H82" s="95">
        <f t="shared" si="22"/>
        <v>116442</v>
      </c>
      <c r="I82" s="189">
        <f>'Data Conversion'!L192</f>
        <v>88551</v>
      </c>
      <c r="J82" s="95">
        <f t="shared" si="23"/>
        <v>115190</v>
      </c>
      <c r="K82" s="95">
        <f t="shared" si="24"/>
        <v>113535</v>
      </c>
      <c r="L82" s="95">
        <f t="shared" si="25"/>
        <v>106477</v>
      </c>
      <c r="M82" s="95">
        <f t="shared" si="26"/>
        <v>100584</v>
      </c>
      <c r="N82" s="95">
        <f t="shared" si="27"/>
        <v>105371</v>
      </c>
      <c r="O82" s="95">
        <f t="shared" si="27"/>
        <v>104747</v>
      </c>
      <c r="P82" s="135"/>
      <c r="Q82" s="203">
        <f t="shared" si="28"/>
        <v>1.4726359336949546E-2</v>
      </c>
      <c r="T82" s="133"/>
      <c r="U82" s="135"/>
      <c r="V82" s="396"/>
      <c r="W82" s="396"/>
      <c r="X82" s="396"/>
      <c r="Y82" s="396"/>
      <c r="Z82" s="396"/>
      <c r="AA82" s="396"/>
      <c r="AB82" s="396"/>
      <c r="AC82" s="396"/>
      <c r="AD82" s="396"/>
      <c r="AE82" s="396"/>
      <c r="AF82" s="396"/>
      <c r="AG82" s="396"/>
      <c r="AH82" s="396"/>
      <c r="AI82" s="135"/>
      <c r="AJ82" s="204"/>
    </row>
    <row r="83" spans="2:36">
      <c r="B83" s="90" t="s">
        <v>107</v>
      </c>
      <c r="C83" s="95">
        <f t="shared" si="22"/>
        <v>250621</v>
      </c>
      <c r="D83" s="95">
        <f t="shared" si="22"/>
        <v>237543</v>
      </c>
      <c r="E83" s="95">
        <f t="shared" si="22"/>
        <v>236499</v>
      </c>
      <c r="F83" s="95">
        <f t="shared" si="22"/>
        <v>233614</v>
      </c>
      <c r="G83" s="95">
        <f t="shared" si="22"/>
        <v>244941</v>
      </c>
      <c r="H83" s="95">
        <f t="shared" si="22"/>
        <v>253789</v>
      </c>
      <c r="I83" s="189">
        <f>'Data Conversion'!L193</f>
        <v>197514</v>
      </c>
      <c r="J83" s="95">
        <f t="shared" si="23"/>
        <v>258921</v>
      </c>
      <c r="K83" s="95">
        <f t="shared" si="24"/>
        <v>256352</v>
      </c>
      <c r="L83" s="95">
        <f t="shared" si="25"/>
        <v>244571</v>
      </c>
      <c r="M83" s="95">
        <f t="shared" si="26"/>
        <v>235625</v>
      </c>
      <c r="N83" s="95">
        <f t="shared" si="27"/>
        <v>242312</v>
      </c>
      <c r="O83" s="95">
        <f t="shared" si="27"/>
        <v>135210</v>
      </c>
      <c r="P83" s="135"/>
      <c r="Q83" s="203">
        <f t="shared" si="28"/>
        <v>-5.0126118362915473E-2</v>
      </c>
      <c r="T83" s="133"/>
      <c r="U83" s="135"/>
      <c r="V83" s="396"/>
      <c r="W83" s="396"/>
      <c r="X83" s="396"/>
      <c r="Y83" s="396"/>
      <c r="Z83" s="396"/>
      <c r="AA83" s="396"/>
      <c r="AB83" s="396"/>
      <c r="AC83" s="396"/>
      <c r="AD83" s="396"/>
      <c r="AE83" s="396"/>
      <c r="AF83" s="396"/>
      <c r="AG83" s="396"/>
      <c r="AH83" s="396"/>
      <c r="AI83" s="135"/>
      <c r="AJ83" s="204"/>
    </row>
    <row r="84" spans="2:36">
      <c r="B84" s="90" t="s">
        <v>114</v>
      </c>
      <c r="C84" s="95">
        <f t="shared" si="22"/>
        <v>88233</v>
      </c>
      <c r="D84" s="95">
        <f t="shared" si="22"/>
        <v>89858</v>
      </c>
      <c r="E84" s="95">
        <f t="shared" si="22"/>
        <v>87830</v>
      </c>
      <c r="F84" s="95">
        <f t="shared" si="22"/>
        <v>88282</v>
      </c>
      <c r="G84" s="95">
        <f t="shared" si="22"/>
        <v>92766</v>
      </c>
      <c r="H84" s="95">
        <f t="shared" si="22"/>
        <v>97279</v>
      </c>
      <c r="I84" s="189">
        <f>'Data Conversion'!L194</f>
        <v>75508</v>
      </c>
      <c r="J84" s="95">
        <f t="shared" si="23"/>
        <v>93668</v>
      </c>
      <c r="K84" s="95">
        <f t="shared" si="24"/>
        <v>86647</v>
      </c>
      <c r="L84" s="95">
        <f t="shared" si="25"/>
        <v>74051</v>
      </c>
      <c r="M84" s="95">
        <f t="shared" si="26"/>
        <v>68871</v>
      </c>
      <c r="N84" s="95">
        <f t="shared" si="27"/>
        <v>70112</v>
      </c>
      <c r="O84" s="95">
        <f t="shared" si="27"/>
        <v>73346</v>
      </c>
      <c r="P84" s="135"/>
      <c r="Q84" s="203">
        <f t="shared" si="28"/>
        <v>-1.5281457917383778E-2</v>
      </c>
      <c r="T84" s="133"/>
      <c r="U84" s="135"/>
      <c r="V84" s="396"/>
      <c r="W84" s="396"/>
      <c r="X84" s="396"/>
      <c r="Y84" s="396"/>
      <c r="Z84" s="396"/>
      <c r="AA84" s="396"/>
      <c r="AB84" s="396"/>
      <c r="AC84" s="396"/>
      <c r="AD84" s="396"/>
      <c r="AE84" s="396"/>
      <c r="AF84" s="396"/>
      <c r="AG84" s="396"/>
      <c r="AH84" s="396"/>
      <c r="AI84" s="135"/>
      <c r="AJ84" s="204"/>
    </row>
    <row r="85" spans="2:36">
      <c r="B85" s="90" t="s">
        <v>105</v>
      </c>
      <c r="C85" s="95">
        <f t="shared" si="22"/>
        <v>459490</v>
      </c>
      <c r="D85" s="95">
        <f t="shared" si="22"/>
        <v>455871</v>
      </c>
      <c r="E85" s="95">
        <f t="shared" si="22"/>
        <v>461118</v>
      </c>
      <c r="F85" s="95">
        <f t="shared" si="22"/>
        <v>460787</v>
      </c>
      <c r="G85" s="95">
        <f t="shared" si="22"/>
        <v>469607</v>
      </c>
      <c r="H85" s="95">
        <f t="shared" si="22"/>
        <v>473019</v>
      </c>
      <c r="I85" s="189">
        <f>'Data Conversion'!M195</f>
        <v>236235</v>
      </c>
      <c r="J85" s="95">
        <f t="shared" si="23"/>
        <v>475789</v>
      </c>
      <c r="K85" s="95">
        <f t="shared" si="24"/>
        <v>473207</v>
      </c>
      <c r="L85" s="95">
        <f t="shared" si="25"/>
        <v>460178</v>
      </c>
      <c r="M85" s="95">
        <f t="shared" si="26"/>
        <v>449271</v>
      </c>
      <c r="N85" s="95">
        <f t="shared" si="27"/>
        <v>476342</v>
      </c>
      <c r="O85" s="95">
        <f t="shared" si="27"/>
        <v>471663</v>
      </c>
      <c r="P85" s="135"/>
      <c r="Q85" s="203">
        <f t="shared" si="28"/>
        <v>2.1813397302223869E-3</v>
      </c>
      <c r="T85" s="133"/>
      <c r="U85" s="135"/>
      <c r="V85" s="396"/>
      <c r="W85" s="396"/>
      <c r="X85" s="396"/>
      <c r="Y85" s="396"/>
      <c r="Z85" s="396"/>
      <c r="AA85" s="396"/>
      <c r="AB85" s="396"/>
      <c r="AC85" s="396"/>
      <c r="AD85" s="396"/>
      <c r="AE85" s="396"/>
      <c r="AF85" s="396"/>
      <c r="AG85" s="396"/>
      <c r="AH85" s="396"/>
      <c r="AI85" s="135"/>
      <c r="AJ85" s="204"/>
    </row>
    <row r="86" spans="2:36">
      <c r="B86" s="90" t="s">
        <v>156</v>
      </c>
      <c r="C86" s="95">
        <f t="shared" ref="C86:F89" si="29">IF(C21="march",V53,IF(C21="december",C53,0))</f>
        <v>56482</v>
      </c>
      <c r="D86" s="95">
        <f t="shared" si="29"/>
        <v>54903</v>
      </c>
      <c r="E86" s="95">
        <f t="shared" si="29"/>
        <v>56499</v>
      </c>
      <c r="F86" s="95">
        <f t="shared" si="29"/>
        <v>59122</v>
      </c>
      <c r="G86" s="189">
        <f>'Data Conversion'!K196</f>
        <v>50397</v>
      </c>
      <c r="H86" s="95">
        <f>IF(H21="march",AA53,IF(H21="december",H53,0))</f>
        <v>75424</v>
      </c>
      <c r="I86" s="95">
        <f>IF(I21="march",AB53,IF(I21="december",I53,0))</f>
        <v>78840</v>
      </c>
      <c r="J86" s="95">
        <f t="shared" si="23"/>
        <v>83319</v>
      </c>
      <c r="K86" s="95">
        <f t="shared" si="24"/>
        <v>85661</v>
      </c>
      <c r="L86" s="95">
        <f t="shared" si="25"/>
        <v>75093</v>
      </c>
      <c r="M86" s="95">
        <f t="shared" si="26"/>
        <v>68571</v>
      </c>
      <c r="N86" s="95">
        <f t="shared" si="27"/>
        <v>72403</v>
      </c>
      <c r="O86" s="95">
        <f t="shared" si="27"/>
        <v>73658</v>
      </c>
      <c r="P86" s="135"/>
      <c r="Q86" s="203">
        <f t="shared" si="28"/>
        <v>2.2372489277640906E-2</v>
      </c>
      <c r="T86" s="133"/>
      <c r="U86" s="135"/>
      <c r="V86" s="396"/>
      <c r="W86" s="396"/>
      <c r="X86" s="396"/>
      <c r="Y86" s="396"/>
      <c r="Z86" s="396"/>
      <c r="AA86" s="396"/>
      <c r="AB86" s="396"/>
      <c r="AC86" s="396"/>
      <c r="AD86" s="396"/>
      <c r="AE86" s="396"/>
      <c r="AF86" s="396"/>
      <c r="AG86" s="396"/>
      <c r="AH86" s="396"/>
      <c r="AI86" s="135"/>
      <c r="AJ86" s="204"/>
    </row>
    <row r="87" spans="2:36">
      <c r="B87" s="90" t="s">
        <v>204</v>
      </c>
      <c r="C87" s="95">
        <f t="shared" si="29"/>
        <v>178493</v>
      </c>
      <c r="D87" s="95">
        <f t="shared" si="29"/>
        <v>181384</v>
      </c>
      <c r="E87" s="95">
        <f t="shared" si="29"/>
        <v>179245</v>
      </c>
      <c r="F87" s="95">
        <f t="shared" si="29"/>
        <v>196723</v>
      </c>
      <c r="G87" s="95">
        <f>IF(G22="march",Z54,IF(G22="december",G54,0))</f>
        <v>211900</v>
      </c>
      <c r="H87" s="95">
        <f>IF(H22="march",AA54,IF(H22="december",H54,0))</f>
        <v>217115</v>
      </c>
      <c r="I87" s="95">
        <f>IF(I22="march",AB54,IF(I22="december",I54,0))</f>
        <v>211269</v>
      </c>
      <c r="J87" s="95">
        <f t="shared" si="23"/>
        <v>204651</v>
      </c>
      <c r="K87" s="95">
        <f t="shared" si="24"/>
        <v>184661</v>
      </c>
      <c r="L87" s="95">
        <f t="shared" si="25"/>
        <v>156332</v>
      </c>
      <c r="M87" s="95">
        <f t="shared" si="26"/>
        <v>150557</v>
      </c>
      <c r="N87" s="95">
        <f t="shared" si="27"/>
        <v>159283</v>
      </c>
      <c r="O87" s="95">
        <f t="shared" si="27"/>
        <v>159014</v>
      </c>
      <c r="P87" s="135"/>
      <c r="Q87" s="203">
        <f t="shared" si="28"/>
        <v>-9.5835436644546856E-3</v>
      </c>
      <c r="T87" s="133"/>
      <c r="U87" s="135"/>
      <c r="V87" s="396"/>
      <c r="W87" s="396"/>
      <c r="X87" s="396"/>
      <c r="Y87" s="396"/>
      <c r="Z87" s="396"/>
      <c r="AA87" s="396"/>
      <c r="AB87" s="396"/>
      <c r="AC87" s="396"/>
      <c r="AD87" s="396"/>
      <c r="AE87" s="396"/>
      <c r="AF87" s="396"/>
      <c r="AG87" s="396"/>
      <c r="AH87" s="396"/>
      <c r="AI87" s="135"/>
      <c r="AJ87" s="204"/>
    </row>
    <row r="88" spans="2:36">
      <c r="B88" s="90" t="s">
        <v>113</v>
      </c>
      <c r="C88" s="95">
        <f t="shared" si="29"/>
        <v>27940</v>
      </c>
      <c r="D88" s="95">
        <f t="shared" si="29"/>
        <v>28140</v>
      </c>
      <c r="E88" s="95">
        <f t="shared" si="29"/>
        <v>27518</v>
      </c>
      <c r="F88" s="95">
        <f t="shared" si="29"/>
        <v>34745</v>
      </c>
      <c r="G88" s="95">
        <f>IF(G23="march",Z55,IF(G23="december",G55,0))</f>
        <v>37729</v>
      </c>
      <c r="H88" s="95">
        <f>IF(H23="march",AA55,IF(H23="december",H55,0))</f>
        <v>45044</v>
      </c>
      <c r="I88" s="189">
        <f>'Data Conversion'!L198</f>
        <v>35972</v>
      </c>
      <c r="J88" s="95">
        <f t="shared" si="23"/>
        <v>47016</v>
      </c>
      <c r="K88" s="95">
        <f t="shared" si="24"/>
        <v>44525</v>
      </c>
      <c r="L88" s="95">
        <f t="shared" si="25"/>
        <v>40520</v>
      </c>
      <c r="M88" s="95">
        <f t="shared" si="26"/>
        <v>40333</v>
      </c>
      <c r="N88" s="95">
        <f t="shared" si="27"/>
        <v>38101</v>
      </c>
      <c r="O88" s="95">
        <f t="shared" si="27"/>
        <v>22459</v>
      </c>
      <c r="P88" s="135"/>
      <c r="Q88" s="203">
        <f t="shared" si="28"/>
        <v>-1.8032755829250791E-2</v>
      </c>
      <c r="T88" s="133"/>
      <c r="U88" s="135"/>
      <c r="V88" s="396"/>
      <c r="W88" s="396"/>
      <c r="X88" s="396"/>
      <c r="Y88" s="396"/>
      <c r="Z88" s="396"/>
      <c r="AA88" s="396"/>
      <c r="AB88" s="396"/>
      <c r="AC88" s="396"/>
      <c r="AD88" s="396"/>
      <c r="AE88" s="396"/>
      <c r="AF88" s="396"/>
      <c r="AG88" s="396"/>
      <c r="AH88" s="396"/>
      <c r="AI88" s="135"/>
      <c r="AJ88" s="204"/>
    </row>
    <row r="89" spans="2:36">
      <c r="B89" s="90" t="s">
        <v>112</v>
      </c>
      <c r="C89" s="95">
        <f t="shared" si="29"/>
        <v>144914</v>
      </c>
      <c r="D89" s="95">
        <f t="shared" si="29"/>
        <v>148281</v>
      </c>
      <c r="E89" s="95">
        <f t="shared" si="29"/>
        <v>159739</v>
      </c>
      <c r="F89" s="95">
        <f t="shared" si="29"/>
        <v>171492</v>
      </c>
      <c r="G89" s="95">
        <f>IF(G24="march",Z56,IF(G24="december",G56,0))</f>
        <v>176319</v>
      </c>
      <c r="H89" s="95">
        <f>IF(H24="march",AA56,IF(H24="december",H56,0))</f>
        <v>180332</v>
      </c>
      <c r="I89" s="95">
        <f>'Data Conversion'!L199</f>
        <v>147271</v>
      </c>
      <c r="J89" s="95">
        <f t="shared" si="23"/>
        <v>191522</v>
      </c>
      <c r="K89" s="95">
        <f t="shared" si="24"/>
        <v>177285</v>
      </c>
      <c r="L89" s="95">
        <f t="shared" si="25"/>
        <v>155985</v>
      </c>
      <c r="M89" s="95">
        <f t="shared" si="26"/>
        <v>142993</v>
      </c>
      <c r="N89" s="95">
        <f t="shared" si="27"/>
        <v>137026</v>
      </c>
      <c r="O89" s="95">
        <f t="shared" si="27"/>
        <v>132092</v>
      </c>
      <c r="P89" s="135"/>
      <c r="Q89" s="203">
        <f t="shared" si="28"/>
        <v>-7.6904272986398903E-3</v>
      </c>
      <c r="T89" s="133"/>
      <c r="U89" s="135"/>
      <c r="V89" s="396"/>
      <c r="W89" s="396"/>
      <c r="X89" s="396"/>
      <c r="Y89" s="396"/>
      <c r="Z89" s="396"/>
      <c r="AA89" s="396"/>
      <c r="AB89" s="396"/>
      <c r="AC89" s="396"/>
      <c r="AD89" s="396"/>
      <c r="AE89" s="396"/>
      <c r="AF89" s="396"/>
      <c r="AG89" s="396"/>
      <c r="AH89" s="396"/>
      <c r="AI89" s="135"/>
      <c r="AJ89" s="204"/>
    </row>
    <row r="90" spans="2:36">
      <c r="C90" s="66"/>
      <c r="D90" s="206"/>
      <c r="E90" s="206"/>
      <c r="F90" s="206"/>
      <c r="G90" s="206"/>
      <c r="H90" s="206"/>
      <c r="I90" s="206"/>
      <c r="J90" s="206"/>
      <c r="K90" s="206"/>
      <c r="L90" s="206"/>
      <c r="M90" s="206"/>
      <c r="N90" s="206"/>
      <c r="O90" s="206"/>
      <c r="P90" s="139"/>
      <c r="Q90" s="204"/>
      <c r="T90" s="133"/>
      <c r="U90" s="133"/>
      <c r="V90" s="133"/>
      <c r="W90" s="133"/>
      <c r="X90" s="133"/>
      <c r="Y90" s="133"/>
      <c r="Z90" s="133"/>
      <c r="AA90" s="133"/>
      <c r="AB90" s="133"/>
      <c r="AC90" s="133"/>
      <c r="AD90" s="133"/>
      <c r="AE90" s="133"/>
      <c r="AF90" s="133"/>
      <c r="AG90" s="133"/>
      <c r="AH90" s="133"/>
      <c r="AI90" s="133"/>
      <c r="AJ90" s="397"/>
    </row>
    <row r="91" spans="2:36">
      <c r="B91" s="30" t="s">
        <v>106</v>
      </c>
      <c r="C91" s="207">
        <f t="shared" ref="C91:M91" si="30">SUM(C80:C89)</f>
        <v>1483478</v>
      </c>
      <c r="D91" s="207">
        <f>SUM(D80:D90)</f>
        <v>1489034</v>
      </c>
      <c r="E91" s="207">
        <f t="shared" si="30"/>
        <v>1507256</v>
      </c>
      <c r="F91" s="207">
        <f t="shared" si="30"/>
        <v>1545136</v>
      </c>
      <c r="G91" s="207">
        <f t="shared" si="30"/>
        <v>1584888</v>
      </c>
      <c r="H91" s="207">
        <f t="shared" si="30"/>
        <v>1663496</v>
      </c>
      <c r="I91" s="207">
        <f t="shared" si="30"/>
        <v>1254183</v>
      </c>
      <c r="J91" s="207">
        <f t="shared" si="30"/>
        <v>1676581</v>
      </c>
      <c r="K91" s="207">
        <f t="shared" si="30"/>
        <v>1623538</v>
      </c>
      <c r="L91" s="207">
        <f t="shared" si="30"/>
        <v>1498930</v>
      </c>
      <c r="M91" s="207">
        <f t="shared" si="30"/>
        <v>1428915</v>
      </c>
      <c r="N91" s="207">
        <f>SUM(N80:N89)</f>
        <v>1479542</v>
      </c>
      <c r="O91" s="207">
        <f>SUM(O80:O89)</f>
        <v>1356457</v>
      </c>
      <c r="P91" s="135"/>
      <c r="Q91" s="203">
        <f>(O91/C91)^(1/($O$79-$C$79))-1</f>
        <v>-7.4316789447012033E-3</v>
      </c>
      <c r="T91" s="106"/>
      <c r="U91" s="131"/>
      <c r="V91" s="396"/>
      <c r="W91" s="396"/>
      <c r="X91" s="396"/>
      <c r="Y91" s="396"/>
      <c r="Z91" s="396"/>
      <c r="AA91" s="396"/>
      <c r="AB91" s="396"/>
      <c r="AC91" s="396"/>
      <c r="AD91" s="396"/>
      <c r="AE91" s="396"/>
      <c r="AF91" s="396"/>
      <c r="AG91" s="396"/>
      <c r="AH91" s="396"/>
      <c r="AI91" s="131"/>
      <c r="AJ91" s="204"/>
    </row>
    <row r="92" spans="2:36" s="133" customFormat="1">
      <c r="B92" s="106"/>
      <c r="C92" s="135"/>
      <c r="D92" s="135"/>
      <c r="E92" s="135"/>
      <c r="F92" s="135"/>
      <c r="G92" s="135"/>
      <c r="H92" s="135"/>
      <c r="I92" s="135"/>
      <c r="J92" s="135"/>
      <c r="K92" s="135"/>
      <c r="L92" s="135"/>
      <c r="M92" s="135"/>
      <c r="N92" s="135"/>
      <c r="O92" s="135"/>
      <c r="P92" s="135"/>
      <c r="Q92" s="204"/>
      <c r="T92" s="106"/>
      <c r="U92" s="131"/>
      <c r="V92" s="396"/>
      <c r="W92" s="396"/>
      <c r="X92" s="396"/>
      <c r="Y92" s="396"/>
      <c r="Z92" s="396"/>
      <c r="AA92" s="396"/>
      <c r="AB92" s="396"/>
      <c r="AC92" s="396"/>
      <c r="AD92" s="396"/>
      <c r="AE92" s="396"/>
      <c r="AF92" s="396"/>
      <c r="AG92" s="396"/>
      <c r="AH92" s="396"/>
      <c r="AI92" s="131"/>
      <c r="AJ92" s="204"/>
    </row>
    <row r="94" spans="2:36">
      <c r="B94" s="314" t="s">
        <v>314</v>
      </c>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row>
    <row r="96" spans="2:36">
      <c r="B96" s="78" t="s">
        <v>210</v>
      </c>
      <c r="C96" s="196">
        <v>2000</v>
      </c>
      <c r="D96" s="196">
        <v>2001</v>
      </c>
      <c r="E96" s="196">
        <v>2002</v>
      </c>
      <c r="F96" s="196">
        <v>2003</v>
      </c>
      <c r="G96" s="196">
        <v>2004</v>
      </c>
      <c r="H96" s="196">
        <v>2005</v>
      </c>
      <c r="I96" s="196">
        <v>2006</v>
      </c>
      <c r="J96" s="196">
        <v>2007</v>
      </c>
      <c r="K96" s="196">
        <v>2008</v>
      </c>
      <c r="L96" s="196">
        <v>2009</v>
      </c>
      <c r="M96" s="196">
        <v>2010</v>
      </c>
      <c r="N96" s="196">
        <v>2011</v>
      </c>
      <c r="O96" s="196">
        <v>2012</v>
      </c>
      <c r="P96" s="196"/>
      <c r="Q96" s="30" t="s">
        <v>239</v>
      </c>
      <c r="T96" s="108"/>
      <c r="U96" s="167"/>
      <c r="V96" s="167"/>
      <c r="W96" s="167"/>
      <c r="X96" s="167"/>
      <c r="Y96" s="167"/>
      <c r="Z96" s="167"/>
      <c r="AA96" s="167"/>
      <c r="AB96" s="167"/>
      <c r="AC96" s="167"/>
      <c r="AD96" s="167"/>
      <c r="AE96" s="167"/>
      <c r="AF96" s="167"/>
      <c r="AG96" s="167"/>
      <c r="AH96" s="167"/>
      <c r="AI96" s="133"/>
      <c r="AJ96" s="77"/>
    </row>
    <row r="97" spans="2:36">
      <c r="B97" s="90" t="s">
        <v>116</v>
      </c>
      <c r="C97" s="95">
        <f>ABD!D61</f>
        <v>217</v>
      </c>
      <c r="D97" s="95">
        <f>ABD!E61</f>
        <v>203</v>
      </c>
      <c r="E97" s="95">
        <f>ABD!F61</f>
        <v>220</v>
      </c>
      <c r="F97" s="95">
        <f>ABD!G61</f>
        <v>232</v>
      </c>
      <c r="G97" s="95">
        <f>ABD!H61</f>
        <v>233</v>
      </c>
      <c r="H97" s="95">
        <f>ABD!I61</f>
        <v>232</v>
      </c>
      <c r="I97" s="95">
        <f>ABD!J61</f>
        <v>241</v>
      </c>
      <c r="J97" s="95">
        <f>ABD!K61</f>
        <v>257</v>
      </c>
      <c r="K97" s="95">
        <f>ABD!L61</f>
        <v>245</v>
      </c>
      <c r="L97" s="95">
        <f>ABD!M61</f>
        <v>242</v>
      </c>
      <c r="M97" s="95">
        <f>ABD!N61</f>
        <v>240</v>
      </c>
      <c r="N97" s="95">
        <f>ABD!O61</f>
        <v>238</v>
      </c>
      <c r="O97" s="189">
        <f>N97</f>
        <v>238</v>
      </c>
      <c r="P97" s="135"/>
      <c r="Q97" s="203">
        <f>(O97/C97)^(1/($O$96-$C$96))-1</f>
        <v>7.7274807299430037E-3</v>
      </c>
      <c r="T97" s="133"/>
      <c r="U97" s="135"/>
      <c r="V97" s="135"/>
      <c r="W97" s="135"/>
      <c r="X97" s="135"/>
      <c r="Y97" s="135"/>
      <c r="Z97" s="135"/>
      <c r="AA97" s="135"/>
      <c r="AB97" s="135"/>
      <c r="AC97" s="135"/>
      <c r="AD97" s="135"/>
      <c r="AE97" s="135"/>
      <c r="AF97" s="135"/>
      <c r="AG97" s="135"/>
      <c r="AH97" s="135"/>
      <c r="AI97" s="133"/>
      <c r="AJ97" s="135"/>
    </row>
    <row r="98" spans="2:36">
      <c r="B98" s="90" t="s">
        <v>155</v>
      </c>
      <c r="C98" s="95">
        <f>BIR!D57</f>
        <v>697</v>
      </c>
      <c r="D98" s="95">
        <f>BIR!E57</f>
        <v>703</v>
      </c>
      <c r="E98" s="95">
        <f>BIR!F57</f>
        <v>685</v>
      </c>
      <c r="F98" s="95">
        <f>BIR!G57</f>
        <v>689</v>
      </c>
      <c r="G98" s="95">
        <f>BIR!H57</f>
        <v>691</v>
      </c>
      <c r="H98" s="95">
        <f>BIR!I57</f>
        <v>645</v>
      </c>
      <c r="I98" s="95">
        <f>BIR!J57</f>
        <v>626</v>
      </c>
      <c r="J98" s="95">
        <f>BIR!K57</f>
        <v>675</v>
      </c>
      <c r="K98" s="95">
        <f>BIR!L57</f>
        <v>695</v>
      </c>
      <c r="L98" s="95">
        <f>BIR!M57</f>
        <v>641</v>
      </c>
      <c r="M98" s="95">
        <f>BIR!N57</f>
        <v>566</v>
      </c>
      <c r="N98" s="95">
        <f>BIR!O57</f>
        <v>537</v>
      </c>
      <c r="O98" s="189">
        <f>N98</f>
        <v>537</v>
      </c>
      <c r="P98" s="135"/>
      <c r="Q98" s="203">
        <f t="shared" ref="Q98:Q106" si="31">(O98/C98)^(1/($O$96-$C$96))-1</f>
        <v>-2.1497831845418314E-2</v>
      </c>
      <c r="T98" s="133"/>
      <c r="U98" s="135"/>
      <c r="V98" s="135"/>
      <c r="W98" s="135"/>
      <c r="X98" s="135"/>
      <c r="Y98" s="135"/>
      <c r="Z98" s="135"/>
      <c r="AA98" s="135"/>
      <c r="AB98" s="135"/>
      <c r="AC98" s="135"/>
      <c r="AD98" s="135"/>
      <c r="AE98" s="135"/>
      <c r="AF98" s="135"/>
      <c r="AG98" s="135"/>
      <c r="AH98" s="135"/>
      <c r="AI98" s="133"/>
      <c r="AJ98" s="135"/>
    </row>
    <row r="99" spans="2:36">
      <c r="B99" s="90" t="s">
        <v>115</v>
      </c>
      <c r="C99" s="95">
        <f>EDIN!D62</f>
        <v>390</v>
      </c>
      <c r="D99" s="95">
        <f>EDIN!E62</f>
        <v>383</v>
      </c>
      <c r="E99" s="95">
        <f>EDIN!F62</f>
        <v>405</v>
      </c>
      <c r="F99" s="95">
        <f>EDIN!G62</f>
        <v>429</v>
      </c>
      <c r="G99" s="95">
        <f>EDIN!H62</f>
        <v>406</v>
      </c>
      <c r="H99" s="95">
        <f>EDIN!I62</f>
        <v>387</v>
      </c>
      <c r="I99" s="95">
        <f>EDIN!J62</f>
        <v>423</v>
      </c>
      <c r="J99" s="95">
        <f>EDIN!K62</f>
        <v>446</v>
      </c>
      <c r="K99" s="95">
        <f>EDIN!L62</f>
        <v>413</v>
      </c>
      <c r="L99" s="95">
        <f>EDIN!M62</f>
        <v>413</v>
      </c>
      <c r="M99" s="95">
        <f>EDIN!N62</f>
        <v>431</v>
      </c>
      <c r="N99" s="95">
        <f>EDIN!O62</f>
        <v>454</v>
      </c>
      <c r="O99" s="95">
        <f>EDIN!P62</f>
        <v>455</v>
      </c>
      <c r="P99" s="135"/>
      <c r="Q99" s="203">
        <f t="shared" si="31"/>
        <v>1.2928752866029347E-2</v>
      </c>
      <c r="T99" s="133"/>
      <c r="U99" s="135"/>
      <c r="V99" s="135"/>
      <c r="W99" s="135"/>
      <c r="X99" s="135"/>
      <c r="Y99" s="135"/>
      <c r="Z99" s="135"/>
      <c r="AA99" s="135"/>
      <c r="AB99" s="135"/>
      <c r="AC99" s="135"/>
      <c r="AD99" s="135"/>
      <c r="AE99" s="135"/>
      <c r="AF99" s="135"/>
      <c r="AG99" s="135"/>
      <c r="AH99" s="135"/>
      <c r="AI99" s="133"/>
      <c r="AJ99" s="135"/>
    </row>
    <row r="100" spans="2:36">
      <c r="B100" s="90" t="s">
        <v>107</v>
      </c>
      <c r="C100" s="95">
        <f>GAT!D64</f>
        <v>1730</v>
      </c>
      <c r="D100" s="95">
        <f>GAT!E64</f>
        <v>1707</v>
      </c>
      <c r="E100" s="95">
        <f>GAT!F64</f>
        <v>1804</v>
      </c>
      <c r="F100" s="95">
        <f>GAT!G64</f>
        <v>1885</v>
      </c>
      <c r="G100" s="95">
        <f>GAT!H64</f>
        <v>1877</v>
      </c>
      <c r="H100" s="95">
        <f>GAT!I64</f>
        <v>1880</v>
      </c>
      <c r="I100" s="95">
        <f>GAT!J64</f>
        <v>1803</v>
      </c>
      <c r="J100" s="95">
        <f>GAT!K64</f>
        <v>1916</v>
      </c>
      <c r="K100" s="95">
        <f>GAT!L64</f>
        <v>2186</v>
      </c>
      <c r="L100" s="95">
        <f>GAT!M64</f>
        <v>2398</v>
      </c>
      <c r="M100" s="95">
        <f>GAT!N64</f>
        <v>2481</v>
      </c>
      <c r="N100" s="95">
        <f>GAT!O64</f>
        <v>2409</v>
      </c>
      <c r="O100" s="95">
        <f>GAT!P64</f>
        <v>2371</v>
      </c>
      <c r="P100" s="135"/>
      <c r="Q100" s="203">
        <f t="shared" si="31"/>
        <v>2.6613854474957677E-2</v>
      </c>
      <c r="T100" s="133"/>
      <c r="U100" s="135"/>
      <c r="V100" s="135"/>
      <c r="W100" s="135"/>
      <c r="X100" s="135"/>
      <c r="Y100" s="135"/>
      <c r="Z100" s="135"/>
      <c r="AA100" s="135"/>
      <c r="AB100" s="135"/>
      <c r="AC100" s="135"/>
      <c r="AD100" s="135"/>
      <c r="AE100" s="135"/>
      <c r="AF100" s="135"/>
      <c r="AG100" s="135"/>
      <c r="AH100" s="135"/>
      <c r="AI100" s="133"/>
      <c r="AJ100" s="135"/>
    </row>
    <row r="101" spans="2:36">
      <c r="B101" s="90" t="s">
        <v>114</v>
      </c>
      <c r="C101" s="95">
        <f>GLAS!D62</f>
        <v>470</v>
      </c>
      <c r="D101" s="95">
        <f>GLAS!E62</f>
        <v>456</v>
      </c>
      <c r="E101" s="95">
        <f>GLAS!F62</f>
        <v>782</v>
      </c>
      <c r="F101" s="95">
        <f>GLAS!G62</f>
        <v>475</v>
      </c>
      <c r="G101" s="95">
        <f>GLAS!H62</f>
        <v>445</v>
      </c>
      <c r="H101" s="95">
        <f>GLAS!I62</f>
        <v>427</v>
      </c>
      <c r="I101" s="95">
        <f>GLAS!J62</f>
        <v>450</v>
      </c>
      <c r="J101" s="95">
        <f>GLAS!K62</f>
        <v>485</v>
      </c>
      <c r="K101" s="95">
        <f>GLAS!L62</f>
        <v>423</v>
      </c>
      <c r="L101" s="95">
        <f>GLAS!M62</f>
        <v>393</v>
      </c>
      <c r="M101" s="95">
        <f>GLAS!N62</f>
        <v>369</v>
      </c>
      <c r="N101" s="95">
        <f>GLAS!O62</f>
        <v>382</v>
      </c>
      <c r="O101" s="189">
        <f>N101</f>
        <v>382</v>
      </c>
      <c r="P101" s="135"/>
      <c r="Q101" s="203">
        <f t="shared" si="31"/>
        <v>-1.7127632631424583E-2</v>
      </c>
      <c r="T101" s="133"/>
      <c r="U101" s="135"/>
      <c r="V101" s="135"/>
      <c r="W101" s="135"/>
      <c r="X101" s="135"/>
      <c r="Y101" s="135"/>
      <c r="Z101" s="135"/>
      <c r="AA101" s="135"/>
      <c r="AB101" s="135"/>
      <c r="AC101" s="135"/>
      <c r="AD101" s="135"/>
      <c r="AE101" s="135"/>
      <c r="AF101" s="135"/>
      <c r="AG101" s="135"/>
      <c r="AH101" s="135"/>
      <c r="AI101" s="133"/>
      <c r="AJ101" s="135"/>
    </row>
    <row r="102" spans="2:36">
      <c r="B102" s="90" t="s">
        <v>105</v>
      </c>
      <c r="C102" s="95">
        <f>HTROW!D63</f>
        <v>3304</v>
      </c>
      <c r="D102" s="95">
        <f>HTROW!E63</f>
        <v>3329</v>
      </c>
      <c r="E102" s="95">
        <f>HTROW!F63</f>
        <v>3628</v>
      </c>
      <c r="F102" s="95">
        <f>HTROW!G63</f>
        <v>3966</v>
      </c>
      <c r="G102" s="95">
        <f>HTROW!H63</f>
        <v>4052</v>
      </c>
      <c r="H102" s="95">
        <f>HTROW!I63</f>
        <v>4080</v>
      </c>
      <c r="I102" s="95">
        <f>HTROW!J63</f>
        <v>4301</v>
      </c>
      <c r="J102" s="95">
        <f>HTROW!K63</f>
        <v>4545</v>
      </c>
      <c r="K102" s="95">
        <f>HTROW!L63</f>
        <v>5516</v>
      </c>
      <c r="L102" s="95">
        <f>HTROW!M63</f>
        <v>5407</v>
      </c>
      <c r="M102" s="95">
        <f>HTROW!N63</f>
        <v>5148</v>
      </c>
      <c r="N102" s="95">
        <f>HTROW!O63</f>
        <v>5265</v>
      </c>
      <c r="O102" s="95">
        <f>HTROW!P63</f>
        <v>5278</v>
      </c>
      <c r="P102" s="135"/>
      <c r="Q102" s="203">
        <f t="shared" si="31"/>
        <v>3.9806302837219532E-2</v>
      </c>
      <c r="T102" s="133"/>
      <c r="U102" s="135"/>
      <c r="V102" s="135"/>
      <c r="W102" s="135"/>
      <c r="X102" s="135"/>
      <c r="Y102" s="135"/>
      <c r="Z102" s="135"/>
      <c r="AA102" s="135"/>
      <c r="AB102" s="135"/>
      <c r="AC102" s="135"/>
      <c r="AD102" s="135"/>
      <c r="AE102" s="135"/>
      <c r="AF102" s="135"/>
      <c r="AG102" s="135"/>
      <c r="AH102" s="135"/>
      <c r="AI102" s="133"/>
      <c r="AJ102" s="135"/>
    </row>
    <row r="103" spans="2:36">
      <c r="B103" s="90" t="s">
        <v>156</v>
      </c>
      <c r="C103" s="95">
        <f>LTN!D57</f>
        <v>717</v>
      </c>
      <c r="D103" s="95">
        <f>LTN!E57</f>
        <v>638</v>
      </c>
      <c r="E103" s="95">
        <f>LTN!F57</f>
        <v>422</v>
      </c>
      <c r="F103" s="95">
        <f>LTN!G57</f>
        <v>417</v>
      </c>
      <c r="G103" s="95">
        <f>LTN!H57</f>
        <v>430</v>
      </c>
      <c r="H103" s="95">
        <f>LTN!I57</f>
        <v>454</v>
      </c>
      <c r="I103" s="95">
        <f>LTN!J57</f>
        <v>482</v>
      </c>
      <c r="J103" s="95">
        <f>LTN!K57</f>
        <v>517</v>
      </c>
      <c r="K103" s="95">
        <f>LTN!L57</f>
        <v>529</v>
      </c>
      <c r="L103" s="95">
        <f>LTN!M57</f>
        <v>534</v>
      </c>
      <c r="M103" s="95">
        <f>LTN!N57</f>
        <v>522</v>
      </c>
      <c r="N103" s="95">
        <f>LTN!O57</f>
        <v>516</v>
      </c>
      <c r="O103" s="95">
        <f>LTN!P57</f>
        <v>556</v>
      </c>
      <c r="P103" s="135"/>
      <c r="Q103" s="203">
        <f t="shared" si="31"/>
        <v>-2.0969316756015099E-2</v>
      </c>
      <c r="T103" s="133"/>
      <c r="U103" s="135"/>
      <c r="V103" s="135"/>
      <c r="W103" s="135"/>
      <c r="X103" s="135"/>
      <c r="Y103" s="135"/>
      <c r="Z103" s="135"/>
      <c r="AA103" s="135"/>
      <c r="AB103" s="135"/>
      <c r="AC103" s="135"/>
      <c r="AD103" s="135"/>
      <c r="AE103" s="135"/>
      <c r="AF103" s="135"/>
      <c r="AG103" s="135"/>
      <c r="AH103" s="135"/>
      <c r="AI103" s="133"/>
      <c r="AJ103" s="135"/>
    </row>
    <row r="104" spans="2:36">
      <c r="B104" s="90" t="s">
        <v>204</v>
      </c>
      <c r="C104" s="95">
        <f>MAN!D63</f>
        <v>2585</v>
      </c>
      <c r="D104" s="95">
        <f>MAN!E63</f>
        <v>2663</v>
      </c>
      <c r="E104" s="95">
        <f>MAN!F63</f>
        <v>1706</v>
      </c>
      <c r="F104" s="95">
        <f>MAN!G63</f>
        <v>1146</v>
      </c>
      <c r="G104" s="95">
        <f>MAN!H63</f>
        <v>1221</v>
      </c>
      <c r="H104" s="95">
        <f>MAN!I63</f>
        <v>1382</v>
      </c>
      <c r="I104" s="95">
        <f>MAN!J63</f>
        <v>1623</v>
      </c>
      <c r="J104" s="95">
        <f>MAN!K63</f>
        <v>1722</v>
      </c>
      <c r="K104" s="95">
        <f>MAN!L63</f>
        <v>1825</v>
      </c>
      <c r="L104" s="95">
        <f>MAN!M63</f>
        <v>2040</v>
      </c>
      <c r="M104" s="95">
        <f>MAN!N63</f>
        <v>2072</v>
      </c>
      <c r="N104" s="95">
        <f>MAN!O63</f>
        <v>2052</v>
      </c>
      <c r="O104" s="189">
        <f>N104</f>
        <v>2052</v>
      </c>
      <c r="P104" s="135"/>
      <c r="Q104" s="203">
        <f t="shared" si="31"/>
        <v>-1.9058592370586602E-2</v>
      </c>
      <c r="T104" s="133"/>
      <c r="U104" s="135"/>
      <c r="V104" s="135"/>
      <c r="W104" s="135"/>
      <c r="X104" s="135"/>
      <c r="Y104" s="135"/>
      <c r="Z104" s="135"/>
      <c r="AA104" s="135"/>
      <c r="AB104" s="135"/>
      <c r="AC104" s="135"/>
      <c r="AD104" s="135"/>
      <c r="AE104" s="135"/>
      <c r="AF104" s="135"/>
      <c r="AG104" s="135"/>
      <c r="AH104" s="135"/>
      <c r="AI104" s="133"/>
      <c r="AJ104" s="135"/>
    </row>
    <row r="105" spans="2:36">
      <c r="B105" s="90" t="s">
        <v>113</v>
      </c>
      <c r="C105" s="95">
        <f>STHAM!D59</f>
        <v>0</v>
      </c>
      <c r="D105" s="95">
        <f>STHAM!E59</f>
        <v>0</v>
      </c>
      <c r="E105" s="95">
        <f>STHAM!F59</f>
        <v>0</v>
      </c>
      <c r="F105" s="95">
        <f>STHAM!G59</f>
        <v>0</v>
      </c>
      <c r="G105" s="95">
        <f>STHAM!H59</f>
        <v>0</v>
      </c>
      <c r="H105" s="95">
        <f>STHAM!I59</f>
        <v>0</v>
      </c>
      <c r="I105" s="95">
        <f>STHAM!J59</f>
        <v>212</v>
      </c>
      <c r="J105" s="95">
        <f>STHAM!K59</f>
        <v>213</v>
      </c>
      <c r="K105" s="95">
        <f>STHAM!L59</f>
        <v>198</v>
      </c>
      <c r="L105" s="95">
        <f>STHAM!M59</f>
        <v>171</v>
      </c>
      <c r="M105" s="95">
        <f>STHAM!N59</f>
        <v>170</v>
      </c>
      <c r="N105" s="189">
        <f>M105</f>
        <v>170</v>
      </c>
      <c r="O105" s="189">
        <f>M105</f>
        <v>170</v>
      </c>
      <c r="P105" s="135"/>
      <c r="Q105" s="203" t="e">
        <f t="shared" si="31"/>
        <v>#DIV/0!</v>
      </c>
      <c r="T105" s="133"/>
      <c r="U105" s="135"/>
      <c r="V105" s="135"/>
      <c r="W105" s="135"/>
      <c r="X105" s="135"/>
      <c r="Y105" s="135"/>
      <c r="Z105" s="135"/>
      <c r="AA105" s="135"/>
      <c r="AB105" s="135"/>
      <c r="AC105" s="135"/>
      <c r="AD105" s="135"/>
      <c r="AE105" s="135"/>
      <c r="AF105" s="135"/>
      <c r="AG105" s="135"/>
      <c r="AH105" s="135"/>
      <c r="AI105" s="133"/>
      <c r="AJ105" s="135"/>
    </row>
    <row r="106" spans="2:36">
      <c r="B106" s="90" t="s">
        <v>112</v>
      </c>
      <c r="C106" s="95">
        <f>STAN!E63</f>
        <v>676</v>
      </c>
      <c r="D106" s="95">
        <f>STAN!F63</f>
        <v>705</v>
      </c>
      <c r="E106" s="95">
        <f>STAN!G63</f>
        <v>855</v>
      </c>
      <c r="F106" s="95">
        <f>STAN!H63</f>
        <v>988</v>
      </c>
      <c r="G106" s="95">
        <f>STAN!I63</f>
        <v>1036</v>
      </c>
      <c r="H106" s="95">
        <f>STAN!J63</f>
        <v>1060</v>
      </c>
      <c r="I106" s="95">
        <f>STAN!K63</f>
        <v>1180</v>
      </c>
      <c r="J106" s="95">
        <f>STAN!L63</f>
        <v>1373</v>
      </c>
      <c r="K106" s="95">
        <f>STAN!M63</f>
        <v>1232</v>
      </c>
      <c r="L106" s="95">
        <f>STAN!N63</f>
        <v>1151</v>
      </c>
      <c r="M106" s="95">
        <f>STAN!O63</f>
        <v>1121</v>
      </c>
      <c r="N106" s="95">
        <f>STAN!P63</f>
        <v>1138</v>
      </c>
      <c r="O106" s="95">
        <f>STAN!Q63</f>
        <v>1116</v>
      </c>
      <c r="P106" s="135"/>
      <c r="Q106" s="203">
        <f t="shared" si="31"/>
        <v>4.2660989250804526E-2</v>
      </c>
      <c r="T106" s="133"/>
      <c r="U106" s="135"/>
      <c r="V106" s="135"/>
      <c r="W106" s="135"/>
      <c r="X106" s="135"/>
      <c r="Y106" s="135"/>
      <c r="Z106" s="135"/>
      <c r="AA106" s="135"/>
      <c r="AB106" s="135"/>
      <c r="AC106" s="135"/>
      <c r="AD106" s="135"/>
      <c r="AE106" s="135"/>
      <c r="AF106" s="135"/>
      <c r="AG106" s="135"/>
      <c r="AH106" s="135"/>
      <c r="AI106" s="133"/>
      <c r="AJ106" s="135"/>
    </row>
    <row r="107" spans="2:36">
      <c r="C107" s="66"/>
      <c r="D107" s="66"/>
      <c r="E107" s="66"/>
      <c r="F107" s="66"/>
      <c r="G107" s="66"/>
      <c r="H107" s="66"/>
      <c r="I107" s="66"/>
      <c r="J107" s="66"/>
      <c r="K107" s="66"/>
      <c r="L107" s="66"/>
      <c r="M107" s="66"/>
      <c r="N107" s="66"/>
      <c r="O107" s="66"/>
      <c r="P107" s="139"/>
      <c r="Q107" s="202"/>
      <c r="T107" s="133"/>
      <c r="U107" s="139"/>
      <c r="V107" s="139"/>
      <c r="W107" s="139"/>
      <c r="X107" s="139"/>
      <c r="Y107" s="139"/>
      <c r="Z107" s="139"/>
      <c r="AA107" s="139"/>
      <c r="AB107" s="139"/>
      <c r="AC107" s="139"/>
      <c r="AD107" s="139"/>
      <c r="AE107" s="139"/>
      <c r="AF107" s="139"/>
      <c r="AG107" s="139"/>
      <c r="AH107" s="139"/>
      <c r="AI107" s="133"/>
      <c r="AJ107" s="142"/>
    </row>
    <row r="108" spans="2:36">
      <c r="B108" s="30" t="s">
        <v>106</v>
      </c>
      <c r="C108" s="207">
        <f>SUM(C97:C106)</f>
        <v>10786</v>
      </c>
      <c r="D108" s="207">
        <f t="shared" ref="D108:M108" si="32">SUM(D97:D106)</f>
        <v>10787</v>
      </c>
      <c r="E108" s="207">
        <f t="shared" si="32"/>
        <v>10507</v>
      </c>
      <c r="F108" s="207">
        <f t="shared" si="32"/>
        <v>10227</v>
      </c>
      <c r="G108" s="207">
        <f t="shared" si="32"/>
        <v>10391</v>
      </c>
      <c r="H108" s="207">
        <f t="shared" si="32"/>
        <v>10547</v>
      </c>
      <c r="I108" s="207">
        <f t="shared" si="32"/>
        <v>11341</v>
      </c>
      <c r="J108" s="207">
        <f t="shared" si="32"/>
        <v>12149</v>
      </c>
      <c r="K108" s="207">
        <f t="shared" si="32"/>
        <v>13262</v>
      </c>
      <c r="L108" s="207">
        <f t="shared" si="32"/>
        <v>13390</v>
      </c>
      <c r="M108" s="207">
        <f t="shared" si="32"/>
        <v>13120</v>
      </c>
      <c r="N108" s="207">
        <f>SUM(N97:N106)</f>
        <v>13161</v>
      </c>
      <c r="O108" s="207">
        <f>SUM(O97:O106)</f>
        <v>13155</v>
      </c>
      <c r="P108" s="135"/>
      <c r="Q108" s="203">
        <f>(O108/C108)^(1/($O$96-$C$96))-1</f>
        <v>1.6683720898488241E-2</v>
      </c>
      <c r="T108" s="106"/>
      <c r="U108" s="135"/>
      <c r="V108" s="135"/>
      <c r="W108" s="135"/>
      <c r="X108" s="135"/>
      <c r="Y108" s="135"/>
      <c r="Z108" s="135"/>
      <c r="AA108" s="135"/>
      <c r="AB108" s="135"/>
      <c r="AC108" s="135"/>
      <c r="AD108" s="135"/>
      <c r="AE108" s="135"/>
      <c r="AF108" s="135"/>
      <c r="AG108" s="135"/>
      <c r="AH108" s="135"/>
      <c r="AI108" s="142"/>
      <c r="AJ108" s="106"/>
    </row>
    <row r="109" spans="2:36" s="133" customFormat="1">
      <c r="B109" s="106"/>
      <c r="C109" s="135"/>
      <c r="D109" s="135"/>
      <c r="E109" s="135"/>
      <c r="F109" s="135"/>
      <c r="G109" s="135"/>
      <c r="H109" s="135"/>
      <c r="I109" s="135"/>
      <c r="J109" s="135"/>
      <c r="K109" s="135"/>
      <c r="L109" s="135"/>
      <c r="M109" s="135"/>
      <c r="N109" s="135"/>
      <c r="O109" s="135"/>
      <c r="P109" s="135"/>
      <c r="Q109" s="204"/>
      <c r="T109" s="106"/>
      <c r="U109" s="135"/>
      <c r="V109" s="135"/>
      <c r="W109" s="135"/>
      <c r="X109" s="135"/>
      <c r="Y109" s="135"/>
      <c r="Z109" s="135"/>
      <c r="AA109" s="135"/>
      <c r="AB109" s="135"/>
      <c r="AC109" s="135"/>
      <c r="AD109" s="135"/>
      <c r="AE109" s="135"/>
      <c r="AF109" s="135"/>
      <c r="AG109" s="135"/>
      <c r="AH109" s="135"/>
      <c r="AI109" s="142"/>
      <c r="AJ109" s="106"/>
    </row>
    <row r="110" spans="2:36" s="133" customFormat="1">
      <c r="B110" s="106"/>
      <c r="C110" s="135"/>
      <c r="D110" s="135"/>
      <c r="E110" s="135"/>
      <c r="F110" s="135"/>
      <c r="G110" s="135"/>
      <c r="H110" s="135"/>
      <c r="I110" s="135"/>
      <c r="J110" s="135"/>
      <c r="K110" s="135"/>
      <c r="L110" s="135"/>
      <c r="M110" s="135"/>
      <c r="N110" s="135"/>
      <c r="O110" s="135"/>
      <c r="P110" s="135"/>
      <c r="Q110" s="204"/>
      <c r="T110" s="106"/>
      <c r="U110" s="135"/>
      <c r="V110" s="135"/>
      <c r="W110" s="135"/>
      <c r="X110" s="135"/>
      <c r="Y110" s="135"/>
      <c r="Z110" s="135"/>
      <c r="AA110" s="135"/>
      <c r="AB110" s="135"/>
      <c r="AC110" s="135"/>
      <c r="AD110" s="135"/>
      <c r="AE110" s="135"/>
      <c r="AF110" s="135"/>
      <c r="AG110" s="135"/>
      <c r="AH110" s="135"/>
      <c r="AI110" s="142"/>
      <c r="AJ110" s="106"/>
    </row>
    <row r="111" spans="2:36">
      <c r="B111" s="314" t="s">
        <v>240</v>
      </c>
      <c r="C111" s="94"/>
      <c r="D111" s="94"/>
      <c r="E111" s="94"/>
      <c r="F111" s="94"/>
      <c r="G111" s="94"/>
      <c r="H111" s="94"/>
      <c r="I111" s="94"/>
      <c r="J111" s="94"/>
      <c r="K111" s="94"/>
      <c r="L111" s="94"/>
      <c r="M111" s="94"/>
      <c r="N111" s="94"/>
      <c r="O111" s="94"/>
      <c r="P111" s="94"/>
      <c r="Q111" s="94"/>
      <c r="R111" s="94"/>
      <c r="S111" s="94"/>
      <c r="T111" s="100" t="s">
        <v>315</v>
      </c>
      <c r="U111" s="94"/>
      <c r="V111" s="94"/>
      <c r="W111" s="94"/>
      <c r="X111" s="94"/>
      <c r="Y111" s="94"/>
      <c r="Z111" s="94"/>
      <c r="AA111" s="94"/>
      <c r="AB111" s="94"/>
      <c r="AC111" s="94"/>
      <c r="AD111" s="94"/>
      <c r="AE111" s="94"/>
      <c r="AF111" s="94"/>
      <c r="AG111" s="94"/>
      <c r="AH111" s="94"/>
      <c r="AI111" s="94"/>
      <c r="AJ111" s="94"/>
    </row>
    <row r="113" spans="2:36">
      <c r="B113" s="398" t="s">
        <v>241</v>
      </c>
      <c r="C113" s="239">
        <v>2000</v>
      </c>
      <c r="D113" s="239">
        <v>2001</v>
      </c>
      <c r="E113" s="239">
        <v>2002</v>
      </c>
      <c r="F113" s="239">
        <v>2003</v>
      </c>
      <c r="G113" s="239">
        <v>2004</v>
      </c>
      <c r="H113" s="239">
        <v>2005</v>
      </c>
      <c r="I113" s="239">
        <v>2006</v>
      </c>
      <c r="J113" s="239">
        <v>2007</v>
      </c>
      <c r="K113" s="239">
        <v>2008</v>
      </c>
      <c r="L113" s="239">
        <v>2009</v>
      </c>
      <c r="M113" s="239">
        <v>2010</v>
      </c>
      <c r="N113" s="239">
        <v>2011</v>
      </c>
      <c r="O113" s="239">
        <v>2012</v>
      </c>
      <c r="P113" s="239"/>
      <c r="Q113" s="398" t="s">
        <v>239</v>
      </c>
      <c r="T113" s="398" t="s">
        <v>242</v>
      </c>
      <c r="U113" s="239">
        <v>2000</v>
      </c>
      <c r="V113" s="239">
        <v>2001</v>
      </c>
      <c r="W113" s="239">
        <v>2002</v>
      </c>
      <c r="X113" s="239">
        <v>2003</v>
      </c>
      <c r="Y113" s="239">
        <v>2004</v>
      </c>
      <c r="Z113" s="239">
        <v>2005</v>
      </c>
      <c r="AA113" s="239">
        <v>2006</v>
      </c>
      <c r="AB113" s="239">
        <v>2007</v>
      </c>
      <c r="AC113" s="239">
        <v>2008</v>
      </c>
      <c r="AD113" s="239">
        <v>2009</v>
      </c>
      <c r="AE113" s="239">
        <v>2010</v>
      </c>
      <c r="AF113" s="239">
        <v>2011</v>
      </c>
      <c r="AG113" s="239">
        <v>2012</v>
      </c>
      <c r="AH113" s="239"/>
      <c r="AI113" s="398" t="s">
        <v>239</v>
      </c>
    </row>
    <row r="114" spans="2:36">
      <c r="B114" s="136" t="s">
        <v>116</v>
      </c>
      <c r="C114" s="163">
        <f>ABD!D24</f>
        <v>6522</v>
      </c>
      <c r="D114" s="163">
        <f>ABD!E24</f>
        <v>7216</v>
      </c>
      <c r="E114" s="163">
        <f>ABD!F24</f>
        <v>7819</v>
      </c>
      <c r="F114" s="163">
        <f>ABD!G24</f>
        <v>9038</v>
      </c>
      <c r="G114" s="163">
        <f>ABD!H24</f>
        <v>9216</v>
      </c>
      <c r="H114" s="163">
        <f>ABD!I24</f>
        <v>10219</v>
      </c>
      <c r="I114" s="163">
        <f>ABD!J24</f>
        <v>8199</v>
      </c>
      <c r="J114" s="163">
        <f>ABD!K24</f>
        <v>11056</v>
      </c>
      <c r="K114" s="163">
        <f>ABD!L24</f>
        <v>11174</v>
      </c>
      <c r="L114" s="163">
        <f>ABD!M24</f>
        <v>10296</v>
      </c>
      <c r="M114" s="163">
        <f>ABD!N24</f>
        <v>11200</v>
      </c>
      <c r="N114" s="163">
        <f>ABD!O24</f>
        <v>11919</v>
      </c>
      <c r="O114" s="391">
        <f>N114</f>
        <v>11919</v>
      </c>
      <c r="P114" s="195"/>
      <c r="Q114" s="385">
        <f>(O114/C114)^(1/($O$113-$C$113))-1</f>
        <v>5.1529801177102152E-2</v>
      </c>
      <c r="T114" s="136" t="s">
        <v>116</v>
      </c>
      <c r="U114" s="163">
        <f>ABD!D78</f>
        <v>9035.5619223659924</v>
      </c>
      <c r="V114" s="163">
        <f>ABD!E78</f>
        <v>9849.9351066379113</v>
      </c>
      <c r="W114" s="163">
        <f>ABD!F78</f>
        <v>10454.085954370485</v>
      </c>
      <c r="X114" s="163">
        <f>ABD!G78</f>
        <v>11755.549984016077</v>
      </c>
      <c r="Y114" s="163">
        <f>ABD!H78</f>
        <v>11625.515811852249</v>
      </c>
      <c r="Z114" s="163">
        <f>ABD!I78</f>
        <v>12559.760885513315</v>
      </c>
      <c r="AA114" s="163">
        <f>ABD!J78</f>
        <v>9758.5551484927855</v>
      </c>
      <c r="AB114" s="163">
        <f>ABD!K78</f>
        <v>12702.647787325028</v>
      </c>
      <c r="AC114" s="163">
        <f>ABD!L78</f>
        <v>12345.191590053921</v>
      </c>
      <c r="AD114" s="163">
        <f>ABD!M78</f>
        <v>11435.940098276265</v>
      </c>
      <c r="AE114" s="163">
        <f>ABD!N78</f>
        <v>11890.528199202299</v>
      </c>
      <c r="AF114" s="163">
        <f>ABD!O78</f>
        <v>12028.383495145634</v>
      </c>
      <c r="AG114" s="391">
        <f>AF114</f>
        <v>12028.383495145634</v>
      </c>
      <c r="AH114" s="195"/>
      <c r="AI114" s="385">
        <f>(AG114/U114)^(1/($AG$113-$U$113))-1</f>
        <v>2.4128239511392646E-2</v>
      </c>
    </row>
    <row r="115" spans="2:36">
      <c r="B115" s="136" t="s">
        <v>155</v>
      </c>
      <c r="C115" s="163">
        <f>BIR!D23</f>
        <v>20960</v>
      </c>
      <c r="D115" s="163">
        <f>BIR!E23</f>
        <v>22150</v>
      </c>
      <c r="E115" s="163">
        <f>BIR!F23</f>
        <v>22457</v>
      </c>
      <c r="F115" s="163">
        <f>BIR!G23</f>
        <v>23130</v>
      </c>
      <c r="G115" s="163">
        <f>BIR!H23</f>
        <v>26830</v>
      </c>
      <c r="H115" s="163">
        <f>BIR!I23</f>
        <v>22399</v>
      </c>
      <c r="I115" s="163">
        <f>BIR!J23</f>
        <v>27404</v>
      </c>
      <c r="J115" s="163">
        <f>BIR!K23</f>
        <v>22832</v>
      </c>
      <c r="K115" s="163">
        <f>BIR!L23</f>
        <v>23776</v>
      </c>
      <c r="L115" s="163">
        <f>BIR!M23</f>
        <v>23364</v>
      </c>
      <c r="M115" s="163">
        <f>BIR!N23</f>
        <v>20815</v>
      </c>
      <c r="N115" s="163">
        <f>BIR!O23</f>
        <v>19882</v>
      </c>
      <c r="O115" s="391">
        <f>N115</f>
        <v>19882</v>
      </c>
      <c r="P115" s="195"/>
      <c r="Q115" s="385">
        <f t="shared" ref="Q115:Q123" si="33">(O115/C115)^(1/($O$113-$C$113))-1</f>
        <v>-4.3904220992773135E-3</v>
      </c>
      <c r="T115" s="136" t="s">
        <v>155</v>
      </c>
      <c r="U115" s="163">
        <f>BIR!D74</f>
        <v>29037.929759704264</v>
      </c>
      <c r="V115" s="163">
        <f>BIR!E74</f>
        <v>30235.041936256894</v>
      </c>
      <c r="W115" s="163">
        <f>BIR!F74</f>
        <v>30025.247253778994</v>
      </c>
      <c r="X115" s="163">
        <f>BIR!G74</f>
        <v>30084.739005343203</v>
      </c>
      <c r="Y115" s="163">
        <f>BIR!H74</f>
        <v>33844.68199131899</v>
      </c>
      <c r="Z115" s="163">
        <f>BIR!I74</f>
        <v>27529.707806498947</v>
      </c>
      <c r="AA115" s="163">
        <f>BIR!J74</f>
        <v>32469.145685997169</v>
      </c>
      <c r="AB115" s="163">
        <f>BIR!K74</f>
        <v>25978.913826854699</v>
      </c>
      <c r="AC115" s="163">
        <f>BIR!L74</f>
        <v>26273.153410413594</v>
      </c>
      <c r="AD115" s="163">
        <f>BIR!M74</f>
        <v>25700.219527267116</v>
      </c>
      <c r="AE115" s="163">
        <f>BIR!N74</f>
        <v>21813.740111123381</v>
      </c>
      <c r="AF115" s="163">
        <f>BIR!O74</f>
        <v>19882</v>
      </c>
      <c r="AG115" s="391">
        <f>AF115</f>
        <v>19882</v>
      </c>
      <c r="AH115" s="195"/>
      <c r="AI115" s="385">
        <f t="shared" ref="AI115:AI125" si="34">(AG115/U115)^(1/($AG$113-$U$113))-1</f>
        <v>-3.1072679805146497E-2</v>
      </c>
    </row>
    <row r="116" spans="2:36">
      <c r="B116" s="136" t="s">
        <v>115</v>
      </c>
      <c r="C116" s="163">
        <f>EDIN!D25</f>
        <v>11425</v>
      </c>
      <c r="D116" s="163">
        <f>EDIN!E25</f>
        <v>12590</v>
      </c>
      <c r="E116" s="163">
        <f>EDIN!F25</f>
        <v>14170</v>
      </c>
      <c r="F116" s="163">
        <f>EDIN!G25</f>
        <v>15765</v>
      </c>
      <c r="G116" s="163">
        <f>EDIN!H25</f>
        <v>15727</v>
      </c>
      <c r="H116" s="163">
        <f>EDIN!I25</f>
        <v>15796</v>
      </c>
      <c r="I116" s="163">
        <f>EDIN!J25</f>
        <v>13115</v>
      </c>
      <c r="J116" s="163">
        <f>EDIN!K25</f>
        <v>18417</v>
      </c>
      <c r="K116" s="163">
        <f>EDIN!L25</f>
        <v>18444</v>
      </c>
      <c r="L116" s="163">
        <f>EDIN!M25</f>
        <v>17708</v>
      </c>
      <c r="M116" s="163">
        <f>EDIN!N25</f>
        <v>19421</v>
      </c>
      <c r="N116" s="163">
        <f>EDIN!O25</f>
        <v>21998</v>
      </c>
      <c r="O116" s="163">
        <f>EDIN!P25</f>
        <v>24355</v>
      </c>
      <c r="P116" s="195"/>
      <c r="Q116" s="385">
        <f t="shared" si="33"/>
        <v>6.5109668744265825E-2</v>
      </c>
      <c r="T116" s="136" t="s">
        <v>115</v>
      </c>
      <c r="U116" s="163">
        <f>EDIN!D79</f>
        <v>15828.165434380782</v>
      </c>
      <c r="V116" s="163">
        <f>EDIN!E79</f>
        <v>17185.515935777621</v>
      </c>
      <c r="W116" s="163">
        <f>EDIN!F79</f>
        <v>18945.44033424092</v>
      </c>
      <c r="X116" s="163">
        <f>EDIN!G79</f>
        <v>20505.227428414855</v>
      </c>
      <c r="Y116" s="163">
        <f>EDIN!H79</f>
        <v>19838.811542209234</v>
      </c>
      <c r="Z116" s="163">
        <f>EDIN!I79</f>
        <v>19414.226729383339</v>
      </c>
      <c r="AA116" s="163">
        <f>EDIN!J79</f>
        <v>15609.641513902046</v>
      </c>
      <c r="AB116" s="163">
        <f>EDIN!K79</f>
        <v>21159.973254266013</v>
      </c>
      <c r="AC116" s="163">
        <f>EDIN!L79</f>
        <v>20377.189340160596</v>
      </c>
      <c r="AD116" s="163">
        <f>EDIN!M79</f>
        <v>19668.572966227282</v>
      </c>
      <c r="AE116" s="163">
        <f>EDIN!N79</f>
        <v>20618.388228277487</v>
      </c>
      <c r="AF116" s="163">
        <f>EDIN!O79</f>
        <v>22199.880873077745</v>
      </c>
      <c r="AG116" s="163">
        <f>EDIN!P79</f>
        <v>23814.8369210698</v>
      </c>
      <c r="AH116" s="195"/>
      <c r="AI116" s="385">
        <f t="shared" si="34"/>
        <v>3.4629250966588199E-2</v>
      </c>
    </row>
    <row r="117" spans="2:36">
      <c r="B117" s="136" t="s">
        <v>107</v>
      </c>
      <c r="C117" s="163">
        <f>GAT!D24</f>
        <v>55800</v>
      </c>
      <c r="D117" s="163">
        <f>GAT!E24</f>
        <v>60100</v>
      </c>
      <c r="E117" s="163">
        <f>GAT!F24</f>
        <v>66200</v>
      </c>
      <c r="F117" s="163">
        <f>GAT!G24</f>
        <v>76100</v>
      </c>
      <c r="G117" s="163">
        <f>GAT!H24</f>
        <v>79000</v>
      </c>
      <c r="H117" s="163">
        <f>GAT!I24</f>
        <v>80300</v>
      </c>
      <c r="I117" s="163">
        <f>GAT!J24</f>
        <v>62100</v>
      </c>
      <c r="J117" s="163">
        <f>GAT!K24</f>
        <v>94800</v>
      </c>
      <c r="K117" s="163">
        <f>GAT!L24</f>
        <v>105200</v>
      </c>
      <c r="L117" s="163">
        <f>GAT!M24</f>
        <v>139000</v>
      </c>
      <c r="M117" s="163">
        <f>GAT!N24</f>
        <v>128500</v>
      </c>
      <c r="N117" s="163">
        <f>GAT!O24</f>
        <v>140500</v>
      </c>
      <c r="O117" s="163">
        <f>GAT!P24</f>
        <v>149100</v>
      </c>
      <c r="P117" s="195"/>
      <c r="Q117" s="385">
        <f t="shared" si="33"/>
        <v>8.5351190715329261E-2</v>
      </c>
      <c r="T117" s="136" t="s">
        <v>107</v>
      </c>
      <c r="U117" s="163">
        <f>GAT!D93</f>
        <v>77305.1756007394</v>
      </c>
      <c r="V117" s="163">
        <f>GAT!E93</f>
        <v>82037.292115983713</v>
      </c>
      <c r="W117" s="163">
        <f>GAT!F93</f>
        <v>88510.102337808683</v>
      </c>
      <c r="X117" s="163">
        <f>GAT!G93</f>
        <v>98981.78289263371</v>
      </c>
      <c r="Y117" s="163">
        <f>GAT!H93</f>
        <v>99654.486668438316</v>
      </c>
      <c r="Z117" s="163">
        <f>GAT!I93</f>
        <v>98693.492426530895</v>
      </c>
      <c r="AA117" s="163">
        <f>GAT!J93</f>
        <v>73912.217919429429</v>
      </c>
      <c r="AB117" s="163">
        <f>GAT!K93</f>
        <v>108919.2303037638</v>
      </c>
      <c r="AC117" s="163">
        <f>GAT!L93</f>
        <v>116226.43236743085</v>
      </c>
      <c r="AD117" s="163">
        <f>GAT!M93</f>
        <v>152898.92630928475</v>
      </c>
      <c r="AE117" s="163">
        <f>GAT!N93</f>
        <v>134665.65478161685</v>
      </c>
      <c r="AF117" s="163">
        <f>GAT!O93</f>
        <v>140500</v>
      </c>
      <c r="AG117" s="163">
        <f>GAT!P93</f>
        <v>144631.21487687752</v>
      </c>
      <c r="AH117" s="195"/>
      <c r="AI117" s="385">
        <f t="shared" si="34"/>
        <v>5.3588743353759183E-2</v>
      </c>
    </row>
    <row r="118" spans="2:36">
      <c r="B118" s="136" t="s">
        <v>114</v>
      </c>
      <c r="C118" s="163">
        <f>GLAS!D24</f>
        <v>13923</v>
      </c>
      <c r="D118" s="163">
        <f>GLAS!E24</f>
        <v>16061</v>
      </c>
      <c r="E118" s="163">
        <f>GLAS!F24</f>
        <v>17477</v>
      </c>
      <c r="F118" s="163">
        <f>GLAS!G24</f>
        <v>19473</v>
      </c>
      <c r="G118" s="163">
        <f>GLAS!H24</f>
        <v>18654</v>
      </c>
      <c r="H118" s="163">
        <f>GLAS!I24</f>
        <v>19134</v>
      </c>
      <c r="I118" s="163">
        <f>GLAS!J24</f>
        <v>14610</v>
      </c>
      <c r="J118" s="163">
        <f>GLAS!K24</f>
        <v>19980</v>
      </c>
      <c r="K118" s="163">
        <f>GLAS!L24</f>
        <v>17954</v>
      </c>
      <c r="L118" s="163">
        <f>GLAS!M24</f>
        <v>16574</v>
      </c>
      <c r="M118" s="163">
        <f>GLAS!N24</f>
        <v>17458</v>
      </c>
      <c r="N118" s="163">
        <f>GLAS!O24</f>
        <v>18481</v>
      </c>
      <c r="O118" s="391">
        <f>N118</f>
        <v>18481</v>
      </c>
      <c r="P118" s="195"/>
      <c r="Q118" s="385">
        <f t="shared" si="33"/>
        <v>2.3880771440336845E-2</v>
      </c>
      <c r="T118" s="136" t="s">
        <v>114</v>
      </c>
      <c r="U118" s="163">
        <f>GLAS!D79</f>
        <v>19288.888170055459</v>
      </c>
      <c r="V118" s="163">
        <f>GLAS!E79</f>
        <v>21923.476683441171</v>
      </c>
      <c r="W118" s="163">
        <f>GLAS!F79</f>
        <v>23366.934419303358</v>
      </c>
      <c r="X118" s="163">
        <f>GLAS!G79</f>
        <v>25328.150568571044</v>
      </c>
      <c r="Y118" s="163">
        <f>GLAS!H79</f>
        <v>23531.073345734789</v>
      </c>
      <c r="Z118" s="163">
        <f>GLAS!I79</f>
        <v>23516.82794631684</v>
      </c>
      <c r="AA118" s="163">
        <f>GLAS!J79</f>
        <v>17389.009723073494</v>
      </c>
      <c r="AB118" s="163">
        <f>GLAS!K79</f>
        <v>22955.76182984389</v>
      </c>
      <c r="AC118" s="163">
        <f>GLAS!L79</f>
        <v>19835.830482175414</v>
      </c>
      <c r="AD118" s="163">
        <f>GLAS!M79</f>
        <v>18409.020123235317</v>
      </c>
      <c r="AE118" s="163">
        <f>GLAS!N79</f>
        <v>18534.360830506583</v>
      </c>
      <c r="AF118" s="163">
        <f>GLAS!O79</f>
        <v>18650.604528382115</v>
      </c>
      <c r="AG118" s="391">
        <f>AF118</f>
        <v>18650.604528382115</v>
      </c>
      <c r="AH118" s="195"/>
      <c r="AI118" s="385">
        <f t="shared" si="34"/>
        <v>-2.8002908229963763E-3</v>
      </c>
    </row>
    <row r="119" spans="2:36">
      <c r="B119" s="136" t="s">
        <v>105</v>
      </c>
      <c r="C119" s="163">
        <f>HTROW!D24</f>
        <v>112300</v>
      </c>
      <c r="D119" s="163">
        <f>HTROW!E24</f>
        <v>126200</v>
      </c>
      <c r="E119" s="163">
        <f>HTROW!F24</f>
        <v>141000</v>
      </c>
      <c r="F119" s="163">
        <f>HTROW!G24</f>
        <v>159000</v>
      </c>
      <c r="G119" s="163">
        <f>HTROW!H24</f>
        <v>173100</v>
      </c>
      <c r="H119" s="163">
        <f>HTROW!I24</f>
        <v>181800</v>
      </c>
      <c r="I119" s="163">
        <f>HTROW!J24</f>
        <v>99700</v>
      </c>
      <c r="J119" s="163">
        <f>HTROW!K24</f>
        <v>212800</v>
      </c>
      <c r="K119" s="163">
        <f>HTROW!L24</f>
        <v>269300</v>
      </c>
      <c r="L119" s="163">
        <f>HTROW!M24</f>
        <v>226300</v>
      </c>
      <c r="M119" s="163">
        <f>HTROW!N24</f>
        <v>245800</v>
      </c>
      <c r="N119" s="163">
        <f>HTROW!O24</f>
        <v>262100</v>
      </c>
      <c r="O119" s="163">
        <f>HTROW!P24</f>
        <v>291300</v>
      </c>
      <c r="P119" s="195"/>
      <c r="Q119" s="385">
        <f t="shared" si="33"/>
        <v>8.2671556599914542E-2</v>
      </c>
      <c r="T119" s="136" t="s">
        <v>105</v>
      </c>
      <c r="U119" s="163">
        <f>HTROW!D93</f>
        <v>155580.12939001856</v>
      </c>
      <c r="V119" s="163">
        <f>HTROW!E93</f>
        <v>172264.66331176614</v>
      </c>
      <c r="W119" s="163">
        <f>HTROW!F93</f>
        <v>188518.4959158765</v>
      </c>
      <c r="X119" s="163">
        <f>HTROW!G93</f>
        <v>206808.19290313745</v>
      </c>
      <c r="Y119" s="163">
        <f>HTROW!H93</f>
        <v>218356.85623173005</v>
      </c>
      <c r="Z119" s="163">
        <f>HTROW!I93</f>
        <v>223443.05010141118</v>
      </c>
      <c r="AA119" s="163">
        <f>HTROW!J93</f>
        <v>118117.95757071547</v>
      </c>
      <c r="AB119" s="163">
        <f>HTROW!K93</f>
        <v>244493.79966920821</v>
      </c>
      <c r="AC119" s="163">
        <f>HTROW!L93</f>
        <v>297526.40909267234</v>
      </c>
      <c r="AD119" s="163">
        <f>HTROW!M93</f>
        <v>251355.21020201233</v>
      </c>
      <c r="AE119" s="163">
        <f>HTROW!N93</f>
        <v>260954.62780035046</v>
      </c>
      <c r="AF119" s="163">
        <f>HTROW!O93</f>
        <v>264505.35397916526</v>
      </c>
      <c r="AG119" s="163">
        <f>HTROW!P93</f>
        <v>284839.33463796478</v>
      </c>
      <c r="AH119" s="195"/>
      <c r="AI119" s="385">
        <f t="shared" si="34"/>
        <v>5.1688567402116581E-2</v>
      </c>
    </row>
    <row r="120" spans="2:36">
      <c r="B120" s="136" t="s">
        <v>156</v>
      </c>
      <c r="C120" s="163">
        <f>LTN!D24</f>
        <v>19337</v>
      </c>
      <c r="D120" s="163">
        <f>LTN!E24</f>
        <v>18695</v>
      </c>
      <c r="E120" s="163">
        <f>LTN!F24</f>
        <v>12055</v>
      </c>
      <c r="F120" s="163">
        <f>LTN!G24</f>
        <v>11939</v>
      </c>
      <c r="G120" s="163">
        <f>LTN!H24</f>
        <v>9929</v>
      </c>
      <c r="H120" s="163">
        <f>LTN!I24</f>
        <v>13725</v>
      </c>
      <c r="I120" s="163">
        <f>LTN!J24</f>
        <v>15385</v>
      </c>
      <c r="J120" s="163">
        <f>LTN!K24</f>
        <v>16964</v>
      </c>
      <c r="K120" s="163">
        <f>LTN!L24</f>
        <v>17357</v>
      </c>
      <c r="L120" s="163">
        <f>LTN!M24</f>
        <v>16853</v>
      </c>
      <c r="M120" s="163">
        <f>LTN!N24</f>
        <v>19059</v>
      </c>
      <c r="N120" s="163">
        <f>LTN!O24</f>
        <v>20995</v>
      </c>
      <c r="O120" s="163">
        <f>LTN!P24</f>
        <v>22673</v>
      </c>
      <c r="P120" s="195"/>
      <c r="Q120" s="385">
        <f t="shared" si="33"/>
        <v>1.3351211154771558E-2</v>
      </c>
      <c r="T120" s="136" t="s">
        <v>156</v>
      </c>
      <c r="U120" s="163">
        <f>LTN!D74</f>
        <v>26789.429759704261</v>
      </c>
      <c r="V120" s="163">
        <f>LTN!E74</f>
        <v>25518.921399472805</v>
      </c>
      <c r="W120" s="163">
        <f>LTN!F74</f>
        <v>16117.662895502774</v>
      </c>
      <c r="X120" s="163">
        <f>LTN!G74</f>
        <v>15528.823994154453</v>
      </c>
      <c r="Y120" s="163">
        <f>LTN!H74</f>
        <v>12558.674014092849</v>
      </c>
      <c r="Z120" s="163">
        <f>LTN!I74</f>
        <v>16968.430134132053</v>
      </c>
      <c r="AA120" s="163">
        <f>LTN!J74</f>
        <v>18431.842215959285</v>
      </c>
      <c r="AB120" s="163">
        <f>LTN!K74</f>
        <v>19490.567751825412</v>
      </c>
      <c r="AC120" s="163">
        <f>LTN!L74</f>
        <v>19176.256526630204</v>
      </c>
      <c r="AD120" s="163">
        <f>LTN!M74</f>
        <v>18718.910108415879</v>
      </c>
      <c r="AE120" s="163">
        <f>LTN!N74</f>
        <v>20234.069370410412</v>
      </c>
      <c r="AF120" s="163">
        <f>LTN!O74</f>
        <v>21187.67610374885</v>
      </c>
      <c r="AG120" s="163">
        <f>LTN!P74</f>
        <v>22170.141552511417</v>
      </c>
      <c r="AH120" s="195"/>
      <c r="AI120" s="385">
        <f t="shared" si="34"/>
        <v>-1.564802636780982E-2</v>
      </c>
    </row>
    <row r="121" spans="2:36">
      <c r="B121" s="136" t="s">
        <v>204</v>
      </c>
      <c r="C121" s="163">
        <f>MAN!D23</f>
        <v>63335</v>
      </c>
      <c r="D121" s="163">
        <f>MAN!E23</f>
        <v>68177</v>
      </c>
      <c r="E121" s="163">
        <f>MAN!F23</f>
        <v>40205</v>
      </c>
      <c r="F121" s="163">
        <f>MAN!G23</f>
        <v>35662</v>
      </c>
      <c r="G121" s="163">
        <f>MAN!H23</f>
        <v>37281</v>
      </c>
      <c r="H121" s="163">
        <f>MAN!I23</f>
        <v>42393</v>
      </c>
      <c r="I121" s="163">
        <f>MAN!J23</f>
        <v>55039</v>
      </c>
      <c r="J121" s="163">
        <f>MAN!K23</f>
        <v>52704</v>
      </c>
      <c r="K121" s="163">
        <f>MAN!L23</f>
        <v>52843</v>
      </c>
      <c r="L121" s="163">
        <f>MAN!M23</f>
        <v>50572</v>
      </c>
      <c r="M121" s="163">
        <f>MAN!N23</f>
        <v>52117</v>
      </c>
      <c r="N121" s="163">
        <f>MAN!O23</f>
        <v>56286</v>
      </c>
      <c r="O121" s="391">
        <f>N121</f>
        <v>56286</v>
      </c>
      <c r="P121" s="195"/>
      <c r="Q121" s="385">
        <f t="shared" si="33"/>
        <v>-9.7845057165165672E-3</v>
      </c>
      <c r="T121" s="136" t="s">
        <v>204</v>
      </c>
      <c r="U121" s="163">
        <f>MAN!D80</f>
        <v>87744.145101663627</v>
      </c>
      <c r="V121" s="163">
        <f>MAN!E80</f>
        <v>93062.503570572735</v>
      </c>
      <c r="W121" s="163">
        <f>MAN!F80</f>
        <v>53754.511548211449</v>
      </c>
      <c r="X121" s="163">
        <f>MAN!G80</f>
        <v>46384.866511394262</v>
      </c>
      <c r="Y121" s="163">
        <f>MAN!H80</f>
        <v>47028.087563114546</v>
      </c>
      <c r="Z121" s="163">
        <f>MAN!I80</f>
        <v>52103.527078928077</v>
      </c>
      <c r="AA121" s="163">
        <f>MAN!J80</f>
        <v>65211.987644562774</v>
      </c>
      <c r="AB121" s="163">
        <f>MAN!K80</f>
        <v>59968.14446086852</v>
      </c>
      <c r="AC121" s="163">
        <f>MAN!L80</f>
        <v>58393.011678435629</v>
      </c>
      <c r="AD121" s="163">
        <f>MAN!M80</f>
        <v>55628.809361965097</v>
      </c>
      <c r="AE121" s="163">
        <f>MAN!N80</f>
        <v>54617.664826875676</v>
      </c>
      <c r="AF121" s="163">
        <f>MAN!O80</f>
        <v>56286</v>
      </c>
      <c r="AG121" s="391">
        <f>AF121</f>
        <v>56286</v>
      </c>
      <c r="AH121" s="195"/>
      <c r="AI121" s="385">
        <f t="shared" si="34"/>
        <v>-3.6322202409357351E-2</v>
      </c>
    </row>
    <row r="122" spans="2:36">
      <c r="B122" s="136" t="s">
        <v>113</v>
      </c>
      <c r="C122" s="163">
        <f>STHAM!D24</f>
        <v>0</v>
      </c>
      <c r="D122" s="163">
        <f>STHAM!E24</f>
        <v>0</v>
      </c>
      <c r="E122" s="163">
        <f>STHAM!F24</f>
        <v>0</v>
      </c>
      <c r="F122" s="163">
        <f>STHAM!G24</f>
        <v>0</v>
      </c>
      <c r="G122" s="163">
        <f>STHAM!H24</f>
        <v>0</v>
      </c>
      <c r="H122" s="163">
        <f>STHAM!I24</f>
        <v>0</v>
      </c>
      <c r="I122" s="163">
        <f>STHAM!J24</f>
        <v>6174</v>
      </c>
      <c r="J122" s="163">
        <f>STHAM!K24</f>
        <v>8396</v>
      </c>
      <c r="K122" s="163">
        <f>STHAM!L24</f>
        <v>7599</v>
      </c>
      <c r="L122" s="163">
        <f>STHAM!M24</f>
        <v>6379</v>
      </c>
      <c r="M122" s="163">
        <f>STHAM!N24</f>
        <v>6941</v>
      </c>
      <c r="N122" s="391">
        <f>M122</f>
        <v>6941</v>
      </c>
      <c r="O122" s="391">
        <f>M122</f>
        <v>6941</v>
      </c>
      <c r="P122" s="195"/>
      <c r="Q122" s="385" t="e">
        <f>(O122/C122)^(1/($O$113-$C$113))-1</f>
        <v>#DIV/0!</v>
      </c>
      <c r="T122" s="136" t="s">
        <v>113</v>
      </c>
      <c r="U122" s="391">
        <f>STHAM!D76</f>
        <v>0</v>
      </c>
      <c r="V122" s="391">
        <f>STHAM!E76</f>
        <v>0</v>
      </c>
      <c r="W122" s="391">
        <f>STHAM!F76</f>
        <v>0</v>
      </c>
      <c r="X122" s="391">
        <f>STHAM!G76</f>
        <v>0</v>
      </c>
      <c r="Y122" s="391">
        <f>STHAM!H76</f>
        <v>0</v>
      </c>
      <c r="Z122" s="391">
        <f>STHAM!I76</f>
        <v>0</v>
      </c>
      <c r="AA122" s="391">
        <f>STHAM!J76</f>
        <v>7348.3741293809553</v>
      </c>
      <c r="AB122" s="391">
        <f>STHAM!K76</f>
        <v>9646.4752914599248</v>
      </c>
      <c r="AC122" s="391">
        <f>STHAM!L76</f>
        <v>8395.4815547538692</v>
      </c>
      <c r="AD122" s="391">
        <f>STHAM!M76</f>
        <v>7085.262421028001</v>
      </c>
      <c r="AE122" s="391">
        <f>STHAM!N76</f>
        <v>7368.9425205949246</v>
      </c>
      <c r="AF122" s="391">
        <f>AE122</f>
        <v>7368.9425205949246</v>
      </c>
      <c r="AG122" s="391">
        <f>AE122</f>
        <v>7368.9425205949246</v>
      </c>
      <c r="AH122" s="195"/>
      <c r="AI122" s="385" t="e">
        <f t="shared" si="34"/>
        <v>#DIV/0!</v>
      </c>
    </row>
    <row r="123" spans="2:36">
      <c r="B123" s="136" t="s">
        <v>112</v>
      </c>
      <c r="C123" s="163">
        <f>STAN!E25</f>
        <v>22164</v>
      </c>
      <c r="D123" s="163">
        <f>STAN!F25</f>
        <v>24871</v>
      </c>
      <c r="E123" s="163">
        <f>STAN!G25</f>
        <v>29200</v>
      </c>
      <c r="F123" s="163">
        <f>STAN!H25</f>
        <v>35100</v>
      </c>
      <c r="G123" s="163">
        <f>STAN!I25</f>
        <v>37300</v>
      </c>
      <c r="H123" s="163">
        <f>STAN!J25</f>
        <v>42300</v>
      </c>
      <c r="I123" s="163">
        <f>STAN!K25</f>
        <v>37300</v>
      </c>
      <c r="J123" s="163">
        <f>STAN!L25</f>
        <v>53400</v>
      </c>
      <c r="K123" s="163">
        <f>STAN!M25</f>
        <v>52700</v>
      </c>
      <c r="L123" s="163">
        <f>STAN!N25</f>
        <v>46800</v>
      </c>
      <c r="M123" s="163">
        <f>STAN!O25</f>
        <v>50300</v>
      </c>
      <c r="N123" s="163">
        <f>STAN!P25</f>
        <v>55500</v>
      </c>
      <c r="O123" s="163">
        <f>STAN!Q25</f>
        <v>55600</v>
      </c>
      <c r="P123" s="195"/>
      <c r="Q123" s="385">
        <f t="shared" si="33"/>
        <v>7.9656376772450299E-2</v>
      </c>
      <c r="T123" s="136" t="s">
        <v>112</v>
      </c>
      <c r="U123" s="163">
        <f>STAN!D92</f>
        <v>29576.752329425915</v>
      </c>
      <c r="V123" s="163">
        <f>STAN!E92</f>
        <v>30705.948243992618</v>
      </c>
      <c r="W123" s="163">
        <f>STAN!F92</f>
        <v>33949.242798945605</v>
      </c>
      <c r="X123" s="163">
        <f>STAN!G92</f>
        <v>39040.709792507754</v>
      </c>
      <c r="Y123" s="163">
        <f>STAN!H92</f>
        <v>45653.884093711473</v>
      </c>
      <c r="Z123" s="163">
        <f>STAN!I92</f>
        <v>47052.055097882905</v>
      </c>
      <c r="AA123" s="163">
        <f>STAN!J92</f>
        <v>51989.224528546161</v>
      </c>
      <c r="AB123" s="163">
        <f>STAN!K92</f>
        <v>44394.939265615423</v>
      </c>
      <c r="AC123" s="163">
        <f>STAN!L92</f>
        <v>61353.237323006193</v>
      </c>
      <c r="AD123" s="163">
        <f>STAN!M92</f>
        <v>58223.697583304238</v>
      </c>
      <c r="AE123" s="163">
        <f>STAN!N92</f>
        <v>51981.545901255755</v>
      </c>
      <c r="AF123" s="163">
        <f>STAN!O92</f>
        <v>53401.211466060326</v>
      </c>
      <c r="AG123" s="163">
        <f>STAN!P92</f>
        <v>56009.336687690462</v>
      </c>
      <c r="AH123" s="195"/>
      <c r="AI123" s="385">
        <f t="shared" si="34"/>
        <v>5.4651955055717405E-2</v>
      </c>
    </row>
    <row r="124" spans="2:36">
      <c r="B124" s="136"/>
      <c r="C124" s="392"/>
      <c r="D124" s="392"/>
      <c r="E124" s="392"/>
      <c r="F124" s="392"/>
      <c r="G124" s="392"/>
      <c r="H124" s="392"/>
      <c r="I124" s="392"/>
      <c r="J124" s="392"/>
      <c r="K124" s="392"/>
      <c r="L124" s="392"/>
      <c r="M124" s="392"/>
      <c r="N124" s="392"/>
      <c r="O124" s="392"/>
      <c r="P124" s="137"/>
      <c r="Q124" s="390"/>
      <c r="T124" s="136"/>
      <c r="U124" s="392"/>
      <c r="V124" s="392"/>
      <c r="W124" s="392"/>
      <c r="X124" s="392"/>
      <c r="Y124" s="392"/>
      <c r="Z124" s="392"/>
      <c r="AA124" s="392"/>
      <c r="AB124" s="392"/>
      <c r="AC124" s="392"/>
      <c r="AD124" s="392"/>
      <c r="AE124" s="392"/>
      <c r="AF124" s="392"/>
      <c r="AG124" s="392"/>
      <c r="AH124" s="137"/>
      <c r="AI124" s="390"/>
    </row>
    <row r="125" spans="2:36">
      <c r="B125" s="136" t="s">
        <v>106</v>
      </c>
      <c r="C125" s="389">
        <f>SUM(C114:C123)</f>
        <v>325766</v>
      </c>
      <c r="D125" s="389">
        <f>SUM(D114:D123)</f>
        <v>356060</v>
      </c>
      <c r="E125" s="389">
        <f t="shared" ref="E125:L125" si="35">SUM(E114:E123)</f>
        <v>350583</v>
      </c>
      <c r="F125" s="389">
        <f t="shared" si="35"/>
        <v>385207</v>
      </c>
      <c r="G125" s="389">
        <f t="shared" si="35"/>
        <v>407037</v>
      </c>
      <c r="H125" s="389">
        <f t="shared" si="35"/>
        <v>428066</v>
      </c>
      <c r="I125" s="389">
        <f t="shared" si="35"/>
        <v>339026</v>
      </c>
      <c r="J125" s="389">
        <f t="shared" si="35"/>
        <v>511349</v>
      </c>
      <c r="K125" s="389">
        <f t="shared" si="35"/>
        <v>576347</v>
      </c>
      <c r="L125" s="389">
        <f t="shared" si="35"/>
        <v>553846</v>
      </c>
      <c r="M125" s="389">
        <f>SUM(M114:M123)</f>
        <v>571611</v>
      </c>
      <c r="N125" s="389">
        <f>SUM(N114:N123)</f>
        <v>614602</v>
      </c>
      <c r="O125" s="389">
        <f>SUM(O114:O123)</f>
        <v>656537</v>
      </c>
      <c r="P125" s="211"/>
      <c r="Q125" s="385">
        <f>(O125/C125)^(1/($O$113-$C$113))-1</f>
        <v>6.0138941708973048E-2</v>
      </c>
      <c r="T125" s="136" t="s">
        <v>106</v>
      </c>
      <c r="U125" s="389">
        <f>SUM(U114:U123)</f>
        <v>450186.1774680583</v>
      </c>
      <c r="V125" s="389">
        <f t="shared" ref="V125:AD125" si="36">SUM(V114:V123)</f>
        <v>482783.29830390168</v>
      </c>
      <c r="W125" s="389">
        <f t="shared" si="36"/>
        <v>463641.72345803876</v>
      </c>
      <c r="X125" s="389">
        <f t="shared" si="36"/>
        <v>494418.04308017279</v>
      </c>
      <c r="Y125" s="389">
        <f t="shared" si="36"/>
        <v>512092.07126220246</v>
      </c>
      <c r="Z125" s="389">
        <f t="shared" si="36"/>
        <v>521281.07820659754</v>
      </c>
      <c r="AA125" s="389">
        <f t="shared" si="36"/>
        <v>410237.95608005958</v>
      </c>
      <c r="AB125" s="389">
        <f t="shared" si="36"/>
        <v>569710.45344103093</v>
      </c>
      <c r="AC125" s="389">
        <f t="shared" si="36"/>
        <v>639902.19336573256</v>
      </c>
      <c r="AD125" s="389">
        <f t="shared" si="36"/>
        <v>619124.56870101625</v>
      </c>
      <c r="AE125" s="389">
        <f>SUM(AE114:AE123)</f>
        <v>602679.52257021389</v>
      </c>
      <c r="AF125" s="389">
        <f>SUM(AF114:AF123)</f>
        <v>616010.0529661749</v>
      </c>
      <c r="AG125" s="389">
        <f>SUM(AG114:AG123)</f>
        <v>645680.79522023664</v>
      </c>
      <c r="AH125" s="195"/>
      <c r="AI125" s="385">
        <f t="shared" si="34"/>
        <v>3.050983922031425E-2</v>
      </c>
    </row>
    <row r="126" spans="2:36" s="133" customFormat="1">
      <c r="B126" s="106"/>
      <c r="C126" s="135"/>
      <c r="D126" s="135"/>
      <c r="E126" s="135"/>
      <c r="F126" s="135"/>
      <c r="G126" s="135"/>
      <c r="H126" s="135"/>
      <c r="I126" s="135"/>
      <c r="J126" s="135"/>
      <c r="K126" s="135"/>
      <c r="L126" s="135"/>
      <c r="M126" s="135"/>
      <c r="N126" s="135"/>
      <c r="O126" s="135"/>
      <c r="P126" s="135"/>
      <c r="Q126" s="204"/>
      <c r="T126" s="106"/>
      <c r="U126" s="135"/>
      <c r="V126" s="135"/>
      <c r="W126" s="135"/>
      <c r="X126" s="135"/>
      <c r="Y126" s="135"/>
      <c r="Z126" s="135"/>
      <c r="AA126" s="135"/>
      <c r="AB126" s="135"/>
      <c r="AC126" s="135"/>
      <c r="AD126" s="135"/>
      <c r="AE126" s="135"/>
      <c r="AF126" s="135"/>
      <c r="AG126" s="135"/>
      <c r="AH126" s="135"/>
      <c r="AI126" s="142"/>
      <c r="AJ126" s="106"/>
    </row>
    <row r="127" spans="2:36" s="133" customFormat="1">
      <c r="B127" s="106"/>
      <c r="C127" s="135"/>
      <c r="D127" s="135"/>
      <c r="E127" s="135"/>
      <c r="F127" s="135"/>
      <c r="G127" s="135"/>
      <c r="H127" s="135"/>
      <c r="I127" s="135"/>
      <c r="J127" s="135"/>
      <c r="K127" s="135"/>
      <c r="L127" s="135"/>
      <c r="M127" s="135"/>
      <c r="N127" s="135"/>
      <c r="O127" s="135"/>
      <c r="P127" s="135"/>
      <c r="Q127" s="204"/>
      <c r="T127" s="106"/>
      <c r="U127" s="135"/>
      <c r="V127" s="135"/>
      <c r="W127" s="135"/>
      <c r="X127" s="135"/>
      <c r="Y127" s="135"/>
      <c r="Z127" s="135"/>
      <c r="AA127" s="135"/>
      <c r="AB127" s="135"/>
      <c r="AC127" s="135"/>
      <c r="AD127" s="135"/>
      <c r="AE127" s="135"/>
      <c r="AF127" s="135"/>
      <c r="AG127" s="135"/>
      <c r="AH127" s="135"/>
      <c r="AI127" s="142"/>
      <c r="AJ127" s="106"/>
    </row>
    <row r="128" spans="2:36" s="133" customFormat="1">
      <c r="B128" s="314" t="s">
        <v>325</v>
      </c>
      <c r="C128" s="94"/>
      <c r="D128" s="94"/>
      <c r="E128" s="94"/>
      <c r="F128" s="94"/>
      <c r="G128" s="94"/>
      <c r="H128" s="94"/>
      <c r="I128" s="94"/>
      <c r="J128" s="94"/>
      <c r="K128" s="94"/>
      <c r="L128" s="94"/>
      <c r="M128" s="94"/>
      <c r="N128" s="94"/>
      <c r="O128" s="94"/>
      <c r="P128" s="94"/>
      <c r="Q128" s="94"/>
      <c r="R128" s="94"/>
      <c r="S128" s="100"/>
      <c r="T128" s="100" t="s">
        <v>315</v>
      </c>
      <c r="U128" s="94"/>
      <c r="V128" s="94"/>
      <c r="W128" s="94"/>
      <c r="X128" s="94"/>
      <c r="Y128" s="94"/>
      <c r="Z128" s="94"/>
      <c r="AA128" s="94"/>
      <c r="AB128" s="94"/>
      <c r="AC128" s="94"/>
      <c r="AD128" s="94"/>
      <c r="AE128" s="94"/>
      <c r="AF128" s="94"/>
      <c r="AG128" s="94"/>
      <c r="AH128" s="94"/>
      <c r="AI128" s="94"/>
      <c r="AJ128" s="94"/>
    </row>
    <row r="129" spans="2:36" s="133" customFormat="1">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row>
    <row r="130" spans="2:36" s="133" customFormat="1">
      <c r="B130" s="398" t="s">
        <v>326</v>
      </c>
      <c r="C130" s="239">
        <v>2000</v>
      </c>
      <c r="D130" s="239">
        <v>2001</v>
      </c>
      <c r="E130" s="239">
        <v>2002</v>
      </c>
      <c r="F130" s="239">
        <v>2003</v>
      </c>
      <c r="G130" s="239">
        <v>2004</v>
      </c>
      <c r="H130" s="239">
        <v>2005</v>
      </c>
      <c r="I130" s="239">
        <v>2006</v>
      </c>
      <c r="J130" s="239">
        <v>2007</v>
      </c>
      <c r="K130" s="239">
        <v>2008</v>
      </c>
      <c r="L130" s="239">
        <v>2009</v>
      </c>
      <c r="M130" s="239">
        <v>2010</v>
      </c>
      <c r="N130" s="239">
        <v>2011</v>
      </c>
      <c r="O130" s="239">
        <v>2012</v>
      </c>
      <c r="P130" s="239"/>
      <c r="Q130" s="398" t="s">
        <v>239</v>
      </c>
      <c r="R130" s="90"/>
      <c r="S130" s="90"/>
      <c r="T130" s="398" t="s">
        <v>327</v>
      </c>
      <c r="U130" s="239">
        <v>2000</v>
      </c>
      <c r="V130" s="239">
        <v>2001</v>
      </c>
      <c r="W130" s="239">
        <v>2002</v>
      </c>
      <c r="X130" s="239">
        <v>2003</v>
      </c>
      <c r="Y130" s="239">
        <v>2004</v>
      </c>
      <c r="Z130" s="239">
        <v>2005</v>
      </c>
      <c r="AA130" s="239">
        <v>2006</v>
      </c>
      <c r="AB130" s="239">
        <v>2007</v>
      </c>
      <c r="AC130" s="239">
        <v>2008</v>
      </c>
      <c r="AD130" s="239">
        <v>2009</v>
      </c>
      <c r="AE130" s="239">
        <v>2010</v>
      </c>
      <c r="AF130" s="239">
        <v>2011</v>
      </c>
      <c r="AG130" s="239">
        <v>2012</v>
      </c>
      <c r="AH130" s="239"/>
      <c r="AI130" s="398" t="s">
        <v>239</v>
      </c>
    </row>
    <row r="131" spans="2:36" s="133" customFormat="1">
      <c r="B131" s="136" t="s">
        <v>116</v>
      </c>
      <c r="C131" s="163">
        <f>ABD!D49</f>
        <v>16061</v>
      </c>
      <c r="D131" s="163">
        <f>ABD!E49</f>
        <v>18048</v>
      </c>
      <c r="E131" s="163">
        <f>ABD!F49</f>
        <v>18057</v>
      </c>
      <c r="F131" s="163">
        <f>ABD!G49</f>
        <v>20183</v>
      </c>
      <c r="G131" s="163">
        <f>ABD!H49</f>
        <v>20637</v>
      </c>
      <c r="H131" s="163">
        <f>ABD!I49</f>
        <v>23010</v>
      </c>
      <c r="I131" s="163">
        <f>ABD!J49</f>
        <v>18025</v>
      </c>
      <c r="J131" s="163">
        <f>ABD!K49</f>
        <v>25931</v>
      </c>
      <c r="K131" s="163">
        <f>ABD!L49</f>
        <v>26136</v>
      </c>
      <c r="L131" s="163">
        <f>ABD!M49</f>
        <v>40958</v>
      </c>
      <c r="M131" s="163">
        <f>ABD!N49</f>
        <v>37130</v>
      </c>
      <c r="N131" s="163">
        <f>ABD!O49</f>
        <v>38611</v>
      </c>
      <c r="O131" s="391">
        <f>N131</f>
        <v>38611</v>
      </c>
      <c r="P131" s="195"/>
      <c r="Q131" s="385">
        <f>(O131/C131)^(1/($O$130-$C$130))-1</f>
        <v>7.5833026365787148E-2</v>
      </c>
      <c r="R131" s="126"/>
      <c r="S131" s="90"/>
      <c r="T131" s="136" t="s">
        <v>116</v>
      </c>
      <c r="U131" s="163">
        <f>ABD!D87</f>
        <v>22250.867837338272</v>
      </c>
      <c r="V131" s="163">
        <f>ABD!E87</f>
        <v>24635.757872034508</v>
      </c>
      <c r="W131" s="163">
        <f>ABD!F87</f>
        <v>24142.400572716182</v>
      </c>
      <c r="X131" s="163">
        <f>ABD!G87</f>
        <v>26251.633694113352</v>
      </c>
      <c r="Y131" s="163">
        <f>ABD!H87</f>
        <v>26032.527106032427</v>
      </c>
      <c r="Z131" s="163">
        <f>ABD!I87</f>
        <v>28280.663271911282</v>
      </c>
      <c r="AA131" s="163">
        <f>ABD!J87</f>
        <v>21453.586602217641</v>
      </c>
      <c r="AB131" s="163">
        <f>ABD!K87</f>
        <v>29793.086086570667</v>
      </c>
      <c r="AC131" s="163">
        <f>ABD!L87</f>
        <v>28875.418596532061</v>
      </c>
      <c r="AD131" s="163">
        <f>ABD!M87</f>
        <v>45492.738397940877</v>
      </c>
      <c r="AE131" s="163">
        <f>ABD!N87</f>
        <v>39419.224288962621</v>
      </c>
      <c r="AF131" s="163">
        <f>ABD!O87</f>
        <v>38965.342321593089</v>
      </c>
      <c r="AG131" s="391">
        <f>AF131</f>
        <v>38965.342321593089</v>
      </c>
      <c r="AH131" s="195"/>
      <c r="AI131" s="385">
        <f>(AG131/U131)^(1/($AG$130-$U$130))-1</f>
        <v>4.7798152812066563E-2</v>
      </c>
    </row>
    <row r="132" spans="2:36" s="133" customFormat="1">
      <c r="B132" s="136" t="s">
        <v>155</v>
      </c>
      <c r="C132" s="163">
        <f>BIR!D43</f>
        <v>64001</v>
      </c>
      <c r="D132" s="163">
        <f>BIR!E43</f>
        <v>68625</v>
      </c>
      <c r="E132" s="163">
        <f>BIR!F43</f>
        <v>70354</v>
      </c>
      <c r="F132" s="163">
        <f>BIR!G43</f>
        <v>72230</v>
      </c>
      <c r="G132" s="163">
        <f>BIR!H43</f>
        <v>75989</v>
      </c>
      <c r="H132" s="163">
        <f>BIR!I43</f>
        <v>75632</v>
      </c>
      <c r="I132" s="163">
        <f>BIR!J43</f>
        <v>86222</v>
      </c>
      <c r="J132" s="163">
        <f>BIR!K43</f>
        <v>85889</v>
      </c>
      <c r="K132" s="163">
        <f>BIR!L43</f>
        <v>86475</v>
      </c>
      <c r="L132" s="163">
        <f>BIR!M43</f>
        <v>85086</v>
      </c>
      <c r="M132" s="163">
        <f>BIR!N43</f>
        <v>84866</v>
      </c>
      <c r="N132" s="163">
        <f>BIR!O43</f>
        <v>81547</v>
      </c>
      <c r="O132" s="391">
        <f>N132</f>
        <v>81547</v>
      </c>
      <c r="P132" s="195"/>
      <c r="Q132" s="385">
        <f t="shared" ref="Q132:Q142" si="37">(O132/C132)^(1/($O$130-$C$130))-1</f>
        <v>2.03952675215755E-2</v>
      </c>
      <c r="R132" s="126"/>
      <c r="S132" s="90"/>
      <c r="T132" s="136" t="s">
        <v>155</v>
      </c>
      <c r="U132" s="163">
        <f>BIR!D83</f>
        <v>88666.819778188568</v>
      </c>
      <c r="V132" s="163">
        <f>BIR!E83</f>
        <v>93674.029475197705</v>
      </c>
      <c r="W132" s="163">
        <f>BIR!F83</f>
        <v>94064.044408975707</v>
      </c>
      <c r="X132" s="163">
        <f>BIR!G83</f>
        <v>93948.149518198858</v>
      </c>
      <c r="Y132" s="163">
        <f>BIR!H83</f>
        <v>95856.263132252658</v>
      </c>
      <c r="Z132" s="163">
        <f>BIR!I83</f>
        <v>92956.241833167936</v>
      </c>
      <c r="AA132" s="163">
        <f>BIR!J83</f>
        <v>102158.6147766037</v>
      </c>
      <c r="AB132" s="163">
        <f>BIR!K83</f>
        <v>97727.002876433209</v>
      </c>
      <c r="AC132" s="163">
        <f>BIR!L83</f>
        <v>95557.324241483657</v>
      </c>
      <c r="AD132" s="163">
        <f>BIR!M83</f>
        <v>93593.942762243183</v>
      </c>
      <c r="AE132" s="163">
        <f>BIR!N83</f>
        <v>88938.019133826412</v>
      </c>
      <c r="AF132" s="163">
        <f>BIR!O83</f>
        <v>81547</v>
      </c>
      <c r="AG132" s="391">
        <f>AF132</f>
        <v>81547</v>
      </c>
      <c r="AH132" s="195"/>
      <c r="AI132" s="385">
        <f t="shared" ref="AI132:AI142" si="38">(AG132/U132)^(1/($AG$130-$U$130))-1</f>
        <v>-6.9512446998797328E-3</v>
      </c>
    </row>
    <row r="133" spans="2:36" s="133" customFormat="1">
      <c r="B133" s="136" t="s">
        <v>115</v>
      </c>
      <c r="C133" s="163">
        <f>EDIN!D50</f>
        <v>33047</v>
      </c>
      <c r="D133" s="163">
        <f>EDIN!E50</f>
        <v>37477</v>
      </c>
      <c r="E133" s="163">
        <f>EDIN!F50</f>
        <v>40393</v>
      </c>
      <c r="F133" s="163">
        <f>EDIN!G50</f>
        <v>42208</v>
      </c>
      <c r="G133" s="163">
        <f>EDIN!H50</f>
        <v>43478</v>
      </c>
      <c r="H133" s="163">
        <f>EDIN!I50</f>
        <v>46000</v>
      </c>
      <c r="I133" s="163">
        <f>EDIN!J50</f>
        <v>36591</v>
      </c>
      <c r="J133" s="163">
        <f>EDIN!K50</f>
        <v>51875</v>
      </c>
      <c r="K133" s="163">
        <f>EDIN!L50</f>
        <v>52793</v>
      </c>
      <c r="L133" s="163">
        <f>EDIN!M50</f>
        <v>77699</v>
      </c>
      <c r="M133" s="163">
        <f>EDIN!N50</f>
        <v>64920</v>
      </c>
      <c r="N133" s="163">
        <f>EDIN!O50</f>
        <v>83707</v>
      </c>
      <c r="O133" s="163">
        <f>EDIN!P50</f>
        <v>104486</v>
      </c>
      <c r="P133" s="195"/>
      <c r="Q133" s="385">
        <f t="shared" si="37"/>
        <v>0.10067855563330141</v>
      </c>
      <c r="R133" s="126"/>
      <c r="S133" s="90"/>
      <c r="T133" s="136" t="s">
        <v>115</v>
      </c>
      <c r="U133" s="163">
        <f>EDIN!D88</f>
        <v>45783.228280961201</v>
      </c>
      <c r="V133" s="163">
        <f>EDIN!E88</f>
        <v>51156.598945602687</v>
      </c>
      <c r="W133" s="163">
        <f>EDIN!F88</f>
        <v>54005.869542765955</v>
      </c>
      <c r="X133" s="163">
        <f>EDIN!G88</f>
        <v>54899.120792802678</v>
      </c>
      <c r="Y133" s="163">
        <f>EDIN!H88</f>
        <v>54845.288245194446</v>
      </c>
      <c r="Z133" s="163">
        <f>EDIN!I88</f>
        <v>56536.745350192046</v>
      </c>
      <c r="AA133" s="163">
        <f>EDIN!J88</f>
        <v>43551.078355714046</v>
      </c>
      <c r="AB133" s="163">
        <f>EDIN!K88</f>
        <v>59601.1083545121</v>
      </c>
      <c r="AC133" s="163">
        <f>EDIN!L88</f>
        <v>58326.445284921836</v>
      </c>
      <c r="AD133" s="163">
        <f>EDIN!M88</f>
        <v>86301.584080804925</v>
      </c>
      <c r="AE133" s="163">
        <f>EDIN!N88</f>
        <v>68922.597383233326</v>
      </c>
      <c r="AF133" s="163">
        <f>EDIN!O88</f>
        <v>84475.199029126234</v>
      </c>
      <c r="AG133" s="163">
        <f>EDIN!P88</f>
        <v>102168.63274624919</v>
      </c>
      <c r="AH133" s="195"/>
      <c r="AI133" s="385">
        <f t="shared" si="38"/>
        <v>6.9180257195932793E-2</v>
      </c>
    </row>
    <row r="134" spans="2:36" s="133" customFormat="1">
      <c r="B134" s="136" t="s">
        <v>107</v>
      </c>
      <c r="C134" s="163">
        <f>GAT!D52</f>
        <v>206000</v>
      </c>
      <c r="D134" s="163">
        <f>GAT!E52</f>
        <v>220800</v>
      </c>
      <c r="E134" s="163">
        <f>GAT!F52</f>
        <v>220800</v>
      </c>
      <c r="F134" s="163">
        <f>GAT!G52</f>
        <v>236700</v>
      </c>
      <c r="G134" s="163">
        <f>GAT!H52</f>
        <v>247700</v>
      </c>
      <c r="H134" s="163">
        <f>GAT!I52</f>
        <v>280900</v>
      </c>
      <c r="I134" s="163">
        <f>GAT!J52</f>
        <v>223700</v>
      </c>
      <c r="J134" s="163">
        <f>GAT!K52</f>
        <v>328900</v>
      </c>
      <c r="K134" s="163">
        <f>GAT!L52</f>
        <v>361400</v>
      </c>
      <c r="L134" s="163">
        <f>GAT!M52</f>
        <v>600300</v>
      </c>
      <c r="M134" s="163">
        <f>GAT!N52</f>
        <v>380400</v>
      </c>
      <c r="N134" s="163">
        <f>GAT!O52</f>
        <v>401200</v>
      </c>
      <c r="O134" s="163">
        <f>GAT!P52</f>
        <v>422500</v>
      </c>
      <c r="P134" s="195"/>
      <c r="Q134" s="385">
        <f t="shared" si="37"/>
        <v>6.1687305113027113E-2</v>
      </c>
      <c r="R134" s="126"/>
      <c r="S134" s="90"/>
      <c r="T134" s="136" t="s">
        <v>107</v>
      </c>
      <c r="U134" s="163">
        <f>GAT!D102</f>
        <v>285391.86691312393</v>
      </c>
      <c r="V134" s="163">
        <f>GAT!E102</f>
        <v>301394.9101365924</v>
      </c>
      <c r="W134" s="163">
        <f>GAT!F102</f>
        <v>295211.9425406066</v>
      </c>
      <c r="X134" s="163">
        <f>GAT!G102</f>
        <v>307871.06452938763</v>
      </c>
      <c r="Y134" s="163">
        <f>GAT!H102</f>
        <v>312460.96642749588</v>
      </c>
      <c r="Z134" s="163">
        <f>GAT!I102</f>
        <v>345242.86454062926</v>
      </c>
      <c r="AA134" s="163">
        <f>GAT!J102</f>
        <v>266250.61430879816</v>
      </c>
      <c r="AB134" s="163">
        <f>GAT!K102</f>
        <v>377885.38868046325</v>
      </c>
      <c r="AC134" s="163">
        <f>GAT!L102</f>
        <v>399279.77811396873</v>
      </c>
      <c r="AD134" s="163">
        <f>GAT!M102</f>
        <v>660325.36304650095</v>
      </c>
      <c r="AE134" s="163">
        <f>GAT!N102</f>
        <v>398652.25742355676</v>
      </c>
      <c r="AF134" s="163">
        <f>GAT!O102</f>
        <v>401200</v>
      </c>
      <c r="AG134" s="163">
        <f>GAT!P102</f>
        <v>409836.94356459257</v>
      </c>
      <c r="AH134" s="195"/>
      <c r="AI134" s="385">
        <f t="shared" si="38"/>
        <v>3.0617373618434529E-2</v>
      </c>
    </row>
    <row r="135" spans="2:36" s="133" customFormat="1">
      <c r="B135" s="136" t="s">
        <v>114</v>
      </c>
      <c r="C135" s="163">
        <f>GLAS!D50</f>
        <v>43232</v>
      </c>
      <c r="D135" s="163">
        <f>GLAS!E50</f>
        <v>45726</v>
      </c>
      <c r="E135" s="163">
        <f>GLAS!F50</f>
        <v>49389</v>
      </c>
      <c r="F135" s="163">
        <f>GLAS!G50</f>
        <v>52477</v>
      </c>
      <c r="G135" s="163">
        <f>GLAS!H50</f>
        <v>54591</v>
      </c>
      <c r="H135" s="163">
        <f>GLAS!I50</f>
        <v>56826</v>
      </c>
      <c r="I135" s="163">
        <f>GLAS!J50</f>
        <v>42389</v>
      </c>
      <c r="J135" s="163">
        <f>GLAS!K50</f>
        <v>59076</v>
      </c>
      <c r="K135" s="163">
        <f>GLAS!L50</f>
        <v>53014</v>
      </c>
      <c r="L135" s="163">
        <f>GLAS!M50</f>
        <v>73371</v>
      </c>
      <c r="M135" s="163">
        <f>GLAS!N50</f>
        <v>69120</v>
      </c>
      <c r="N135" s="163">
        <f>GLAS!O50</f>
        <v>66206</v>
      </c>
      <c r="O135" s="391">
        <f>N135</f>
        <v>66206</v>
      </c>
      <c r="P135" s="195"/>
      <c r="Q135" s="385">
        <f t="shared" si="37"/>
        <v>3.6154065125157731E-2</v>
      </c>
      <c r="R135" s="126"/>
      <c r="S135" s="90"/>
      <c r="T135" s="136" t="s">
        <v>114</v>
      </c>
      <c r="U135" s="163">
        <f>GLAS!D88</f>
        <v>59893.500924214444</v>
      </c>
      <c r="V135" s="163">
        <f>GLAS!E88</f>
        <v>62416.592667145946</v>
      </c>
      <c r="W135" s="163">
        <f>GLAS!F88</f>
        <v>66033.616984320746</v>
      </c>
      <c r="X135" s="163">
        <f>GLAS!G88</f>
        <v>68255.808421244932</v>
      </c>
      <c r="Y135" s="163">
        <f>GLAS!H88</f>
        <v>68863.773186287552</v>
      </c>
      <c r="Z135" s="163">
        <f>GLAS!I88</f>
        <v>69842.545462391587</v>
      </c>
      <c r="AA135" s="163">
        <f>GLAS!J88</f>
        <v>50451.932453892019</v>
      </c>
      <c r="AB135" s="163">
        <f>GLAS!K88</f>
        <v>67874.603896889777</v>
      </c>
      <c r="AC135" s="163">
        <f>GLAS!L88</f>
        <v>58570.60917801311</v>
      </c>
      <c r="AD135" s="163">
        <f>GLAS!M88</f>
        <v>81494.401801731539</v>
      </c>
      <c r="AE135" s="163">
        <f>GLAS!N88</f>
        <v>73381.545457934189</v>
      </c>
      <c r="AF135" s="163">
        <f>GLAS!O88</f>
        <v>66813.588193607837</v>
      </c>
      <c r="AG135" s="391">
        <f>AF135</f>
        <v>66813.588193607837</v>
      </c>
      <c r="AH135" s="195"/>
      <c r="AI135" s="385">
        <f t="shared" si="38"/>
        <v>9.1531760596079703E-3</v>
      </c>
    </row>
    <row r="136" spans="2:36" s="133" customFormat="1">
      <c r="B136" s="136" t="s">
        <v>105</v>
      </c>
      <c r="C136" s="163">
        <f>HTROW!D51</f>
        <v>544400</v>
      </c>
      <c r="D136" s="163">
        <f>HTROW!E51</f>
        <v>586800</v>
      </c>
      <c r="E136" s="163">
        <f>HTROW!F51</f>
        <v>601900</v>
      </c>
      <c r="F136" s="163">
        <f>HTROW!G51</f>
        <v>640300</v>
      </c>
      <c r="G136" s="163">
        <f>HTROW!H51</f>
        <v>701600</v>
      </c>
      <c r="H136" s="163">
        <f>HTROW!I51</f>
        <v>780300</v>
      </c>
      <c r="I136" s="163">
        <f>HTROW!J51</f>
        <v>439400</v>
      </c>
      <c r="J136" s="163">
        <f>HTROW!K51</f>
        <v>1046900</v>
      </c>
      <c r="K136" s="163">
        <f>HTROW!L51</f>
        <v>1400700</v>
      </c>
      <c r="L136" s="163">
        <f>HTROW!M51</f>
        <v>1617500</v>
      </c>
      <c r="M136" s="163">
        <f>HTROW!N51</f>
        <v>1460100</v>
      </c>
      <c r="N136" s="163">
        <f>HTROW!O51</f>
        <v>1520400</v>
      </c>
      <c r="O136" s="163">
        <f>HTROW!P51</f>
        <v>1681600</v>
      </c>
      <c r="P136" s="195"/>
      <c r="Q136" s="385">
        <f t="shared" si="37"/>
        <v>9.854296823164499E-2</v>
      </c>
      <c r="R136" s="126"/>
      <c r="S136" s="90"/>
      <c r="T136" s="136" t="s">
        <v>105</v>
      </c>
      <c r="U136" s="163">
        <f>HTROW!D102</f>
        <v>754210.35120147909</v>
      </c>
      <c r="V136" s="163">
        <f>HTROW!E102</f>
        <v>800989.73400431348</v>
      </c>
      <c r="W136" s="163">
        <f>HTROW!F102</f>
        <v>804746.68575720617</v>
      </c>
      <c r="X136" s="163">
        <f>HTROW!G102</f>
        <v>832825.69758414407</v>
      </c>
      <c r="Y136" s="163">
        <f>HTROW!H102</f>
        <v>885032.75755159906</v>
      </c>
      <c r="Z136" s="163">
        <f>HTROW!I102</f>
        <v>959035.26949467068</v>
      </c>
      <c r="AA136" s="163">
        <f>HTROW!J102</f>
        <v>520572.02163061564</v>
      </c>
      <c r="AB136" s="163">
        <f>HTROW!K102</f>
        <v>1202822.1751583368</v>
      </c>
      <c r="AC136" s="163">
        <f>HTROW!L102</f>
        <v>1547512.964040498</v>
      </c>
      <c r="AD136" s="163">
        <f>HTROW!M102</f>
        <v>1796584.4122923329</v>
      </c>
      <c r="AE136" s="163">
        <f>HTROW!N102</f>
        <v>1550121.4485406498</v>
      </c>
      <c r="AF136" s="163">
        <f>HTROW!O102</f>
        <v>1534353.072071434</v>
      </c>
      <c r="AG136" s="163">
        <f>HTROW!P102</f>
        <v>1644304.2400521855</v>
      </c>
      <c r="AH136" s="195"/>
      <c r="AI136" s="385">
        <f t="shared" si="38"/>
        <v>6.7105784248602918E-2</v>
      </c>
    </row>
    <row r="137" spans="2:36" s="133" customFormat="1">
      <c r="B137" s="136" t="s">
        <v>156</v>
      </c>
      <c r="C137" s="163">
        <f>LTN!D43</f>
        <v>47501</v>
      </c>
      <c r="D137" s="163">
        <f>LTN!E43</f>
        <v>69944</v>
      </c>
      <c r="E137" s="163">
        <f>LTN!F43</f>
        <v>56967</v>
      </c>
      <c r="F137" s="163">
        <f>LTN!G43</f>
        <v>61199</v>
      </c>
      <c r="G137" s="163">
        <f>LTN!H43</f>
        <v>42842</v>
      </c>
      <c r="H137" s="163">
        <f>LTN!I43</f>
        <v>64143</v>
      </c>
      <c r="I137" s="163">
        <f>LTN!J43</f>
        <v>70354</v>
      </c>
      <c r="J137" s="163">
        <f>LTN!K43</f>
        <v>77237</v>
      </c>
      <c r="K137" s="163">
        <f>LTN!L43</f>
        <v>83322</v>
      </c>
      <c r="L137" s="163">
        <f>LTN!M43</f>
        <v>79178</v>
      </c>
      <c r="M137" s="163">
        <f>LTN!N43</f>
        <v>81657</v>
      </c>
      <c r="N137" s="163">
        <f>LTN!O43</f>
        <v>88259</v>
      </c>
      <c r="O137" s="163">
        <f>LTN!P43</f>
        <v>93423</v>
      </c>
      <c r="P137" s="195"/>
      <c r="Q137" s="385">
        <f t="shared" si="37"/>
        <v>5.7984377238788021E-2</v>
      </c>
      <c r="R137" s="126"/>
      <c r="S137" s="90"/>
      <c r="T137" s="136" t="s">
        <v>156</v>
      </c>
      <c r="U137" s="163">
        <f>LTN!D83</f>
        <v>65807.76247689467</v>
      </c>
      <c r="V137" s="163">
        <f>LTN!E83</f>
        <v>95474.481859573454</v>
      </c>
      <c r="W137" s="163">
        <f>LTN!F83</f>
        <v>76165.483381842103</v>
      </c>
      <c r="X137" s="163">
        <f>LTN!G83</f>
        <v>79600.343380371749</v>
      </c>
      <c r="Y137" s="163">
        <f>LTN!H83</f>
        <v>54188.610344623412</v>
      </c>
      <c r="Z137" s="163">
        <f>LTN!I83</f>
        <v>79300.984633415821</v>
      </c>
      <c r="AA137" s="163">
        <f>LTN!J83</f>
        <v>84286.891599713985</v>
      </c>
      <c r="AB137" s="163">
        <f>LTN!K83</f>
        <v>88740.449271854479</v>
      </c>
      <c r="AC137" s="163">
        <f>LTN!L83</f>
        <v>92055.311765390434</v>
      </c>
      <c r="AD137" s="163">
        <f>LTN!M83</f>
        <v>87944.334217299751</v>
      </c>
      <c r="AE137" s="163">
        <f>LTN!N83</f>
        <v>86691.505460916262</v>
      </c>
      <c r="AF137" s="163">
        <f>LTN!O83</f>
        <v>89068.973814754456</v>
      </c>
      <c r="AG137" s="163">
        <f>LTN!P83</f>
        <v>91350.99608610569</v>
      </c>
      <c r="AH137" s="195"/>
      <c r="AI137" s="385">
        <f t="shared" si="38"/>
        <v>2.7707865094725337E-2</v>
      </c>
    </row>
    <row r="138" spans="2:36" s="133" customFormat="1">
      <c r="B138" s="136" t="s">
        <v>204</v>
      </c>
      <c r="C138" s="163">
        <f>MAN!D49</f>
        <v>184738</v>
      </c>
      <c r="D138" s="163">
        <f>MAN!E49</f>
        <v>215847</v>
      </c>
      <c r="E138" s="163">
        <f>MAN!F49</f>
        <v>202810</v>
      </c>
      <c r="F138" s="163">
        <f>MAN!G49</f>
        <v>182900</v>
      </c>
      <c r="G138" s="163">
        <f>MAN!H49</f>
        <v>198787</v>
      </c>
      <c r="H138" s="163">
        <f>MAN!I49</f>
        <v>219055</v>
      </c>
      <c r="I138" s="163">
        <f>MAN!J49</f>
        <v>216741</v>
      </c>
      <c r="J138" s="163">
        <f>MAN!K49</f>
        <v>213603</v>
      </c>
      <c r="K138" s="163">
        <f>MAN!L49</f>
        <v>224689</v>
      </c>
      <c r="L138" s="163">
        <f>MAN!M49</f>
        <v>217873</v>
      </c>
      <c r="M138" s="163">
        <f>MAN!N49</f>
        <v>221417</v>
      </c>
      <c r="N138" s="163">
        <f>MAN!O49</f>
        <v>231942</v>
      </c>
      <c r="O138" s="391">
        <f>N138</f>
        <v>231942</v>
      </c>
      <c r="P138" s="195"/>
      <c r="Q138" s="385">
        <f t="shared" si="37"/>
        <v>1.9143322615602143E-2</v>
      </c>
      <c r="R138" s="126"/>
      <c r="S138" s="90"/>
      <c r="T138" s="136" t="s">
        <v>204</v>
      </c>
      <c r="U138" s="163">
        <f>MAN!D89</f>
        <v>255935.54713493542</v>
      </c>
      <c r="V138" s="163">
        <f>MAN!E89</f>
        <v>294633.99985621858</v>
      </c>
      <c r="W138" s="163">
        <f>MAN!F89</f>
        <v>271159.12167871569</v>
      </c>
      <c r="X138" s="163">
        <f>MAN!G89</f>
        <v>237894.45586153358</v>
      </c>
      <c r="Y138" s="163">
        <f>MAN!H89</f>
        <v>250759.70178935252</v>
      </c>
      <c r="Z138" s="163">
        <f>MAN!I89</f>
        <v>269231.6685366591</v>
      </c>
      <c r="AA138" s="163">
        <f>MAN!J89</f>
        <v>256801.74810716364</v>
      </c>
      <c r="AB138" s="163">
        <f>MAN!K89</f>
        <v>243043.70752267187</v>
      </c>
      <c r="AC138" s="163">
        <f>MAN!L89</f>
        <v>248287.70889268254</v>
      </c>
      <c r="AD138" s="163">
        <f>MAN!M89</f>
        <v>239658.61706318561</v>
      </c>
      <c r="AE138" s="163">
        <f>MAN!N89</f>
        <v>232040.97497884245</v>
      </c>
      <c r="AF138" s="163">
        <f>MAN!O89</f>
        <v>231942</v>
      </c>
      <c r="AG138" s="391">
        <f>AF138</f>
        <v>231942</v>
      </c>
      <c r="AH138" s="195"/>
      <c r="AI138" s="385">
        <f t="shared" si="38"/>
        <v>-8.1696375816900924E-3</v>
      </c>
    </row>
    <row r="139" spans="2:36" s="133" customFormat="1">
      <c r="B139" s="136" t="s">
        <v>113</v>
      </c>
      <c r="C139" s="163">
        <f>STHAM!D47</f>
        <v>0</v>
      </c>
      <c r="D139" s="163">
        <f>STHAM!E47</f>
        <v>0</v>
      </c>
      <c r="E139" s="163">
        <f>STHAM!F47</f>
        <v>0</v>
      </c>
      <c r="F139" s="163">
        <f>STHAM!G47</f>
        <v>0</v>
      </c>
      <c r="G139" s="163">
        <f>STHAM!H47</f>
        <v>0</v>
      </c>
      <c r="H139" s="163">
        <f>STHAM!I47</f>
        <v>0</v>
      </c>
      <c r="I139" s="163">
        <f>STHAM!J47</f>
        <v>11031</v>
      </c>
      <c r="J139" s="163">
        <f>STHAM!K47</f>
        <v>18282</v>
      </c>
      <c r="K139" s="163">
        <f>STHAM!L47</f>
        <v>20740</v>
      </c>
      <c r="L139" s="163">
        <f>STHAM!M47</f>
        <v>25381</v>
      </c>
      <c r="M139" s="163">
        <f>STHAM!N47</f>
        <v>18487</v>
      </c>
      <c r="N139" s="391">
        <f>M139</f>
        <v>18487</v>
      </c>
      <c r="O139" s="391">
        <f>M139</f>
        <v>18487</v>
      </c>
      <c r="P139" s="195"/>
      <c r="Q139" s="385" t="e">
        <f t="shared" si="37"/>
        <v>#DIV/0!</v>
      </c>
      <c r="R139" s="126"/>
      <c r="S139" s="90"/>
      <c r="T139" s="136" t="s">
        <v>113</v>
      </c>
      <c r="U139" s="391">
        <f>STHAM!D85</f>
        <v>0</v>
      </c>
      <c r="V139" s="391">
        <f>STHAM!E85</f>
        <v>0</v>
      </c>
      <c r="W139" s="391">
        <f>STHAM!F85</f>
        <v>0</v>
      </c>
      <c r="X139" s="391">
        <f>STHAM!G85</f>
        <v>0</v>
      </c>
      <c r="Y139" s="391">
        <f>STHAM!H85</f>
        <v>0</v>
      </c>
      <c r="Z139" s="391">
        <f>STHAM!I85</f>
        <v>0</v>
      </c>
      <c r="AA139" s="391">
        <f>STHAM!J85</f>
        <v>13129.237936702513</v>
      </c>
      <c r="AB139" s="391">
        <f>STHAM!K85</f>
        <v>21004.866755415715</v>
      </c>
      <c r="AC139" s="391">
        <f>STHAM!L85</f>
        <v>22913.842274719733</v>
      </c>
      <c r="AD139" s="391">
        <f>STHAM!M85</f>
        <v>28191.102917089152</v>
      </c>
      <c r="AE139" s="391">
        <f>STHAM!N85</f>
        <v>19626.803108808293</v>
      </c>
      <c r="AF139" s="391">
        <f>AE139</f>
        <v>19626.803108808293</v>
      </c>
      <c r="AG139" s="391">
        <f>AE139</f>
        <v>19626.803108808293</v>
      </c>
      <c r="AH139" s="195"/>
      <c r="AI139" s="385" t="e">
        <f t="shared" si="38"/>
        <v>#DIV/0!</v>
      </c>
    </row>
    <row r="140" spans="2:36" s="133" customFormat="1">
      <c r="B140" s="136" t="s">
        <v>112</v>
      </c>
      <c r="C140" s="163">
        <f>STAN!E51</f>
        <v>90338</v>
      </c>
      <c r="D140" s="163">
        <f>STAN!F51</f>
        <v>101549</v>
      </c>
      <c r="E140" s="163">
        <f>STAN!G51</f>
        <v>93800</v>
      </c>
      <c r="F140" s="163">
        <f>STAN!H51</f>
        <v>109600</v>
      </c>
      <c r="G140" s="163">
        <f>STAN!I51</f>
        <v>119700</v>
      </c>
      <c r="H140" s="163">
        <f>STAN!J51</f>
        <v>130500</v>
      </c>
      <c r="I140" s="163">
        <f>STAN!K51</f>
        <v>111100</v>
      </c>
      <c r="J140" s="163">
        <f>STAN!L51</f>
        <v>165200</v>
      </c>
      <c r="K140" s="163">
        <f>STAN!M51</f>
        <v>177600</v>
      </c>
      <c r="L140" s="163">
        <f>STAN!N51</f>
        <v>215600</v>
      </c>
      <c r="M140" s="163">
        <f>STAN!O51</f>
        <v>168600</v>
      </c>
      <c r="N140" s="163">
        <f>STAN!P51</f>
        <v>195400</v>
      </c>
      <c r="O140" s="163">
        <f>STAN!Q51</f>
        <v>218500</v>
      </c>
      <c r="P140" s="195"/>
      <c r="Q140" s="385">
        <f t="shared" si="37"/>
        <v>7.6378664590539769E-2</v>
      </c>
      <c r="R140" s="126"/>
      <c r="S140" s="90"/>
      <c r="T140" s="136" t="s">
        <v>112</v>
      </c>
      <c r="U140" s="163">
        <f>STAN!E101</f>
        <v>125154.03142329025</v>
      </c>
      <c r="V140" s="163">
        <f>STAN!F101</f>
        <v>138615.72341241315</v>
      </c>
      <c r="W140" s="163">
        <f>STAN!G101</f>
        <v>125411.59515538451</v>
      </c>
      <c r="X140" s="163">
        <f>STAN!H101</f>
        <v>142554.57825272871</v>
      </c>
      <c r="Y140" s="163">
        <f>STAN!I101</f>
        <v>150995.46904065908</v>
      </c>
      <c r="Z140" s="163">
        <f>STAN!J101</f>
        <v>160392.28843913178</v>
      </c>
      <c r="AA140" s="163">
        <f>STAN!K101</f>
        <v>132232.64751769099</v>
      </c>
      <c r="AB140" s="163">
        <f>STAN!L101</f>
        <v>189804.39711162215</v>
      </c>
      <c r="AC140" s="163">
        <f>STAN!M101</f>
        <v>196214.96566973117</v>
      </c>
      <c r="AD140" s="163">
        <f>STAN!N101</f>
        <v>239470.54051946028</v>
      </c>
      <c r="AE140" s="163">
        <f>STAN!O101</f>
        <v>178994.91557013462</v>
      </c>
      <c r="AF140" s="163">
        <f>STAN!P101</f>
        <v>197193.23223017508</v>
      </c>
      <c r="AG140" s="163">
        <f>STAN!Q101</f>
        <v>213653.94651011092</v>
      </c>
      <c r="AH140" s="195"/>
      <c r="AI140" s="385">
        <f t="shared" si="38"/>
        <v>4.5575760113690356E-2</v>
      </c>
    </row>
    <row r="141" spans="2:36" s="133" customFormat="1">
      <c r="B141" s="136"/>
      <c r="C141" s="136"/>
      <c r="D141" s="136"/>
      <c r="E141" s="136"/>
      <c r="F141" s="136"/>
      <c r="G141" s="136"/>
      <c r="H141" s="136"/>
      <c r="I141" s="136"/>
      <c r="J141" s="136"/>
      <c r="K141" s="136"/>
      <c r="L141" s="136"/>
      <c r="M141" s="136"/>
      <c r="N141" s="136"/>
      <c r="O141" s="136"/>
      <c r="P141" s="137"/>
      <c r="Q141" s="390"/>
      <c r="R141" s="90"/>
      <c r="S141" s="90"/>
      <c r="T141" s="136"/>
      <c r="U141" s="386"/>
      <c r="V141" s="386"/>
      <c r="W141" s="386"/>
      <c r="X141" s="386"/>
      <c r="Y141" s="386"/>
      <c r="Z141" s="386"/>
      <c r="AA141" s="386"/>
      <c r="AB141" s="386"/>
      <c r="AC141" s="386"/>
      <c r="AD141" s="386"/>
      <c r="AE141" s="386"/>
      <c r="AF141" s="386"/>
      <c r="AG141" s="386"/>
      <c r="AH141" s="387"/>
      <c r="AI141" s="390"/>
    </row>
    <row r="142" spans="2:36" s="133" customFormat="1">
      <c r="B142" s="136" t="s">
        <v>106</v>
      </c>
      <c r="C142" s="389">
        <f>SUM(C131:C140)</f>
        <v>1229318</v>
      </c>
      <c r="D142" s="389">
        <f t="shared" ref="D142:M142" si="39">SUM(D131:D140)</f>
        <v>1364816</v>
      </c>
      <c r="E142" s="389">
        <f t="shared" si="39"/>
        <v>1354470</v>
      </c>
      <c r="F142" s="389">
        <f t="shared" si="39"/>
        <v>1417797</v>
      </c>
      <c r="G142" s="389">
        <f t="shared" si="39"/>
        <v>1505324</v>
      </c>
      <c r="H142" s="389">
        <f t="shared" si="39"/>
        <v>1676366</v>
      </c>
      <c r="I142" s="389">
        <f t="shared" si="39"/>
        <v>1255553</v>
      </c>
      <c r="J142" s="389">
        <f t="shared" si="39"/>
        <v>2072893</v>
      </c>
      <c r="K142" s="389">
        <f t="shared" si="39"/>
        <v>2486869</v>
      </c>
      <c r="L142" s="389">
        <f t="shared" si="39"/>
        <v>3032946</v>
      </c>
      <c r="M142" s="389">
        <f t="shared" si="39"/>
        <v>2586697</v>
      </c>
      <c r="N142" s="389">
        <f>SUM(N131:N140)</f>
        <v>2725759</v>
      </c>
      <c r="O142" s="389">
        <f>SUM(O131:O140)</f>
        <v>2957302</v>
      </c>
      <c r="P142" s="211"/>
      <c r="Q142" s="385">
        <f t="shared" si="37"/>
        <v>7.58935064894255E-2</v>
      </c>
      <c r="R142" s="90"/>
      <c r="S142" s="90"/>
      <c r="T142" s="136" t="s">
        <v>106</v>
      </c>
      <c r="U142" s="394">
        <f>SUM(U131:U140)</f>
        <v>1703093.9759704259</v>
      </c>
      <c r="V142" s="394">
        <f t="shared" ref="V142:AE142" si="40">SUM(V131:V140)</f>
        <v>1862991.8282290916</v>
      </c>
      <c r="W142" s="394">
        <f t="shared" si="40"/>
        <v>1810940.7600225336</v>
      </c>
      <c r="X142" s="394">
        <f t="shared" si="40"/>
        <v>1844100.8520345257</v>
      </c>
      <c r="Y142" s="394">
        <f t="shared" si="40"/>
        <v>1899035.356823497</v>
      </c>
      <c r="Z142" s="394">
        <f t="shared" si="40"/>
        <v>2060819.2715621695</v>
      </c>
      <c r="AA142" s="394">
        <f t="shared" si="40"/>
        <v>1490888.3732891125</v>
      </c>
      <c r="AB142" s="394">
        <f t="shared" si="40"/>
        <v>2378296.7857147697</v>
      </c>
      <c r="AC142" s="394">
        <f t="shared" si="40"/>
        <v>2747594.3680579416</v>
      </c>
      <c r="AD142" s="394">
        <f t="shared" si="40"/>
        <v>3359057.0370985889</v>
      </c>
      <c r="AE142" s="394">
        <f t="shared" si="40"/>
        <v>2736789.2913468643</v>
      </c>
      <c r="AF142" s="394">
        <f>SUM(AF131:AF140)</f>
        <v>2745185.2107694987</v>
      </c>
      <c r="AG142" s="394">
        <f>SUM(AG131:AG140)</f>
        <v>2900209.492583253</v>
      </c>
      <c r="AH142" s="195"/>
      <c r="AI142" s="385">
        <f t="shared" si="38"/>
        <v>4.5360044084618689E-2</v>
      </c>
    </row>
    <row r="143" spans="2:36" s="133" customFormat="1">
      <c r="B143" s="90"/>
      <c r="C143" s="90"/>
      <c r="D143" s="208"/>
      <c r="E143" s="208"/>
      <c r="F143" s="208"/>
      <c r="G143" s="208"/>
      <c r="H143" s="208"/>
      <c r="I143" s="208"/>
      <c r="J143" s="208"/>
      <c r="K143" s="208"/>
      <c r="L143" s="208"/>
      <c r="M143" s="208"/>
      <c r="N143" s="208"/>
      <c r="O143" s="208"/>
      <c r="Q143" s="90"/>
      <c r="R143" s="90"/>
      <c r="S143" s="90"/>
      <c r="T143" s="90"/>
      <c r="U143" s="90"/>
      <c r="V143" s="90"/>
      <c r="W143" s="90"/>
      <c r="X143" s="90"/>
      <c r="Y143" s="90"/>
      <c r="Z143" s="90"/>
      <c r="AA143" s="90"/>
      <c r="AB143" s="90"/>
      <c r="AC143" s="90"/>
      <c r="AD143" s="90"/>
      <c r="AE143" s="90"/>
      <c r="AF143" s="90"/>
      <c r="AG143" s="90"/>
      <c r="AH143" s="90"/>
      <c r="AI143" s="90"/>
      <c r="AJ143" s="90"/>
    </row>
    <row r="144" spans="2:36" s="133" customFormat="1">
      <c r="B144" s="106"/>
      <c r="C144" s="135"/>
      <c r="D144" s="135"/>
      <c r="E144" s="135"/>
      <c r="F144" s="135"/>
      <c r="G144" s="135"/>
      <c r="H144" s="135"/>
      <c r="I144" s="135"/>
      <c r="J144" s="135"/>
      <c r="K144" s="135"/>
      <c r="L144" s="135"/>
      <c r="M144" s="135"/>
      <c r="N144" s="135"/>
      <c r="O144" s="135"/>
      <c r="P144" s="135"/>
      <c r="Q144" s="204"/>
      <c r="T144" s="106"/>
      <c r="U144" s="135"/>
      <c r="V144" s="135"/>
      <c r="W144" s="135"/>
      <c r="X144" s="135"/>
      <c r="Y144" s="135"/>
      <c r="Z144" s="135"/>
      <c r="AA144" s="135"/>
      <c r="AB144" s="135"/>
      <c r="AC144" s="135"/>
      <c r="AD144" s="135"/>
      <c r="AE144" s="135"/>
      <c r="AF144" s="135"/>
      <c r="AG144" s="135"/>
      <c r="AH144" s="135"/>
      <c r="AI144" s="142"/>
      <c r="AJ144" s="106"/>
    </row>
    <row r="145" spans="2:51">
      <c r="B145" s="314" t="s">
        <v>301</v>
      </c>
      <c r="C145" s="94"/>
      <c r="D145" s="94"/>
      <c r="E145" s="94"/>
      <c r="F145" s="94"/>
      <c r="G145" s="94"/>
      <c r="H145" s="94"/>
      <c r="I145" s="94"/>
      <c r="J145" s="94"/>
      <c r="K145" s="94"/>
      <c r="L145" s="94"/>
      <c r="M145" s="94"/>
      <c r="N145" s="94"/>
      <c r="O145" s="94"/>
      <c r="P145" s="94"/>
      <c r="Q145" s="94"/>
      <c r="R145" s="94"/>
      <c r="S145" s="100"/>
      <c r="T145" s="100" t="s">
        <v>315</v>
      </c>
      <c r="U145" s="94"/>
      <c r="V145" s="94"/>
      <c r="W145" s="94"/>
      <c r="X145" s="94"/>
      <c r="Y145" s="94"/>
      <c r="Z145" s="94"/>
      <c r="AA145" s="94"/>
      <c r="AB145" s="94"/>
      <c r="AC145" s="94"/>
      <c r="AD145" s="94"/>
      <c r="AE145" s="94"/>
      <c r="AF145" s="94"/>
      <c r="AG145" s="94"/>
      <c r="AH145" s="94"/>
      <c r="AI145" s="94"/>
      <c r="AJ145" s="94"/>
    </row>
    <row r="147" spans="2:51">
      <c r="B147" s="398" t="s">
        <v>208</v>
      </c>
      <c r="C147" s="239">
        <v>2000</v>
      </c>
      <c r="D147" s="239">
        <v>2001</v>
      </c>
      <c r="E147" s="239">
        <v>2002</v>
      </c>
      <c r="F147" s="239">
        <v>2003</v>
      </c>
      <c r="G147" s="239">
        <v>2004</v>
      </c>
      <c r="H147" s="239">
        <v>2005</v>
      </c>
      <c r="I147" s="239">
        <v>2006</v>
      </c>
      <c r="J147" s="239">
        <v>2007</v>
      </c>
      <c r="K147" s="239">
        <v>2008</v>
      </c>
      <c r="L147" s="239">
        <v>2009</v>
      </c>
      <c r="M147" s="239">
        <v>2010</v>
      </c>
      <c r="N147" s="239">
        <v>2011</v>
      </c>
      <c r="O147" s="239">
        <v>2012</v>
      </c>
      <c r="P147" s="239"/>
      <c r="Q147" s="398" t="s">
        <v>239</v>
      </c>
      <c r="T147" s="398" t="s">
        <v>209</v>
      </c>
      <c r="U147" s="239">
        <v>2000</v>
      </c>
      <c r="V147" s="239">
        <v>2001</v>
      </c>
      <c r="W147" s="239">
        <v>2002</v>
      </c>
      <c r="X147" s="239">
        <v>2003</v>
      </c>
      <c r="Y147" s="239">
        <v>2004</v>
      </c>
      <c r="Z147" s="239">
        <v>2005</v>
      </c>
      <c r="AA147" s="239">
        <v>2006</v>
      </c>
      <c r="AB147" s="239">
        <v>2007</v>
      </c>
      <c r="AC147" s="239">
        <v>2008</v>
      </c>
      <c r="AD147" s="239">
        <v>2009</v>
      </c>
      <c r="AE147" s="239">
        <v>2010</v>
      </c>
      <c r="AF147" s="239">
        <v>2011</v>
      </c>
      <c r="AG147" s="239">
        <v>2012</v>
      </c>
      <c r="AH147" s="239"/>
      <c r="AI147" s="398" t="s">
        <v>239</v>
      </c>
      <c r="AK147" s="239"/>
      <c r="AL147" s="239"/>
      <c r="AM147" s="239"/>
      <c r="AN147" s="239"/>
      <c r="AO147" s="239"/>
      <c r="AP147" s="239"/>
      <c r="AQ147" s="239"/>
      <c r="AR147" s="239"/>
      <c r="AS147" s="239"/>
      <c r="AT147" s="239"/>
      <c r="AU147" s="239"/>
      <c r="AV147" s="239"/>
      <c r="AW147" s="177"/>
      <c r="AY147" s="399"/>
    </row>
    <row r="148" spans="2:51">
      <c r="B148" s="136" t="s">
        <v>116</v>
      </c>
      <c r="C148" s="163">
        <f>ABD!D47</f>
        <v>16061</v>
      </c>
      <c r="D148" s="163">
        <f>ABD!E47</f>
        <v>18048</v>
      </c>
      <c r="E148" s="163">
        <f>ABD!F47</f>
        <v>18057</v>
      </c>
      <c r="F148" s="163">
        <f>ABD!G47</f>
        <v>20183</v>
      </c>
      <c r="G148" s="163">
        <f>ABD!H47</f>
        <v>20345</v>
      </c>
      <c r="H148" s="163">
        <f>ABD!I47</f>
        <v>23010</v>
      </c>
      <c r="I148" s="163">
        <f>ABD!J47</f>
        <v>17930</v>
      </c>
      <c r="J148" s="163">
        <f>ABD!K47</f>
        <v>24682</v>
      </c>
      <c r="K148" s="163">
        <f>ABD!L47</f>
        <v>25488</v>
      </c>
      <c r="L148" s="163">
        <f>ABD!M47</f>
        <v>32860</v>
      </c>
      <c r="M148" s="163">
        <f>ABD!N47</f>
        <v>40434</v>
      </c>
      <c r="N148" s="163">
        <f>ABD!O47</f>
        <v>36961</v>
      </c>
      <c r="O148" s="391">
        <f>N148</f>
        <v>36961</v>
      </c>
      <c r="P148" s="195"/>
      <c r="Q148" s="385">
        <f>(O148/C148)^(1/($O$147-$C$147))-1</f>
        <v>7.1924656933074482E-2</v>
      </c>
      <c r="R148" s="126"/>
      <c r="T148" s="136" t="s">
        <v>116</v>
      </c>
      <c r="U148" s="163">
        <f>ABD!D85</f>
        <v>22250.867837338272</v>
      </c>
      <c r="V148" s="163">
        <f>ABD!E85</f>
        <v>24635.757872034508</v>
      </c>
      <c r="W148" s="163">
        <f>ABD!F85</f>
        <v>24142.400572716182</v>
      </c>
      <c r="X148" s="163">
        <f>ABD!G85</f>
        <v>26251.633694113352</v>
      </c>
      <c r="Y148" s="163">
        <f>ABD!H85</f>
        <v>25664.183940118703</v>
      </c>
      <c r="Z148" s="163">
        <f>ABD!I85</f>
        <v>28280.663271911282</v>
      </c>
      <c r="AA148" s="163">
        <f>ABD!J85</f>
        <v>21340.516381567952</v>
      </c>
      <c r="AB148" s="163">
        <f>ABD!K85</f>
        <v>28358.063737948294</v>
      </c>
      <c r="AC148" s="163">
        <f>ABD!L85</f>
        <v>28159.499127196555</v>
      </c>
      <c r="AD148" s="163">
        <f>ABD!M85</f>
        <v>36498.153810155214</v>
      </c>
      <c r="AE148" s="163">
        <f>ABD!N85</f>
        <v>42926.930107727298</v>
      </c>
      <c r="AF148" s="163">
        <f>ABD!O85</f>
        <v>37300.199879526619</v>
      </c>
      <c r="AG148" s="391">
        <f>AF148</f>
        <v>37300.199879526619</v>
      </c>
      <c r="AH148" s="195"/>
      <c r="AI148" s="385">
        <f>(AG148/U148)^(1/($AG$147-$U$147))-1</f>
        <v>4.3991630636467161E-2</v>
      </c>
      <c r="AK148" s="401"/>
      <c r="AL148" s="401"/>
      <c r="AM148" s="401"/>
      <c r="AN148" s="401"/>
      <c r="AO148" s="401"/>
      <c r="AP148" s="401"/>
      <c r="AQ148" s="401"/>
      <c r="AR148" s="401"/>
      <c r="AS148" s="401"/>
      <c r="AT148" s="401"/>
      <c r="AU148" s="401"/>
      <c r="AV148" s="401"/>
      <c r="AW148" s="177"/>
      <c r="AY148" s="212"/>
    </row>
    <row r="149" spans="2:51">
      <c r="B149" s="136" t="s">
        <v>155</v>
      </c>
      <c r="C149" s="163">
        <f>BIR!D41</f>
        <v>64001</v>
      </c>
      <c r="D149" s="163">
        <f>BIR!E41</f>
        <v>68625</v>
      </c>
      <c r="E149" s="163">
        <f>BIR!F41</f>
        <v>70354</v>
      </c>
      <c r="F149" s="163">
        <f>BIR!G41</f>
        <v>72230</v>
      </c>
      <c r="G149" s="163">
        <f>BIR!H41</f>
        <v>75989</v>
      </c>
      <c r="H149" s="163">
        <f>BIR!I41</f>
        <v>75632</v>
      </c>
      <c r="I149" s="163">
        <f>BIR!J41</f>
        <v>86222</v>
      </c>
      <c r="J149" s="163">
        <f>BIR!K41</f>
        <v>85889</v>
      </c>
      <c r="K149" s="163">
        <f>BIR!L41</f>
        <v>86475</v>
      </c>
      <c r="L149" s="163">
        <f>BIR!M41</f>
        <v>87957</v>
      </c>
      <c r="M149" s="163">
        <f>BIR!N41</f>
        <v>85425</v>
      </c>
      <c r="N149" s="163">
        <f>BIR!O41</f>
        <v>80864</v>
      </c>
      <c r="O149" s="391">
        <f>N149</f>
        <v>80864</v>
      </c>
      <c r="P149" s="195"/>
      <c r="Q149" s="385">
        <f t="shared" ref="Q149:Q157" si="41">(O149/C149)^(1/($O$147-$C$147))-1</f>
        <v>1.9680322215703372E-2</v>
      </c>
      <c r="R149" s="126"/>
      <c r="T149" s="136" t="s">
        <v>155</v>
      </c>
      <c r="U149" s="163">
        <f>BIR!D81</f>
        <v>88666.819778188568</v>
      </c>
      <c r="V149" s="163">
        <f>BIR!E81</f>
        <v>93674.029475197705</v>
      </c>
      <c r="W149" s="163">
        <f>BIR!F81</f>
        <v>94064.044408975707</v>
      </c>
      <c r="X149" s="163">
        <f>BIR!G81</f>
        <v>93948.149518198858</v>
      </c>
      <c r="Y149" s="163">
        <f>BIR!H81</f>
        <v>95856.263132252658</v>
      </c>
      <c r="Z149" s="163">
        <f>BIR!I81</f>
        <v>92956.241833167936</v>
      </c>
      <c r="AA149" s="163">
        <f>BIR!J81</f>
        <v>102158.6147766037</v>
      </c>
      <c r="AB149" s="163">
        <f>BIR!K81</f>
        <v>97727.002876433209</v>
      </c>
      <c r="AC149" s="163">
        <f>BIR!L81</f>
        <v>95557.324241483657</v>
      </c>
      <c r="AD149" s="163">
        <f>BIR!M81</f>
        <v>96752.020585509061</v>
      </c>
      <c r="AE149" s="163">
        <f>BIR!N81</f>
        <v>89523.840931670187</v>
      </c>
      <c r="AF149" s="163">
        <f>BIR!O81</f>
        <v>80864</v>
      </c>
      <c r="AG149" s="391">
        <f>AF149</f>
        <v>80864</v>
      </c>
      <c r="AH149" s="195"/>
      <c r="AI149" s="385">
        <f t="shared" ref="AI149:AI159" si="42">(AG149/U149)^(1/($AG$147-$U$147))-1</f>
        <v>-7.6470295282712319E-3</v>
      </c>
      <c r="AK149" s="401"/>
      <c r="AL149" s="401"/>
      <c r="AM149" s="401"/>
      <c r="AN149" s="401"/>
      <c r="AO149" s="401"/>
      <c r="AP149" s="401"/>
      <c r="AQ149" s="401"/>
      <c r="AR149" s="401"/>
      <c r="AS149" s="401"/>
      <c r="AT149" s="401"/>
      <c r="AU149" s="401"/>
      <c r="AV149" s="401"/>
      <c r="AW149" s="177"/>
      <c r="AY149" s="212"/>
    </row>
    <row r="150" spans="2:51">
      <c r="B150" s="136" t="s">
        <v>115</v>
      </c>
      <c r="C150" s="163">
        <f>EDIN!D48</f>
        <v>33047</v>
      </c>
      <c r="D150" s="163">
        <f>EDIN!E48</f>
        <v>37477</v>
      </c>
      <c r="E150" s="163">
        <f>EDIN!F48</f>
        <v>40393</v>
      </c>
      <c r="F150" s="163">
        <f>EDIN!G48</f>
        <v>42208</v>
      </c>
      <c r="G150" s="163">
        <f>EDIN!H48</f>
        <v>42148</v>
      </c>
      <c r="H150" s="163">
        <f>EDIN!I48</f>
        <v>45635</v>
      </c>
      <c r="I150" s="163">
        <f>EDIN!J48</f>
        <v>36234</v>
      </c>
      <c r="J150" s="163">
        <f>EDIN!K48</f>
        <v>49552</v>
      </c>
      <c r="K150" s="163">
        <f>EDIN!L48</f>
        <v>51778</v>
      </c>
      <c r="L150" s="163">
        <f>EDIN!M48</f>
        <v>64059</v>
      </c>
      <c r="M150" s="163">
        <f>EDIN!N48</f>
        <v>70596</v>
      </c>
      <c r="N150" s="163">
        <f>EDIN!O48</f>
        <v>80904</v>
      </c>
      <c r="O150" s="163">
        <f>EDIN!P48</f>
        <v>78661</v>
      </c>
      <c r="P150" s="195"/>
      <c r="Q150" s="385">
        <f t="shared" si="41"/>
        <v>7.4943452034123004E-2</v>
      </c>
      <c r="R150" s="126"/>
      <c r="T150" s="136" t="s">
        <v>115</v>
      </c>
      <c r="U150" s="163">
        <f>EDIN!D86</f>
        <v>45783.228280961201</v>
      </c>
      <c r="V150" s="163">
        <f>EDIN!E86</f>
        <v>51156.598945602687</v>
      </c>
      <c r="W150" s="163">
        <f>EDIN!F86</f>
        <v>54005.869542765955</v>
      </c>
      <c r="X150" s="163">
        <f>EDIN!G86</f>
        <v>54899.120792802678</v>
      </c>
      <c r="Y150" s="163">
        <f>EDIN!H86</f>
        <v>53167.560811409348</v>
      </c>
      <c r="Z150" s="163">
        <f>EDIN!I86</f>
        <v>56088.138566435089</v>
      </c>
      <c r="AA150" s="163">
        <f>EDIN!J86</f>
        <v>43126.172368640997</v>
      </c>
      <c r="AB150" s="163">
        <f>EDIN!K86</f>
        <v>56932.127637258483</v>
      </c>
      <c r="AC150" s="163">
        <f>EDIN!L86</f>
        <v>57205.059079095387</v>
      </c>
      <c r="AD150" s="163">
        <f>EDIN!M86</f>
        <v>71151.407027532958</v>
      </c>
      <c r="AE150" s="163">
        <f>EDIN!N86</f>
        <v>74948.547209900498</v>
      </c>
      <c r="AF150" s="163">
        <f>EDIN!O86</f>
        <v>81646.475232088458</v>
      </c>
      <c r="AG150" s="163">
        <f>EDIN!P86</f>
        <v>76916.398564905423</v>
      </c>
      <c r="AH150" s="195"/>
      <c r="AI150" s="385">
        <f t="shared" si="42"/>
        <v>4.4181619269983763E-2</v>
      </c>
      <c r="AK150" s="401"/>
      <c r="AL150" s="401"/>
      <c r="AM150" s="401"/>
      <c r="AN150" s="401"/>
      <c r="AO150" s="401"/>
      <c r="AP150" s="401"/>
      <c r="AQ150" s="401"/>
      <c r="AR150" s="401"/>
      <c r="AS150" s="401"/>
      <c r="AT150" s="401"/>
      <c r="AU150" s="401"/>
      <c r="AV150" s="401"/>
      <c r="AW150" s="177"/>
      <c r="AY150" s="212"/>
    </row>
    <row r="151" spans="2:51">
      <c r="B151" s="136" t="s">
        <v>107</v>
      </c>
      <c r="C151" s="163">
        <f>GAT!D50</f>
        <v>206000</v>
      </c>
      <c r="D151" s="163">
        <f>GAT!E50</f>
        <v>220800</v>
      </c>
      <c r="E151" s="163">
        <f>GAT!F50</f>
        <v>220800</v>
      </c>
      <c r="F151" s="163">
        <f>GAT!G50</f>
        <v>236700</v>
      </c>
      <c r="G151" s="163">
        <f>GAT!H50</f>
        <v>246500</v>
      </c>
      <c r="H151" s="163">
        <f>GAT!I50</f>
        <v>262900</v>
      </c>
      <c r="I151" s="163">
        <f>GAT!J50</f>
        <v>216500</v>
      </c>
      <c r="J151" s="163">
        <f>GAT!K50</f>
        <v>312200</v>
      </c>
      <c r="K151" s="163">
        <f>GAT!L50</f>
        <v>369900</v>
      </c>
      <c r="L151" s="163">
        <f>GAT!M50</f>
        <v>468700</v>
      </c>
      <c r="M151" s="163">
        <f>GAT!N50</f>
        <v>363400</v>
      </c>
      <c r="N151" s="163">
        <f>GAT!O50</f>
        <v>401200</v>
      </c>
      <c r="O151" s="163">
        <f>GAT!P50</f>
        <v>422500</v>
      </c>
      <c r="P151" s="195"/>
      <c r="Q151" s="385">
        <f t="shared" si="41"/>
        <v>6.1687305113027113E-2</v>
      </c>
      <c r="R151" s="126"/>
      <c r="T151" s="136" t="s">
        <v>107</v>
      </c>
      <c r="U151" s="163">
        <f>GAT!D100</f>
        <v>285391.86691312393</v>
      </c>
      <c r="V151" s="163">
        <f>GAT!E100</f>
        <v>301394.9101365924</v>
      </c>
      <c r="W151" s="163">
        <f>GAT!F100</f>
        <v>295211.9425406066</v>
      </c>
      <c r="X151" s="163">
        <f>GAT!G100</f>
        <v>307871.06452938763</v>
      </c>
      <c r="Y151" s="163">
        <f>GAT!H100</f>
        <v>310947.22738949425</v>
      </c>
      <c r="Z151" s="163">
        <f>GAT!I100</f>
        <v>323119.79027316283</v>
      </c>
      <c r="AA151" s="163">
        <f>GAT!J100</f>
        <v>257681.08179640051</v>
      </c>
      <c r="AB151" s="163">
        <f>GAT!K100</f>
        <v>358698.14030416729</v>
      </c>
      <c r="AC151" s="163">
        <f>GAT!L100</f>
        <v>408670.69707901782</v>
      </c>
      <c r="AD151" s="163">
        <f>GAT!M100</f>
        <v>515566.37957670336</v>
      </c>
      <c r="AE151" s="163">
        <f>GAT!N100</f>
        <v>380836.56768591097</v>
      </c>
      <c r="AF151" s="163">
        <f>GAT!O100</f>
        <v>401200</v>
      </c>
      <c r="AG151" s="163">
        <f>GAT!P100</f>
        <v>409836.94356459257</v>
      </c>
      <c r="AH151" s="195"/>
      <c r="AI151" s="385">
        <f t="shared" si="42"/>
        <v>3.0617373618434529E-2</v>
      </c>
      <c r="AK151" s="401"/>
      <c r="AL151" s="401"/>
      <c r="AM151" s="401"/>
      <c r="AN151" s="401"/>
      <c r="AO151" s="401"/>
      <c r="AP151" s="401"/>
      <c r="AQ151" s="401"/>
      <c r="AR151" s="401"/>
      <c r="AS151" s="401"/>
      <c r="AT151" s="401"/>
      <c r="AU151" s="401"/>
      <c r="AV151" s="401"/>
      <c r="AW151" s="177"/>
      <c r="AY151" s="212"/>
    </row>
    <row r="152" spans="2:51">
      <c r="B152" s="136" t="s">
        <v>114</v>
      </c>
      <c r="C152" s="163">
        <f>GLAS!D48</f>
        <v>43232</v>
      </c>
      <c r="D152" s="163">
        <f>GLAS!E48</f>
        <v>45726</v>
      </c>
      <c r="E152" s="163">
        <f>GLAS!F48</f>
        <v>49389</v>
      </c>
      <c r="F152" s="163">
        <f>GLAS!G48</f>
        <v>52477</v>
      </c>
      <c r="G152" s="163">
        <f>GLAS!H48</f>
        <v>52857</v>
      </c>
      <c r="H152" s="163">
        <f>GLAS!I48</f>
        <v>55693</v>
      </c>
      <c r="I152" s="163">
        <f>GLAS!J48</f>
        <v>41270</v>
      </c>
      <c r="J152" s="163">
        <f>GLAS!K48</f>
        <v>56135</v>
      </c>
      <c r="K152" s="163">
        <f>GLAS!L48</f>
        <v>51676</v>
      </c>
      <c r="L152" s="163">
        <f>GLAS!M48</f>
        <v>60016</v>
      </c>
      <c r="M152" s="163">
        <f>GLAS!N48</f>
        <v>63575</v>
      </c>
      <c r="N152" s="163">
        <f>GLAS!O48</f>
        <v>63390</v>
      </c>
      <c r="O152" s="391">
        <f>N152</f>
        <v>63390</v>
      </c>
      <c r="P152" s="195"/>
      <c r="Q152" s="385">
        <f t="shared" si="41"/>
        <v>3.2407819786010483E-2</v>
      </c>
      <c r="R152" s="126"/>
      <c r="T152" s="136" t="s">
        <v>114</v>
      </c>
      <c r="U152" s="163">
        <f>GLAS!D86</f>
        <v>59893.500924214444</v>
      </c>
      <c r="V152" s="163">
        <f>GLAS!E86</f>
        <v>62416.592667145946</v>
      </c>
      <c r="W152" s="163">
        <f>GLAS!F86</f>
        <v>66033.616984320746</v>
      </c>
      <c r="X152" s="163">
        <f>GLAS!G86</f>
        <v>68255.808421244932</v>
      </c>
      <c r="Y152" s="163">
        <f>GLAS!H86</f>
        <v>66676.42027637524</v>
      </c>
      <c r="Z152" s="163">
        <f>GLAS!I86</f>
        <v>68450.020843222737</v>
      </c>
      <c r="AA152" s="163">
        <f>GLAS!J86</f>
        <v>49120.084275923553</v>
      </c>
      <c r="AB152" s="163">
        <f>GLAS!K86</f>
        <v>64495.580096010352</v>
      </c>
      <c r="AC152" s="163">
        <f>GLAS!L86</f>
        <v>57092.368051514801</v>
      </c>
      <c r="AD152" s="163">
        <f>GLAS!M86</f>
        <v>66660.779034396692</v>
      </c>
      <c r="AE152" s="163">
        <f>GLAS!N86</f>
        <v>67494.672345025552</v>
      </c>
      <c r="AF152" s="163">
        <f>GLAS!O86</f>
        <v>63971.745092481055</v>
      </c>
      <c r="AG152" s="391">
        <f>AF152</f>
        <v>63971.745092481055</v>
      </c>
      <c r="AH152" s="195"/>
      <c r="AI152" s="385">
        <f t="shared" si="42"/>
        <v>5.5045532248922946E-3</v>
      </c>
      <c r="AK152" s="401"/>
      <c r="AL152" s="401"/>
      <c r="AM152" s="401"/>
      <c r="AN152" s="401"/>
      <c r="AO152" s="401"/>
      <c r="AP152" s="401"/>
      <c r="AQ152" s="401"/>
      <c r="AR152" s="401"/>
      <c r="AS152" s="401"/>
      <c r="AT152" s="401"/>
      <c r="AU152" s="401"/>
      <c r="AV152" s="401"/>
      <c r="AW152" s="177"/>
      <c r="AY152" s="212"/>
    </row>
    <row r="153" spans="2:51">
      <c r="B153" s="136" t="s">
        <v>105</v>
      </c>
      <c r="C153" s="163">
        <f>HTROW!D49</f>
        <v>544400</v>
      </c>
      <c r="D153" s="163">
        <f>HTROW!E49</f>
        <v>579200</v>
      </c>
      <c r="E153" s="163">
        <f>HTROW!F49</f>
        <v>601900</v>
      </c>
      <c r="F153" s="163">
        <f>HTROW!G49</f>
        <v>640300</v>
      </c>
      <c r="G153" s="163">
        <f>HTROW!H49</f>
        <v>699400</v>
      </c>
      <c r="H153" s="163">
        <f>HTROW!I49</f>
        <v>754900</v>
      </c>
      <c r="I153" s="163">
        <f>HTROW!J49</f>
        <v>418200</v>
      </c>
      <c r="J153" s="163">
        <f>HTROW!K49</f>
        <v>892700</v>
      </c>
      <c r="K153" s="163">
        <f>HTROW!L49</f>
        <v>1287500</v>
      </c>
      <c r="L153" s="163">
        <f>HTROW!M49</f>
        <v>1382100</v>
      </c>
      <c r="M153" s="163">
        <f>HTROW!N49</f>
        <v>1416800</v>
      </c>
      <c r="N153" s="163">
        <f>HTROW!O49</f>
        <v>1476300</v>
      </c>
      <c r="O153" s="163">
        <f>HTROW!P49</f>
        <v>1530400</v>
      </c>
      <c r="P153" s="195"/>
      <c r="Q153" s="385">
        <f t="shared" si="41"/>
        <v>8.9951658886750163E-2</v>
      </c>
      <c r="R153" s="126"/>
      <c r="T153" s="136" t="s">
        <v>105</v>
      </c>
      <c r="U153" s="163">
        <f>HTROW!D100</f>
        <v>754210.35120147909</v>
      </c>
      <c r="V153" s="163">
        <f>HTROW!E100</f>
        <v>790615.63383656845</v>
      </c>
      <c r="W153" s="163">
        <f>HTROW!F100</f>
        <v>804746.68575720617</v>
      </c>
      <c r="X153" s="163">
        <f>HTROW!G100</f>
        <v>832825.69758414407</v>
      </c>
      <c r="Y153" s="163">
        <f>HTROW!H100</f>
        <v>882257.56931526284</v>
      </c>
      <c r="Z153" s="163">
        <f>HTROW!I100</f>
        <v>927817.15358391253</v>
      </c>
      <c r="AA153" s="163">
        <f>HTROW!J100</f>
        <v>495455.66555740434</v>
      </c>
      <c r="AB153" s="163">
        <f>HTROW!K100</f>
        <v>1025656.0853604425</v>
      </c>
      <c r="AC153" s="163">
        <f>HTROW!L100</f>
        <v>1422448.0197059622</v>
      </c>
      <c r="AD153" s="163">
        <f>HTROW!M100</f>
        <v>1535121.6792761874</v>
      </c>
      <c r="AE153" s="163">
        <f>HTROW!N100</f>
        <v>1504151.817199091</v>
      </c>
      <c r="AF153" s="163">
        <f>HTROW!O100</f>
        <v>1489848.3558925663</v>
      </c>
      <c r="AG153" s="163">
        <f>HTROW!P100</f>
        <v>1496457.6647097196</v>
      </c>
      <c r="AH153" s="195"/>
      <c r="AI153" s="385">
        <f t="shared" si="42"/>
        <v>5.8760333809860343E-2</v>
      </c>
      <c r="AK153" s="401"/>
      <c r="AL153" s="401"/>
      <c r="AM153" s="401"/>
      <c r="AN153" s="401"/>
      <c r="AO153" s="401"/>
      <c r="AP153" s="401"/>
      <c r="AQ153" s="401"/>
      <c r="AR153" s="401"/>
      <c r="AS153" s="401"/>
      <c r="AT153" s="401"/>
      <c r="AU153" s="401"/>
      <c r="AV153" s="401"/>
      <c r="AW153" s="177"/>
      <c r="AY153" s="212"/>
    </row>
    <row r="154" spans="2:51">
      <c r="B154" s="136" t="s">
        <v>156</v>
      </c>
      <c r="C154" s="163">
        <f>LTN!D41</f>
        <v>47501</v>
      </c>
      <c r="D154" s="163">
        <f>LTN!E41</f>
        <v>62823</v>
      </c>
      <c r="E154" s="163">
        <f>LTN!F41</f>
        <v>54377</v>
      </c>
      <c r="F154" s="163">
        <f>LTN!G41</f>
        <v>53880</v>
      </c>
      <c r="G154" s="163">
        <f>LTN!H41</f>
        <v>42782</v>
      </c>
      <c r="H154" s="163">
        <f>LTN!I41</f>
        <v>64143</v>
      </c>
      <c r="I154" s="163">
        <f>LTN!J41</f>
        <v>70354</v>
      </c>
      <c r="J154" s="163">
        <f>LTN!K41</f>
        <v>77237</v>
      </c>
      <c r="K154" s="163">
        <f>LTN!L41</f>
        <v>83322</v>
      </c>
      <c r="L154" s="163">
        <f>LTN!M41</f>
        <v>79178</v>
      </c>
      <c r="M154" s="163">
        <f>LTN!N41</f>
        <v>81657</v>
      </c>
      <c r="N154" s="163">
        <f>LTN!O41</f>
        <v>88259</v>
      </c>
      <c r="O154" s="163">
        <f>LTN!P41</f>
        <v>93423</v>
      </c>
      <c r="P154" s="195"/>
      <c r="Q154" s="385">
        <f t="shared" si="41"/>
        <v>5.7984377238788021E-2</v>
      </c>
      <c r="R154" s="126"/>
      <c r="T154" s="136" t="s">
        <v>156</v>
      </c>
      <c r="U154" s="163">
        <f>LTN!D81</f>
        <v>65807.76247689467</v>
      </c>
      <c r="V154" s="163">
        <f>LTN!E81</f>
        <v>85754.223005032356</v>
      </c>
      <c r="W154" s="163">
        <f>LTN!F81</f>
        <v>72702.62590367104</v>
      </c>
      <c r="X154" s="163">
        <f>LTN!G81</f>
        <v>70080.663104534877</v>
      </c>
      <c r="Y154" s="163">
        <f>LTN!H81</f>
        <v>54112.719475367136</v>
      </c>
      <c r="Z154" s="163">
        <f>LTN!I81</f>
        <v>79300.984633415821</v>
      </c>
      <c r="AA154" s="163">
        <f>LTN!J81</f>
        <v>84286.891599713985</v>
      </c>
      <c r="AB154" s="163">
        <f>LTN!K81</f>
        <v>88740.449271854479</v>
      </c>
      <c r="AC154" s="163">
        <f>LTN!L81</f>
        <v>92055.311765390434</v>
      </c>
      <c r="AD154" s="163">
        <f>LTN!M81</f>
        <v>87944.334217299751</v>
      </c>
      <c r="AE154" s="163">
        <f>LTN!N81</f>
        <v>86691.505460916262</v>
      </c>
      <c r="AF154" s="163">
        <f>LTN!O81</f>
        <v>89068.973814754456</v>
      </c>
      <c r="AG154" s="163">
        <f>LTN!P81</f>
        <v>91350.99608610569</v>
      </c>
      <c r="AH154" s="195"/>
      <c r="AI154" s="385">
        <f t="shared" si="42"/>
        <v>2.7707865094725337E-2</v>
      </c>
      <c r="AK154" s="401"/>
      <c r="AL154" s="401"/>
      <c r="AM154" s="401"/>
      <c r="AN154" s="401"/>
      <c r="AO154" s="401"/>
      <c r="AP154" s="401"/>
      <c r="AQ154" s="401"/>
      <c r="AR154" s="401"/>
      <c r="AS154" s="401"/>
      <c r="AT154" s="401"/>
      <c r="AU154" s="401"/>
      <c r="AV154" s="401"/>
      <c r="AW154" s="177"/>
      <c r="AY154" s="212"/>
    </row>
    <row r="155" spans="2:51">
      <c r="B155" s="136" t="s">
        <v>204</v>
      </c>
      <c r="C155" s="163">
        <f>MAN!D47</f>
        <v>184738</v>
      </c>
      <c r="D155" s="163">
        <f>MAN!E47</f>
        <v>215847</v>
      </c>
      <c r="E155" s="163">
        <f>MAN!F47</f>
        <v>202810</v>
      </c>
      <c r="F155" s="163">
        <f>MAN!G47</f>
        <v>182900</v>
      </c>
      <c r="G155" s="163">
        <f>MAN!H47</f>
        <v>198787</v>
      </c>
      <c r="H155" s="163">
        <f>MAN!I47</f>
        <v>219055</v>
      </c>
      <c r="I155" s="163">
        <f>MAN!J47</f>
        <v>216741</v>
      </c>
      <c r="J155" s="163">
        <f>MAN!K47</f>
        <v>213603</v>
      </c>
      <c r="K155" s="163">
        <f>MAN!L47</f>
        <v>224689</v>
      </c>
      <c r="L155" s="163">
        <f>MAN!M47</f>
        <v>217873</v>
      </c>
      <c r="M155" s="163">
        <f>MAN!N47</f>
        <v>221417</v>
      </c>
      <c r="N155" s="163">
        <f>MAN!O47</f>
        <v>231942</v>
      </c>
      <c r="O155" s="391">
        <f>N155</f>
        <v>231942</v>
      </c>
      <c r="P155" s="195"/>
      <c r="Q155" s="385">
        <f t="shared" si="41"/>
        <v>1.9143322615602143E-2</v>
      </c>
      <c r="R155" s="126"/>
      <c r="T155" s="136" t="s">
        <v>204</v>
      </c>
      <c r="U155" s="163">
        <f>MAN!D87</f>
        <v>255935.54713493542</v>
      </c>
      <c r="V155" s="163">
        <f>MAN!E87</f>
        <v>294633.99985621858</v>
      </c>
      <c r="W155" s="163">
        <f>MAN!F87</f>
        <v>271159.12167871569</v>
      </c>
      <c r="X155" s="163">
        <f>MAN!G87</f>
        <v>237894.45586153358</v>
      </c>
      <c r="Y155" s="163">
        <f>MAN!H87</f>
        <v>250759.70178935252</v>
      </c>
      <c r="Z155" s="163">
        <f>MAN!I87</f>
        <v>269231.6685366591</v>
      </c>
      <c r="AA155" s="163">
        <f>MAN!J87</f>
        <v>256801.74810716364</v>
      </c>
      <c r="AB155" s="163">
        <f>MAN!K87</f>
        <v>243043.70752267187</v>
      </c>
      <c r="AC155" s="163">
        <f>MAN!L87</f>
        <v>248287.70889268254</v>
      </c>
      <c r="AD155" s="163">
        <f>MAN!M87</f>
        <v>239658.61706318561</v>
      </c>
      <c r="AE155" s="163">
        <f>MAN!N87</f>
        <v>232040.97497884245</v>
      </c>
      <c r="AF155" s="163">
        <f>MAN!O87</f>
        <v>231942</v>
      </c>
      <c r="AG155" s="391">
        <f>AF155</f>
        <v>231942</v>
      </c>
      <c r="AH155" s="195"/>
      <c r="AI155" s="385">
        <f t="shared" si="42"/>
        <v>-8.1696375816900924E-3</v>
      </c>
      <c r="AK155" s="401"/>
      <c r="AL155" s="401"/>
      <c r="AM155" s="401"/>
      <c r="AN155" s="401"/>
      <c r="AO155" s="401"/>
      <c r="AP155" s="401"/>
      <c r="AQ155" s="401"/>
      <c r="AR155" s="401"/>
      <c r="AS155" s="401"/>
      <c r="AT155" s="401"/>
      <c r="AU155" s="401"/>
      <c r="AV155" s="401"/>
      <c r="AW155" s="177"/>
      <c r="AY155" s="212"/>
    </row>
    <row r="156" spans="2:51">
      <c r="B156" s="136" t="s">
        <v>113</v>
      </c>
      <c r="C156" s="163">
        <f>STHAM!D45</f>
        <v>0</v>
      </c>
      <c r="D156" s="163">
        <f>STHAM!E45</f>
        <v>0</v>
      </c>
      <c r="E156" s="163">
        <f>STHAM!F45</f>
        <v>0</v>
      </c>
      <c r="F156" s="163">
        <f>STHAM!G45</f>
        <v>0</v>
      </c>
      <c r="G156" s="163">
        <f>STHAM!H45</f>
        <v>0</v>
      </c>
      <c r="H156" s="163">
        <f>STHAM!I45</f>
        <v>0</v>
      </c>
      <c r="I156" s="163">
        <f>STHAM!J45</f>
        <v>11031</v>
      </c>
      <c r="J156" s="163">
        <f>STHAM!K45</f>
        <v>17433</v>
      </c>
      <c r="K156" s="163">
        <f>STHAM!L45</f>
        <v>20652</v>
      </c>
      <c r="L156" s="163">
        <f>STHAM!M45</f>
        <v>20396</v>
      </c>
      <c r="M156" s="163">
        <f>STHAM!N45</f>
        <v>20482</v>
      </c>
      <c r="N156" s="391">
        <f>M156</f>
        <v>20482</v>
      </c>
      <c r="O156" s="391">
        <f>M156</f>
        <v>20482</v>
      </c>
      <c r="P156" s="195"/>
      <c r="Q156" s="385" t="e">
        <f t="shared" si="41"/>
        <v>#DIV/0!</v>
      </c>
      <c r="R156" s="126"/>
      <c r="T156" s="136" t="s">
        <v>113</v>
      </c>
      <c r="U156" s="163">
        <f>STHAM!D83</f>
        <v>0</v>
      </c>
      <c r="V156" s="163">
        <f>STHAM!E83</f>
        <v>0</v>
      </c>
      <c r="W156" s="163">
        <f>STHAM!F83</f>
        <v>0</v>
      </c>
      <c r="X156" s="163">
        <f>STHAM!G83</f>
        <v>0</v>
      </c>
      <c r="Y156" s="163">
        <f>STHAM!H83</f>
        <v>0</v>
      </c>
      <c r="Z156" s="163">
        <f>STHAM!I83</f>
        <v>0</v>
      </c>
      <c r="AA156" s="163">
        <f>STHAM!J83</f>
        <v>13129.237936702513</v>
      </c>
      <c r="AB156" s="163">
        <f>STHAM!K83</f>
        <v>20029.419218201627</v>
      </c>
      <c r="AC156" s="163">
        <f>STHAM!L83</f>
        <v>22816.61864308158</v>
      </c>
      <c r="AD156" s="163">
        <f>STHAM!M83</f>
        <v>22654.179705171206</v>
      </c>
      <c r="AE156" s="163">
        <f>STHAM!N83</f>
        <v>21744.803444291203</v>
      </c>
      <c r="AF156" s="391">
        <f>AE156</f>
        <v>21744.803444291203</v>
      </c>
      <c r="AG156" s="391">
        <f>AE156</f>
        <v>21744.803444291203</v>
      </c>
      <c r="AH156" s="195"/>
      <c r="AI156" s="385" t="e">
        <f t="shared" si="42"/>
        <v>#DIV/0!</v>
      </c>
      <c r="AK156" s="401"/>
      <c r="AL156" s="401"/>
      <c r="AM156" s="401"/>
      <c r="AN156" s="401"/>
      <c r="AO156" s="401"/>
      <c r="AP156" s="401"/>
      <c r="AQ156" s="401"/>
      <c r="AR156" s="401"/>
      <c r="AS156" s="401"/>
      <c r="AT156" s="401"/>
      <c r="AU156" s="401"/>
      <c r="AV156" s="401"/>
      <c r="AW156" s="177"/>
      <c r="AY156" s="212"/>
    </row>
    <row r="157" spans="2:51">
      <c r="B157" s="136" t="s">
        <v>112</v>
      </c>
      <c r="C157" s="163">
        <f>STAN!E49</f>
        <v>90338</v>
      </c>
      <c r="D157" s="163">
        <f>STAN!F49</f>
        <v>101549</v>
      </c>
      <c r="E157" s="163">
        <f>STAN!G49</f>
        <v>93800</v>
      </c>
      <c r="F157" s="163">
        <f>STAN!H49</f>
        <v>109600</v>
      </c>
      <c r="G157" s="163">
        <f>STAN!I49</f>
        <v>119500</v>
      </c>
      <c r="H157" s="163">
        <f>STAN!J49</f>
        <v>127100</v>
      </c>
      <c r="I157" s="163">
        <f>STAN!K49</f>
        <v>107600</v>
      </c>
      <c r="J157" s="163">
        <f>STAN!L49</f>
        <v>156100</v>
      </c>
      <c r="K157" s="163">
        <f>STAN!M49</f>
        <v>174500</v>
      </c>
      <c r="L157" s="163">
        <f>STAN!N49</f>
        <v>179200</v>
      </c>
      <c r="M157" s="163">
        <f>STAN!O49</f>
        <v>183700</v>
      </c>
      <c r="N157" s="163">
        <f>STAN!P49</f>
        <v>188300</v>
      </c>
      <c r="O157" s="163">
        <f>STAN!Q49</f>
        <v>187800</v>
      </c>
      <c r="P157" s="195"/>
      <c r="Q157" s="385">
        <f t="shared" si="41"/>
        <v>6.2882915498257974E-2</v>
      </c>
      <c r="R157" s="126"/>
      <c r="T157" s="136" t="s">
        <v>112</v>
      </c>
      <c r="U157" s="163">
        <f>STAN!E99</f>
        <v>125154.03142329025</v>
      </c>
      <c r="V157" s="163">
        <f>STAN!F99</f>
        <v>138615.72341241315</v>
      </c>
      <c r="W157" s="163">
        <f>STAN!G99</f>
        <v>125411.59515538451</v>
      </c>
      <c r="X157" s="163">
        <f>STAN!H99</f>
        <v>142554.57825272871</v>
      </c>
      <c r="Y157" s="163">
        <f>STAN!I99</f>
        <v>150743.17920099213</v>
      </c>
      <c r="Z157" s="163">
        <f>STAN!J99</f>
        <v>156213.48552194369</v>
      </c>
      <c r="AA157" s="163">
        <f>STAN!K99</f>
        <v>128066.90254638658</v>
      </c>
      <c r="AB157" s="163">
        <f>STAN!L99</f>
        <v>179349.07015208364</v>
      </c>
      <c r="AC157" s="163">
        <f>STAN!M99</f>
        <v>192790.04228247798</v>
      </c>
      <c r="AD157" s="163">
        <f>STAN!N99</f>
        <v>199040.44926292801</v>
      </c>
      <c r="AE157" s="163">
        <f>STAN!O99</f>
        <v>195025.8955529877</v>
      </c>
      <c r="AF157" s="163">
        <f>STAN!P99</f>
        <v>190028.07384310116</v>
      </c>
      <c r="AG157" s="163">
        <f>STAN!Q99</f>
        <v>183634.83365949121</v>
      </c>
      <c r="AH157" s="195"/>
      <c r="AI157" s="385">
        <f t="shared" si="42"/>
        <v>3.2466221082801283E-2</v>
      </c>
      <c r="AK157" s="401"/>
      <c r="AL157" s="401"/>
      <c r="AM157" s="401"/>
      <c r="AN157" s="401"/>
      <c r="AO157" s="401"/>
      <c r="AP157" s="401"/>
      <c r="AQ157" s="401"/>
      <c r="AR157" s="401"/>
      <c r="AS157" s="401"/>
      <c r="AT157" s="401"/>
      <c r="AU157" s="401"/>
      <c r="AV157" s="401"/>
      <c r="AW157" s="177"/>
      <c r="AY157" s="212"/>
    </row>
    <row r="158" spans="2:51">
      <c r="B158" s="136"/>
      <c r="C158" s="136"/>
      <c r="D158" s="136"/>
      <c r="E158" s="136"/>
      <c r="F158" s="136"/>
      <c r="G158" s="136"/>
      <c r="H158" s="136"/>
      <c r="I158" s="136"/>
      <c r="J158" s="136"/>
      <c r="K158" s="136"/>
      <c r="L158" s="136"/>
      <c r="M158" s="136"/>
      <c r="N158" s="136"/>
      <c r="O158" s="136"/>
      <c r="P158" s="137"/>
      <c r="Q158" s="390"/>
      <c r="T158" s="136"/>
      <c r="U158" s="386"/>
      <c r="V158" s="386"/>
      <c r="W158" s="386"/>
      <c r="X158" s="386"/>
      <c r="Y158" s="386"/>
      <c r="Z158" s="386"/>
      <c r="AA158" s="386"/>
      <c r="AB158" s="386"/>
      <c r="AC158" s="386"/>
      <c r="AD158" s="386"/>
      <c r="AE158" s="386"/>
      <c r="AF158" s="386"/>
      <c r="AG158" s="386"/>
      <c r="AH158" s="387"/>
      <c r="AI158" s="390"/>
      <c r="AL158" s="136"/>
      <c r="AM158" s="195"/>
      <c r="AN158" s="137"/>
      <c r="AO158" s="137"/>
      <c r="AP158" s="137"/>
      <c r="AQ158" s="137"/>
      <c r="AR158" s="137"/>
      <c r="AS158" s="137"/>
      <c r="AT158" s="137"/>
      <c r="AU158" s="137"/>
      <c r="AV158" s="137"/>
      <c r="AW158" s="137"/>
      <c r="AX158" s="137"/>
      <c r="AY158" s="400"/>
    </row>
    <row r="159" spans="2:51">
      <c r="B159" s="136" t="s">
        <v>106</v>
      </c>
      <c r="C159" s="389">
        <f>SUM(C148:C157)</f>
        <v>1229318</v>
      </c>
      <c r="D159" s="389">
        <f t="shared" ref="D159:M159" si="43">SUM(D148:D157)</f>
        <v>1350095</v>
      </c>
      <c r="E159" s="389">
        <f t="shared" si="43"/>
        <v>1351880</v>
      </c>
      <c r="F159" s="389">
        <f t="shared" si="43"/>
        <v>1410478</v>
      </c>
      <c r="G159" s="389">
        <f t="shared" si="43"/>
        <v>1498308</v>
      </c>
      <c r="H159" s="389">
        <f t="shared" si="43"/>
        <v>1628068</v>
      </c>
      <c r="I159" s="389">
        <f t="shared" si="43"/>
        <v>1222082</v>
      </c>
      <c r="J159" s="389">
        <f t="shared" si="43"/>
        <v>1885531</v>
      </c>
      <c r="K159" s="389">
        <f t="shared" si="43"/>
        <v>2375980</v>
      </c>
      <c r="L159" s="389">
        <f t="shared" si="43"/>
        <v>2592339</v>
      </c>
      <c r="M159" s="389">
        <f t="shared" si="43"/>
        <v>2547486</v>
      </c>
      <c r="N159" s="389">
        <f>SUM(N148:N157)</f>
        <v>2668602</v>
      </c>
      <c r="O159" s="389">
        <f>SUM(O148:O157)</f>
        <v>2746423</v>
      </c>
      <c r="P159" s="211"/>
      <c r="Q159" s="385">
        <f>(O159/C159)^(1/($O$147-$C$147))-1</f>
        <v>6.9281202610523618E-2</v>
      </c>
      <c r="T159" s="136" t="s">
        <v>106</v>
      </c>
      <c r="U159" s="394">
        <f>SUM(U148:U157)</f>
        <v>1703093.9759704259</v>
      </c>
      <c r="V159" s="394">
        <f t="shared" ref="V159:AE159" si="44">SUM(V148:V157)</f>
        <v>1842897.4692068058</v>
      </c>
      <c r="W159" s="394">
        <f t="shared" si="44"/>
        <v>1807477.9025443625</v>
      </c>
      <c r="X159" s="394">
        <f t="shared" si="44"/>
        <v>1834581.1717586888</v>
      </c>
      <c r="Y159" s="394">
        <f t="shared" si="44"/>
        <v>1890184.8253306251</v>
      </c>
      <c r="Z159" s="394">
        <f t="shared" si="44"/>
        <v>2001458.1470638311</v>
      </c>
      <c r="AA159" s="394">
        <f t="shared" si="44"/>
        <v>1451166.9153465079</v>
      </c>
      <c r="AB159" s="394">
        <f t="shared" si="44"/>
        <v>2163029.6461770721</v>
      </c>
      <c r="AC159" s="394">
        <f t="shared" si="44"/>
        <v>2625082.6488679033</v>
      </c>
      <c r="AD159" s="394">
        <f t="shared" si="44"/>
        <v>2871047.99955907</v>
      </c>
      <c r="AE159" s="394">
        <f t="shared" si="44"/>
        <v>2695385.5549163627</v>
      </c>
      <c r="AF159" s="394">
        <f>SUM(AF148:AF157)</f>
        <v>2687614.6271988088</v>
      </c>
      <c r="AG159" s="394">
        <f>SUM(AG148:AG157)</f>
        <v>2694019.5850011129</v>
      </c>
      <c r="AH159" s="195"/>
      <c r="AI159" s="385">
        <f t="shared" si="42"/>
        <v>3.8955256398701898E-2</v>
      </c>
      <c r="AL159" s="136"/>
      <c r="AM159" s="195"/>
      <c r="AN159" s="195"/>
      <c r="AO159" s="195"/>
      <c r="AP159" s="195"/>
      <c r="AQ159" s="195"/>
      <c r="AR159" s="195"/>
      <c r="AS159" s="195"/>
      <c r="AT159" s="195"/>
      <c r="AU159" s="195"/>
      <c r="AV159" s="195"/>
      <c r="AW159" s="195"/>
      <c r="AX159" s="211"/>
      <c r="AY159" s="212"/>
    </row>
    <row r="160" spans="2:51">
      <c r="D160" s="208"/>
      <c r="E160" s="208"/>
      <c r="F160" s="208"/>
      <c r="G160" s="208"/>
      <c r="H160" s="208"/>
      <c r="I160" s="208"/>
      <c r="J160" s="208"/>
      <c r="K160" s="208"/>
      <c r="L160" s="208"/>
      <c r="M160" s="208"/>
      <c r="N160" s="208"/>
      <c r="O160" s="208"/>
      <c r="P160" s="133"/>
      <c r="AL160" s="136"/>
      <c r="AM160" s="137"/>
      <c r="AN160" s="137"/>
      <c r="AO160" s="137"/>
      <c r="AP160" s="137"/>
      <c r="AQ160" s="137"/>
      <c r="AR160" s="137"/>
      <c r="AS160" s="137"/>
      <c r="AT160" s="137"/>
      <c r="AU160" s="137"/>
      <c r="AV160" s="137"/>
      <c r="AW160" s="137"/>
      <c r="AX160" s="136"/>
    </row>
    <row r="161" spans="2:50">
      <c r="D161" s="208"/>
      <c r="E161" s="208"/>
      <c r="F161" s="208"/>
      <c r="G161" s="208"/>
      <c r="H161" s="208"/>
      <c r="I161" s="208"/>
      <c r="J161" s="208"/>
      <c r="K161" s="208"/>
      <c r="L161" s="208"/>
      <c r="M161" s="208"/>
      <c r="N161" s="208"/>
      <c r="O161" s="208"/>
      <c r="P161" s="133"/>
      <c r="AL161" s="136"/>
      <c r="AM161" s="137"/>
      <c r="AN161" s="137"/>
      <c r="AO161" s="137"/>
      <c r="AP161" s="137"/>
      <c r="AQ161" s="137"/>
      <c r="AR161" s="137"/>
      <c r="AS161" s="137"/>
      <c r="AT161" s="137"/>
      <c r="AU161" s="137"/>
      <c r="AV161" s="137"/>
      <c r="AW161" s="137"/>
      <c r="AX161" s="136"/>
    </row>
    <row r="162" spans="2:50">
      <c r="B162" s="314" t="s">
        <v>291</v>
      </c>
      <c r="C162" s="94"/>
      <c r="D162" s="94"/>
      <c r="E162" s="94"/>
      <c r="F162" s="94"/>
      <c r="G162" s="94"/>
      <c r="H162" s="94"/>
      <c r="I162" s="94"/>
      <c r="J162" s="94"/>
      <c r="K162" s="94"/>
      <c r="L162" s="94"/>
      <c r="M162" s="94"/>
      <c r="N162" s="94"/>
      <c r="O162" s="94"/>
      <c r="P162" s="94"/>
      <c r="Q162" s="94"/>
      <c r="R162" s="94"/>
      <c r="S162" s="100"/>
      <c r="T162" s="100" t="s">
        <v>315</v>
      </c>
      <c r="U162" s="94"/>
      <c r="V162" s="94"/>
      <c r="W162" s="94"/>
      <c r="X162" s="94"/>
      <c r="Y162" s="94"/>
      <c r="Z162" s="94"/>
      <c r="AA162" s="94"/>
      <c r="AB162" s="94"/>
      <c r="AC162" s="94"/>
      <c r="AD162" s="94"/>
      <c r="AE162" s="94"/>
      <c r="AF162" s="94"/>
      <c r="AG162" s="94"/>
      <c r="AH162" s="94"/>
      <c r="AI162" s="94"/>
      <c r="AJ162" s="94"/>
      <c r="AL162" s="136"/>
      <c r="AM162" s="137"/>
      <c r="AN162" s="137"/>
      <c r="AO162" s="137"/>
      <c r="AP162" s="137"/>
      <c r="AQ162" s="137"/>
      <c r="AR162" s="137"/>
      <c r="AS162" s="137"/>
      <c r="AT162" s="137"/>
      <c r="AU162" s="137"/>
      <c r="AV162" s="137"/>
      <c r="AW162" s="137"/>
      <c r="AX162" s="136"/>
    </row>
    <row r="163" spans="2:50">
      <c r="D163" s="208"/>
      <c r="E163" s="208"/>
      <c r="F163" s="208"/>
      <c r="G163" s="208"/>
      <c r="H163" s="208"/>
      <c r="I163" s="208"/>
      <c r="J163" s="208"/>
      <c r="K163" s="208"/>
      <c r="L163" s="208"/>
      <c r="M163" s="208"/>
      <c r="N163" s="208"/>
      <c r="O163" s="208"/>
      <c r="P163" s="133"/>
      <c r="AL163" s="136"/>
      <c r="AM163" s="137"/>
      <c r="AN163" s="137"/>
      <c r="AO163" s="137"/>
      <c r="AP163" s="137"/>
      <c r="AQ163" s="137"/>
      <c r="AR163" s="137"/>
      <c r="AS163" s="137"/>
      <c r="AT163" s="137"/>
      <c r="AU163" s="137"/>
      <c r="AV163" s="137"/>
      <c r="AW163" s="137"/>
      <c r="AX163" s="136"/>
    </row>
    <row r="164" spans="2:50" ht="15" customHeight="1">
      <c r="B164" s="398" t="s">
        <v>319</v>
      </c>
      <c r="C164" s="239">
        <v>2000</v>
      </c>
      <c r="D164" s="239">
        <v>2001</v>
      </c>
      <c r="E164" s="239">
        <v>2002</v>
      </c>
      <c r="F164" s="239">
        <v>2003</v>
      </c>
      <c r="G164" s="239">
        <v>2004</v>
      </c>
      <c r="H164" s="239">
        <v>2005</v>
      </c>
      <c r="I164" s="239">
        <v>2006</v>
      </c>
      <c r="J164" s="239">
        <v>2007</v>
      </c>
      <c r="K164" s="239">
        <v>2008</v>
      </c>
      <c r="L164" s="239">
        <v>2009</v>
      </c>
      <c r="M164" s="239">
        <v>2010</v>
      </c>
      <c r="N164" s="239">
        <v>2011</v>
      </c>
      <c r="O164" s="239">
        <v>2012</v>
      </c>
      <c r="P164" s="398"/>
      <c r="Q164" s="398" t="s">
        <v>239</v>
      </c>
      <c r="T164" s="398" t="s">
        <v>320</v>
      </c>
      <c r="U164" s="239">
        <v>2000</v>
      </c>
      <c r="V164" s="239">
        <v>2001</v>
      </c>
      <c r="W164" s="239">
        <v>2002</v>
      </c>
      <c r="X164" s="239">
        <v>2003</v>
      </c>
      <c r="Y164" s="239">
        <v>2004</v>
      </c>
      <c r="Z164" s="239">
        <v>2005</v>
      </c>
      <c r="AA164" s="239">
        <v>2006</v>
      </c>
      <c r="AB164" s="239">
        <v>2007</v>
      </c>
      <c r="AC164" s="239">
        <v>2008</v>
      </c>
      <c r="AD164" s="239">
        <v>2009</v>
      </c>
      <c r="AE164" s="239">
        <v>2010</v>
      </c>
      <c r="AF164" s="239">
        <v>2011</v>
      </c>
      <c r="AG164" s="239">
        <v>2012</v>
      </c>
      <c r="AH164" s="398"/>
      <c r="AI164" s="398" t="s">
        <v>239</v>
      </c>
      <c r="AL164" s="136"/>
      <c r="AM164" s="137"/>
      <c r="AN164" s="137"/>
      <c r="AO164" s="137"/>
      <c r="AP164" s="137"/>
      <c r="AQ164" s="137"/>
      <c r="AR164" s="137"/>
      <c r="AS164" s="137"/>
      <c r="AT164" s="137"/>
      <c r="AU164" s="137"/>
      <c r="AV164" s="137"/>
      <c r="AW164" s="137"/>
      <c r="AX164" s="136"/>
    </row>
    <row r="165" spans="2:50" ht="15" customHeight="1">
      <c r="B165" s="136" t="s">
        <v>116</v>
      </c>
      <c r="C165" s="163">
        <f>ABD!D51</f>
        <v>14392</v>
      </c>
      <c r="D165" s="163">
        <f>ABD!E51</f>
        <v>16306</v>
      </c>
      <c r="E165" s="163">
        <f>ABD!F51</f>
        <v>16282</v>
      </c>
      <c r="F165" s="163">
        <f>ABD!G51</f>
        <v>17976</v>
      </c>
      <c r="G165" s="163">
        <f>ABD!H51</f>
        <v>18324</v>
      </c>
      <c r="H165" s="163">
        <f>ABD!I51</f>
        <v>20689</v>
      </c>
      <c r="I165" s="163">
        <f>ABD!J51</f>
        <v>16263</v>
      </c>
      <c r="J165" s="163">
        <f>ABD!K51</f>
        <v>21994</v>
      </c>
      <c r="K165" s="163">
        <f>ABD!L51</f>
        <v>22442</v>
      </c>
      <c r="L165" s="163">
        <f>ABD!M51</f>
        <v>21736</v>
      </c>
      <c r="M165" s="163">
        <f>ABD!N51</f>
        <v>23587</v>
      </c>
      <c r="N165" s="163">
        <f>ABD!O51</f>
        <v>24658</v>
      </c>
      <c r="O165" s="391">
        <f>N165</f>
        <v>24658</v>
      </c>
      <c r="P165" s="136"/>
      <c r="Q165" s="385">
        <f>(O165/C165)^(1/($O$164-$C$164))-1</f>
        <v>4.5890917222552341E-2</v>
      </c>
      <c r="R165" s="218"/>
      <c r="S165" s="218"/>
      <c r="T165" s="136" t="s">
        <v>116</v>
      </c>
      <c r="U165" s="163">
        <f>ABD!D89</f>
        <v>19938.639556377086</v>
      </c>
      <c r="V165" s="163">
        <f>ABD!E89</f>
        <v>22257.904912532951</v>
      </c>
      <c r="W165" s="163">
        <f>ABD!F89</f>
        <v>21769.206741151072</v>
      </c>
      <c r="X165" s="163">
        <f>ABD!G89</f>
        <v>23381.031922181126</v>
      </c>
      <c r="Y165" s="163">
        <f>ABD!H89</f>
        <v>23114.795110284351</v>
      </c>
      <c r="Z165" s="163">
        <f>ABD!I89</f>
        <v>25428.015751089635</v>
      </c>
      <c r="AA165" s="163">
        <f>ABD!J89</f>
        <v>19356.431562378115</v>
      </c>
      <c r="AB165" s="163">
        <f>ABD!K89</f>
        <v>25269.721005284609</v>
      </c>
      <c r="AC165" s="163">
        <f>ABD!L89</f>
        <v>24794.235695721323</v>
      </c>
      <c r="AD165" s="163">
        <f>ABD!M89</f>
        <v>24142.540207472117</v>
      </c>
      <c r="AE165" s="163">
        <f>ABD!N89</f>
        <v>25041.240056659342</v>
      </c>
      <c r="AF165" s="163">
        <f>ABD!O89</f>
        <v>24884.292325136423</v>
      </c>
      <c r="AG165" s="391">
        <f>AF165</f>
        <v>24884.292325136423</v>
      </c>
      <c r="AH165" s="136"/>
      <c r="AI165" s="385">
        <f>(AG165/U165)^(1/($AG$164-$U$164))-1</f>
        <v>1.8636297874819352E-2</v>
      </c>
      <c r="AL165" s="136"/>
      <c r="AM165" s="137"/>
      <c r="AN165" s="137"/>
      <c r="AO165" s="137"/>
      <c r="AP165" s="137"/>
      <c r="AQ165" s="137"/>
      <c r="AR165" s="137"/>
      <c r="AS165" s="137"/>
      <c r="AT165" s="137"/>
      <c r="AU165" s="137"/>
      <c r="AV165" s="137"/>
      <c r="AW165" s="137"/>
      <c r="AX165" s="136"/>
    </row>
    <row r="166" spans="2:50" ht="15" customHeight="1">
      <c r="B166" s="136" t="s">
        <v>155</v>
      </c>
      <c r="C166" s="163">
        <f>BIR!D47</f>
        <v>50695.404296673594</v>
      </c>
      <c r="D166" s="163">
        <f>BIR!E47</f>
        <v>53247.57344883219</v>
      </c>
      <c r="E166" s="163">
        <f>BIR!F47</f>
        <v>54732.392712241046</v>
      </c>
      <c r="F166" s="163">
        <f>BIR!G47</f>
        <v>56035.180661016348</v>
      </c>
      <c r="G166" s="163">
        <f>BIR!H47</f>
        <v>59070.327564668973</v>
      </c>
      <c r="H166" s="163">
        <f>BIR!I47</f>
        <v>58938.285788724599</v>
      </c>
      <c r="I166" s="163">
        <f>BIR!J47</f>
        <v>65785.819903388707</v>
      </c>
      <c r="J166" s="163">
        <f>BIR!K47</f>
        <v>64569.343103198786</v>
      </c>
      <c r="K166" s="163">
        <f>BIR!L47</f>
        <v>64674.578675978286</v>
      </c>
      <c r="L166" s="163">
        <f>BIR!M47</f>
        <v>64593.773520389514</v>
      </c>
      <c r="M166" s="163">
        <f>BIR!N47</f>
        <v>61280.738479291227</v>
      </c>
      <c r="N166" s="163">
        <f>BIR!O47</f>
        <v>56698.763492324673</v>
      </c>
      <c r="O166" s="391">
        <f>N166</f>
        <v>56698.763492324673</v>
      </c>
      <c r="P166" s="136"/>
      <c r="Q166" s="385">
        <f t="shared" ref="Q166:Q174" si="45">(O166/C166)^(1/($O$164-$C$164))-1</f>
        <v>9.370055084087392E-3</v>
      </c>
      <c r="R166" s="218"/>
      <c r="S166" s="218"/>
      <c r="T166" s="136" t="s">
        <v>155</v>
      </c>
      <c r="U166" s="163">
        <f>BIR!D85</f>
        <v>70233.281923025643</v>
      </c>
      <c r="V166" s="163">
        <f>BIR!E85</f>
        <v>72683.639558887604</v>
      </c>
      <c r="W166" s="163">
        <f>BIR!F85</f>
        <v>73177.789730416756</v>
      </c>
      <c r="X166" s="163">
        <f>BIR!G85</f>
        <v>72883.864474878152</v>
      </c>
      <c r="Y166" s="163">
        <f>BIR!H85</f>
        <v>74514.217351817584</v>
      </c>
      <c r="Z166" s="163">
        <f>BIR!I85</f>
        <v>72438.670761173154</v>
      </c>
      <c r="AA166" s="163">
        <f>BIR!J85</f>
        <v>77945.167512622254</v>
      </c>
      <c r="AB166" s="163">
        <f>BIR!K85</f>
        <v>73468.877029371753</v>
      </c>
      <c r="AC166" s="163">
        <f>BIR!L85</f>
        <v>71467.241222570708</v>
      </c>
      <c r="AD166" s="163">
        <f>BIR!M85</f>
        <v>71052.651924695427</v>
      </c>
      <c r="AE166" s="163">
        <f>BIR!N85</f>
        <v>64221.095508286191</v>
      </c>
      <c r="AF166" s="163">
        <f>BIR!O85</f>
        <v>56698.763492324673</v>
      </c>
      <c r="AG166" s="391">
        <f>AF166</f>
        <v>56698.763492324673</v>
      </c>
      <c r="AH166" s="136"/>
      <c r="AI166" s="385">
        <f t="shared" ref="AI166:AI176" si="46">(AG166/U166)^(1/($AG$164-$U$164))-1</f>
        <v>-1.7680982318675098E-2</v>
      </c>
      <c r="AL166" s="136"/>
      <c r="AM166" s="137"/>
      <c r="AN166" s="137"/>
      <c r="AO166" s="137"/>
      <c r="AP166" s="137"/>
      <c r="AQ166" s="137"/>
      <c r="AR166" s="137"/>
      <c r="AS166" s="137"/>
      <c r="AT166" s="137"/>
      <c r="AU166" s="137"/>
      <c r="AV166" s="137"/>
      <c r="AW166" s="137"/>
      <c r="AX166" s="136"/>
    </row>
    <row r="167" spans="2:50" ht="15" customHeight="1">
      <c r="B167" s="136" t="s">
        <v>115</v>
      </c>
      <c r="C167" s="163">
        <f>EDIN!D52</f>
        <v>26635</v>
      </c>
      <c r="D167" s="163">
        <f>EDIN!E52</f>
        <v>30884</v>
      </c>
      <c r="E167" s="163">
        <f>EDIN!F52</f>
        <v>33261</v>
      </c>
      <c r="F167" s="163">
        <f>EDIN!G52</f>
        <v>34849</v>
      </c>
      <c r="G167" s="163">
        <f>EDIN!H52</f>
        <v>35687</v>
      </c>
      <c r="H167" s="163">
        <f>EDIN!I52</f>
        <v>37924</v>
      </c>
      <c r="I167" s="163">
        <f>EDIN!J52</f>
        <v>29227</v>
      </c>
      <c r="J167" s="163">
        <f>EDIN!K52</f>
        <v>39950</v>
      </c>
      <c r="K167" s="163">
        <f>EDIN!L52</f>
        <v>40793</v>
      </c>
      <c r="L167" s="163">
        <f>EDIN!M52</f>
        <v>42982</v>
      </c>
      <c r="M167" s="163">
        <f>EDIN!N52</f>
        <v>43239</v>
      </c>
      <c r="N167" s="163">
        <f>EDIN!O52</f>
        <v>48272</v>
      </c>
      <c r="O167" s="163">
        <f>EDIN!P52</f>
        <v>48937</v>
      </c>
      <c r="P167" s="136"/>
      <c r="Q167" s="385">
        <f t="shared" si="45"/>
        <v>5.1999144762042704E-2</v>
      </c>
      <c r="R167" s="218"/>
      <c r="S167" s="218"/>
      <c r="T167" s="136" t="s">
        <v>115</v>
      </c>
      <c r="U167" s="163">
        <f>EDIN!D90</f>
        <v>36900.060073937166</v>
      </c>
      <c r="V167" s="163">
        <f>EDIN!E90</f>
        <v>42157.067050083875</v>
      </c>
      <c r="W167" s="163">
        <f>EDIN!F90</f>
        <v>44470.309877006868</v>
      </c>
      <c r="X167" s="163">
        <f>EDIN!G90</f>
        <v>45327.41329862539</v>
      </c>
      <c r="Y167" s="163">
        <f>EDIN!H90</f>
        <v>45017.337540969093</v>
      </c>
      <c r="Z167" s="163">
        <f>EDIN!I90</f>
        <v>46610.859362188763</v>
      </c>
      <c r="AA167" s="163">
        <f>EDIN!J90</f>
        <v>34786.350936089599</v>
      </c>
      <c r="AB167" s="163">
        <f>EDIN!K90</f>
        <v>45900.034289402574</v>
      </c>
      <c r="AC167" s="163">
        <f>EDIN!L90</f>
        <v>45068.677334264321</v>
      </c>
      <c r="AD167" s="163">
        <f>EDIN!M90</f>
        <v>47740.829186490912</v>
      </c>
      <c r="AE167" s="163">
        <f>EDIN!N90</f>
        <v>45904.870429045375</v>
      </c>
      <c r="AF167" s="163">
        <f>EDIN!O90</f>
        <v>48715.003614201698</v>
      </c>
      <c r="AG167" s="163">
        <f>EDIN!P90</f>
        <v>47851.639269406398</v>
      </c>
      <c r="AH167" s="136"/>
      <c r="AI167" s="385">
        <f t="shared" si="46"/>
        <v>2.1893912995711418E-2</v>
      </c>
      <c r="AL167" s="136"/>
      <c r="AM167" s="137"/>
      <c r="AN167" s="137"/>
      <c r="AO167" s="137"/>
      <c r="AP167" s="137"/>
      <c r="AQ167" s="137"/>
      <c r="AR167" s="137"/>
      <c r="AS167" s="137"/>
      <c r="AT167" s="137"/>
      <c r="AU167" s="137"/>
      <c r="AV167" s="137"/>
      <c r="AW167" s="137"/>
      <c r="AX167" s="136"/>
    </row>
    <row r="168" spans="2:50" ht="15" customHeight="1">
      <c r="B168" s="136" t="s">
        <v>107</v>
      </c>
      <c r="C168" s="163">
        <f>GAT!D54</f>
        <v>161600</v>
      </c>
      <c r="D168" s="163">
        <f>GAT!E54</f>
        <v>171500</v>
      </c>
      <c r="E168" s="163">
        <f>GAT!F54</f>
        <v>171200</v>
      </c>
      <c r="F168" s="163">
        <f>GAT!G54</f>
        <v>188700</v>
      </c>
      <c r="G168" s="163">
        <f>GAT!H54</f>
        <v>197100</v>
      </c>
      <c r="H168" s="163">
        <f>GAT!I54</f>
        <v>209200</v>
      </c>
      <c r="I168" s="163">
        <f>GAT!J54</f>
        <v>166200</v>
      </c>
      <c r="J168" s="163">
        <f>GAT!K54</f>
        <v>246900</v>
      </c>
      <c r="K168" s="163">
        <f>GAT!L54</f>
        <v>277400</v>
      </c>
      <c r="L168" s="163">
        <f>GAT!M54</f>
        <v>339400</v>
      </c>
      <c r="M168" s="163">
        <f>GAT!N54</f>
        <v>252900</v>
      </c>
      <c r="N168" s="163">
        <f>GAT!O54</f>
        <v>264200</v>
      </c>
      <c r="O168" s="163">
        <f>GAT!P54</f>
        <v>274500</v>
      </c>
      <c r="P168" s="136"/>
      <c r="Q168" s="385">
        <f t="shared" si="45"/>
        <v>4.5141475567939793E-2</v>
      </c>
      <c r="R168" s="218"/>
      <c r="S168" s="218"/>
      <c r="T168" s="136" t="s">
        <v>107</v>
      </c>
      <c r="U168" s="163">
        <f>GAT!D104</f>
        <v>223880.22181146036</v>
      </c>
      <c r="V168" s="163">
        <f>GAT!E104</f>
        <v>234099.76036424635</v>
      </c>
      <c r="W168" s="163">
        <f>GAT!F104</f>
        <v>228896.21631771669</v>
      </c>
      <c r="X168" s="163">
        <f>GAT!G104</f>
        <v>245438.40252089332</v>
      </c>
      <c r="Y168" s="163">
        <f>GAT!H104</f>
        <v>248631.63699176194</v>
      </c>
      <c r="Z168" s="163">
        <f>GAT!I104</f>
        <v>257119.28537522122</v>
      </c>
      <c r="AA168" s="163">
        <f>GAT!J104</f>
        <v>197813.37549451162</v>
      </c>
      <c r="AB168" s="163">
        <f>GAT!K104</f>
        <v>283672.55234176456</v>
      </c>
      <c r="AC168" s="163">
        <f>GAT!L104</f>
        <v>306475.40245936613</v>
      </c>
      <c r="AD168" s="163">
        <f>GAT!M104</f>
        <v>373337.37834080035</v>
      </c>
      <c r="AE168" s="163">
        <f>GAT!N104</f>
        <v>265034.5843912132</v>
      </c>
      <c r="AF168" s="163">
        <f>GAT!O104</f>
        <v>264200</v>
      </c>
      <c r="AG168" s="163">
        <f>GAT!P104</f>
        <v>266272.75978338619</v>
      </c>
      <c r="AH168" s="136"/>
      <c r="AI168" s="385">
        <f t="shared" si="46"/>
        <v>1.4555752359545204E-2</v>
      </c>
      <c r="AL168" s="136"/>
      <c r="AM168" s="137"/>
      <c r="AN168" s="137"/>
      <c r="AO168" s="137"/>
      <c r="AP168" s="137"/>
      <c r="AQ168" s="137"/>
      <c r="AR168" s="137"/>
      <c r="AS168" s="137"/>
      <c r="AT168" s="137"/>
      <c r="AU168" s="137"/>
      <c r="AV168" s="137"/>
      <c r="AW168" s="137"/>
      <c r="AX168" s="136"/>
    </row>
    <row r="169" spans="2:50" ht="15" customHeight="1">
      <c r="B169" s="136" t="s">
        <v>114</v>
      </c>
      <c r="C169" s="163">
        <f>GLAS!D52</f>
        <v>34794</v>
      </c>
      <c r="D169" s="163">
        <f>GLAS!E52</f>
        <v>37169</v>
      </c>
      <c r="E169" s="163">
        <f>GLAS!F52</f>
        <v>40697</v>
      </c>
      <c r="F169" s="163">
        <f>GLAS!G52</f>
        <v>43560</v>
      </c>
      <c r="G169" s="163">
        <f>GLAS!H52</f>
        <v>43691</v>
      </c>
      <c r="H169" s="163">
        <f>GLAS!I52</f>
        <v>45601</v>
      </c>
      <c r="I169" s="163">
        <f>GLAS!J52</f>
        <v>33894</v>
      </c>
      <c r="J169" s="163">
        <f>GLAS!K52</f>
        <v>44918</v>
      </c>
      <c r="K169" s="163">
        <f>GLAS!L52</f>
        <v>40480</v>
      </c>
      <c r="L169" s="163">
        <f>GLAS!M52</f>
        <v>40854</v>
      </c>
      <c r="M169" s="163">
        <f>GLAS!N52</f>
        <v>41882</v>
      </c>
      <c r="N169" s="163">
        <f>GLAS!O52</f>
        <v>42654</v>
      </c>
      <c r="O169" s="391">
        <f>N169</f>
        <v>42654</v>
      </c>
      <c r="P169" s="136"/>
      <c r="Q169" s="385">
        <f t="shared" si="45"/>
        <v>1.7117868083242449E-2</v>
      </c>
      <c r="R169" s="218"/>
      <c r="S169" s="218"/>
      <c r="T169" s="136" t="s">
        <v>114</v>
      </c>
      <c r="U169" s="163">
        <f>GLAS!D90</f>
        <v>48203.517560073953</v>
      </c>
      <c r="V169" s="163">
        <f>GLAS!E90</f>
        <v>50736.174886173023</v>
      </c>
      <c r="W169" s="163">
        <f>GLAS!F90</f>
        <v>54412.320768003017</v>
      </c>
      <c r="X169" s="163">
        <f>GLAS!G90</f>
        <v>56657.640772708597</v>
      </c>
      <c r="Y169" s="163">
        <f>GLAS!H90</f>
        <v>55113.976924439732</v>
      </c>
      <c r="Z169" s="163">
        <f>GLAS!I90</f>
        <v>56046.350537263206</v>
      </c>
      <c r="AA169" s="163">
        <f>GLAS!J90</f>
        <v>40341.074302111774</v>
      </c>
      <c r="AB169" s="163">
        <f>GLAS!K90</f>
        <v>51607.953447093489</v>
      </c>
      <c r="AC169" s="163">
        <f>GLAS!L90</f>
        <v>44722.870553551344</v>
      </c>
      <c r="AD169" s="163">
        <f>GLAS!M90</f>
        <v>45377.223851493647</v>
      </c>
      <c r="AE169" s="163">
        <f>GLAS!N90</f>
        <v>44464.205539195595</v>
      </c>
      <c r="AF169" s="163">
        <f>GLAS!O90</f>
        <v>43045.445893274758</v>
      </c>
      <c r="AG169" s="391">
        <f>AF169</f>
        <v>43045.445893274758</v>
      </c>
      <c r="AH169" s="136"/>
      <c r="AI169" s="385">
        <f t="shared" si="46"/>
        <v>-9.3869613113967132E-3</v>
      </c>
      <c r="AL169" s="136"/>
      <c r="AM169" s="137"/>
      <c r="AN169" s="137"/>
      <c r="AO169" s="137"/>
      <c r="AP169" s="137"/>
      <c r="AQ169" s="137"/>
      <c r="AR169" s="137"/>
      <c r="AS169" s="137"/>
      <c r="AT169" s="137"/>
      <c r="AU169" s="137"/>
      <c r="AV169" s="137"/>
      <c r="AW169" s="137"/>
      <c r="AX169" s="136"/>
    </row>
    <row r="170" spans="2:50" ht="15" customHeight="1">
      <c r="B170" s="136" t="s">
        <v>105</v>
      </c>
      <c r="C170" s="163">
        <f>HTROW!D53</f>
        <v>414700</v>
      </c>
      <c r="D170" s="163">
        <f>HTROW!E53</f>
        <v>427800</v>
      </c>
      <c r="E170" s="163">
        <f>HTROW!F53</f>
        <v>451800</v>
      </c>
      <c r="F170" s="163">
        <f>HTROW!G53</f>
        <v>494800</v>
      </c>
      <c r="G170" s="163">
        <f>HTROW!H53</f>
        <v>534600</v>
      </c>
      <c r="H170" s="163">
        <f>HTROW!I53</f>
        <v>582900</v>
      </c>
      <c r="I170" s="163">
        <f>HTROW!J53</f>
        <v>313500</v>
      </c>
      <c r="J170" s="163">
        <f>HTROW!K53</f>
        <v>677000</v>
      </c>
      <c r="K170" s="163">
        <f>HTROW!L53</f>
        <v>791400</v>
      </c>
      <c r="L170" s="163">
        <f>HTROW!M53</f>
        <v>795700</v>
      </c>
      <c r="M170" s="163">
        <f>HTROW!N53</f>
        <v>804000</v>
      </c>
      <c r="N170" s="163">
        <f>HTROW!O53</f>
        <v>822200</v>
      </c>
      <c r="O170" s="163">
        <f>HTROW!P53</f>
        <v>867900</v>
      </c>
      <c r="P170" s="136"/>
      <c r="Q170" s="385">
        <f t="shared" si="45"/>
        <v>6.3476679960618343E-2</v>
      </c>
      <c r="R170" s="218"/>
      <c r="S170" s="218"/>
      <c r="T170" s="136" t="s">
        <v>105</v>
      </c>
      <c r="U170" s="163">
        <f>HTROW!D104</f>
        <v>574524.30683918693</v>
      </c>
      <c r="V170" s="163">
        <f>HTROW!E104</f>
        <v>583952.63838964782</v>
      </c>
      <c r="W170" s="163">
        <f>HTROW!F104</f>
        <v>604061.39329640428</v>
      </c>
      <c r="X170" s="163">
        <f>HTROW!G104</f>
        <v>643576.69087089563</v>
      </c>
      <c r="Y170" s="163">
        <f>HTROW!H104</f>
        <v>674370.74142971041</v>
      </c>
      <c r="Z170" s="163">
        <f>HTROW!I104</f>
        <v>716418.88836145529</v>
      </c>
      <c r="AA170" s="163">
        <f>HTROW!J104</f>
        <v>371414.0391014975</v>
      </c>
      <c r="AB170" s="163">
        <f>HTROW!K104</f>
        <v>777830.36830852425</v>
      </c>
      <c r="AC170" s="163">
        <f>HTROW!L104</f>
        <v>874349.79634586291</v>
      </c>
      <c r="AD170" s="163">
        <f>HTROW!M104</f>
        <v>883797.35200062394</v>
      </c>
      <c r="AE170" s="163">
        <f>HTROW!N104</f>
        <v>853570.06001416501</v>
      </c>
      <c r="AF170" s="163">
        <f>HTROW!O104</f>
        <v>829745.52476791164</v>
      </c>
      <c r="AG170" s="163">
        <f>HTROW!P104</f>
        <v>848651.07632093946</v>
      </c>
      <c r="AH170" s="136"/>
      <c r="AI170" s="385">
        <f t="shared" si="46"/>
        <v>3.3042993690326927E-2</v>
      </c>
      <c r="AL170" s="136"/>
      <c r="AM170" s="137"/>
      <c r="AN170" s="137"/>
      <c r="AO170" s="137"/>
      <c r="AP170" s="137"/>
      <c r="AQ170" s="137"/>
      <c r="AR170" s="137"/>
      <c r="AS170" s="137"/>
      <c r="AT170" s="137"/>
      <c r="AU170" s="137"/>
      <c r="AV170" s="137"/>
      <c r="AW170" s="137"/>
      <c r="AX170" s="136"/>
    </row>
    <row r="171" spans="2:50" ht="15" customHeight="1">
      <c r="B171" s="136" t="s">
        <v>156</v>
      </c>
      <c r="C171" s="163">
        <f>LTN!D47</f>
        <v>43463.510841314703</v>
      </c>
      <c r="D171" s="163">
        <f>LTN!E47</f>
        <v>55906.257067508202</v>
      </c>
      <c r="E171" s="163">
        <f>LTN!F47</f>
        <v>48164.187397298956</v>
      </c>
      <c r="F171" s="163">
        <f>LTN!G47</f>
        <v>47021.48429478021</v>
      </c>
      <c r="G171" s="163">
        <f>LTN!H47</f>
        <v>36632.029263567034</v>
      </c>
      <c r="H171" s="163">
        <f>LTN!I47</f>
        <v>55091.805094637028</v>
      </c>
      <c r="I171" s="163">
        <f>LTN!J47</f>
        <v>58822.697318774015</v>
      </c>
      <c r="J171" s="163">
        <f>LTN!K47</f>
        <v>64762.333702851109</v>
      </c>
      <c r="K171" s="163">
        <f>LTN!L47</f>
        <v>70384.160895901427</v>
      </c>
      <c r="L171" s="163">
        <f>LTN!M47</f>
        <v>65919.045441362949</v>
      </c>
      <c r="M171" s="163">
        <f>LTN!N47</f>
        <v>67252.833969754647</v>
      </c>
      <c r="N171" s="163">
        <f>LTN!O47</f>
        <v>75876.379851357749</v>
      </c>
      <c r="O171" s="163">
        <f>LTN!P47</f>
        <v>80008.272413223327</v>
      </c>
      <c r="P171" s="136"/>
      <c r="Q171" s="385">
        <f t="shared" si="45"/>
        <v>5.2165782650573922E-2</v>
      </c>
      <c r="R171" s="218"/>
      <c r="S171" s="218"/>
      <c r="T171" s="136" t="s">
        <v>156</v>
      </c>
      <c r="U171" s="163">
        <f>LTN!D85</f>
        <v>60214.235444667989</v>
      </c>
      <c r="V171" s="163">
        <f>LTN!E85</f>
        <v>76312.777739741257</v>
      </c>
      <c r="W171" s="163">
        <f>LTN!F85</f>
        <v>64396.029540065341</v>
      </c>
      <c r="X171" s="163">
        <f>LTN!G85</f>
        <v>61159.92575236952</v>
      </c>
      <c r="Y171" s="163">
        <f>LTN!H85</f>
        <v>46333.942390557771</v>
      </c>
      <c r="Z171" s="163">
        <f>LTN!I85</f>
        <v>68110.852146562378</v>
      </c>
      <c r="AA171" s="163">
        <f>LTN!J85</f>
        <v>70471.932121987265</v>
      </c>
      <c r="AB171" s="163">
        <f>LTN!K85</f>
        <v>74407.843244620715</v>
      </c>
      <c r="AC171" s="163">
        <f>LTN!L85</f>
        <v>77761.406046633638</v>
      </c>
      <c r="AD171" s="163">
        <f>LTN!M85</f>
        <v>73217.390734554952</v>
      </c>
      <c r="AE171" s="163">
        <f>LTN!N85</f>
        <v>71399.260606574811</v>
      </c>
      <c r="AF171" s="163">
        <f>LTN!O85</f>
        <v>76572.715418698906</v>
      </c>
      <c r="AG171" s="163">
        <f>LTN!P85</f>
        <v>78233.790180966593</v>
      </c>
      <c r="AH171" s="136"/>
      <c r="AI171" s="385">
        <f t="shared" si="46"/>
        <v>2.2055782180503414E-2</v>
      </c>
      <c r="AL171" s="136"/>
      <c r="AM171" s="137"/>
      <c r="AN171" s="137"/>
      <c r="AO171" s="137"/>
      <c r="AP171" s="137"/>
      <c r="AQ171" s="137"/>
      <c r="AR171" s="137"/>
      <c r="AS171" s="137"/>
      <c r="AT171" s="137"/>
      <c r="AU171" s="137"/>
      <c r="AV171" s="137"/>
      <c r="AW171" s="137"/>
      <c r="AX171" s="136"/>
    </row>
    <row r="172" spans="2:50" ht="15" customHeight="1">
      <c r="B172" s="136" t="s">
        <v>204</v>
      </c>
      <c r="C172" s="163">
        <f>MAN!D53</f>
        <v>130038.51203085459</v>
      </c>
      <c r="D172" s="163">
        <f>MAN!E53</f>
        <v>164793.30700056546</v>
      </c>
      <c r="E172" s="163">
        <f>MAN!F53</f>
        <v>150388.7102006762</v>
      </c>
      <c r="F172" s="163">
        <f>MAN!G53</f>
        <v>132333.27879266589</v>
      </c>
      <c r="G172" s="163">
        <f>MAN!H53</f>
        <v>138219.27629344937</v>
      </c>
      <c r="H172" s="163">
        <f>MAN!I53</f>
        <v>159337.64579963687</v>
      </c>
      <c r="I172" s="163">
        <f>MAN!J53</f>
        <v>159568.04134659711</v>
      </c>
      <c r="J172" s="163">
        <f>MAN!K53</f>
        <v>169261.07171137782</v>
      </c>
      <c r="K172" s="163">
        <f>MAN!L53</f>
        <v>170123.70948859514</v>
      </c>
      <c r="L172" s="163">
        <f>MAN!M53</f>
        <v>163389.98948209363</v>
      </c>
      <c r="M172" s="163">
        <f>MAN!N53</f>
        <v>162866.07093530786</v>
      </c>
      <c r="N172" s="163">
        <f>MAN!O53</f>
        <v>172345.83342388779</v>
      </c>
      <c r="O172" s="391">
        <f>N172</f>
        <v>172345.83342388779</v>
      </c>
      <c r="P172" s="136"/>
      <c r="Q172" s="385">
        <f t="shared" si="45"/>
        <v>2.3750357492559049E-2</v>
      </c>
      <c r="R172" s="218"/>
      <c r="S172" s="218"/>
      <c r="T172" s="136" t="s">
        <v>204</v>
      </c>
      <c r="U172" s="163">
        <f>MAN!D91</f>
        <v>180155.01805383651</v>
      </c>
      <c r="V172" s="163">
        <f>MAN!E91</f>
        <v>224945.0360260295</v>
      </c>
      <c r="W172" s="163">
        <f>MAN!F91</f>
        <v>201071.30106212845</v>
      </c>
      <c r="X172" s="163">
        <f>MAN!G91</f>
        <v>172123.30973621583</v>
      </c>
      <c r="Y172" s="163">
        <f>MAN!H91</f>
        <v>174356.59527476889</v>
      </c>
      <c r="Z172" s="163">
        <f>MAN!I91</f>
        <v>195835.47620159059</v>
      </c>
      <c r="AA172" s="163">
        <f>MAN!J91</f>
        <v>189061.37721908779</v>
      </c>
      <c r="AB172" s="163">
        <f>MAN!K91</f>
        <v>192590.17152378056</v>
      </c>
      <c r="AC172" s="163">
        <f>MAN!L91</f>
        <v>187991.51741851005</v>
      </c>
      <c r="AD172" s="163">
        <f>MAN!M91</f>
        <v>179727.72634170824</v>
      </c>
      <c r="AE172" s="163">
        <f>MAN!N91</f>
        <v>170680.66991605048</v>
      </c>
      <c r="AF172" s="163">
        <f>MAN!O91</f>
        <v>172345.83342388779</v>
      </c>
      <c r="AG172" s="391">
        <f>AF172</f>
        <v>172345.83342388779</v>
      </c>
      <c r="AH172" s="136"/>
      <c r="AI172" s="385">
        <f t="shared" si="46"/>
        <v>-3.6860708739586689E-3</v>
      </c>
      <c r="AL172" s="136"/>
      <c r="AM172" s="137"/>
      <c r="AN172" s="137"/>
      <c r="AO172" s="137"/>
      <c r="AP172" s="137"/>
      <c r="AQ172" s="137"/>
      <c r="AR172" s="137"/>
      <c r="AS172" s="137"/>
      <c r="AT172" s="137"/>
      <c r="AU172" s="137"/>
      <c r="AV172" s="137"/>
      <c r="AW172" s="137"/>
      <c r="AX172" s="136"/>
    </row>
    <row r="173" spans="2:50" ht="15" customHeight="1">
      <c r="B173" s="136" t="s">
        <v>113</v>
      </c>
      <c r="C173" s="163">
        <f>STHAM!D49</f>
        <v>0</v>
      </c>
      <c r="D173" s="163">
        <f>STHAM!E49</f>
        <v>0</v>
      </c>
      <c r="E173" s="163">
        <f>STHAM!F49</f>
        <v>0</v>
      </c>
      <c r="F173" s="163">
        <f>STHAM!G49</f>
        <v>0</v>
      </c>
      <c r="G173" s="163">
        <f>STHAM!H49</f>
        <v>0</v>
      </c>
      <c r="H173" s="163">
        <f>STHAM!I49</f>
        <v>0</v>
      </c>
      <c r="I173" s="163">
        <f>STHAM!J49</f>
        <v>9584</v>
      </c>
      <c r="J173" s="163">
        <f>STHAM!K49</f>
        <v>14739</v>
      </c>
      <c r="K173" s="163">
        <f>STHAM!L49</f>
        <v>14970</v>
      </c>
      <c r="L173" s="163">
        <f>STHAM!M49</f>
        <v>12905</v>
      </c>
      <c r="M173" s="163">
        <f>STHAM!N49</f>
        <v>12931</v>
      </c>
      <c r="N173" s="391">
        <f>M173</f>
        <v>12931</v>
      </c>
      <c r="O173" s="391">
        <f>M173</f>
        <v>12931</v>
      </c>
      <c r="P173" s="136"/>
      <c r="Q173" s="385" t="e">
        <f t="shared" si="45"/>
        <v>#DIV/0!</v>
      </c>
      <c r="R173" s="218"/>
      <c r="S173" s="218"/>
      <c r="T173" s="136" t="s">
        <v>113</v>
      </c>
      <c r="U173" s="163">
        <f>STHAM!D87</f>
        <v>0</v>
      </c>
      <c r="V173" s="163">
        <f>STHAM!E87</f>
        <v>0</v>
      </c>
      <c r="W173" s="163">
        <f>STHAM!F87</f>
        <v>0</v>
      </c>
      <c r="X173" s="163">
        <f>STHAM!G87</f>
        <v>0</v>
      </c>
      <c r="Y173" s="163">
        <f>STHAM!H87</f>
        <v>0</v>
      </c>
      <c r="Z173" s="163">
        <f>STHAM!I87</f>
        <v>0</v>
      </c>
      <c r="AA173" s="163">
        <f>STHAM!J87</f>
        <v>11406.999944280382</v>
      </c>
      <c r="AB173" s="163">
        <f>STHAM!K87</f>
        <v>16934.182863366823</v>
      </c>
      <c r="AC173" s="163">
        <f>STHAM!L87</f>
        <v>16539.065518445248</v>
      </c>
      <c r="AD173" s="163">
        <f>STHAM!M87</f>
        <v>14333.800210591999</v>
      </c>
      <c r="AE173" s="163">
        <f>STHAM!N87</f>
        <v>13728.251798561154</v>
      </c>
      <c r="AF173" s="391">
        <f>AE173</f>
        <v>13728.251798561154</v>
      </c>
      <c r="AG173" s="391">
        <f>AE173</f>
        <v>13728.251798561154</v>
      </c>
      <c r="AH173" s="136"/>
      <c r="AI173" s="385" t="e">
        <f t="shared" si="46"/>
        <v>#DIV/0!</v>
      </c>
      <c r="AL173" s="136"/>
      <c r="AM173" s="137"/>
      <c r="AN173" s="137"/>
      <c r="AO173" s="137"/>
      <c r="AP173" s="137"/>
      <c r="AQ173" s="137"/>
      <c r="AR173" s="137"/>
      <c r="AS173" s="137"/>
      <c r="AT173" s="137"/>
      <c r="AU173" s="137"/>
      <c r="AV173" s="137"/>
      <c r="AW173" s="137"/>
      <c r="AX173" s="136"/>
    </row>
    <row r="174" spans="2:50" ht="15" customHeight="1">
      <c r="B174" s="136" t="s">
        <v>112</v>
      </c>
      <c r="C174" s="163">
        <f>STAN!E53</f>
        <v>71173</v>
      </c>
      <c r="D174" s="163">
        <f>STAN!F53</f>
        <v>79952</v>
      </c>
      <c r="E174" s="163">
        <f>STAN!G53</f>
        <v>69300</v>
      </c>
      <c r="F174" s="163">
        <f>STAN!H53</f>
        <v>81600</v>
      </c>
      <c r="G174" s="163">
        <f>STAN!I53</f>
        <v>90700</v>
      </c>
      <c r="H174" s="163">
        <f>STAN!J53</f>
        <v>97300</v>
      </c>
      <c r="I174" s="163">
        <f>STAN!K53</f>
        <v>84600</v>
      </c>
      <c r="J174" s="163">
        <f>STAN!L53</f>
        <v>125200</v>
      </c>
      <c r="K174" s="163">
        <f>STAN!M53</f>
        <v>129500</v>
      </c>
      <c r="L174" s="163">
        <f>STAN!N53</f>
        <v>120000</v>
      </c>
      <c r="M174" s="163">
        <f>STAN!O53</f>
        <v>122000</v>
      </c>
      <c r="N174" s="163">
        <f>STAN!P53</f>
        <v>128900</v>
      </c>
      <c r="O174" s="163">
        <f>STAN!Q53</f>
        <v>128500</v>
      </c>
      <c r="P174" s="136"/>
      <c r="Q174" s="385">
        <f t="shared" si="45"/>
        <v>5.0466776334317842E-2</v>
      </c>
      <c r="R174" s="218"/>
      <c r="S174" s="218"/>
      <c r="T174" s="136" t="s">
        <v>112</v>
      </c>
      <c r="U174" s="163">
        <f>STAN!E103</f>
        <v>98602.890018484322</v>
      </c>
      <c r="V174" s="163">
        <f>STAN!F103</f>
        <v>109135.5337646777</v>
      </c>
      <c r="W174" s="163">
        <f>STAN!G103</f>
        <v>92654.835226739306</v>
      </c>
      <c r="X174" s="163">
        <f>STAN!H103</f>
        <v>106135.52541444036</v>
      </c>
      <c r="Y174" s="163">
        <f>STAN!I103</f>
        <v>114413.44228895387</v>
      </c>
      <c r="Z174" s="163">
        <f>STAN!J103</f>
        <v>119587.50701247144</v>
      </c>
      <c r="AA174" s="163">
        <f>STAN!K103</f>
        <v>100692.00702067198</v>
      </c>
      <c r="AB174" s="163">
        <f>STAN!L103</f>
        <v>143846.91597079355</v>
      </c>
      <c r="AC174" s="163">
        <f>STAN!M103</f>
        <v>143073.41246751233</v>
      </c>
      <c r="AD174" s="163">
        <f>STAN!N103</f>
        <v>133286.015131425</v>
      </c>
      <c r="AE174" s="163">
        <f>STAN!O103</f>
        <v>129521.82502702504</v>
      </c>
      <c r="AF174" s="163">
        <f>STAN!P103</f>
        <v>130082.94592870813</v>
      </c>
      <c r="AG174" s="163">
        <f>STAN!Q103</f>
        <v>125650.03261578605</v>
      </c>
      <c r="AH174" s="136"/>
      <c r="AI174" s="385">
        <f t="shared" si="46"/>
        <v>2.0405396606172799E-2</v>
      </c>
      <c r="AL174" s="136"/>
      <c r="AM174" s="137"/>
      <c r="AN174" s="137"/>
      <c r="AO174" s="137"/>
      <c r="AP174" s="137"/>
      <c r="AQ174" s="137"/>
      <c r="AR174" s="137"/>
      <c r="AS174" s="137"/>
      <c r="AT174" s="137"/>
      <c r="AU174" s="137"/>
      <c r="AV174" s="137"/>
      <c r="AW174" s="137"/>
      <c r="AX174" s="136"/>
    </row>
    <row r="175" spans="2:50" ht="15" customHeight="1">
      <c r="B175" s="136"/>
      <c r="C175" s="386"/>
      <c r="D175" s="393"/>
      <c r="E175" s="393"/>
      <c r="F175" s="393"/>
      <c r="G175" s="393"/>
      <c r="H175" s="393"/>
      <c r="I175" s="393"/>
      <c r="J175" s="393"/>
      <c r="K175" s="393"/>
      <c r="L175" s="393"/>
      <c r="M175" s="393"/>
      <c r="N175" s="393"/>
      <c r="O175" s="393"/>
      <c r="P175" s="136"/>
      <c r="Q175" s="390"/>
      <c r="T175" s="136"/>
      <c r="U175" s="386"/>
      <c r="V175" s="386"/>
      <c r="W175" s="386"/>
      <c r="X175" s="386"/>
      <c r="Y175" s="386"/>
      <c r="Z175" s="386"/>
      <c r="AA175" s="386"/>
      <c r="AB175" s="386"/>
      <c r="AC175" s="386"/>
      <c r="AD175" s="386"/>
      <c r="AE175" s="386"/>
      <c r="AF175" s="386"/>
      <c r="AG175" s="386"/>
      <c r="AH175" s="136"/>
      <c r="AI175" s="390"/>
      <c r="AL175" s="136"/>
      <c r="AM175" s="137"/>
      <c r="AN175" s="137"/>
      <c r="AO175" s="137"/>
      <c r="AP175" s="137"/>
      <c r="AQ175" s="137"/>
      <c r="AR175" s="137"/>
      <c r="AS175" s="137"/>
      <c r="AT175" s="137"/>
      <c r="AU175" s="137"/>
      <c r="AV175" s="137"/>
      <c r="AW175" s="137"/>
      <c r="AX175" s="136"/>
    </row>
    <row r="176" spans="2:50" ht="15" customHeight="1">
      <c r="B176" s="136" t="s">
        <v>106</v>
      </c>
      <c r="C176" s="394">
        <f>SUM(C165:C174)</f>
        <v>947491.42716884287</v>
      </c>
      <c r="D176" s="394">
        <f t="shared" ref="D176:M176" si="47">SUM(D165:D174)</f>
        <v>1037558.1375169058</v>
      </c>
      <c r="E176" s="394">
        <f t="shared" si="47"/>
        <v>1035825.2903102163</v>
      </c>
      <c r="F176" s="394">
        <f t="shared" si="47"/>
        <v>1096874.9437484625</v>
      </c>
      <c r="G176" s="394">
        <f t="shared" si="47"/>
        <v>1154023.6331216854</v>
      </c>
      <c r="H176" s="394">
        <f t="shared" si="47"/>
        <v>1266981.7366829985</v>
      </c>
      <c r="I176" s="394">
        <f t="shared" si="47"/>
        <v>937444.55856875994</v>
      </c>
      <c r="J176" s="394">
        <f t="shared" si="47"/>
        <v>1469293.7485174276</v>
      </c>
      <c r="K176" s="394">
        <f t="shared" si="47"/>
        <v>1622167.449060475</v>
      </c>
      <c r="L176" s="394">
        <f t="shared" si="47"/>
        <v>1667479.8084438462</v>
      </c>
      <c r="M176" s="394">
        <f t="shared" si="47"/>
        <v>1591938.6433843535</v>
      </c>
      <c r="N176" s="394">
        <f>SUM(N165:N174)</f>
        <v>1648735.9767675702</v>
      </c>
      <c r="O176" s="394">
        <f>SUM(O165:O174)</f>
        <v>1709132.8693294358</v>
      </c>
      <c r="P176" s="136"/>
      <c r="Q176" s="385">
        <f>(O176/C176)^(1/($O$164-$C$164))-1</f>
        <v>5.0388709116020891E-2</v>
      </c>
      <c r="T176" s="136" t="s">
        <v>106</v>
      </c>
      <c r="U176" s="394">
        <f>SUM(U165:U174)</f>
        <v>1312652.17128105</v>
      </c>
      <c r="V176" s="394">
        <f t="shared" ref="V176:AF176" si="48">SUM(V165:V174)</f>
        <v>1416280.5326920198</v>
      </c>
      <c r="W176" s="394">
        <f t="shared" si="48"/>
        <v>1384909.402559632</v>
      </c>
      <c r="X176" s="394">
        <f t="shared" si="48"/>
        <v>1426683.8047632077</v>
      </c>
      <c r="Y176" s="394">
        <f t="shared" si="48"/>
        <v>1455866.6853032638</v>
      </c>
      <c r="Z176" s="394">
        <f t="shared" si="48"/>
        <v>1557595.9055090155</v>
      </c>
      <c r="AA176" s="394">
        <f t="shared" si="48"/>
        <v>1113288.7552152383</v>
      </c>
      <c r="AB176" s="394">
        <f t="shared" si="48"/>
        <v>1685528.6200240026</v>
      </c>
      <c r="AC176" s="394">
        <f t="shared" si="48"/>
        <v>1792243.625062438</v>
      </c>
      <c r="AD176" s="394">
        <f t="shared" si="48"/>
        <v>1846012.9079298568</v>
      </c>
      <c r="AE176" s="394">
        <f t="shared" si="48"/>
        <v>1683566.0632867762</v>
      </c>
      <c r="AF176" s="394">
        <f t="shared" si="48"/>
        <v>1660018.7766627052</v>
      </c>
      <c r="AG176" s="394">
        <f t="shared" ref="AG176" si="49">SUM(AG165:AG174)</f>
        <v>1677361.8851036693</v>
      </c>
      <c r="AH176" s="136"/>
      <c r="AI176" s="385">
        <f t="shared" si="46"/>
        <v>2.064119294011646E-2</v>
      </c>
      <c r="AL176" s="136"/>
      <c r="AM176" s="137"/>
      <c r="AN176" s="137"/>
      <c r="AO176" s="137"/>
      <c r="AP176" s="137"/>
      <c r="AQ176" s="137"/>
      <c r="AR176" s="137"/>
      <c r="AS176" s="137"/>
      <c r="AT176" s="137"/>
      <c r="AU176" s="137"/>
      <c r="AV176" s="137"/>
      <c r="AW176" s="137"/>
      <c r="AX176" s="136"/>
    </row>
    <row r="177" spans="2:50">
      <c r="D177" s="208"/>
      <c r="E177" s="208"/>
      <c r="F177" s="208"/>
      <c r="G177" s="208"/>
      <c r="H177" s="208"/>
      <c r="I177" s="208"/>
      <c r="J177" s="208"/>
      <c r="K177" s="208"/>
      <c r="L177" s="208"/>
      <c r="M177" s="208"/>
      <c r="N177" s="208"/>
      <c r="O177" s="208"/>
      <c r="P177" s="133"/>
      <c r="AL177" s="136"/>
      <c r="AM177" s="137"/>
      <c r="AN177" s="137"/>
      <c r="AO177" s="137"/>
      <c r="AP177" s="137"/>
      <c r="AQ177" s="137"/>
      <c r="AR177" s="137"/>
      <c r="AS177" s="137"/>
      <c r="AT177" s="137"/>
      <c r="AU177" s="137"/>
      <c r="AV177" s="137"/>
      <c r="AW177" s="137"/>
      <c r="AX177" s="136"/>
    </row>
    <row r="178" spans="2:50">
      <c r="D178" s="208"/>
      <c r="E178" s="208"/>
      <c r="F178" s="208"/>
      <c r="G178" s="208"/>
      <c r="H178" s="208"/>
      <c r="I178" s="208"/>
      <c r="J178" s="208"/>
      <c r="K178" s="208"/>
      <c r="L178" s="208"/>
      <c r="M178" s="208"/>
      <c r="N178" s="208"/>
      <c r="O178" s="208"/>
      <c r="P178" s="133"/>
      <c r="AL178" s="136"/>
      <c r="AM178" s="137"/>
      <c r="AN178" s="137"/>
      <c r="AO178" s="137"/>
      <c r="AP178" s="137"/>
      <c r="AQ178" s="137"/>
      <c r="AR178" s="137"/>
      <c r="AS178" s="137"/>
      <c r="AT178" s="137"/>
      <c r="AU178" s="137"/>
      <c r="AV178" s="137"/>
      <c r="AW178" s="137"/>
      <c r="AX178" s="136"/>
    </row>
    <row r="180" spans="2:50">
      <c r="B180" s="314" t="s">
        <v>163</v>
      </c>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row>
  </sheetData>
  <pageMargins left="0.75" right="0.75" top="1" bottom="1" header="0.5" footer="0.5"/>
  <pageSetup paperSize="9" scale="83" orientation="landscape" r:id="rId1"/>
  <headerFooter alignWithMargins="0">
    <oddFooter>&amp;L&amp;F \ &amp;A&amp;R&amp;T  &amp;D</oddFooter>
  </headerFooter>
</worksheet>
</file>

<file path=xl/worksheets/sheet6.xml><?xml version="1.0" encoding="utf-8"?>
<worksheet xmlns="http://schemas.openxmlformats.org/spreadsheetml/2006/main" xmlns:r="http://schemas.openxmlformats.org/officeDocument/2006/relationships">
  <sheetPr>
    <tabColor rgb="FFFFC000"/>
    <pageSetUpPr autoPageBreaks="0" fitToPage="1"/>
  </sheetPr>
  <dimension ref="A1:P32"/>
  <sheetViews>
    <sheetView showGridLines="0" showRowColHeaders="0" zoomScale="85" workbookViewId="0">
      <selection activeCell="R25" sqref="R24:R25"/>
    </sheetView>
  </sheetViews>
  <sheetFormatPr defaultRowHeight="12.75"/>
  <cols>
    <col min="1" max="1" width="3.140625" style="5" customWidth="1"/>
    <col min="2" max="2" width="7.5703125" style="5" customWidth="1"/>
    <col min="3" max="3" width="7.7109375" style="5" customWidth="1"/>
    <col min="4" max="4" width="49.85546875" style="5" customWidth="1"/>
    <col min="5" max="16384" width="9.140625" style="5"/>
  </cols>
  <sheetData>
    <row r="1" spans="1:16" ht="12.75" customHeight="1">
      <c r="A1" s="59"/>
    </row>
    <row r="2" spans="1:16">
      <c r="B2" s="57"/>
      <c r="C2" s="56"/>
      <c r="D2" s="56"/>
      <c r="E2" s="54"/>
      <c r="F2" s="54"/>
      <c r="G2" s="54"/>
      <c r="H2" s="54"/>
      <c r="I2" s="54"/>
      <c r="J2" s="54"/>
      <c r="K2" s="54"/>
      <c r="L2" s="54"/>
      <c r="M2" s="54"/>
      <c r="N2" s="54"/>
      <c r="O2" s="54"/>
      <c r="P2" s="54"/>
    </row>
    <row r="3" spans="1:16">
      <c r="B3" s="52"/>
      <c r="C3" s="51"/>
      <c r="D3" s="51"/>
      <c r="E3" s="49"/>
      <c r="F3" s="49"/>
      <c r="G3" s="49"/>
      <c r="H3" s="49"/>
      <c r="I3" s="49"/>
      <c r="J3" s="49"/>
      <c r="K3" s="49"/>
      <c r="L3" s="49"/>
      <c r="M3" s="49"/>
      <c r="N3" s="49"/>
      <c r="O3" s="49"/>
      <c r="P3" s="49"/>
    </row>
    <row r="4" spans="1:16">
      <c r="B4" s="52"/>
      <c r="C4" s="51"/>
      <c r="D4" s="51"/>
      <c r="E4" s="49"/>
      <c r="F4" s="49"/>
      <c r="G4" s="49"/>
      <c r="H4" s="49"/>
      <c r="I4" s="49"/>
      <c r="J4" s="49"/>
      <c r="K4" s="49"/>
      <c r="L4" s="49"/>
      <c r="M4" s="49"/>
      <c r="N4" s="49"/>
      <c r="O4" s="49"/>
      <c r="P4" s="49"/>
    </row>
    <row r="5" spans="1:16">
      <c r="B5" s="52"/>
      <c r="C5" s="51"/>
      <c r="D5" s="51"/>
      <c r="E5" s="49"/>
      <c r="F5" s="49"/>
      <c r="G5" s="49"/>
      <c r="H5" s="49"/>
      <c r="I5" s="49"/>
      <c r="J5" s="49"/>
      <c r="K5" s="49"/>
      <c r="L5" s="49"/>
      <c r="M5" s="49"/>
      <c r="N5" s="49"/>
      <c r="O5" s="49"/>
      <c r="P5" s="49"/>
    </row>
    <row r="6" spans="1:16">
      <c r="B6" s="52"/>
      <c r="C6" s="51"/>
      <c r="D6" s="51"/>
      <c r="E6" s="49"/>
      <c r="F6" s="49"/>
      <c r="G6" s="49"/>
      <c r="H6" s="49"/>
      <c r="I6" s="49"/>
      <c r="J6" s="49"/>
      <c r="K6" s="49"/>
      <c r="L6" s="49"/>
      <c r="M6" s="49"/>
      <c r="N6" s="49"/>
      <c r="O6" s="49"/>
      <c r="P6" s="49"/>
    </row>
    <row r="7" spans="1:16">
      <c r="B7" s="52"/>
      <c r="C7" s="51"/>
      <c r="D7" s="51"/>
      <c r="E7" s="49"/>
      <c r="F7" s="49"/>
      <c r="G7" s="49"/>
      <c r="H7" s="49"/>
      <c r="I7" s="49"/>
      <c r="J7" s="49"/>
      <c r="K7" s="49"/>
      <c r="L7" s="49"/>
      <c r="M7" s="49"/>
      <c r="N7" s="49"/>
      <c r="O7" s="49"/>
      <c r="P7" s="49"/>
    </row>
    <row r="8" spans="1:16">
      <c r="B8" s="52"/>
      <c r="C8" s="51"/>
      <c r="D8" s="51"/>
      <c r="E8" s="49"/>
      <c r="F8" s="49"/>
      <c r="G8" s="49"/>
      <c r="H8" s="49"/>
      <c r="I8" s="49"/>
      <c r="J8" s="49"/>
      <c r="K8" s="49"/>
      <c r="L8" s="49"/>
      <c r="M8" s="49"/>
      <c r="N8" s="49"/>
      <c r="O8" s="49"/>
      <c r="P8" s="49"/>
    </row>
    <row r="9" spans="1:16">
      <c r="B9" s="52"/>
      <c r="C9" s="51"/>
      <c r="D9" s="51"/>
      <c r="E9" s="49"/>
      <c r="F9" s="49"/>
      <c r="G9" s="49"/>
      <c r="H9" s="49"/>
      <c r="I9" s="49"/>
      <c r="J9" s="49"/>
      <c r="K9" s="49"/>
      <c r="L9" s="49"/>
      <c r="M9" s="49"/>
      <c r="N9" s="49"/>
      <c r="O9" s="49"/>
      <c r="P9" s="49"/>
    </row>
    <row r="10" spans="1:16">
      <c r="B10" s="52"/>
      <c r="C10" s="51"/>
      <c r="D10" s="51"/>
      <c r="E10" s="49"/>
      <c r="F10" s="49"/>
      <c r="G10" s="49"/>
      <c r="H10" s="49"/>
      <c r="I10" s="49"/>
      <c r="J10" s="49"/>
      <c r="K10" s="49"/>
      <c r="L10" s="49"/>
      <c r="M10" s="49"/>
      <c r="N10" s="49"/>
      <c r="O10" s="49"/>
      <c r="P10" s="49"/>
    </row>
    <row r="11" spans="1:16" ht="60">
      <c r="B11" s="52"/>
      <c r="C11" s="62" t="str">
        <f ca="1">MID(CELL("filename",A1),FIND("]",CELL("filename",A1))+1,99)</f>
        <v>Data&gt;&gt;</v>
      </c>
      <c r="D11" s="51"/>
      <c r="E11" s="62"/>
      <c r="F11" s="49"/>
      <c r="G11" s="49"/>
      <c r="H11" s="49"/>
      <c r="I11" s="49"/>
      <c r="J11" s="49"/>
      <c r="K11" s="49"/>
      <c r="L11" s="49"/>
      <c r="M11" s="49"/>
      <c r="N11" s="49"/>
      <c r="O11" s="49"/>
      <c r="P11" s="49"/>
    </row>
    <row r="12" spans="1:16">
      <c r="B12" s="52"/>
      <c r="C12" s="51"/>
      <c r="D12" s="51"/>
      <c r="E12" s="49"/>
      <c r="F12" s="49"/>
      <c r="G12" s="49"/>
      <c r="H12" s="49"/>
      <c r="I12" s="49"/>
      <c r="J12" s="49"/>
      <c r="K12" s="49"/>
      <c r="L12" s="49"/>
      <c r="M12" s="49"/>
      <c r="N12" s="49"/>
      <c r="O12" s="49"/>
      <c r="P12" s="49"/>
    </row>
    <row r="13" spans="1:16">
      <c r="B13" s="52"/>
      <c r="C13" s="51"/>
      <c r="D13" s="51"/>
      <c r="E13" s="49"/>
      <c r="F13" s="49"/>
      <c r="G13" s="49"/>
      <c r="H13" s="49"/>
      <c r="I13" s="49"/>
      <c r="J13" s="49"/>
      <c r="K13" s="49"/>
      <c r="L13" s="49"/>
      <c r="M13" s="49"/>
      <c r="N13" s="49"/>
      <c r="O13" s="49"/>
      <c r="P13" s="49"/>
    </row>
    <row r="14" spans="1:16">
      <c r="B14" s="52"/>
      <c r="C14" s="51"/>
      <c r="D14" s="51"/>
      <c r="E14" s="49"/>
      <c r="F14" s="49"/>
      <c r="G14" s="49"/>
      <c r="H14" s="49"/>
      <c r="I14" s="49"/>
      <c r="J14" s="49"/>
      <c r="K14" s="49"/>
      <c r="L14" s="49"/>
      <c r="M14" s="49"/>
      <c r="N14" s="49"/>
      <c r="O14" s="49"/>
      <c r="P14" s="49"/>
    </row>
    <row r="15" spans="1:16">
      <c r="B15" s="52"/>
      <c r="C15" s="51"/>
      <c r="D15" s="51"/>
      <c r="E15" s="49"/>
      <c r="F15" s="49"/>
      <c r="G15" s="49"/>
      <c r="H15" s="49"/>
      <c r="I15" s="49"/>
      <c r="J15" s="49"/>
      <c r="K15" s="49"/>
      <c r="L15" s="49"/>
      <c r="M15" s="49"/>
      <c r="N15" s="49"/>
      <c r="O15" s="49"/>
      <c r="P15" s="49"/>
    </row>
    <row r="16" spans="1:16">
      <c r="B16" s="52"/>
      <c r="C16" s="51"/>
      <c r="D16" s="51"/>
      <c r="E16" s="49"/>
      <c r="F16" s="49"/>
      <c r="G16" s="49"/>
      <c r="H16" s="49"/>
      <c r="I16" s="49"/>
      <c r="J16" s="49"/>
      <c r="K16" s="49"/>
      <c r="L16" s="49"/>
      <c r="M16" s="49"/>
      <c r="N16" s="49"/>
      <c r="O16" s="49"/>
      <c r="P16" s="49"/>
    </row>
    <row r="17" spans="2:16">
      <c r="B17" s="52"/>
      <c r="C17" s="51"/>
      <c r="D17" s="51"/>
      <c r="E17" s="49"/>
      <c r="F17" s="49"/>
      <c r="G17" s="49"/>
      <c r="H17" s="49"/>
      <c r="I17" s="49"/>
      <c r="J17" s="49"/>
      <c r="K17" s="49"/>
      <c r="L17" s="49"/>
      <c r="M17" s="49"/>
      <c r="N17" s="49"/>
      <c r="O17" s="49"/>
      <c r="P17" s="49"/>
    </row>
    <row r="18" spans="2:16">
      <c r="B18" s="52"/>
      <c r="C18" s="51"/>
      <c r="D18" s="51"/>
      <c r="E18" s="49"/>
      <c r="F18" s="49"/>
      <c r="G18" s="49"/>
      <c r="H18" s="49"/>
      <c r="I18" s="49"/>
      <c r="J18" s="49"/>
      <c r="K18" s="49"/>
      <c r="L18" s="49"/>
      <c r="M18" s="49"/>
      <c r="N18" s="49"/>
      <c r="O18" s="49"/>
      <c r="P18" s="49"/>
    </row>
    <row r="19" spans="2:16">
      <c r="B19" s="52"/>
      <c r="C19" s="51"/>
      <c r="D19" s="51"/>
      <c r="E19" s="49"/>
      <c r="F19" s="49"/>
      <c r="G19" s="49"/>
      <c r="H19" s="49"/>
      <c r="I19" s="49"/>
      <c r="J19" s="49"/>
      <c r="K19" s="49"/>
      <c r="L19" s="49"/>
      <c r="M19" s="49"/>
      <c r="N19" s="49"/>
      <c r="O19" s="49"/>
      <c r="P19" s="49"/>
    </row>
    <row r="20" spans="2:16">
      <c r="B20" s="52"/>
      <c r="C20" s="51"/>
      <c r="D20" s="51"/>
      <c r="E20" s="49"/>
      <c r="F20" s="49"/>
      <c r="G20" s="49"/>
      <c r="H20" s="49"/>
      <c r="I20" s="49"/>
      <c r="J20" s="49"/>
      <c r="K20" s="49"/>
      <c r="L20" s="49"/>
      <c r="M20" s="49"/>
      <c r="N20" s="49"/>
      <c r="O20" s="49"/>
      <c r="P20" s="49"/>
    </row>
    <row r="21" spans="2:16">
      <c r="B21" s="52"/>
      <c r="C21" s="51"/>
      <c r="D21" s="51"/>
      <c r="E21" s="49"/>
      <c r="F21" s="49"/>
      <c r="G21" s="49"/>
      <c r="H21" s="49"/>
      <c r="I21" s="49"/>
      <c r="J21" s="49"/>
      <c r="K21" s="49"/>
      <c r="L21" s="49"/>
      <c r="M21" s="49"/>
      <c r="N21" s="49"/>
      <c r="O21" s="49"/>
      <c r="P21" s="49"/>
    </row>
    <row r="22" spans="2:16">
      <c r="B22" s="52"/>
      <c r="C22" s="51"/>
      <c r="D22" s="51"/>
      <c r="E22" s="49"/>
      <c r="F22" s="49"/>
      <c r="G22" s="49"/>
      <c r="H22" s="49"/>
      <c r="I22" s="49"/>
      <c r="J22" s="49"/>
      <c r="K22" s="49"/>
      <c r="L22" s="49"/>
      <c r="M22" s="49"/>
      <c r="N22" s="49"/>
      <c r="O22" s="49"/>
      <c r="P22" s="49"/>
    </row>
    <row r="23" spans="2:16">
      <c r="B23" s="52"/>
      <c r="C23" s="51"/>
      <c r="D23" s="51"/>
      <c r="E23" s="49"/>
      <c r="F23" s="49"/>
      <c r="G23" s="49"/>
      <c r="H23" s="49"/>
      <c r="I23" s="49"/>
      <c r="J23" s="49"/>
      <c r="K23" s="49"/>
      <c r="L23" s="49"/>
      <c r="M23" s="49"/>
      <c r="N23" s="49"/>
      <c r="O23" s="49"/>
      <c r="P23" s="49"/>
    </row>
    <row r="24" spans="2:16">
      <c r="B24" s="52"/>
      <c r="C24" s="51"/>
      <c r="D24" s="51"/>
      <c r="E24" s="49"/>
      <c r="F24" s="49"/>
      <c r="G24" s="49"/>
      <c r="H24" s="49"/>
      <c r="I24" s="49"/>
      <c r="J24" s="49"/>
      <c r="K24" s="49"/>
      <c r="L24" s="49"/>
      <c r="M24" s="49"/>
      <c r="N24" s="49"/>
      <c r="O24" s="49"/>
      <c r="P24" s="49"/>
    </row>
    <row r="25" spans="2:16">
      <c r="B25" s="52"/>
      <c r="C25" s="51"/>
      <c r="D25" s="51"/>
      <c r="E25" s="49"/>
      <c r="F25" s="49"/>
      <c r="G25" s="49"/>
      <c r="H25" s="49"/>
      <c r="I25" s="49"/>
      <c r="J25" s="49"/>
      <c r="K25" s="49"/>
      <c r="L25" s="49"/>
      <c r="M25" s="49"/>
      <c r="N25" s="49"/>
      <c r="O25" s="49"/>
      <c r="P25" s="49"/>
    </row>
    <row r="26" spans="2:16">
      <c r="B26" s="52"/>
      <c r="C26" s="51"/>
      <c r="D26" s="51"/>
      <c r="E26" s="49"/>
      <c r="F26" s="49"/>
      <c r="G26" s="49"/>
      <c r="H26" s="49"/>
      <c r="I26" s="49"/>
      <c r="J26" s="49"/>
      <c r="K26" s="49"/>
      <c r="L26" s="49"/>
      <c r="M26" s="49"/>
      <c r="N26" s="49"/>
      <c r="O26" s="49"/>
      <c r="P26" s="49"/>
    </row>
    <row r="27" spans="2:16">
      <c r="B27" s="52"/>
      <c r="C27" s="51"/>
      <c r="D27" s="51"/>
      <c r="E27" s="49"/>
      <c r="F27" s="49"/>
      <c r="G27" s="49"/>
      <c r="H27" s="49"/>
      <c r="I27" s="49"/>
      <c r="J27" s="49"/>
      <c r="K27" s="49"/>
      <c r="L27" s="49"/>
      <c r="M27" s="49"/>
      <c r="N27" s="49"/>
      <c r="O27" s="49"/>
      <c r="P27" s="49"/>
    </row>
    <row r="28" spans="2:16">
      <c r="B28" s="52"/>
      <c r="C28" s="51"/>
      <c r="D28" s="51"/>
      <c r="E28" s="49"/>
      <c r="F28" s="49"/>
      <c r="G28" s="49"/>
      <c r="H28" s="49"/>
      <c r="I28" s="49"/>
      <c r="J28" s="49"/>
      <c r="K28" s="49"/>
      <c r="L28" s="49"/>
      <c r="M28" s="49"/>
      <c r="N28" s="49"/>
      <c r="O28" s="49"/>
      <c r="P28" s="49"/>
    </row>
    <row r="29" spans="2:16">
      <c r="B29" s="52"/>
      <c r="C29" s="51"/>
      <c r="D29" s="51"/>
      <c r="E29" s="49"/>
      <c r="F29" s="49"/>
      <c r="G29" s="49"/>
      <c r="H29" s="49"/>
      <c r="I29" s="49"/>
      <c r="J29" s="49"/>
      <c r="K29" s="49"/>
      <c r="L29" s="49"/>
      <c r="M29" s="49"/>
      <c r="N29" s="49"/>
      <c r="O29" s="49"/>
      <c r="P29" s="49"/>
    </row>
    <row r="30" spans="2:16">
      <c r="B30" s="52"/>
      <c r="C30" s="51"/>
      <c r="D30" s="61"/>
      <c r="E30" s="49"/>
      <c r="F30" s="49"/>
      <c r="G30" s="49"/>
      <c r="H30" s="49"/>
      <c r="I30" s="49"/>
      <c r="J30" s="49"/>
      <c r="K30" s="49"/>
      <c r="L30" s="49"/>
      <c r="M30" s="49"/>
      <c r="N30" s="49"/>
      <c r="O30" s="49"/>
      <c r="P30" s="49"/>
    </row>
    <row r="31" spans="2:16">
      <c r="B31" s="52"/>
      <c r="C31" s="51"/>
      <c r="D31" s="61"/>
      <c r="E31" s="49"/>
      <c r="F31" s="49"/>
      <c r="G31" s="49"/>
      <c r="H31" s="49"/>
      <c r="I31" s="49"/>
      <c r="J31" s="49"/>
      <c r="K31" s="49"/>
      <c r="L31" s="49"/>
      <c r="M31" s="49"/>
      <c r="N31" s="49"/>
      <c r="O31" s="49"/>
      <c r="P31" s="49"/>
    </row>
    <row r="32" spans="2:16">
      <c r="B32" s="48"/>
      <c r="C32" s="47"/>
      <c r="D32" s="47"/>
      <c r="E32" s="45"/>
      <c r="F32" s="45"/>
      <c r="G32" s="45"/>
      <c r="H32" s="45"/>
      <c r="I32" s="45"/>
      <c r="J32" s="45"/>
      <c r="K32" s="45"/>
      <c r="L32" s="45"/>
      <c r="M32" s="45"/>
      <c r="N32" s="45"/>
      <c r="O32" s="45"/>
      <c r="P32" s="45"/>
    </row>
  </sheetData>
  <pageMargins left="0.75" right="0.75" top="1" bottom="1" header="0.5" footer="0.5"/>
  <pageSetup paperSize="9" scale="74" orientation="landscape" r:id="rId1"/>
  <headerFooter alignWithMargins="0">
    <oddFooter>&amp;L&amp;F \ &amp;A&amp;R&amp;T  &amp;D</oddFooter>
  </headerFooter>
</worksheet>
</file>

<file path=xl/worksheets/sheet7.xml><?xml version="1.0" encoding="utf-8"?>
<worksheet xmlns="http://schemas.openxmlformats.org/spreadsheetml/2006/main" xmlns:r="http://schemas.openxmlformats.org/officeDocument/2006/relationships">
  <sheetPr>
    <pageSetUpPr autoPageBreaks="0" fitToPage="1"/>
  </sheetPr>
  <dimension ref="A1:AM201"/>
  <sheetViews>
    <sheetView showGridLines="0" zoomScale="85" zoomScaleNormal="85" workbookViewId="0">
      <selection activeCell="I16" sqref="I16"/>
    </sheetView>
  </sheetViews>
  <sheetFormatPr defaultRowHeight="12.75"/>
  <cols>
    <col min="1" max="1" width="3.140625" style="5" customWidth="1"/>
    <col min="2" max="2" width="7.5703125" style="5" customWidth="1"/>
    <col min="3" max="3" width="12.140625" style="5" customWidth="1"/>
    <col min="4" max="4" width="20.85546875" style="5" customWidth="1"/>
    <col min="5" max="17" width="11.7109375" style="5" customWidth="1"/>
    <col min="18" max="18" width="9.140625" style="5"/>
    <col min="19" max="19" width="11.85546875" style="5" customWidth="1"/>
    <col min="20" max="37" width="9.140625" style="5"/>
    <col min="38" max="38" width="9.28515625" style="5" bestFit="1" customWidth="1"/>
    <col min="39" max="16384" width="9.140625" style="5"/>
  </cols>
  <sheetData>
    <row r="1" spans="1:39" ht="12.75" customHeight="1">
      <c r="A1" s="59"/>
    </row>
    <row r="2" spans="1:39">
      <c r="B2" s="57" t="s">
        <v>134</v>
      </c>
      <c r="C2" s="84"/>
      <c r="D2" s="56"/>
      <c r="E2" s="55" t="str">
        <f>Info!$D$10</f>
        <v>Duncan Kernohan</v>
      </c>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row>
    <row r="3" spans="1:39">
      <c r="B3" s="52" t="s">
        <v>137</v>
      </c>
      <c r="C3" s="85"/>
      <c r="D3" s="51"/>
      <c r="E3" s="53" t="str">
        <f>Info!$D$11 &amp; " - " &amp; Info!$D$12</f>
        <v>Airport Opex Benchmarking 2013 - duncan.kernohan@caa.co.uk</v>
      </c>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row>
    <row r="4" spans="1:39">
      <c r="B4" s="52" t="s">
        <v>130</v>
      </c>
      <c r="C4" s="85"/>
      <c r="D4" s="51"/>
      <c r="E4" s="63">
        <f>Info!$D$16</f>
        <v>2.8</v>
      </c>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row>
    <row r="5" spans="1:39">
      <c r="B5" s="48" t="s">
        <v>138</v>
      </c>
      <c r="C5" s="86"/>
      <c r="D5" s="47"/>
      <c r="E5" s="46" t="str">
        <f ca="1">IF(CELL("filename",D1)="","",MID(CELL("filename",A1),FIND("]",CELL("filename",A1))+1,99))</f>
        <v>Data Conversion</v>
      </c>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row>
    <row r="8" spans="1:39" ht="16.5">
      <c r="B8" s="7" t="s">
        <v>225</v>
      </c>
      <c r="C8" s="87"/>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row>
    <row r="10" spans="1:39">
      <c r="B10" s="30" t="s">
        <v>216</v>
      </c>
      <c r="C10" s="30"/>
      <c r="D10" s="30" t="s">
        <v>142</v>
      </c>
      <c r="E10" s="90"/>
    </row>
    <row r="11" spans="1:39" ht="15">
      <c r="B11" s="98" t="s">
        <v>121</v>
      </c>
      <c r="C11" s="98"/>
      <c r="D11" s="99" t="s">
        <v>116</v>
      </c>
      <c r="E11" s="90"/>
    </row>
    <row r="12" spans="1:39" ht="15">
      <c r="B12" s="98" t="s">
        <v>212</v>
      </c>
      <c r="C12" s="98"/>
      <c r="D12" s="99" t="s">
        <v>155</v>
      </c>
      <c r="E12" s="90"/>
    </row>
    <row r="13" spans="1:39" ht="15">
      <c r="B13" s="98" t="s">
        <v>119</v>
      </c>
      <c r="C13" s="98"/>
      <c r="D13" s="99" t="s">
        <v>115</v>
      </c>
      <c r="E13" s="90"/>
    </row>
    <row r="14" spans="1:39" ht="15">
      <c r="B14" s="98" t="s">
        <v>120</v>
      </c>
      <c r="C14" s="98"/>
      <c r="D14" s="99" t="s">
        <v>114</v>
      </c>
      <c r="E14" s="90"/>
    </row>
    <row r="15" spans="1:39" ht="15">
      <c r="B15" s="98" t="s">
        <v>102</v>
      </c>
      <c r="C15" s="98"/>
      <c r="D15" s="99" t="s">
        <v>217</v>
      </c>
      <c r="E15" s="90"/>
    </row>
    <row r="16" spans="1:39" ht="15">
      <c r="B16" s="98" t="s">
        <v>117</v>
      </c>
      <c r="C16" s="98"/>
      <c r="D16" s="99" t="s">
        <v>218</v>
      </c>
      <c r="E16" s="90"/>
    </row>
    <row r="17" spans="2:39" ht="15">
      <c r="B17" s="98" t="s">
        <v>104</v>
      </c>
      <c r="C17" s="98"/>
      <c r="D17" s="99" t="s">
        <v>156</v>
      </c>
      <c r="E17" s="90"/>
    </row>
    <row r="18" spans="2:39" ht="15">
      <c r="B18" s="98" t="s">
        <v>34</v>
      </c>
      <c r="C18" s="98"/>
      <c r="D18" s="99" t="s">
        <v>204</v>
      </c>
      <c r="E18" s="90"/>
    </row>
    <row r="19" spans="2:39" ht="15">
      <c r="B19" s="98" t="s">
        <v>118</v>
      </c>
      <c r="C19" s="98"/>
      <c r="D19" s="99" t="s">
        <v>113</v>
      </c>
      <c r="E19" s="90"/>
    </row>
    <row r="20" spans="2:39" ht="15">
      <c r="B20" s="98" t="s">
        <v>103</v>
      </c>
      <c r="C20" s="98"/>
      <c r="D20" s="99" t="s">
        <v>112</v>
      </c>
      <c r="E20" s="90"/>
    </row>
    <row r="21" spans="2:39">
      <c r="E21" s="90"/>
    </row>
    <row r="22" spans="2:39" ht="16.5">
      <c r="B22" s="7" t="s">
        <v>226</v>
      </c>
      <c r="C22" s="87"/>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row>
    <row r="23" spans="2:39">
      <c r="E23" s="90"/>
      <c r="X23" s="90"/>
    </row>
    <row r="24" spans="2:39">
      <c r="B24" s="30" t="s">
        <v>220</v>
      </c>
      <c r="C24" s="30"/>
      <c r="D24" s="90"/>
      <c r="U24" s="30" t="s">
        <v>221</v>
      </c>
      <c r="V24" s="30"/>
      <c r="W24" s="90"/>
    </row>
    <row r="25" spans="2:39">
      <c r="D25" s="90"/>
      <c r="W25" s="90"/>
    </row>
    <row r="26" spans="2:39" ht="15">
      <c r="B26" s="88" t="s">
        <v>121</v>
      </c>
      <c r="C26" s="69">
        <v>1999</v>
      </c>
      <c r="D26" s="96">
        <v>2000</v>
      </c>
      <c r="E26" s="69">
        <v>2001</v>
      </c>
      <c r="F26" s="69">
        <v>2002</v>
      </c>
      <c r="G26" s="69">
        <v>2003</v>
      </c>
      <c r="H26" s="69">
        <v>2004</v>
      </c>
      <c r="I26" s="69">
        <v>2005</v>
      </c>
      <c r="J26" s="69">
        <v>2006</v>
      </c>
      <c r="K26" s="69">
        <v>2007</v>
      </c>
      <c r="L26" s="69">
        <v>2008</v>
      </c>
      <c r="M26" s="69">
        <v>2009</v>
      </c>
      <c r="N26" s="69">
        <v>2010</v>
      </c>
      <c r="O26" s="69">
        <v>2011</v>
      </c>
      <c r="P26" s="69">
        <v>2012</v>
      </c>
      <c r="Q26" s="69">
        <v>2013</v>
      </c>
      <c r="S26" s="69" t="s">
        <v>106</v>
      </c>
      <c r="U26" s="88" t="s">
        <v>121</v>
      </c>
      <c r="V26" s="69">
        <v>1999</v>
      </c>
      <c r="W26" s="96">
        <v>2000</v>
      </c>
      <c r="X26" s="69">
        <v>2001</v>
      </c>
      <c r="Y26" s="69">
        <v>2002</v>
      </c>
      <c r="Z26" s="69">
        <v>2003</v>
      </c>
      <c r="AA26" s="69">
        <v>2004</v>
      </c>
      <c r="AB26" s="69">
        <v>2005</v>
      </c>
      <c r="AC26" s="69">
        <v>2006</v>
      </c>
      <c r="AD26" s="69">
        <v>2007</v>
      </c>
      <c r="AE26" s="69">
        <v>2008</v>
      </c>
      <c r="AF26" s="69">
        <v>2009</v>
      </c>
      <c r="AG26" s="69">
        <v>2010</v>
      </c>
      <c r="AH26" s="69">
        <v>2011</v>
      </c>
      <c r="AI26" s="69">
        <v>2012</v>
      </c>
      <c r="AJ26" s="69">
        <v>2013</v>
      </c>
      <c r="AL26" s="69" t="s">
        <v>106</v>
      </c>
    </row>
    <row r="27" spans="2:39">
      <c r="B27" s="30">
        <v>1</v>
      </c>
      <c r="C27" s="95">
        <f>SUMPRODUCT(('Monthly Data'!$E$13:$E$9627=$B$26)*('Monthly Data'!$F$13:$F$9627)*('Monthly Data'!$C$13:$C$9627=C$26)*('Monthly Data'!$D$13:$D$9627=$B27))</f>
        <v>171449</v>
      </c>
      <c r="D27" s="95">
        <f>SUMPRODUCT(('Monthly Data'!$E$13:$E$9627=$B$26)*('Monthly Data'!$F$13:$F$9627)*('Monthly Data'!$C$13:$C$9627=D$26)*('Monthly Data'!$D$13:$D$9627=$B27))</f>
        <v>158780</v>
      </c>
      <c r="E27" s="80">
        <f>SUMPRODUCT(('Monthly Data'!$E$13:$E$9627=$B$26)*('Monthly Data'!$F$13:$F$9627)*('Monthly Data'!$C$13:$C$9627=E$26)*('Monthly Data'!$D$13:$D$9627=$B27))</f>
        <v>182517</v>
      </c>
      <c r="F27" s="80">
        <f>SUMPRODUCT(('Monthly Data'!$E$13:$E$9627=$B$26)*('Monthly Data'!$F$13:$F$9627)*('Monthly Data'!$C$13:$C$9627=F$26)*('Monthly Data'!$D$13:$D$9627=$B27))</f>
        <v>177597</v>
      </c>
      <c r="G27" s="80">
        <f>SUMPRODUCT(('Monthly Data'!$E$13:$E$9627=$B$26)*('Monthly Data'!$F$13:$F$9627)*('Monthly Data'!$C$13:$C$9627=G$26)*('Monthly Data'!$D$13:$D$9627=$B27))</f>
        <v>173659</v>
      </c>
      <c r="H27" s="80">
        <f>SUMPRODUCT(('Monthly Data'!$E$13:$E$9627=$B$26)*('Monthly Data'!$F$13:$F$9627)*('Monthly Data'!$C$13:$C$9627=H$26)*('Monthly Data'!$D$13:$D$9627=$B27))</f>
        <v>171016</v>
      </c>
      <c r="I27" s="80">
        <f>SUMPRODUCT(('Monthly Data'!$E$13:$E$9627=$B$26)*('Monthly Data'!$F$13:$F$9627)*('Monthly Data'!$C$13:$C$9627=I$26)*('Monthly Data'!$D$13:$D$9627=$B27))</f>
        <v>185376</v>
      </c>
      <c r="J27" s="80">
        <f>SUMPRODUCT(('Monthly Data'!$E$13:$E$9627=$B$26)*('Monthly Data'!$F$13:$F$9627)*('Monthly Data'!$C$13:$C$9627=J$26)*('Monthly Data'!$D$13:$D$9627=$B27))</f>
        <v>214400</v>
      </c>
      <c r="K27" s="80">
        <f>SUMPRODUCT(('Monthly Data'!$E$13:$E$9627=$B$26)*('Monthly Data'!$F$13:$F$9627)*('Monthly Data'!$C$13:$C$9627=K$26)*('Monthly Data'!$D$13:$D$9627=$B27))</f>
        <v>241652</v>
      </c>
      <c r="L27" s="80">
        <f>SUMPRODUCT(('Monthly Data'!$E$13:$E$9627=$B$26)*('Monthly Data'!$F$13:$F$9627)*('Monthly Data'!$C$13:$C$9627=L$26)*('Monthly Data'!$D$13:$D$9627=$B27))</f>
        <v>229995</v>
      </c>
      <c r="M27" s="80">
        <f>SUMPRODUCT(('Monthly Data'!$E$13:$E$9627=$B$26)*('Monthly Data'!$F$13:$F$9627)*('Monthly Data'!$C$13:$C$9627=M$26)*('Monthly Data'!$D$13:$D$9627=$B27))</f>
        <v>210965</v>
      </c>
      <c r="N27" s="80">
        <f>SUMPRODUCT(('Monthly Data'!$E$13:$E$9627=$B$26)*('Monthly Data'!$F$13:$F$9627)*('Monthly Data'!$C$13:$C$9627=N$26)*('Monthly Data'!$D$13:$D$9627=$B27))</f>
        <v>182237</v>
      </c>
      <c r="O27" s="80">
        <f>SUMPRODUCT(('Monthly Data'!$E$13:$E$9627=$B$26)*('Monthly Data'!$F$13:$F$9627)*('Monthly Data'!$C$13:$C$9627=O$26)*('Monthly Data'!$D$13:$D$9627=$B27))</f>
        <v>198895</v>
      </c>
      <c r="P27" s="80">
        <f>SUMPRODUCT(('Monthly Data'!$E$13:$E$9627=$B$26)*('Monthly Data'!$F$13:$F$9627)*('Monthly Data'!$C$13:$C$9627=P$26)*('Monthly Data'!$D$13:$D$9627=$B27))</f>
        <v>225851</v>
      </c>
      <c r="Q27" s="80">
        <f>SUMPRODUCT(('Monthly Data'!$E$13:$E$9627=$B$26)*('Monthly Data'!$F$13:$F$9627)*('Monthly Data'!$C$13:$C$9627=Q$26)*('Monthly Data'!$D$13:$D$9627=$B27))</f>
        <v>225146</v>
      </c>
      <c r="S27" s="89">
        <f>SUM(C27:O27)</f>
        <v>2498538</v>
      </c>
      <c r="U27" s="30">
        <v>1</v>
      </c>
      <c r="V27" s="95">
        <f>SUMPRODUCT(('Monthly Data'!$E$13:$E$9627=$U$26)*('Monthly Data'!$G$13:$G$9627)*('Monthly Data'!$C$13:$C$9627=V$26)*('Monthly Data'!$D$13:$D$9627=$U27))</f>
        <v>6291</v>
      </c>
      <c r="W27" s="95">
        <f>SUMPRODUCT(('Monthly Data'!$E$13:$E$9627=$U$26)*('Monthly Data'!$G$13:$G$9627)*('Monthly Data'!$C$13:$C$9627=W$26)*('Monthly Data'!$D$13:$D$9627=$U27))</f>
        <v>5754</v>
      </c>
      <c r="X27" s="80">
        <f>SUMPRODUCT(('Monthly Data'!$E$13:$E$9627=$U$26)*('Monthly Data'!$G$13:$G$9627)*('Monthly Data'!$C$13:$C$9627=X$26)*('Monthly Data'!$D$13:$D$9627=$U27))</f>
        <v>6619</v>
      </c>
      <c r="Y27" s="80">
        <f>SUMPRODUCT(('Monthly Data'!$E$13:$E$9627=$U$26)*('Monthly Data'!$G$13:$G$9627)*('Monthly Data'!$C$13:$C$9627=Y$26)*('Monthly Data'!$D$13:$D$9627=$U27))</f>
        <v>6584</v>
      </c>
      <c r="Z27" s="80">
        <f>SUMPRODUCT(('Monthly Data'!$E$13:$E$9627=$U$26)*('Monthly Data'!$G$13:$G$9627)*('Monthly Data'!$C$13:$C$9627=Z$26)*('Monthly Data'!$D$13:$D$9627=$U27))</f>
        <v>5940</v>
      </c>
      <c r="AA27" s="80">
        <f>SUMPRODUCT(('Monthly Data'!$E$13:$E$9627=$U$26)*('Monthly Data'!$G$13:$G$9627)*('Monthly Data'!$C$13:$C$9627=AA$26)*('Monthly Data'!$D$13:$D$9627=$U27))</f>
        <v>6003</v>
      </c>
      <c r="AB27" s="80">
        <f>SUMPRODUCT(('Monthly Data'!$E$13:$E$9627=$U$26)*('Monthly Data'!$G$13:$G$9627)*('Monthly Data'!$C$13:$C$9627=AB$26)*('Monthly Data'!$D$13:$D$9627=$U27))</f>
        <v>6405</v>
      </c>
      <c r="AC27" s="80">
        <f>SUMPRODUCT(('Monthly Data'!$E$13:$E$9627=$U$26)*('Monthly Data'!$G$13:$G$9627)*('Monthly Data'!$C$13:$C$9627=AC$26)*('Monthly Data'!$D$13:$D$9627=$U27))</f>
        <v>7551</v>
      </c>
      <c r="AD27" s="80">
        <f>SUMPRODUCT(('Monthly Data'!$E$13:$E$9627=$U$26)*('Monthly Data'!$G$13:$G$9627)*('Monthly Data'!$C$13:$C$9627=AD$26)*('Monthly Data'!$D$13:$D$9627=$U27))</f>
        <v>8380</v>
      </c>
      <c r="AE27" s="80">
        <f>SUMPRODUCT(('Monthly Data'!$E$13:$E$9627=$U$26)*('Monthly Data'!$G$13:$G$9627)*('Monthly Data'!$C$13:$C$9627=AE$26)*('Monthly Data'!$D$13:$D$9627=$U27))</f>
        <v>7850</v>
      </c>
      <c r="AF27" s="80">
        <f>SUMPRODUCT(('Monthly Data'!$E$13:$E$9627=$U$26)*('Monthly Data'!$G$13:$G$9627)*('Monthly Data'!$C$13:$C$9627=AF$26)*('Monthly Data'!$D$13:$D$9627=$U27))</f>
        <v>7415</v>
      </c>
      <c r="AG27" s="80">
        <f>SUMPRODUCT(('Monthly Data'!$E$13:$E$9627=$U$26)*('Monthly Data'!$G$13:$G$9627)*('Monthly Data'!$C$13:$C$9627=AG$26)*('Monthly Data'!$D$13:$D$9627=$U27))</f>
        <v>6427</v>
      </c>
      <c r="AH27" s="80">
        <f>SUMPRODUCT(('Monthly Data'!$E$13:$E$9627=$U$26)*('Monthly Data'!$G$13:$G$9627)*('Monthly Data'!$C$13:$C$9627=AH$26)*('Monthly Data'!$D$13:$D$9627=$U27))</f>
        <v>6995</v>
      </c>
      <c r="AI27" s="80">
        <f>SUMPRODUCT(('Monthly Data'!$E$13:$E$9627=$U$26)*('Monthly Data'!$G$13:$G$9627)*('Monthly Data'!$C$13:$C$9627=AI$26)*('Monthly Data'!$D$13:$D$9627=$U27))</f>
        <v>8041</v>
      </c>
      <c r="AJ27" s="80">
        <f>SUMPRODUCT(('Monthly Data'!$E$13:$E$9627=$U$26)*('Monthly Data'!$G$13:$G$9627)*('Monthly Data'!$C$13:$C$9627=AJ$26)*('Monthly Data'!$D$13:$D$9627=$U27))</f>
        <v>7103</v>
      </c>
      <c r="AL27" s="89">
        <f>SUM(V27:AH27)</f>
        <v>88214</v>
      </c>
    </row>
    <row r="28" spans="2:39">
      <c r="B28" s="30">
        <v>2</v>
      </c>
      <c r="C28" s="95">
        <f>SUMPRODUCT(('Monthly Data'!$E$13:$E$9627=$B$26)*('Monthly Data'!$F$13:$F$9627)*('Monthly Data'!$C$13:$C$9627=C$26)*('Monthly Data'!$D$13:$D$9627=$B28))</f>
        <v>168073</v>
      </c>
      <c r="D28" s="95">
        <f>SUMPRODUCT(('Monthly Data'!$E$13:$E$9627=$B$26)*('Monthly Data'!$F$13:$F$9627)*('Monthly Data'!$C$13:$C$9627=D$26)*('Monthly Data'!$D$13:$D$9627=$B28))</f>
        <v>170174</v>
      </c>
      <c r="E28" s="80">
        <f>SUMPRODUCT(('Monthly Data'!$E$13:$E$9627=$B$26)*('Monthly Data'!$F$13:$F$9627)*('Monthly Data'!$C$13:$C$9627=E$26)*('Monthly Data'!$D$13:$D$9627=$B28))</f>
        <v>168126</v>
      </c>
      <c r="F28" s="80">
        <f>SUMPRODUCT(('Monthly Data'!$E$13:$E$9627=$B$26)*('Monthly Data'!$F$13:$F$9627)*('Monthly Data'!$C$13:$C$9627=F$26)*('Monthly Data'!$D$13:$D$9627=$B28))</f>
        <v>171013</v>
      </c>
      <c r="G28" s="80">
        <f>SUMPRODUCT(('Monthly Data'!$E$13:$E$9627=$B$26)*('Monthly Data'!$F$13:$F$9627)*('Monthly Data'!$C$13:$C$9627=G$26)*('Monthly Data'!$D$13:$D$9627=$B28))</f>
        <v>176778</v>
      </c>
      <c r="H28" s="80">
        <f>SUMPRODUCT(('Monthly Data'!$E$13:$E$9627=$B$26)*('Monthly Data'!$F$13:$F$9627)*('Monthly Data'!$C$13:$C$9627=H$26)*('Monthly Data'!$D$13:$D$9627=$B28))</f>
        <v>176266</v>
      </c>
      <c r="I28" s="80">
        <f>SUMPRODUCT(('Monthly Data'!$E$13:$E$9627=$B$26)*('Monthly Data'!$F$13:$F$9627)*('Monthly Data'!$C$13:$C$9627=I$26)*('Monthly Data'!$D$13:$D$9627=$B28))</f>
        <v>188666</v>
      </c>
      <c r="J28" s="80">
        <f>SUMPRODUCT(('Monthly Data'!$E$13:$E$9627=$B$26)*('Monthly Data'!$F$13:$F$9627)*('Monthly Data'!$C$13:$C$9627=J$26)*('Monthly Data'!$D$13:$D$9627=$B28))</f>
        <v>209599</v>
      </c>
      <c r="K28" s="80">
        <f>SUMPRODUCT(('Monthly Data'!$E$13:$E$9627=$B$26)*('Monthly Data'!$F$13:$F$9627)*('Monthly Data'!$C$13:$C$9627=K$26)*('Monthly Data'!$D$13:$D$9627=$B28))</f>
        <v>234340</v>
      </c>
      <c r="L28" s="80">
        <f>SUMPRODUCT(('Monthly Data'!$E$13:$E$9627=$B$26)*('Monthly Data'!$F$13:$F$9627)*('Monthly Data'!$C$13:$C$9627=L$26)*('Monthly Data'!$D$13:$D$9627=$B28))</f>
        <v>241799</v>
      </c>
      <c r="M28" s="80">
        <f>SUMPRODUCT(('Monthly Data'!$E$13:$E$9627=$B$26)*('Monthly Data'!$F$13:$F$9627)*('Monthly Data'!$C$13:$C$9627=M$26)*('Monthly Data'!$D$13:$D$9627=$B28))</f>
        <v>202662</v>
      </c>
      <c r="N28" s="80">
        <f>SUMPRODUCT(('Monthly Data'!$E$13:$E$9627=$B$26)*('Monthly Data'!$F$13:$F$9627)*('Monthly Data'!$C$13:$C$9627=N$26)*('Monthly Data'!$D$13:$D$9627=$B28))</f>
        <v>193676</v>
      </c>
      <c r="O28" s="80">
        <f>SUMPRODUCT(('Monthly Data'!$E$13:$E$9627=$B$26)*('Monthly Data'!$F$13:$F$9627)*('Monthly Data'!$C$13:$C$9627=O$26)*('Monthly Data'!$D$13:$D$9627=$B28))</f>
        <v>203259</v>
      </c>
      <c r="P28" s="80">
        <f>SUMPRODUCT(('Monthly Data'!$E$13:$E$9627=$B$26)*('Monthly Data'!$F$13:$F$9627)*('Monthly Data'!$C$13:$C$9627=P$26)*('Monthly Data'!$D$13:$D$9627=$B28))</f>
        <v>240491</v>
      </c>
      <c r="Q28" s="80">
        <f>SUMPRODUCT(('Monthly Data'!$E$13:$E$9627=$B$26)*('Monthly Data'!$F$13:$F$9627)*('Monthly Data'!$C$13:$C$9627=Q$26)*('Monthly Data'!$D$13:$D$9627=$B28))</f>
        <v>236502</v>
      </c>
      <c r="S28" s="89">
        <f t="shared" ref="S28:S38" si="0">SUM(C28:O28)</f>
        <v>2504431</v>
      </c>
      <c r="U28" s="30">
        <v>2</v>
      </c>
      <c r="V28" s="95">
        <f>SUMPRODUCT(('Monthly Data'!$E$13:$E$9627=$U$26)*('Monthly Data'!$G$13:$G$9627)*('Monthly Data'!$C$13:$C$9627=V$26)*('Monthly Data'!$D$13:$D$9627=$U28))</f>
        <v>5992</v>
      </c>
      <c r="W28" s="95">
        <f>SUMPRODUCT(('Monthly Data'!$E$13:$E$9627=$U$26)*('Monthly Data'!$G$13:$G$9627)*('Monthly Data'!$C$13:$C$9627=W$26)*('Monthly Data'!$D$13:$D$9627=$U28))</f>
        <v>5754</v>
      </c>
      <c r="X28" s="80">
        <f>SUMPRODUCT(('Monthly Data'!$E$13:$E$9627=$U$26)*('Monthly Data'!$G$13:$G$9627)*('Monthly Data'!$C$13:$C$9627=X$26)*('Monthly Data'!$D$13:$D$9627=$U28))</f>
        <v>5742</v>
      </c>
      <c r="Y28" s="80">
        <f>SUMPRODUCT(('Monthly Data'!$E$13:$E$9627=$U$26)*('Monthly Data'!$G$13:$G$9627)*('Monthly Data'!$C$13:$C$9627=Y$26)*('Monthly Data'!$D$13:$D$9627=$U28))</f>
        <v>6045</v>
      </c>
      <c r="Z28" s="80">
        <f>SUMPRODUCT(('Monthly Data'!$E$13:$E$9627=$U$26)*('Monthly Data'!$G$13:$G$9627)*('Monthly Data'!$C$13:$C$9627=Z$26)*('Monthly Data'!$D$13:$D$9627=$U28))</f>
        <v>5818</v>
      </c>
      <c r="AA28" s="80">
        <f>SUMPRODUCT(('Monthly Data'!$E$13:$E$9627=$U$26)*('Monthly Data'!$G$13:$G$9627)*('Monthly Data'!$C$13:$C$9627=AA$26)*('Monthly Data'!$D$13:$D$9627=$U28))</f>
        <v>5775</v>
      </c>
      <c r="AB28" s="80">
        <f>SUMPRODUCT(('Monthly Data'!$E$13:$E$9627=$U$26)*('Monthly Data'!$G$13:$G$9627)*('Monthly Data'!$C$13:$C$9627=AB$26)*('Monthly Data'!$D$13:$D$9627=$U28))</f>
        <v>6402</v>
      </c>
      <c r="AC28" s="80">
        <f>SUMPRODUCT(('Monthly Data'!$E$13:$E$9627=$U$26)*('Monthly Data'!$G$13:$G$9627)*('Monthly Data'!$C$13:$C$9627=AC$26)*('Monthly Data'!$D$13:$D$9627=$U28))</f>
        <v>7082</v>
      </c>
      <c r="AD28" s="80">
        <f>SUMPRODUCT(('Monthly Data'!$E$13:$E$9627=$U$26)*('Monthly Data'!$G$13:$G$9627)*('Monthly Data'!$C$13:$C$9627=AD$26)*('Monthly Data'!$D$13:$D$9627=$U28))</f>
        <v>7763</v>
      </c>
      <c r="AE28" s="80">
        <f>SUMPRODUCT(('Monthly Data'!$E$13:$E$9627=$U$26)*('Monthly Data'!$G$13:$G$9627)*('Monthly Data'!$C$13:$C$9627=AE$26)*('Monthly Data'!$D$13:$D$9627=$U28))</f>
        <v>7842</v>
      </c>
      <c r="AF28" s="80">
        <f>SUMPRODUCT(('Monthly Data'!$E$13:$E$9627=$U$26)*('Monthly Data'!$G$13:$G$9627)*('Monthly Data'!$C$13:$C$9627=AF$26)*('Monthly Data'!$D$13:$D$9627=$U28))</f>
        <v>6998</v>
      </c>
      <c r="AG28" s="80">
        <f>SUMPRODUCT(('Monthly Data'!$E$13:$E$9627=$U$26)*('Monthly Data'!$G$13:$G$9627)*('Monthly Data'!$C$13:$C$9627=AG$26)*('Monthly Data'!$D$13:$D$9627=$U28))</f>
        <v>6692</v>
      </c>
      <c r="AH28" s="80">
        <f>SUMPRODUCT(('Monthly Data'!$E$13:$E$9627=$U$26)*('Monthly Data'!$G$13:$G$9627)*('Monthly Data'!$C$13:$C$9627=AH$26)*('Monthly Data'!$D$13:$D$9627=$U28))</f>
        <v>6819</v>
      </c>
      <c r="AI28" s="80">
        <f>SUMPRODUCT(('Monthly Data'!$E$13:$E$9627=$U$26)*('Monthly Data'!$G$13:$G$9627)*('Monthly Data'!$C$13:$C$9627=AI$26)*('Monthly Data'!$D$13:$D$9627=$U28))</f>
        <v>8261</v>
      </c>
      <c r="AJ28" s="80">
        <f>SUMPRODUCT(('Monthly Data'!$E$13:$E$9627=$U$26)*('Monthly Data'!$G$13:$G$9627)*('Monthly Data'!$C$13:$C$9627=AJ$26)*('Monthly Data'!$D$13:$D$9627=$U28))</f>
        <v>7225</v>
      </c>
      <c r="AL28" s="89">
        <f t="shared" ref="AL28:AL38" si="1">SUM(V28:AH28)</f>
        <v>84724</v>
      </c>
    </row>
    <row r="29" spans="2:39">
      <c r="B29" s="30">
        <v>3</v>
      </c>
      <c r="C29" s="95">
        <f>SUMPRODUCT(('Monthly Data'!$E$13:$E$9627=$B$26)*('Monthly Data'!$F$13:$F$9627)*('Monthly Data'!$C$13:$C$9627=C$26)*('Monthly Data'!$D$13:$D$9627=$B29))</f>
        <v>204813</v>
      </c>
      <c r="D29" s="95">
        <f>SUMPRODUCT(('Monthly Data'!$E$13:$E$9627=$B$26)*('Monthly Data'!$F$13:$F$9627)*('Monthly Data'!$C$13:$C$9627=D$26)*('Monthly Data'!$D$13:$D$9627=$B29))</f>
        <v>195529</v>
      </c>
      <c r="E29" s="80">
        <f>SUMPRODUCT(('Monthly Data'!$E$13:$E$9627=$B$26)*('Monthly Data'!$F$13:$F$9627)*('Monthly Data'!$C$13:$C$9627=E$26)*('Monthly Data'!$D$13:$D$9627=$B29))</f>
        <v>205852</v>
      </c>
      <c r="F29" s="80">
        <f>SUMPRODUCT(('Monthly Data'!$E$13:$E$9627=$B$26)*('Monthly Data'!$F$13:$F$9627)*('Monthly Data'!$C$13:$C$9627=F$26)*('Monthly Data'!$D$13:$D$9627=$B29))</f>
        <v>195069</v>
      </c>
      <c r="G29" s="80">
        <f>SUMPRODUCT(('Monthly Data'!$E$13:$E$9627=$B$26)*('Monthly Data'!$F$13:$F$9627)*('Monthly Data'!$C$13:$C$9627=G$26)*('Monthly Data'!$D$13:$D$9627=$B29))</f>
        <v>193968</v>
      </c>
      <c r="H29" s="80">
        <f>SUMPRODUCT(('Monthly Data'!$E$13:$E$9627=$B$26)*('Monthly Data'!$F$13:$F$9627)*('Monthly Data'!$C$13:$C$9627=H$26)*('Monthly Data'!$D$13:$D$9627=$B29))</f>
        <v>209975</v>
      </c>
      <c r="I29" s="80">
        <f>SUMPRODUCT(('Monthly Data'!$E$13:$E$9627=$B$26)*('Monthly Data'!$F$13:$F$9627)*('Monthly Data'!$C$13:$C$9627=I$26)*('Monthly Data'!$D$13:$D$9627=$B29))</f>
        <v>226273</v>
      </c>
      <c r="J29" s="80">
        <f>SUMPRODUCT(('Monthly Data'!$E$13:$E$9627=$B$26)*('Monthly Data'!$F$13:$F$9627)*('Monthly Data'!$C$13:$C$9627=J$26)*('Monthly Data'!$D$13:$D$9627=$B29))</f>
        <v>251490</v>
      </c>
      <c r="K29" s="80">
        <f>SUMPRODUCT(('Monthly Data'!$E$13:$E$9627=$B$26)*('Monthly Data'!$F$13:$F$9627)*('Monthly Data'!$C$13:$C$9627=K$26)*('Monthly Data'!$D$13:$D$9627=$B29))</f>
        <v>277000</v>
      </c>
      <c r="L29" s="80">
        <f>SUMPRODUCT(('Monthly Data'!$E$13:$E$9627=$B$26)*('Monthly Data'!$F$13:$F$9627)*('Monthly Data'!$C$13:$C$9627=L$26)*('Monthly Data'!$D$13:$D$9627=$B29))</f>
        <v>260071</v>
      </c>
      <c r="M29" s="80">
        <f>SUMPRODUCT(('Monthly Data'!$E$13:$E$9627=$B$26)*('Monthly Data'!$F$13:$F$9627)*('Monthly Data'!$C$13:$C$9627=M$26)*('Monthly Data'!$D$13:$D$9627=$B29))</f>
        <v>239932</v>
      </c>
      <c r="N29" s="80">
        <f>SUMPRODUCT(('Monthly Data'!$E$13:$E$9627=$B$26)*('Monthly Data'!$F$13:$F$9627)*('Monthly Data'!$C$13:$C$9627=N$26)*('Monthly Data'!$D$13:$D$9627=$B29))</f>
        <v>229341</v>
      </c>
      <c r="O29" s="80">
        <f>SUMPRODUCT(('Monthly Data'!$E$13:$E$9627=$B$26)*('Monthly Data'!$F$13:$F$9627)*('Monthly Data'!$C$13:$C$9627=O$26)*('Monthly Data'!$D$13:$D$9627=$B29))</f>
        <v>249414</v>
      </c>
      <c r="P29" s="80">
        <f>SUMPRODUCT(('Monthly Data'!$E$13:$E$9627=$B$26)*('Monthly Data'!$F$13:$F$9627)*('Monthly Data'!$C$13:$C$9627=P$26)*('Monthly Data'!$D$13:$D$9627=$B29))</f>
        <v>273259</v>
      </c>
      <c r="Q29" s="80">
        <f>SUMPRODUCT(('Monthly Data'!$E$13:$E$9627=$B$26)*('Monthly Data'!$F$13:$F$9627)*('Monthly Data'!$C$13:$C$9627=Q$26)*('Monthly Data'!$D$13:$D$9627=$B29))</f>
        <v>263131</v>
      </c>
      <c r="S29" s="89">
        <f t="shared" si="0"/>
        <v>2938727</v>
      </c>
      <c r="U29" s="30">
        <v>3</v>
      </c>
      <c r="V29" s="95">
        <f>SUMPRODUCT(('Monthly Data'!$E$13:$E$9627=$U$26)*('Monthly Data'!$G$13:$G$9627)*('Monthly Data'!$C$13:$C$9627=V$26)*('Monthly Data'!$D$13:$D$9627=$U29))</f>
        <v>7018</v>
      </c>
      <c r="W29" s="95">
        <f>SUMPRODUCT(('Monthly Data'!$E$13:$E$9627=$U$26)*('Monthly Data'!$G$13:$G$9627)*('Monthly Data'!$C$13:$C$9627=W$26)*('Monthly Data'!$D$13:$D$9627=$U29))</f>
        <v>6433</v>
      </c>
      <c r="X29" s="80">
        <f>SUMPRODUCT(('Monthly Data'!$E$13:$E$9627=$U$26)*('Monthly Data'!$G$13:$G$9627)*('Monthly Data'!$C$13:$C$9627=X$26)*('Monthly Data'!$D$13:$D$9627=$U29))</f>
        <v>7021</v>
      </c>
      <c r="Y29" s="80">
        <f>SUMPRODUCT(('Monthly Data'!$E$13:$E$9627=$U$26)*('Monthly Data'!$G$13:$G$9627)*('Monthly Data'!$C$13:$C$9627=Y$26)*('Monthly Data'!$D$13:$D$9627=$U29))</f>
        <v>6423</v>
      </c>
      <c r="Z29" s="80">
        <f>SUMPRODUCT(('Monthly Data'!$E$13:$E$9627=$U$26)*('Monthly Data'!$G$13:$G$9627)*('Monthly Data'!$C$13:$C$9627=Z$26)*('Monthly Data'!$D$13:$D$9627=$U29))</f>
        <v>6170</v>
      </c>
      <c r="AA29" s="80">
        <f>SUMPRODUCT(('Monthly Data'!$E$13:$E$9627=$U$26)*('Monthly Data'!$G$13:$G$9627)*('Monthly Data'!$C$13:$C$9627=AA$26)*('Monthly Data'!$D$13:$D$9627=$U29))</f>
        <v>6786</v>
      </c>
      <c r="AB29" s="80">
        <f>SUMPRODUCT(('Monthly Data'!$E$13:$E$9627=$U$26)*('Monthly Data'!$G$13:$G$9627)*('Monthly Data'!$C$13:$C$9627=AB$26)*('Monthly Data'!$D$13:$D$9627=$U29))</f>
        <v>7321</v>
      </c>
      <c r="AC29" s="80">
        <f>SUMPRODUCT(('Monthly Data'!$E$13:$E$9627=$U$26)*('Monthly Data'!$G$13:$G$9627)*('Monthly Data'!$C$13:$C$9627=AC$26)*('Monthly Data'!$D$13:$D$9627=$U29))</f>
        <v>8107</v>
      </c>
      <c r="AD29" s="80">
        <f>SUMPRODUCT(('Monthly Data'!$E$13:$E$9627=$U$26)*('Monthly Data'!$G$13:$G$9627)*('Monthly Data'!$C$13:$C$9627=AD$26)*('Monthly Data'!$D$13:$D$9627=$U29))</f>
        <v>8583</v>
      </c>
      <c r="AE29" s="80">
        <f>SUMPRODUCT(('Monthly Data'!$E$13:$E$9627=$U$26)*('Monthly Data'!$G$13:$G$9627)*('Monthly Data'!$C$13:$C$9627=AE$26)*('Monthly Data'!$D$13:$D$9627=$U29))</f>
        <v>7919</v>
      </c>
      <c r="AF29" s="80">
        <f>SUMPRODUCT(('Monthly Data'!$E$13:$E$9627=$U$26)*('Monthly Data'!$G$13:$G$9627)*('Monthly Data'!$C$13:$C$9627=AF$26)*('Monthly Data'!$D$13:$D$9627=$U29))</f>
        <v>8069</v>
      </c>
      <c r="AG29" s="80">
        <f>SUMPRODUCT(('Monthly Data'!$E$13:$E$9627=$U$26)*('Monthly Data'!$G$13:$G$9627)*('Monthly Data'!$C$13:$C$9627=AG$26)*('Monthly Data'!$D$13:$D$9627=$U29))</f>
        <v>7559</v>
      </c>
      <c r="AH29" s="80">
        <f>SUMPRODUCT(('Monthly Data'!$E$13:$E$9627=$U$26)*('Monthly Data'!$G$13:$G$9627)*('Monthly Data'!$C$13:$C$9627=AH$26)*('Monthly Data'!$D$13:$D$9627=$U29))</f>
        <v>8295</v>
      </c>
      <c r="AI29" s="80">
        <f>SUMPRODUCT(('Monthly Data'!$E$13:$E$9627=$U$26)*('Monthly Data'!$G$13:$G$9627)*('Monthly Data'!$C$13:$C$9627=AI$26)*('Monthly Data'!$D$13:$D$9627=$U29))</f>
        <v>8949</v>
      </c>
      <c r="AJ29" s="80">
        <f>SUMPRODUCT(('Monthly Data'!$E$13:$E$9627=$U$26)*('Monthly Data'!$G$13:$G$9627)*('Monthly Data'!$C$13:$C$9627=AJ$26)*('Monthly Data'!$D$13:$D$9627=$U29))</f>
        <v>7684</v>
      </c>
      <c r="AL29" s="89">
        <f t="shared" si="1"/>
        <v>95704</v>
      </c>
    </row>
    <row r="30" spans="2:39">
      <c r="B30" s="30">
        <v>4</v>
      </c>
      <c r="C30" s="95">
        <f>SUMPRODUCT(('Monthly Data'!$E$13:$E$9627=$B$26)*('Monthly Data'!$F$13:$F$9627)*('Monthly Data'!$C$13:$C$9627=C$26)*('Monthly Data'!$D$13:$D$9627=$B30))</f>
        <v>201451</v>
      </c>
      <c r="D30" s="95">
        <f>SUMPRODUCT(('Monthly Data'!$E$13:$E$9627=$B$26)*('Monthly Data'!$F$13:$F$9627)*('Monthly Data'!$C$13:$C$9627=D$26)*('Monthly Data'!$D$13:$D$9627=$B30))</f>
        <v>191316</v>
      </c>
      <c r="E30" s="80">
        <f>SUMPRODUCT(('Monthly Data'!$E$13:$E$9627=$B$26)*('Monthly Data'!$F$13:$F$9627)*('Monthly Data'!$C$13:$C$9627=E$26)*('Monthly Data'!$D$13:$D$9627=$B30))</f>
        <v>207280</v>
      </c>
      <c r="F30" s="80">
        <f>SUMPRODUCT(('Monthly Data'!$E$13:$E$9627=$B$26)*('Monthly Data'!$F$13:$F$9627)*('Monthly Data'!$C$13:$C$9627=F$26)*('Monthly Data'!$D$13:$D$9627=$B30))</f>
        <v>210926</v>
      </c>
      <c r="G30" s="80">
        <f>SUMPRODUCT(('Monthly Data'!$E$13:$E$9627=$B$26)*('Monthly Data'!$F$13:$F$9627)*('Monthly Data'!$C$13:$C$9627=G$26)*('Monthly Data'!$D$13:$D$9627=$B30))</f>
        <v>205440</v>
      </c>
      <c r="H30" s="80">
        <f>SUMPRODUCT(('Monthly Data'!$E$13:$E$9627=$B$26)*('Monthly Data'!$F$13:$F$9627)*('Monthly Data'!$C$13:$C$9627=H$26)*('Monthly Data'!$D$13:$D$9627=$B30))</f>
        <v>218417</v>
      </c>
      <c r="I30" s="80">
        <f>SUMPRODUCT(('Monthly Data'!$E$13:$E$9627=$B$26)*('Monthly Data'!$F$13:$F$9627)*('Monthly Data'!$C$13:$C$9627=I$26)*('Monthly Data'!$D$13:$D$9627=$B30))</f>
        <v>231435</v>
      </c>
      <c r="J30" s="80">
        <f>SUMPRODUCT(('Monthly Data'!$E$13:$E$9627=$B$26)*('Monthly Data'!$F$13:$F$9627)*('Monthly Data'!$C$13:$C$9627=J$26)*('Monthly Data'!$D$13:$D$9627=$B30))</f>
        <v>254502</v>
      </c>
      <c r="K30" s="80">
        <f>SUMPRODUCT(('Monthly Data'!$E$13:$E$9627=$B$26)*('Monthly Data'!$F$13:$F$9627)*('Monthly Data'!$C$13:$C$9627=K$26)*('Monthly Data'!$D$13:$D$9627=$B30))</f>
        <v>274306</v>
      </c>
      <c r="L30" s="80">
        <f>SUMPRODUCT(('Monthly Data'!$E$13:$E$9627=$B$26)*('Monthly Data'!$F$13:$F$9627)*('Monthly Data'!$C$13:$C$9627=L$26)*('Monthly Data'!$D$13:$D$9627=$B30))</f>
        <v>279767</v>
      </c>
      <c r="M30" s="80">
        <f>SUMPRODUCT(('Monthly Data'!$E$13:$E$9627=$B$26)*('Monthly Data'!$F$13:$F$9627)*('Monthly Data'!$C$13:$C$9627=M$26)*('Monthly Data'!$D$13:$D$9627=$B30))</f>
        <v>248395</v>
      </c>
      <c r="N30" s="80">
        <f>SUMPRODUCT(('Monthly Data'!$E$13:$E$9627=$B$26)*('Monthly Data'!$F$13:$F$9627)*('Monthly Data'!$C$13:$C$9627=N$26)*('Monthly Data'!$D$13:$D$9627=$B30))</f>
        <v>184463</v>
      </c>
      <c r="O30" s="80">
        <f>SUMPRODUCT(('Monthly Data'!$E$13:$E$9627=$B$26)*('Monthly Data'!$F$13:$F$9627)*('Monthly Data'!$C$13:$C$9627=O$26)*('Monthly Data'!$D$13:$D$9627=$B30))</f>
        <v>245687</v>
      </c>
      <c r="P30" s="80">
        <f>SUMPRODUCT(('Monthly Data'!$E$13:$E$9627=$B$26)*('Monthly Data'!$F$13:$F$9627)*('Monthly Data'!$C$13:$C$9627=P$26)*('Monthly Data'!$D$13:$D$9627=$B30))</f>
        <v>272049</v>
      </c>
      <c r="Q30" s="80">
        <f>SUMPRODUCT(('Monthly Data'!$E$13:$E$9627=$B$26)*('Monthly Data'!$F$13:$F$9627)*('Monthly Data'!$C$13:$C$9627=Q$26)*('Monthly Data'!$D$13:$D$9627=$B30))</f>
        <v>280057</v>
      </c>
      <c r="S30" s="89">
        <f t="shared" si="0"/>
        <v>2953385</v>
      </c>
      <c r="U30" s="30">
        <v>4</v>
      </c>
      <c r="V30" s="95">
        <f>SUMPRODUCT(('Monthly Data'!$E$13:$E$9627=$U$26)*('Monthly Data'!$G$13:$G$9627)*('Monthly Data'!$C$13:$C$9627=V$26)*('Monthly Data'!$D$13:$D$9627=$U30))</f>
        <v>6501</v>
      </c>
      <c r="W30" s="95">
        <f>SUMPRODUCT(('Monthly Data'!$E$13:$E$9627=$U$26)*('Monthly Data'!$G$13:$G$9627)*('Monthly Data'!$C$13:$C$9627=W$26)*('Monthly Data'!$D$13:$D$9627=$U30))</f>
        <v>5900</v>
      </c>
      <c r="X30" s="80">
        <f>SUMPRODUCT(('Monthly Data'!$E$13:$E$9627=$U$26)*('Monthly Data'!$G$13:$G$9627)*('Monthly Data'!$C$13:$C$9627=X$26)*('Monthly Data'!$D$13:$D$9627=$U30))</f>
        <v>6684</v>
      </c>
      <c r="Y30" s="80">
        <f>SUMPRODUCT(('Monthly Data'!$E$13:$E$9627=$U$26)*('Monthly Data'!$G$13:$G$9627)*('Monthly Data'!$C$13:$C$9627=Y$26)*('Monthly Data'!$D$13:$D$9627=$U30))</f>
        <v>6699</v>
      </c>
      <c r="Z30" s="80">
        <f>SUMPRODUCT(('Monthly Data'!$E$13:$E$9627=$U$26)*('Monthly Data'!$G$13:$G$9627)*('Monthly Data'!$C$13:$C$9627=Z$26)*('Monthly Data'!$D$13:$D$9627=$U30))</f>
        <v>6411</v>
      </c>
      <c r="AA30" s="80">
        <f>SUMPRODUCT(('Monthly Data'!$E$13:$E$9627=$U$26)*('Monthly Data'!$G$13:$G$9627)*('Monthly Data'!$C$13:$C$9627=AA$26)*('Monthly Data'!$D$13:$D$9627=$U30))</f>
        <v>6629</v>
      </c>
      <c r="AB30" s="80">
        <f>SUMPRODUCT(('Monthly Data'!$E$13:$E$9627=$U$26)*('Monthly Data'!$G$13:$G$9627)*('Monthly Data'!$C$13:$C$9627=AB$26)*('Monthly Data'!$D$13:$D$9627=$U30))</f>
        <v>7235</v>
      </c>
      <c r="AC30" s="80">
        <f>SUMPRODUCT(('Monthly Data'!$E$13:$E$9627=$U$26)*('Monthly Data'!$G$13:$G$9627)*('Monthly Data'!$C$13:$C$9627=AC$26)*('Monthly Data'!$D$13:$D$9627=$U30))</f>
        <v>7608</v>
      </c>
      <c r="AD30" s="80">
        <f>SUMPRODUCT(('Monthly Data'!$E$13:$E$9627=$U$26)*('Monthly Data'!$G$13:$G$9627)*('Monthly Data'!$C$13:$C$9627=AD$26)*('Monthly Data'!$D$13:$D$9627=$U30))</f>
        <v>8161</v>
      </c>
      <c r="AE30" s="80">
        <f>SUMPRODUCT(('Monthly Data'!$E$13:$E$9627=$U$26)*('Monthly Data'!$G$13:$G$9627)*('Monthly Data'!$C$13:$C$9627=AE$26)*('Monthly Data'!$D$13:$D$9627=$U30))</f>
        <v>8669</v>
      </c>
      <c r="AF30" s="80">
        <f>SUMPRODUCT(('Monthly Data'!$E$13:$E$9627=$U$26)*('Monthly Data'!$G$13:$G$9627)*('Monthly Data'!$C$13:$C$9627=AF$26)*('Monthly Data'!$D$13:$D$9627=$U30))</f>
        <v>7685</v>
      </c>
      <c r="AG30" s="80">
        <f>SUMPRODUCT(('Monthly Data'!$E$13:$E$9627=$U$26)*('Monthly Data'!$G$13:$G$9627)*('Monthly Data'!$C$13:$C$9627=AG$26)*('Monthly Data'!$D$13:$D$9627=$U30))</f>
        <v>6103</v>
      </c>
      <c r="AH30" s="80">
        <f>SUMPRODUCT(('Monthly Data'!$E$13:$E$9627=$U$26)*('Monthly Data'!$G$13:$G$9627)*('Monthly Data'!$C$13:$C$9627=AH$26)*('Monthly Data'!$D$13:$D$9627=$U30))</f>
        <v>7407</v>
      </c>
      <c r="AI30" s="80">
        <f>SUMPRODUCT(('Monthly Data'!$E$13:$E$9627=$U$26)*('Monthly Data'!$G$13:$G$9627)*('Monthly Data'!$C$13:$C$9627=AI$26)*('Monthly Data'!$D$13:$D$9627=$U30))</f>
        <v>8593</v>
      </c>
      <c r="AJ30" s="80">
        <f>SUMPRODUCT(('Monthly Data'!$E$13:$E$9627=$U$26)*('Monthly Data'!$G$13:$G$9627)*('Monthly Data'!$C$13:$C$9627=AJ$26)*('Monthly Data'!$D$13:$D$9627=$U30))</f>
        <v>8268</v>
      </c>
      <c r="AL30" s="89">
        <f t="shared" si="1"/>
        <v>91692</v>
      </c>
    </row>
    <row r="31" spans="2:39">
      <c r="B31" s="30">
        <v>5</v>
      </c>
      <c r="C31" s="95">
        <f>SUMPRODUCT(('Monthly Data'!$E$13:$E$9627=$B$26)*('Monthly Data'!$F$13:$F$9627)*('Monthly Data'!$C$13:$C$9627=C$26)*('Monthly Data'!$D$13:$D$9627=$B31))</f>
        <v>205666</v>
      </c>
      <c r="D31" s="95">
        <f>SUMPRODUCT(('Monthly Data'!$E$13:$E$9627=$B$26)*('Monthly Data'!$F$13:$F$9627)*('Monthly Data'!$C$13:$C$9627=D$26)*('Monthly Data'!$D$13:$D$9627=$B31))</f>
        <v>209829</v>
      </c>
      <c r="E31" s="80">
        <f>SUMPRODUCT(('Monthly Data'!$E$13:$E$9627=$B$26)*('Monthly Data'!$F$13:$F$9627)*('Monthly Data'!$C$13:$C$9627=E$26)*('Monthly Data'!$D$13:$D$9627=$B31))</f>
        <v>228989</v>
      </c>
      <c r="F31" s="80">
        <f>SUMPRODUCT(('Monthly Data'!$E$13:$E$9627=$B$26)*('Monthly Data'!$F$13:$F$9627)*('Monthly Data'!$C$13:$C$9627=F$26)*('Monthly Data'!$D$13:$D$9627=$B31))</f>
        <v>225972</v>
      </c>
      <c r="G31" s="80">
        <f>SUMPRODUCT(('Monthly Data'!$E$13:$E$9627=$B$26)*('Monthly Data'!$F$13:$F$9627)*('Monthly Data'!$C$13:$C$9627=G$26)*('Monthly Data'!$D$13:$D$9627=$B31))</f>
        <v>216761</v>
      </c>
      <c r="H31" s="80">
        <f>SUMPRODUCT(('Monthly Data'!$E$13:$E$9627=$B$26)*('Monthly Data'!$F$13:$F$9627)*('Monthly Data'!$C$13:$C$9627=H$26)*('Monthly Data'!$D$13:$D$9627=$B31))</f>
        <v>217877</v>
      </c>
      <c r="I31" s="80">
        <f>SUMPRODUCT(('Monthly Data'!$E$13:$E$9627=$B$26)*('Monthly Data'!$F$13:$F$9627)*('Monthly Data'!$C$13:$C$9627=I$26)*('Monthly Data'!$D$13:$D$9627=$B31))</f>
        <v>241417</v>
      </c>
      <c r="J31" s="80">
        <f>SUMPRODUCT(('Monthly Data'!$E$13:$E$9627=$B$26)*('Monthly Data'!$F$13:$F$9627)*('Monthly Data'!$C$13:$C$9627=J$26)*('Monthly Data'!$D$13:$D$9627=$B31))</f>
        <v>272526</v>
      </c>
      <c r="K31" s="80">
        <f>SUMPRODUCT(('Monthly Data'!$E$13:$E$9627=$B$26)*('Monthly Data'!$F$13:$F$9627)*('Monthly Data'!$C$13:$C$9627=K$26)*('Monthly Data'!$D$13:$D$9627=$B31))</f>
        <v>299816</v>
      </c>
      <c r="L31" s="80">
        <f>SUMPRODUCT(('Monthly Data'!$E$13:$E$9627=$B$26)*('Monthly Data'!$F$13:$F$9627)*('Monthly Data'!$C$13:$C$9627=L$26)*('Monthly Data'!$D$13:$D$9627=$B31))</f>
        <v>294646</v>
      </c>
      <c r="M31" s="80">
        <f>SUMPRODUCT(('Monthly Data'!$E$13:$E$9627=$B$26)*('Monthly Data'!$F$13:$F$9627)*('Monthly Data'!$C$13:$C$9627=M$26)*('Monthly Data'!$D$13:$D$9627=$B31))</f>
        <v>254344</v>
      </c>
      <c r="N31" s="80">
        <f>SUMPRODUCT(('Monthly Data'!$E$13:$E$9627=$B$26)*('Monthly Data'!$F$13:$F$9627)*('Monthly Data'!$C$13:$C$9627=N$26)*('Monthly Data'!$D$13:$D$9627=$B31))</f>
        <v>229271</v>
      </c>
      <c r="O31" s="80">
        <f>SUMPRODUCT(('Monthly Data'!$E$13:$E$9627=$B$26)*('Monthly Data'!$F$13:$F$9627)*('Monthly Data'!$C$13:$C$9627=O$26)*('Monthly Data'!$D$13:$D$9627=$B31))</f>
        <v>255977</v>
      </c>
      <c r="P31" s="80">
        <f>SUMPRODUCT(('Monthly Data'!$E$13:$E$9627=$B$26)*('Monthly Data'!$F$13:$F$9627)*('Monthly Data'!$C$13:$C$9627=P$26)*('Monthly Data'!$D$13:$D$9627=$B31))</f>
        <v>294845</v>
      </c>
      <c r="Q31" s="80">
        <f>SUMPRODUCT(('Monthly Data'!$E$13:$E$9627=$B$26)*('Monthly Data'!$F$13:$F$9627)*('Monthly Data'!$C$13:$C$9627=Q$26)*('Monthly Data'!$D$13:$D$9627=$B31))</f>
        <v>0</v>
      </c>
      <c r="S31" s="89">
        <f t="shared" si="0"/>
        <v>3153091</v>
      </c>
      <c r="U31" s="30">
        <v>5</v>
      </c>
      <c r="V31" s="95">
        <f>SUMPRODUCT(('Monthly Data'!$E$13:$E$9627=$U$26)*('Monthly Data'!$G$13:$G$9627)*('Monthly Data'!$C$13:$C$9627=V$26)*('Monthly Data'!$D$13:$D$9627=$U31))</f>
        <v>6723</v>
      </c>
      <c r="W31" s="95">
        <f>SUMPRODUCT(('Monthly Data'!$E$13:$E$9627=$U$26)*('Monthly Data'!$G$13:$G$9627)*('Monthly Data'!$C$13:$C$9627=W$26)*('Monthly Data'!$D$13:$D$9627=$U31))</f>
        <v>6858</v>
      </c>
      <c r="X31" s="80">
        <f>SUMPRODUCT(('Monthly Data'!$E$13:$E$9627=$U$26)*('Monthly Data'!$G$13:$G$9627)*('Monthly Data'!$C$13:$C$9627=X$26)*('Monthly Data'!$D$13:$D$9627=$U31))</f>
        <v>7610</v>
      </c>
      <c r="Y31" s="80">
        <f>SUMPRODUCT(('Monthly Data'!$E$13:$E$9627=$U$26)*('Monthly Data'!$G$13:$G$9627)*('Monthly Data'!$C$13:$C$9627=Y$26)*('Monthly Data'!$D$13:$D$9627=$U31))</f>
        <v>7062</v>
      </c>
      <c r="Z31" s="80">
        <f>SUMPRODUCT(('Monthly Data'!$E$13:$E$9627=$U$26)*('Monthly Data'!$G$13:$G$9627)*('Monthly Data'!$C$13:$C$9627=Z$26)*('Monthly Data'!$D$13:$D$9627=$U31))</f>
        <v>6709</v>
      </c>
      <c r="AA31" s="80">
        <f>SUMPRODUCT(('Monthly Data'!$E$13:$E$9627=$U$26)*('Monthly Data'!$G$13:$G$9627)*('Monthly Data'!$C$13:$C$9627=AA$26)*('Monthly Data'!$D$13:$D$9627=$U31))</f>
        <v>6713</v>
      </c>
      <c r="AB31" s="80">
        <f>SUMPRODUCT(('Monthly Data'!$E$13:$E$9627=$U$26)*('Monthly Data'!$G$13:$G$9627)*('Monthly Data'!$C$13:$C$9627=AB$26)*('Monthly Data'!$D$13:$D$9627=$U31))</f>
        <v>7565</v>
      </c>
      <c r="AC31" s="80">
        <f>SUMPRODUCT(('Monthly Data'!$E$13:$E$9627=$U$26)*('Monthly Data'!$G$13:$G$9627)*('Monthly Data'!$C$13:$C$9627=AC$26)*('Monthly Data'!$D$13:$D$9627=$U31))</f>
        <v>8411</v>
      </c>
      <c r="AD31" s="80">
        <f>SUMPRODUCT(('Monthly Data'!$E$13:$E$9627=$U$26)*('Monthly Data'!$G$13:$G$9627)*('Monthly Data'!$C$13:$C$9627=AD$26)*('Monthly Data'!$D$13:$D$9627=$U31))</f>
        <v>9059</v>
      </c>
      <c r="AE31" s="80">
        <f>SUMPRODUCT(('Monthly Data'!$E$13:$E$9627=$U$26)*('Monthly Data'!$G$13:$G$9627)*('Monthly Data'!$C$13:$C$9627=AE$26)*('Monthly Data'!$D$13:$D$9627=$U31))</f>
        <v>8813</v>
      </c>
      <c r="AF31" s="80">
        <f>SUMPRODUCT(('Monthly Data'!$E$13:$E$9627=$U$26)*('Monthly Data'!$G$13:$G$9627)*('Monthly Data'!$C$13:$C$9627=AF$26)*('Monthly Data'!$D$13:$D$9627=$U31))</f>
        <v>7896</v>
      </c>
      <c r="AG31" s="80">
        <f>SUMPRODUCT(('Monthly Data'!$E$13:$E$9627=$U$26)*('Monthly Data'!$G$13:$G$9627)*('Monthly Data'!$C$13:$C$9627=AG$26)*('Monthly Data'!$D$13:$D$9627=$U31))</f>
        <v>7485</v>
      </c>
      <c r="AH31" s="80">
        <f>SUMPRODUCT(('Monthly Data'!$E$13:$E$9627=$U$26)*('Monthly Data'!$G$13:$G$9627)*('Monthly Data'!$C$13:$C$9627=AH$26)*('Monthly Data'!$D$13:$D$9627=$U31))</f>
        <v>7966</v>
      </c>
      <c r="AI31" s="80">
        <f>SUMPRODUCT(('Monthly Data'!$E$13:$E$9627=$U$26)*('Monthly Data'!$G$13:$G$9627)*('Monthly Data'!$C$13:$C$9627=AI$26)*('Monthly Data'!$D$13:$D$9627=$U31))</f>
        <v>9350</v>
      </c>
      <c r="AJ31" s="80">
        <f>SUMPRODUCT(('Monthly Data'!$E$13:$E$9627=$U$26)*('Monthly Data'!$G$13:$G$9627)*('Monthly Data'!$C$13:$C$9627=AJ$26)*('Monthly Data'!$D$13:$D$9627=$U31))</f>
        <v>0</v>
      </c>
      <c r="AL31" s="89">
        <f t="shared" si="1"/>
        <v>98870</v>
      </c>
    </row>
    <row r="32" spans="2:39">
      <c r="B32" s="30">
        <v>6</v>
      </c>
      <c r="C32" s="95">
        <f>SUMPRODUCT(('Monthly Data'!$E$13:$E$9627=$B$26)*('Monthly Data'!$F$13:$F$9627)*('Monthly Data'!$C$13:$C$9627=C$26)*('Monthly Data'!$D$13:$D$9627=$B32))</f>
        <v>225431</v>
      </c>
      <c r="D32" s="95">
        <f>SUMPRODUCT(('Monthly Data'!$E$13:$E$9627=$B$26)*('Monthly Data'!$F$13:$F$9627)*('Monthly Data'!$C$13:$C$9627=D$26)*('Monthly Data'!$D$13:$D$9627=$B32))</f>
        <v>219285</v>
      </c>
      <c r="E32" s="80">
        <f>SUMPRODUCT(('Monthly Data'!$E$13:$E$9627=$B$26)*('Monthly Data'!$F$13:$F$9627)*('Monthly Data'!$C$13:$C$9627=E$26)*('Monthly Data'!$D$13:$D$9627=$B32))</f>
        <v>228583</v>
      </c>
      <c r="F32" s="80">
        <f>SUMPRODUCT(('Monthly Data'!$E$13:$E$9627=$B$26)*('Monthly Data'!$F$13:$F$9627)*('Monthly Data'!$C$13:$C$9627=F$26)*('Monthly Data'!$D$13:$D$9627=$B32))</f>
        <v>222048</v>
      </c>
      <c r="G32" s="80">
        <f>SUMPRODUCT(('Monthly Data'!$E$13:$E$9627=$B$26)*('Monthly Data'!$F$13:$F$9627)*('Monthly Data'!$C$13:$C$9627=G$26)*('Monthly Data'!$D$13:$D$9627=$B32))</f>
        <v>223607</v>
      </c>
      <c r="H32" s="80">
        <f>SUMPRODUCT(('Monthly Data'!$E$13:$E$9627=$B$26)*('Monthly Data'!$F$13:$F$9627)*('Monthly Data'!$C$13:$C$9627=H$26)*('Monthly Data'!$D$13:$D$9627=$B32))</f>
        <v>234798</v>
      </c>
      <c r="I32" s="80">
        <f>SUMPRODUCT(('Monthly Data'!$E$13:$E$9627=$B$26)*('Monthly Data'!$F$13:$F$9627)*('Monthly Data'!$C$13:$C$9627=I$26)*('Monthly Data'!$D$13:$D$9627=$B32))</f>
        <v>256585</v>
      </c>
      <c r="J32" s="80">
        <f>SUMPRODUCT(('Monthly Data'!$E$13:$E$9627=$B$26)*('Monthly Data'!$F$13:$F$9627)*('Monthly Data'!$C$13:$C$9627=J$26)*('Monthly Data'!$D$13:$D$9627=$B32))</f>
        <v>284635</v>
      </c>
      <c r="K32" s="80">
        <f>SUMPRODUCT(('Monthly Data'!$E$13:$E$9627=$B$26)*('Monthly Data'!$F$13:$F$9627)*('Monthly Data'!$C$13:$C$9627=K$26)*('Monthly Data'!$D$13:$D$9627=$B32))</f>
        <v>305586</v>
      </c>
      <c r="L32" s="80">
        <f>SUMPRODUCT(('Monthly Data'!$E$13:$E$9627=$B$26)*('Monthly Data'!$F$13:$F$9627)*('Monthly Data'!$C$13:$C$9627=L$26)*('Monthly Data'!$D$13:$D$9627=$B32))</f>
        <v>298571</v>
      </c>
      <c r="M32" s="80">
        <f>SUMPRODUCT(('Monthly Data'!$E$13:$E$9627=$B$26)*('Monthly Data'!$F$13:$F$9627)*('Monthly Data'!$C$13:$C$9627=M$26)*('Monthly Data'!$D$13:$D$9627=$B32))</f>
        <v>270904</v>
      </c>
      <c r="N32" s="80">
        <f>SUMPRODUCT(('Monthly Data'!$E$13:$E$9627=$B$26)*('Monthly Data'!$F$13:$F$9627)*('Monthly Data'!$C$13:$C$9627=N$26)*('Monthly Data'!$D$13:$D$9627=$B32))</f>
        <v>260422</v>
      </c>
      <c r="O32" s="80">
        <f>SUMPRODUCT(('Monthly Data'!$E$13:$E$9627=$B$26)*('Monthly Data'!$F$13:$F$9627)*('Monthly Data'!$C$13:$C$9627=O$26)*('Monthly Data'!$D$13:$D$9627=$B32))</f>
        <v>284960</v>
      </c>
      <c r="P32" s="80">
        <f>SUMPRODUCT(('Monthly Data'!$E$13:$E$9627=$B$26)*('Monthly Data'!$F$13:$F$9627)*('Monthly Data'!$C$13:$C$9627=P$26)*('Monthly Data'!$D$13:$D$9627=$B32))</f>
        <v>289051</v>
      </c>
      <c r="Q32" s="80">
        <f>SUMPRODUCT(('Monthly Data'!$E$13:$E$9627=$B$26)*('Monthly Data'!$F$13:$F$9627)*('Monthly Data'!$C$13:$C$9627=Q$26)*('Monthly Data'!$D$13:$D$9627=$B32))</f>
        <v>0</v>
      </c>
      <c r="S32" s="89">
        <f t="shared" si="0"/>
        <v>3315415</v>
      </c>
      <c r="U32" s="30">
        <v>6</v>
      </c>
      <c r="V32" s="95">
        <f>SUMPRODUCT(('Monthly Data'!$E$13:$E$9627=$U$26)*('Monthly Data'!$G$13:$G$9627)*('Monthly Data'!$C$13:$C$9627=V$26)*('Monthly Data'!$D$13:$D$9627=$U32))</f>
        <v>6930</v>
      </c>
      <c r="W32" s="95">
        <f>SUMPRODUCT(('Monthly Data'!$E$13:$E$9627=$U$26)*('Monthly Data'!$G$13:$G$9627)*('Monthly Data'!$C$13:$C$9627=W$26)*('Monthly Data'!$D$13:$D$9627=$U32))</f>
        <v>6714</v>
      </c>
      <c r="X32" s="80">
        <f>SUMPRODUCT(('Monthly Data'!$E$13:$E$9627=$U$26)*('Monthly Data'!$G$13:$G$9627)*('Monthly Data'!$C$13:$C$9627=X$26)*('Monthly Data'!$D$13:$D$9627=$U32))</f>
        <v>6990</v>
      </c>
      <c r="Y32" s="80">
        <f>SUMPRODUCT(('Monthly Data'!$E$13:$E$9627=$U$26)*('Monthly Data'!$G$13:$G$9627)*('Monthly Data'!$C$13:$C$9627=Y$26)*('Monthly Data'!$D$13:$D$9627=$U32))</f>
        <v>6472</v>
      </c>
      <c r="Z32" s="80">
        <f>SUMPRODUCT(('Monthly Data'!$E$13:$E$9627=$U$26)*('Monthly Data'!$G$13:$G$9627)*('Monthly Data'!$C$13:$C$9627=Z$26)*('Monthly Data'!$D$13:$D$9627=$U32))</f>
        <v>6575</v>
      </c>
      <c r="AA32" s="80">
        <f>SUMPRODUCT(('Monthly Data'!$E$13:$E$9627=$U$26)*('Monthly Data'!$G$13:$G$9627)*('Monthly Data'!$C$13:$C$9627=AA$26)*('Monthly Data'!$D$13:$D$9627=$U32))</f>
        <v>6954</v>
      </c>
      <c r="AB32" s="80">
        <f>SUMPRODUCT(('Monthly Data'!$E$13:$E$9627=$U$26)*('Monthly Data'!$G$13:$G$9627)*('Monthly Data'!$C$13:$C$9627=AB$26)*('Monthly Data'!$D$13:$D$9627=$U32))</f>
        <v>7884</v>
      </c>
      <c r="AC32" s="80">
        <f>SUMPRODUCT(('Monthly Data'!$E$13:$E$9627=$U$26)*('Monthly Data'!$G$13:$G$9627)*('Monthly Data'!$C$13:$C$9627=AC$26)*('Monthly Data'!$D$13:$D$9627=$U32))</f>
        <v>8359</v>
      </c>
      <c r="AD32" s="80">
        <f>SUMPRODUCT(('Monthly Data'!$E$13:$E$9627=$U$26)*('Monthly Data'!$G$13:$G$9627)*('Monthly Data'!$C$13:$C$9627=AD$26)*('Monthly Data'!$D$13:$D$9627=$U32))</f>
        <v>8733</v>
      </c>
      <c r="AE32" s="80">
        <f>SUMPRODUCT(('Monthly Data'!$E$13:$E$9627=$U$26)*('Monthly Data'!$G$13:$G$9627)*('Monthly Data'!$C$13:$C$9627=AE$26)*('Monthly Data'!$D$13:$D$9627=$U32))</f>
        <v>8679</v>
      </c>
      <c r="AF32" s="80">
        <f>SUMPRODUCT(('Monthly Data'!$E$13:$E$9627=$U$26)*('Monthly Data'!$G$13:$G$9627)*('Monthly Data'!$C$13:$C$9627=AF$26)*('Monthly Data'!$D$13:$D$9627=$U32))</f>
        <v>8319</v>
      </c>
      <c r="AG32" s="80">
        <f>SUMPRODUCT(('Monthly Data'!$E$13:$E$9627=$U$26)*('Monthly Data'!$G$13:$G$9627)*('Monthly Data'!$C$13:$C$9627=AG$26)*('Monthly Data'!$D$13:$D$9627=$U32))</f>
        <v>8112</v>
      </c>
      <c r="AH32" s="80">
        <f>SUMPRODUCT(('Monthly Data'!$E$13:$E$9627=$U$26)*('Monthly Data'!$G$13:$G$9627)*('Monthly Data'!$C$13:$C$9627=AH$26)*('Monthly Data'!$D$13:$D$9627=$U32))</f>
        <v>8364</v>
      </c>
      <c r="AI32" s="80">
        <f>SUMPRODUCT(('Monthly Data'!$E$13:$E$9627=$U$26)*('Monthly Data'!$G$13:$G$9627)*('Monthly Data'!$C$13:$C$9627=AI$26)*('Monthly Data'!$D$13:$D$9627=$U32))</f>
        <v>8533</v>
      </c>
      <c r="AJ32" s="80">
        <f>SUMPRODUCT(('Monthly Data'!$E$13:$E$9627=$U$26)*('Monthly Data'!$G$13:$G$9627)*('Monthly Data'!$C$13:$C$9627=AJ$26)*('Monthly Data'!$D$13:$D$9627=$U32))</f>
        <v>0</v>
      </c>
      <c r="AL32" s="89">
        <f t="shared" si="1"/>
        <v>99085</v>
      </c>
    </row>
    <row r="33" spans="2:38">
      <c r="B33" s="30">
        <v>7</v>
      </c>
      <c r="C33" s="95">
        <f>SUMPRODUCT(('Monthly Data'!$E$13:$E$9627=$B$26)*('Monthly Data'!$F$13:$F$9627)*('Monthly Data'!$C$13:$C$9627=C$26)*('Monthly Data'!$D$13:$D$9627=$B33))</f>
        <v>238438</v>
      </c>
      <c r="D33" s="95">
        <f>SUMPRODUCT(('Monthly Data'!$E$13:$E$9627=$B$26)*('Monthly Data'!$F$13:$F$9627)*('Monthly Data'!$C$13:$C$9627=D$26)*('Monthly Data'!$D$13:$D$9627=$B33))</f>
        <v>235757</v>
      </c>
      <c r="E33" s="80">
        <f>SUMPRODUCT(('Monthly Data'!$E$13:$E$9627=$B$26)*('Monthly Data'!$F$13:$F$9627)*('Monthly Data'!$C$13:$C$9627=E$26)*('Monthly Data'!$D$13:$D$9627=$B33))</f>
        <v>249276</v>
      </c>
      <c r="F33" s="80">
        <f>SUMPRODUCT(('Monthly Data'!$E$13:$E$9627=$B$26)*('Monthly Data'!$F$13:$F$9627)*('Monthly Data'!$C$13:$C$9627=F$26)*('Monthly Data'!$D$13:$D$9627=$B33))</f>
        <v>244279</v>
      </c>
      <c r="G33" s="80">
        <f>SUMPRODUCT(('Monthly Data'!$E$13:$E$9627=$B$26)*('Monthly Data'!$F$13:$F$9627)*('Monthly Data'!$C$13:$C$9627=G$26)*('Monthly Data'!$D$13:$D$9627=$B33))</f>
        <v>242044</v>
      </c>
      <c r="H33" s="80">
        <f>SUMPRODUCT(('Monthly Data'!$E$13:$E$9627=$B$26)*('Monthly Data'!$F$13:$F$9627)*('Monthly Data'!$C$13:$C$9627=H$26)*('Monthly Data'!$D$13:$D$9627=$B33))</f>
        <v>254373</v>
      </c>
      <c r="I33" s="80">
        <f>SUMPRODUCT(('Monthly Data'!$E$13:$E$9627=$B$26)*('Monthly Data'!$F$13:$F$9627)*('Monthly Data'!$C$13:$C$9627=I$26)*('Monthly Data'!$D$13:$D$9627=$B33))</f>
        <v>274208</v>
      </c>
      <c r="J33" s="80">
        <f>SUMPRODUCT(('Monthly Data'!$E$13:$E$9627=$B$26)*('Monthly Data'!$F$13:$F$9627)*('Monthly Data'!$C$13:$C$9627=J$26)*('Monthly Data'!$D$13:$D$9627=$B33))</f>
        <v>291999</v>
      </c>
      <c r="K33" s="80">
        <f>SUMPRODUCT(('Monthly Data'!$E$13:$E$9627=$B$26)*('Monthly Data'!$F$13:$F$9627)*('Monthly Data'!$C$13:$C$9627=K$26)*('Monthly Data'!$D$13:$D$9627=$B33))</f>
        <v>323705</v>
      </c>
      <c r="L33" s="80">
        <f>SUMPRODUCT(('Monthly Data'!$E$13:$E$9627=$B$26)*('Monthly Data'!$F$13:$F$9627)*('Monthly Data'!$C$13:$C$9627=L$26)*('Monthly Data'!$D$13:$D$9627=$B33))</f>
        <v>314345</v>
      </c>
      <c r="M33" s="80">
        <f>SUMPRODUCT(('Monthly Data'!$E$13:$E$9627=$B$26)*('Monthly Data'!$F$13:$F$9627)*('Monthly Data'!$C$13:$C$9627=M$26)*('Monthly Data'!$D$13:$D$9627=$B33))</f>
        <v>287449</v>
      </c>
      <c r="N33" s="80">
        <f>SUMPRODUCT(('Monthly Data'!$E$13:$E$9627=$B$26)*('Monthly Data'!$F$13:$F$9627)*('Monthly Data'!$C$13:$C$9627=N$26)*('Monthly Data'!$D$13:$D$9627=$B33))</f>
        <v>275890</v>
      </c>
      <c r="O33" s="80">
        <f>SUMPRODUCT(('Monthly Data'!$E$13:$E$9627=$B$26)*('Monthly Data'!$F$13:$F$9627)*('Monthly Data'!$C$13:$C$9627=O$26)*('Monthly Data'!$D$13:$D$9627=$B33))</f>
        <v>298887</v>
      </c>
      <c r="P33" s="80">
        <f>SUMPRODUCT(('Monthly Data'!$E$13:$E$9627=$B$26)*('Monthly Data'!$F$13:$F$9627)*('Monthly Data'!$C$13:$C$9627=P$26)*('Monthly Data'!$D$13:$D$9627=$B33))</f>
        <v>311128</v>
      </c>
      <c r="Q33" s="80">
        <f>SUMPRODUCT(('Monthly Data'!$E$13:$E$9627=$B$26)*('Monthly Data'!$F$13:$F$9627)*('Monthly Data'!$C$13:$C$9627=Q$26)*('Monthly Data'!$D$13:$D$9627=$B33))</f>
        <v>0</v>
      </c>
      <c r="S33" s="89">
        <f t="shared" si="0"/>
        <v>3530650</v>
      </c>
      <c r="U33" s="30">
        <v>7</v>
      </c>
      <c r="V33" s="95">
        <f>SUMPRODUCT(('Monthly Data'!$E$13:$E$9627=$U$26)*('Monthly Data'!$G$13:$G$9627)*('Monthly Data'!$C$13:$C$9627=V$26)*('Monthly Data'!$D$13:$D$9627=$U33))</f>
        <v>6920</v>
      </c>
      <c r="W33" s="95">
        <f>SUMPRODUCT(('Monthly Data'!$E$13:$E$9627=$U$26)*('Monthly Data'!$G$13:$G$9627)*('Monthly Data'!$C$13:$C$9627=W$26)*('Monthly Data'!$D$13:$D$9627=$U33))</f>
        <v>6583</v>
      </c>
      <c r="X33" s="80">
        <f>SUMPRODUCT(('Monthly Data'!$E$13:$E$9627=$U$26)*('Monthly Data'!$G$13:$G$9627)*('Monthly Data'!$C$13:$C$9627=X$26)*('Monthly Data'!$D$13:$D$9627=$U33))</f>
        <v>7419</v>
      </c>
      <c r="Y33" s="80">
        <f>SUMPRODUCT(('Monthly Data'!$E$13:$E$9627=$U$26)*('Monthly Data'!$G$13:$G$9627)*('Monthly Data'!$C$13:$C$9627=Y$26)*('Monthly Data'!$D$13:$D$9627=$U33))</f>
        <v>6943</v>
      </c>
      <c r="Z33" s="80">
        <f>SUMPRODUCT(('Monthly Data'!$E$13:$E$9627=$U$26)*('Monthly Data'!$G$13:$G$9627)*('Monthly Data'!$C$13:$C$9627=Z$26)*('Monthly Data'!$D$13:$D$9627=$U33))</f>
        <v>6933</v>
      </c>
      <c r="AA33" s="80">
        <f>SUMPRODUCT(('Monthly Data'!$E$13:$E$9627=$U$26)*('Monthly Data'!$G$13:$G$9627)*('Monthly Data'!$C$13:$C$9627=AA$26)*('Monthly Data'!$D$13:$D$9627=$U33))</f>
        <v>7060</v>
      </c>
      <c r="AB33" s="80">
        <f>SUMPRODUCT(('Monthly Data'!$E$13:$E$9627=$U$26)*('Monthly Data'!$G$13:$G$9627)*('Monthly Data'!$C$13:$C$9627=AB$26)*('Monthly Data'!$D$13:$D$9627=$U33))</f>
        <v>7787</v>
      </c>
      <c r="AC33" s="80">
        <f>SUMPRODUCT(('Monthly Data'!$E$13:$E$9627=$U$26)*('Monthly Data'!$G$13:$G$9627)*('Monthly Data'!$C$13:$C$9627=AC$26)*('Monthly Data'!$D$13:$D$9627=$U33))</f>
        <v>8146</v>
      </c>
      <c r="AD33" s="80">
        <f>SUMPRODUCT(('Monthly Data'!$E$13:$E$9627=$U$26)*('Monthly Data'!$G$13:$G$9627)*('Monthly Data'!$C$13:$C$9627=AD$26)*('Monthly Data'!$D$13:$D$9627=$U33))</f>
        <v>8860</v>
      </c>
      <c r="AE33" s="80">
        <f>SUMPRODUCT(('Monthly Data'!$E$13:$E$9627=$U$26)*('Monthly Data'!$G$13:$G$9627)*('Monthly Data'!$C$13:$C$9627=AE$26)*('Monthly Data'!$D$13:$D$9627=$U33))</f>
        <v>8897</v>
      </c>
      <c r="AF33" s="80">
        <f>SUMPRODUCT(('Monthly Data'!$E$13:$E$9627=$U$26)*('Monthly Data'!$G$13:$G$9627)*('Monthly Data'!$C$13:$C$9627=AF$26)*('Monthly Data'!$D$13:$D$9627=$U33))</f>
        <v>8546</v>
      </c>
      <c r="AG33" s="80">
        <f>SUMPRODUCT(('Monthly Data'!$E$13:$E$9627=$U$26)*('Monthly Data'!$G$13:$G$9627)*('Monthly Data'!$C$13:$C$9627=AG$26)*('Monthly Data'!$D$13:$D$9627=$U33))</f>
        <v>8196</v>
      </c>
      <c r="AH33" s="80">
        <f>SUMPRODUCT(('Monthly Data'!$E$13:$E$9627=$U$26)*('Monthly Data'!$G$13:$G$9627)*('Monthly Data'!$C$13:$C$9627=AH$26)*('Monthly Data'!$D$13:$D$9627=$U33))</f>
        <v>8245</v>
      </c>
      <c r="AI33" s="80">
        <f>SUMPRODUCT(('Monthly Data'!$E$13:$E$9627=$U$26)*('Monthly Data'!$G$13:$G$9627)*('Monthly Data'!$C$13:$C$9627=AI$26)*('Monthly Data'!$D$13:$D$9627=$U33))</f>
        <v>8687</v>
      </c>
      <c r="AJ33" s="80">
        <f>SUMPRODUCT(('Monthly Data'!$E$13:$E$9627=$U$26)*('Monthly Data'!$G$13:$G$9627)*('Monthly Data'!$C$13:$C$9627=AJ$26)*('Monthly Data'!$D$13:$D$9627=$U33))</f>
        <v>0</v>
      </c>
      <c r="AL33" s="89">
        <f t="shared" si="1"/>
        <v>100535</v>
      </c>
    </row>
    <row r="34" spans="2:38">
      <c r="B34" s="30">
        <v>8</v>
      </c>
      <c r="C34" s="95">
        <f>SUMPRODUCT(('Monthly Data'!$E$13:$E$9627=$B$26)*('Monthly Data'!$F$13:$F$9627)*('Monthly Data'!$C$13:$C$9627=C$26)*('Monthly Data'!$D$13:$D$9627=$B34))</f>
        <v>223031</v>
      </c>
      <c r="D34" s="95">
        <f>SUMPRODUCT(('Monthly Data'!$E$13:$E$9627=$B$26)*('Monthly Data'!$F$13:$F$9627)*('Monthly Data'!$C$13:$C$9627=D$26)*('Monthly Data'!$D$13:$D$9627=$B34))</f>
        <v>228719</v>
      </c>
      <c r="E34" s="80">
        <f>SUMPRODUCT(('Monthly Data'!$E$13:$E$9627=$B$26)*('Monthly Data'!$F$13:$F$9627)*('Monthly Data'!$C$13:$C$9627=E$26)*('Monthly Data'!$D$13:$D$9627=$B34))</f>
        <v>236648</v>
      </c>
      <c r="F34" s="80">
        <f>SUMPRODUCT(('Monthly Data'!$E$13:$E$9627=$B$26)*('Monthly Data'!$F$13:$F$9627)*('Monthly Data'!$C$13:$C$9627=F$26)*('Monthly Data'!$D$13:$D$9627=$B34))</f>
        <v>239973</v>
      </c>
      <c r="G34" s="80">
        <f>SUMPRODUCT(('Monthly Data'!$E$13:$E$9627=$B$26)*('Monthly Data'!$F$13:$F$9627)*('Monthly Data'!$C$13:$C$9627=G$26)*('Monthly Data'!$D$13:$D$9627=$B34))</f>
        <v>224500</v>
      </c>
      <c r="H34" s="80">
        <f>SUMPRODUCT(('Monthly Data'!$E$13:$E$9627=$B$26)*('Monthly Data'!$F$13:$F$9627)*('Monthly Data'!$C$13:$C$9627=H$26)*('Monthly Data'!$D$13:$D$9627=$B34))</f>
        <v>240093</v>
      </c>
      <c r="I34" s="80">
        <f>SUMPRODUCT(('Monthly Data'!$E$13:$E$9627=$B$26)*('Monthly Data'!$F$13:$F$9627)*('Monthly Data'!$C$13:$C$9627=I$26)*('Monthly Data'!$D$13:$D$9627=$B34))</f>
        <v>256932</v>
      </c>
      <c r="J34" s="80">
        <f>SUMPRODUCT(('Monthly Data'!$E$13:$E$9627=$B$26)*('Monthly Data'!$F$13:$F$9627)*('Monthly Data'!$C$13:$C$9627=J$26)*('Monthly Data'!$D$13:$D$9627=$B34))</f>
        <v>278415</v>
      </c>
      <c r="K34" s="80">
        <f>SUMPRODUCT(('Monthly Data'!$E$13:$E$9627=$B$26)*('Monthly Data'!$F$13:$F$9627)*('Monthly Data'!$C$13:$C$9627=K$26)*('Monthly Data'!$D$13:$D$9627=$B34))</f>
        <v>314664</v>
      </c>
      <c r="L34" s="80">
        <f>SUMPRODUCT(('Monthly Data'!$E$13:$E$9627=$B$26)*('Monthly Data'!$F$13:$F$9627)*('Monthly Data'!$C$13:$C$9627=L$26)*('Monthly Data'!$D$13:$D$9627=$B34))</f>
        <v>297558</v>
      </c>
      <c r="M34" s="80">
        <f>SUMPRODUCT(('Monthly Data'!$E$13:$E$9627=$B$26)*('Monthly Data'!$F$13:$F$9627)*('Monthly Data'!$C$13:$C$9627=M$26)*('Monthly Data'!$D$13:$D$9627=$B34))</f>
        <v>268309</v>
      </c>
      <c r="N34" s="80">
        <f>SUMPRODUCT(('Monthly Data'!$E$13:$E$9627=$B$26)*('Monthly Data'!$F$13:$F$9627)*('Monthly Data'!$C$13:$C$9627=N$26)*('Monthly Data'!$D$13:$D$9627=$B34))</f>
        <v>258005</v>
      </c>
      <c r="O34" s="80">
        <f>SUMPRODUCT(('Monthly Data'!$E$13:$E$9627=$B$26)*('Monthly Data'!$F$13:$F$9627)*('Monthly Data'!$C$13:$C$9627=O$26)*('Monthly Data'!$D$13:$D$9627=$B34))</f>
        <v>274232</v>
      </c>
      <c r="P34" s="80">
        <f>SUMPRODUCT(('Monthly Data'!$E$13:$E$9627=$B$26)*('Monthly Data'!$F$13:$F$9627)*('Monthly Data'!$C$13:$C$9627=P$26)*('Monthly Data'!$D$13:$D$9627=$B34))</f>
        <v>298845</v>
      </c>
      <c r="Q34" s="80">
        <f>SUMPRODUCT(('Monthly Data'!$E$13:$E$9627=$B$26)*('Monthly Data'!$F$13:$F$9627)*('Monthly Data'!$C$13:$C$9627=Q$26)*('Monthly Data'!$D$13:$D$9627=$B34))</f>
        <v>0</v>
      </c>
      <c r="S34" s="89">
        <f t="shared" si="0"/>
        <v>3341079</v>
      </c>
      <c r="U34" s="30">
        <v>8</v>
      </c>
      <c r="V34" s="95">
        <f>SUMPRODUCT(('Monthly Data'!$E$13:$E$9627=$U$26)*('Monthly Data'!$G$13:$G$9627)*('Monthly Data'!$C$13:$C$9627=V$26)*('Monthly Data'!$D$13:$D$9627=$U34))</f>
        <v>6807</v>
      </c>
      <c r="W34" s="95">
        <f>SUMPRODUCT(('Monthly Data'!$E$13:$E$9627=$U$26)*('Monthly Data'!$G$13:$G$9627)*('Monthly Data'!$C$13:$C$9627=W$26)*('Monthly Data'!$D$13:$D$9627=$U34))</f>
        <v>7165</v>
      </c>
      <c r="X34" s="80">
        <f>SUMPRODUCT(('Monthly Data'!$E$13:$E$9627=$U$26)*('Monthly Data'!$G$13:$G$9627)*('Monthly Data'!$C$13:$C$9627=X$26)*('Monthly Data'!$D$13:$D$9627=$U34))</f>
        <v>7713</v>
      </c>
      <c r="Y34" s="80">
        <f>SUMPRODUCT(('Monthly Data'!$E$13:$E$9627=$U$26)*('Monthly Data'!$G$13:$G$9627)*('Monthly Data'!$C$13:$C$9627=Y$26)*('Monthly Data'!$D$13:$D$9627=$U34))</f>
        <v>6969</v>
      </c>
      <c r="Z34" s="80">
        <f>SUMPRODUCT(('Monthly Data'!$E$13:$E$9627=$U$26)*('Monthly Data'!$G$13:$G$9627)*('Monthly Data'!$C$13:$C$9627=Z$26)*('Monthly Data'!$D$13:$D$9627=$U34))</f>
        <v>6582</v>
      </c>
      <c r="AA34" s="80">
        <f>SUMPRODUCT(('Monthly Data'!$E$13:$E$9627=$U$26)*('Monthly Data'!$G$13:$G$9627)*('Monthly Data'!$C$13:$C$9627=AA$26)*('Monthly Data'!$D$13:$D$9627=$U34))</f>
        <v>6983</v>
      </c>
      <c r="AB34" s="80">
        <f>SUMPRODUCT(('Monthly Data'!$E$13:$E$9627=$U$26)*('Monthly Data'!$G$13:$G$9627)*('Monthly Data'!$C$13:$C$9627=AB$26)*('Monthly Data'!$D$13:$D$9627=$U34))</f>
        <v>8091</v>
      </c>
      <c r="AC34" s="80">
        <f>SUMPRODUCT(('Monthly Data'!$E$13:$E$9627=$U$26)*('Monthly Data'!$G$13:$G$9627)*('Monthly Data'!$C$13:$C$9627=AC$26)*('Monthly Data'!$D$13:$D$9627=$U34))</f>
        <v>8765</v>
      </c>
      <c r="AD34" s="80">
        <f>SUMPRODUCT(('Monthly Data'!$E$13:$E$9627=$U$26)*('Monthly Data'!$G$13:$G$9627)*('Monthly Data'!$C$13:$C$9627=AD$26)*('Monthly Data'!$D$13:$D$9627=$U34))</f>
        <v>9208</v>
      </c>
      <c r="AE34" s="80">
        <f>SUMPRODUCT(('Monthly Data'!$E$13:$E$9627=$U$26)*('Monthly Data'!$G$13:$G$9627)*('Monthly Data'!$C$13:$C$9627=AE$26)*('Monthly Data'!$D$13:$D$9627=$U34))</f>
        <v>8566</v>
      </c>
      <c r="AF34" s="80">
        <f>SUMPRODUCT(('Monthly Data'!$E$13:$E$9627=$U$26)*('Monthly Data'!$G$13:$G$9627)*('Monthly Data'!$C$13:$C$9627=AF$26)*('Monthly Data'!$D$13:$D$9627=$U34))</f>
        <v>8164</v>
      </c>
      <c r="AG34" s="80">
        <f>SUMPRODUCT(('Monthly Data'!$E$13:$E$9627=$U$26)*('Monthly Data'!$G$13:$G$9627)*('Monthly Data'!$C$13:$C$9627=AG$26)*('Monthly Data'!$D$13:$D$9627=$U34))</f>
        <v>8071</v>
      </c>
      <c r="AH34" s="80">
        <f>SUMPRODUCT(('Monthly Data'!$E$13:$E$9627=$U$26)*('Monthly Data'!$G$13:$G$9627)*('Monthly Data'!$C$13:$C$9627=AH$26)*('Monthly Data'!$D$13:$D$9627=$U34))</f>
        <v>8445</v>
      </c>
      <c r="AI34" s="80">
        <f>SUMPRODUCT(('Monthly Data'!$E$13:$E$9627=$U$26)*('Monthly Data'!$G$13:$G$9627)*('Monthly Data'!$C$13:$C$9627=AI$26)*('Monthly Data'!$D$13:$D$9627=$U34))</f>
        <v>8901</v>
      </c>
      <c r="AJ34" s="80">
        <f>SUMPRODUCT(('Monthly Data'!$E$13:$E$9627=$U$26)*('Monthly Data'!$G$13:$G$9627)*('Monthly Data'!$C$13:$C$9627=AJ$26)*('Monthly Data'!$D$13:$D$9627=$U34))</f>
        <v>0</v>
      </c>
      <c r="AL34" s="89">
        <f t="shared" si="1"/>
        <v>101529</v>
      </c>
    </row>
    <row r="35" spans="2:38">
      <c r="B35" s="30">
        <v>9</v>
      </c>
      <c r="C35" s="95">
        <f>SUMPRODUCT(('Monthly Data'!$E$13:$E$9627=$B$26)*('Monthly Data'!$F$13:$F$9627)*('Monthly Data'!$C$13:$C$9627=C$26)*('Monthly Data'!$D$13:$D$9627=$B35))</f>
        <v>220082</v>
      </c>
      <c r="D35" s="95">
        <f>SUMPRODUCT(('Monthly Data'!$E$13:$E$9627=$B$26)*('Monthly Data'!$F$13:$F$9627)*('Monthly Data'!$C$13:$C$9627=D$26)*('Monthly Data'!$D$13:$D$9627=$B35))</f>
        <v>221497</v>
      </c>
      <c r="E35" s="80">
        <f>SUMPRODUCT(('Monthly Data'!$E$13:$E$9627=$B$26)*('Monthly Data'!$F$13:$F$9627)*('Monthly Data'!$C$13:$C$9627=E$26)*('Monthly Data'!$D$13:$D$9627=$B35))</f>
        <v>221907</v>
      </c>
      <c r="F35" s="80">
        <f>SUMPRODUCT(('Monthly Data'!$E$13:$E$9627=$B$26)*('Monthly Data'!$F$13:$F$9627)*('Monthly Data'!$C$13:$C$9627=F$26)*('Monthly Data'!$D$13:$D$9627=$B35))</f>
        <v>232590</v>
      </c>
      <c r="G35" s="80">
        <f>SUMPRODUCT(('Monthly Data'!$E$13:$E$9627=$B$26)*('Monthly Data'!$F$13:$F$9627)*('Monthly Data'!$C$13:$C$9627=G$26)*('Monthly Data'!$D$13:$D$9627=$B35))</f>
        <v>233192</v>
      </c>
      <c r="H35" s="80">
        <f>SUMPRODUCT(('Monthly Data'!$E$13:$E$9627=$B$26)*('Monthly Data'!$F$13:$F$9627)*('Monthly Data'!$C$13:$C$9627=H$26)*('Monthly Data'!$D$13:$D$9627=$B35))</f>
        <v>242776</v>
      </c>
      <c r="I35" s="80">
        <f>SUMPRODUCT(('Monthly Data'!$E$13:$E$9627=$B$26)*('Monthly Data'!$F$13:$F$9627)*('Monthly Data'!$C$13:$C$9627=I$26)*('Monthly Data'!$D$13:$D$9627=$B35))</f>
        <v>266043</v>
      </c>
      <c r="J35" s="80">
        <f>SUMPRODUCT(('Monthly Data'!$E$13:$E$9627=$B$26)*('Monthly Data'!$F$13:$F$9627)*('Monthly Data'!$C$13:$C$9627=J$26)*('Monthly Data'!$D$13:$D$9627=$B35))</f>
        <v>279746</v>
      </c>
      <c r="K35" s="80">
        <f>SUMPRODUCT(('Monthly Data'!$E$13:$E$9627=$B$26)*('Monthly Data'!$F$13:$F$9627)*('Monthly Data'!$C$13:$C$9627=K$26)*('Monthly Data'!$D$13:$D$9627=$B35))</f>
        <v>309744</v>
      </c>
      <c r="L35" s="80">
        <f>SUMPRODUCT(('Monthly Data'!$E$13:$E$9627=$B$26)*('Monthly Data'!$F$13:$F$9627)*('Monthly Data'!$C$13:$C$9627=L$26)*('Monthly Data'!$D$13:$D$9627=$B35))</f>
        <v>297179</v>
      </c>
      <c r="M35" s="80">
        <f>SUMPRODUCT(('Monthly Data'!$E$13:$E$9627=$B$26)*('Monthly Data'!$F$13:$F$9627)*('Monthly Data'!$C$13:$C$9627=M$26)*('Monthly Data'!$D$13:$D$9627=$B35))</f>
        <v>281932</v>
      </c>
      <c r="N35" s="80">
        <f>SUMPRODUCT(('Monthly Data'!$E$13:$E$9627=$B$26)*('Monthly Data'!$F$13:$F$9627)*('Monthly Data'!$C$13:$C$9627=N$26)*('Monthly Data'!$D$13:$D$9627=$B35))</f>
        <v>266833</v>
      </c>
      <c r="O35" s="80">
        <f>SUMPRODUCT(('Monthly Data'!$E$13:$E$9627=$B$26)*('Monthly Data'!$F$13:$F$9627)*('Monthly Data'!$C$13:$C$9627=O$26)*('Monthly Data'!$D$13:$D$9627=$B35))</f>
        <v>296294</v>
      </c>
      <c r="P35" s="80">
        <f>SUMPRODUCT(('Monthly Data'!$E$13:$E$9627=$B$26)*('Monthly Data'!$F$13:$F$9627)*('Monthly Data'!$C$13:$C$9627=P$26)*('Monthly Data'!$D$13:$D$9627=$B35))</f>
        <v>300589</v>
      </c>
      <c r="Q35" s="80">
        <f>SUMPRODUCT(('Monthly Data'!$E$13:$E$9627=$B$26)*('Monthly Data'!$F$13:$F$9627)*('Monthly Data'!$C$13:$C$9627=Q$26)*('Monthly Data'!$D$13:$D$9627=$B35))</f>
        <v>0</v>
      </c>
      <c r="S35" s="89">
        <f t="shared" si="0"/>
        <v>3369815</v>
      </c>
      <c r="U35" s="30">
        <v>9</v>
      </c>
      <c r="V35" s="95">
        <f>SUMPRODUCT(('Monthly Data'!$E$13:$E$9627=$U$26)*('Monthly Data'!$G$13:$G$9627)*('Monthly Data'!$C$13:$C$9627=V$26)*('Monthly Data'!$D$13:$D$9627=$U35))</f>
        <v>6540</v>
      </c>
      <c r="W35" s="95">
        <f>SUMPRODUCT(('Monthly Data'!$E$13:$E$9627=$U$26)*('Monthly Data'!$G$13:$G$9627)*('Monthly Data'!$C$13:$C$9627=W$26)*('Monthly Data'!$D$13:$D$9627=$U35))</f>
        <v>6693</v>
      </c>
      <c r="X35" s="80">
        <f>SUMPRODUCT(('Monthly Data'!$E$13:$E$9627=$U$26)*('Monthly Data'!$G$13:$G$9627)*('Monthly Data'!$C$13:$C$9627=X$26)*('Monthly Data'!$D$13:$D$9627=$U35))</f>
        <v>6924</v>
      </c>
      <c r="Y35" s="80">
        <f>SUMPRODUCT(('Monthly Data'!$E$13:$E$9627=$U$26)*('Monthly Data'!$G$13:$G$9627)*('Monthly Data'!$C$13:$C$9627=Y$26)*('Monthly Data'!$D$13:$D$9627=$U35))</f>
        <v>6751</v>
      </c>
      <c r="Z35" s="80">
        <f>SUMPRODUCT(('Monthly Data'!$E$13:$E$9627=$U$26)*('Monthly Data'!$G$13:$G$9627)*('Monthly Data'!$C$13:$C$9627=Z$26)*('Monthly Data'!$D$13:$D$9627=$U35))</f>
        <v>6666</v>
      </c>
      <c r="AA35" s="80">
        <f>SUMPRODUCT(('Monthly Data'!$E$13:$E$9627=$U$26)*('Monthly Data'!$G$13:$G$9627)*('Monthly Data'!$C$13:$C$9627=AA$26)*('Monthly Data'!$D$13:$D$9627=$U35))</f>
        <v>7196</v>
      </c>
      <c r="AB35" s="80">
        <f>SUMPRODUCT(('Monthly Data'!$E$13:$E$9627=$U$26)*('Monthly Data'!$G$13:$G$9627)*('Monthly Data'!$C$13:$C$9627=AB$26)*('Monthly Data'!$D$13:$D$9627=$U35))</f>
        <v>7877</v>
      </c>
      <c r="AC35" s="80">
        <f>SUMPRODUCT(('Monthly Data'!$E$13:$E$9627=$U$26)*('Monthly Data'!$G$13:$G$9627)*('Monthly Data'!$C$13:$C$9627=AC$26)*('Monthly Data'!$D$13:$D$9627=$U35))</f>
        <v>8426</v>
      </c>
      <c r="AD35" s="80">
        <f>SUMPRODUCT(('Monthly Data'!$E$13:$E$9627=$U$26)*('Monthly Data'!$G$13:$G$9627)*('Monthly Data'!$C$13:$C$9627=AD$26)*('Monthly Data'!$D$13:$D$9627=$U35))</f>
        <v>8628</v>
      </c>
      <c r="AE35" s="80">
        <f>SUMPRODUCT(('Monthly Data'!$E$13:$E$9627=$U$26)*('Monthly Data'!$G$13:$G$9627)*('Monthly Data'!$C$13:$C$9627=AE$26)*('Monthly Data'!$D$13:$D$9627=$U35))</f>
        <v>8961</v>
      </c>
      <c r="AF35" s="80">
        <f>SUMPRODUCT(('Monthly Data'!$E$13:$E$9627=$U$26)*('Monthly Data'!$G$13:$G$9627)*('Monthly Data'!$C$13:$C$9627=AF$26)*('Monthly Data'!$D$13:$D$9627=$U35))</f>
        <v>8397</v>
      </c>
      <c r="AG35" s="80">
        <f>SUMPRODUCT(('Monthly Data'!$E$13:$E$9627=$U$26)*('Monthly Data'!$G$13:$G$9627)*('Monthly Data'!$C$13:$C$9627=AG$26)*('Monthly Data'!$D$13:$D$9627=$U35))</f>
        <v>8094</v>
      </c>
      <c r="AH35" s="80">
        <f>SUMPRODUCT(('Monthly Data'!$E$13:$E$9627=$U$26)*('Monthly Data'!$G$13:$G$9627)*('Monthly Data'!$C$13:$C$9627=AH$26)*('Monthly Data'!$D$13:$D$9627=$U35))</f>
        <v>8452</v>
      </c>
      <c r="AI35" s="80">
        <f>SUMPRODUCT(('Monthly Data'!$E$13:$E$9627=$U$26)*('Monthly Data'!$G$13:$G$9627)*('Monthly Data'!$C$13:$C$9627=AI$26)*('Monthly Data'!$D$13:$D$9627=$U35))</f>
        <v>8484</v>
      </c>
      <c r="AJ35" s="80">
        <f>SUMPRODUCT(('Monthly Data'!$E$13:$E$9627=$U$26)*('Monthly Data'!$G$13:$G$9627)*('Monthly Data'!$C$13:$C$9627=AJ$26)*('Monthly Data'!$D$13:$D$9627=$U35))</f>
        <v>0</v>
      </c>
      <c r="AL35" s="89">
        <f t="shared" si="1"/>
        <v>99605</v>
      </c>
    </row>
    <row r="36" spans="2:38">
      <c r="B36" s="30">
        <v>10</v>
      </c>
      <c r="C36" s="95">
        <f>SUMPRODUCT(('Monthly Data'!$E$13:$E$9627=$B$26)*('Monthly Data'!$F$13:$F$9627)*('Monthly Data'!$C$13:$C$9627=C$26)*('Monthly Data'!$D$13:$D$9627=$B36))</f>
        <v>212913</v>
      </c>
      <c r="D36" s="95">
        <f>SUMPRODUCT(('Monthly Data'!$E$13:$E$9627=$B$26)*('Monthly Data'!$F$13:$F$9627)*('Monthly Data'!$C$13:$C$9627=D$26)*('Monthly Data'!$D$13:$D$9627=$B36))</f>
        <v>226333</v>
      </c>
      <c r="E36" s="80">
        <f>SUMPRODUCT(('Monthly Data'!$E$13:$E$9627=$B$26)*('Monthly Data'!$F$13:$F$9627)*('Monthly Data'!$C$13:$C$9627=E$26)*('Monthly Data'!$D$13:$D$9627=$B36))</f>
        <v>220140</v>
      </c>
      <c r="F36" s="80">
        <f>SUMPRODUCT(('Monthly Data'!$E$13:$E$9627=$B$26)*('Monthly Data'!$F$13:$F$9627)*('Monthly Data'!$C$13:$C$9627=F$26)*('Monthly Data'!$D$13:$D$9627=$B36))</f>
        <v>237373</v>
      </c>
      <c r="G36" s="80">
        <f>SUMPRODUCT(('Monthly Data'!$E$13:$E$9627=$B$26)*('Monthly Data'!$F$13:$F$9627)*('Monthly Data'!$C$13:$C$9627=G$26)*('Monthly Data'!$D$13:$D$9627=$B36))</f>
        <v>233205</v>
      </c>
      <c r="H36" s="80">
        <f>SUMPRODUCT(('Monthly Data'!$E$13:$E$9627=$B$26)*('Monthly Data'!$F$13:$F$9627)*('Monthly Data'!$C$13:$C$9627=H$26)*('Monthly Data'!$D$13:$D$9627=$B36))</f>
        <v>244826</v>
      </c>
      <c r="I36" s="80">
        <f>SUMPRODUCT(('Monthly Data'!$E$13:$E$9627=$B$26)*('Monthly Data'!$F$13:$F$9627)*('Monthly Data'!$C$13:$C$9627=I$26)*('Monthly Data'!$D$13:$D$9627=$B36))</f>
        <v>261252</v>
      </c>
      <c r="J36" s="80">
        <f>SUMPRODUCT(('Monthly Data'!$E$13:$E$9627=$B$26)*('Monthly Data'!$F$13:$F$9627)*('Monthly Data'!$C$13:$C$9627=J$26)*('Monthly Data'!$D$13:$D$9627=$B36))</f>
        <v>298358</v>
      </c>
      <c r="K36" s="80">
        <f>SUMPRODUCT(('Monthly Data'!$E$13:$E$9627=$B$26)*('Monthly Data'!$F$13:$F$9627)*('Monthly Data'!$C$13:$C$9627=K$26)*('Monthly Data'!$D$13:$D$9627=$B36))</f>
        <v>317435</v>
      </c>
      <c r="L36" s="80">
        <f>SUMPRODUCT(('Monthly Data'!$E$13:$E$9627=$B$26)*('Monthly Data'!$F$13:$F$9627)*('Monthly Data'!$C$13:$C$9627=L$26)*('Monthly Data'!$D$13:$D$9627=$B36))</f>
        <v>300654</v>
      </c>
      <c r="M36" s="80">
        <f>SUMPRODUCT(('Monthly Data'!$E$13:$E$9627=$B$26)*('Monthly Data'!$F$13:$F$9627)*('Monthly Data'!$C$13:$C$9627=M$26)*('Monthly Data'!$D$13:$D$9627=$B36))</f>
        <v>275718</v>
      </c>
      <c r="N36" s="80">
        <f>SUMPRODUCT(('Monthly Data'!$E$13:$E$9627=$B$26)*('Monthly Data'!$F$13:$F$9627)*('Monthly Data'!$C$13:$C$9627=N$26)*('Monthly Data'!$D$13:$D$9627=$B36))</f>
        <v>262318</v>
      </c>
      <c r="O36" s="80">
        <f>SUMPRODUCT(('Monthly Data'!$E$13:$E$9627=$B$26)*('Monthly Data'!$F$13:$F$9627)*('Monthly Data'!$C$13:$C$9627=O$26)*('Monthly Data'!$D$13:$D$9627=$B36))</f>
        <v>281299</v>
      </c>
      <c r="P36" s="80">
        <f>SUMPRODUCT(('Monthly Data'!$E$13:$E$9627=$B$26)*('Monthly Data'!$F$13:$F$9627)*('Monthly Data'!$C$13:$C$9627=P$26)*('Monthly Data'!$D$13:$D$9627=$B36))</f>
        <v>313890</v>
      </c>
      <c r="Q36" s="80">
        <f>SUMPRODUCT(('Monthly Data'!$E$13:$E$9627=$B$26)*('Monthly Data'!$F$13:$F$9627)*('Monthly Data'!$C$13:$C$9627=Q$26)*('Monthly Data'!$D$13:$D$9627=$B36))</f>
        <v>0</v>
      </c>
      <c r="S36" s="89">
        <f t="shared" si="0"/>
        <v>3371824</v>
      </c>
      <c r="U36" s="30">
        <v>10</v>
      </c>
      <c r="V36" s="95">
        <f>SUMPRODUCT(('Monthly Data'!$E$13:$E$9627=$U$26)*('Monthly Data'!$G$13:$G$9627)*('Monthly Data'!$C$13:$C$9627=V$26)*('Monthly Data'!$D$13:$D$9627=$U36))</f>
        <v>6337</v>
      </c>
      <c r="W36" s="95">
        <f>SUMPRODUCT(('Monthly Data'!$E$13:$E$9627=$U$26)*('Monthly Data'!$G$13:$G$9627)*('Monthly Data'!$C$13:$C$9627=W$26)*('Monthly Data'!$D$13:$D$9627=$U36))</f>
        <v>6945</v>
      </c>
      <c r="X36" s="80">
        <f>SUMPRODUCT(('Monthly Data'!$E$13:$E$9627=$U$26)*('Monthly Data'!$G$13:$G$9627)*('Monthly Data'!$C$13:$C$9627=X$26)*('Monthly Data'!$D$13:$D$9627=$U36))</f>
        <v>7298</v>
      </c>
      <c r="Y36" s="80">
        <f>SUMPRODUCT(('Monthly Data'!$E$13:$E$9627=$U$26)*('Monthly Data'!$G$13:$G$9627)*('Monthly Data'!$C$13:$C$9627=Y$26)*('Monthly Data'!$D$13:$D$9627=$U36))</f>
        <v>7097</v>
      </c>
      <c r="Z36" s="80">
        <f>SUMPRODUCT(('Monthly Data'!$E$13:$E$9627=$U$26)*('Monthly Data'!$G$13:$G$9627)*('Monthly Data'!$C$13:$C$9627=Z$26)*('Monthly Data'!$D$13:$D$9627=$U36))</f>
        <v>6807</v>
      </c>
      <c r="AA36" s="80">
        <f>SUMPRODUCT(('Monthly Data'!$E$13:$E$9627=$U$26)*('Monthly Data'!$G$13:$G$9627)*('Monthly Data'!$C$13:$C$9627=AA$26)*('Monthly Data'!$D$13:$D$9627=$U36))</f>
        <v>6877</v>
      </c>
      <c r="AB36" s="80">
        <f>SUMPRODUCT(('Monthly Data'!$E$13:$E$9627=$U$26)*('Monthly Data'!$G$13:$G$9627)*('Monthly Data'!$C$13:$C$9627=AB$26)*('Monthly Data'!$D$13:$D$9627=$U36))</f>
        <v>7815</v>
      </c>
      <c r="AC36" s="80">
        <f>SUMPRODUCT(('Monthly Data'!$E$13:$E$9627=$U$26)*('Monthly Data'!$G$13:$G$9627)*('Monthly Data'!$C$13:$C$9627=AC$26)*('Monthly Data'!$D$13:$D$9627=$U36))</f>
        <v>8815</v>
      </c>
      <c r="AD36" s="80">
        <f>SUMPRODUCT(('Monthly Data'!$E$13:$E$9627=$U$26)*('Monthly Data'!$G$13:$G$9627)*('Monthly Data'!$C$13:$C$9627=AD$26)*('Monthly Data'!$D$13:$D$9627=$U36))</f>
        <v>9439</v>
      </c>
      <c r="AE36" s="80">
        <f>SUMPRODUCT(('Monthly Data'!$E$13:$E$9627=$U$26)*('Monthly Data'!$G$13:$G$9627)*('Monthly Data'!$C$13:$C$9627=AE$26)*('Monthly Data'!$D$13:$D$9627=$U36))</f>
        <v>8765</v>
      </c>
      <c r="AF36" s="80">
        <f>SUMPRODUCT(('Monthly Data'!$E$13:$E$9627=$U$26)*('Monthly Data'!$G$13:$G$9627)*('Monthly Data'!$C$13:$C$9627=AF$26)*('Monthly Data'!$D$13:$D$9627=$U36))</f>
        <v>8303</v>
      </c>
      <c r="AG36" s="80">
        <f>SUMPRODUCT(('Monthly Data'!$E$13:$E$9627=$U$26)*('Monthly Data'!$G$13:$G$9627)*('Monthly Data'!$C$13:$C$9627=AG$26)*('Monthly Data'!$D$13:$D$9627=$U36))</f>
        <v>7676</v>
      </c>
      <c r="AH36" s="80">
        <f>SUMPRODUCT(('Monthly Data'!$E$13:$E$9627=$U$26)*('Monthly Data'!$G$13:$G$9627)*('Monthly Data'!$C$13:$C$9627=AH$26)*('Monthly Data'!$D$13:$D$9627=$U36))</f>
        <v>8043</v>
      </c>
      <c r="AI36" s="80">
        <f>SUMPRODUCT(('Monthly Data'!$E$13:$E$9627=$U$26)*('Monthly Data'!$G$13:$G$9627)*('Monthly Data'!$C$13:$C$9627=AI$26)*('Monthly Data'!$D$13:$D$9627=$U36))</f>
        <v>8882</v>
      </c>
      <c r="AJ36" s="80">
        <f>SUMPRODUCT(('Monthly Data'!$E$13:$E$9627=$U$26)*('Monthly Data'!$G$13:$G$9627)*('Monthly Data'!$C$13:$C$9627=AJ$26)*('Monthly Data'!$D$13:$D$9627=$U36))</f>
        <v>0</v>
      </c>
      <c r="AL36" s="89">
        <f t="shared" si="1"/>
        <v>100217</v>
      </c>
    </row>
    <row r="37" spans="2:38">
      <c r="B37" s="30">
        <v>11</v>
      </c>
      <c r="C37" s="95">
        <f>SUMPRODUCT(('Monthly Data'!$E$13:$E$9627=$B$26)*('Monthly Data'!$F$13:$F$9627)*('Monthly Data'!$C$13:$C$9627=C$26)*('Monthly Data'!$D$13:$D$9627=$B37))</f>
        <v>186712</v>
      </c>
      <c r="D37" s="95">
        <f>SUMPRODUCT(('Monthly Data'!$E$13:$E$9627=$B$26)*('Monthly Data'!$F$13:$F$9627)*('Monthly Data'!$C$13:$C$9627=D$26)*('Monthly Data'!$D$13:$D$9627=$B37))</f>
        <v>206623</v>
      </c>
      <c r="E37" s="80">
        <f>SUMPRODUCT(('Monthly Data'!$E$13:$E$9627=$B$26)*('Monthly Data'!$F$13:$F$9627)*('Monthly Data'!$C$13:$C$9627=E$26)*('Monthly Data'!$D$13:$D$9627=$B37))</f>
        <v>198816</v>
      </c>
      <c r="F37" s="80">
        <f>SUMPRODUCT(('Monthly Data'!$E$13:$E$9627=$B$26)*('Monthly Data'!$F$13:$F$9627)*('Monthly Data'!$C$13:$C$9627=F$26)*('Monthly Data'!$D$13:$D$9627=$B37))</f>
        <v>201718</v>
      </c>
      <c r="G37" s="80">
        <f>SUMPRODUCT(('Monthly Data'!$E$13:$E$9627=$B$26)*('Monthly Data'!$F$13:$F$9627)*('Monthly Data'!$C$13:$C$9627=G$26)*('Monthly Data'!$D$13:$D$9627=$B37))</f>
        <v>195117</v>
      </c>
      <c r="H37" s="80">
        <f>SUMPRODUCT(('Monthly Data'!$E$13:$E$9627=$B$26)*('Monthly Data'!$F$13:$F$9627)*('Monthly Data'!$C$13:$C$9627=H$26)*('Monthly Data'!$D$13:$D$9627=$B37))</f>
        <v>216798</v>
      </c>
      <c r="I37" s="80">
        <f>SUMPRODUCT(('Monthly Data'!$E$13:$E$9627=$B$26)*('Monthly Data'!$F$13:$F$9627)*('Monthly Data'!$C$13:$C$9627=I$26)*('Monthly Data'!$D$13:$D$9627=$B37))</f>
        <v>235946</v>
      </c>
      <c r="J37" s="80">
        <f>SUMPRODUCT(('Monthly Data'!$E$13:$E$9627=$B$26)*('Monthly Data'!$F$13:$F$9627)*('Monthly Data'!$C$13:$C$9627=J$26)*('Monthly Data'!$D$13:$D$9627=$B37))</f>
        <v>277500</v>
      </c>
      <c r="K37" s="80">
        <f>SUMPRODUCT(('Monthly Data'!$E$13:$E$9627=$B$26)*('Monthly Data'!$F$13:$F$9627)*('Monthly Data'!$C$13:$C$9627=K$26)*('Monthly Data'!$D$13:$D$9627=$B37))</f>
        <v>270074</v>
      </c>
      <c r="L37" s="80">
        <f>SUMPRODUCT(('Monthly Data'!$E$13:$E$9627=$B$26)*('Monthly Data'!$F$13:$F$9627)*('Monthly Data'!$C$13:$C$9627=L$26)*('Monthly Data'!$D$13:$D$9627=$B37))</f>
        <v>239299</v>
      </c>
      <c r="M37" s="80">
        <f>SUMPRODUCT(('Monthly Data'!$E$13:$E$9627=$B$26)*('Monthly Data'!$F$13:$F$9627)*('Monthly Data'!$C$13:$C$9627=M$26)*('Monthly Data'!$D$13:$D$9627=$B37))</f>
        <v>229060</v>
      </c>
      <c r="N37" s="80">
        <f>SUMPRODUCT(('Monthly Data'!$E$13:$E$9627=$B$26)*('Monthly Data'!$F$13:$F$9627)*('Monthly Data'!$C$13:$C$9627=N$26)*('Monthly Data'!$D$13:$D$9627=$B37))</f>
        <v>225102</v>
      </c>
      <c r="O37" s="80">
        <f>SUMPRODUCT(('Monthly Data'!$E$13:$E$9627=$B$26)*('Monthly Data'!$F$13:$F$9627)*('Monthly Data'!$C$13:$C$9627=O$26)*('Monthly Data'!$D$13:$D$9627=$B37))</f>
        <v>260653</v>
      </c>
      <c r="P37" s="80">
        <f>SUMPRODUCT(('Monthly Data'!$E$13:$E$9627=$B$26)*('Monthly Data'!$F$13:$F$9627)*('Monthly Data'!$C$13:$C$9627=P$26)*('Monthly Data'!$D$13:$D$9627=$B37))</f>
        <v>269170</v>
      </c>
      <c r="Q37" s="80">
        <f>SUMPRODUCT(('Monthly Data'!$E$13:$E$9627=$B$26)*('Monthly Data'!$F$13:$F$9627)*('Monthly Data'!$C$13:$C$9627=Q$26)*('Monthly Data'!$D$13:$D$9627=$B37))</f>
        <v>0</v>
      </c>
      <c r="S37" s="89">
        <f t="shared" si="0"/>
        <v>2943418</v>
      </c>
      <c r="U37" s="30">
        <v>11</v>
      </c>
      <c r="V37" s="95">
        <f>SUMPRODUCT(('Monthly Data'!$E$13:$E$9627=$U$26)*('Monthly Data'!$G$13:$G$9627)*('Monthly Data'!$C$13:$C$9627=V$26)*('Monthly Data'!$D$13:$D$9627=$U37))</f>
        <v>6095</v>
      </c>
      <c r="W37" s="95">
        <f>SUMPRODUCT(('Monthly Data'!$E$13:$E$9627=$U$26)*('Monthly Data'!$G$13:$G$9627)*('Monthly Data'!$C$13:$C$9627=W$26)*('Monthly Data'!$D$13:$D$9627=$U37))</f>
        <v>6936</v>
      </c>
      <c r="X37" s="80">
        <f>SUMPRODUCT(('Monthly Data'!$E$13:$E$9627=$U$26)*('Monthly Data'!$G$13:$G$9627)*('Monthly Data'!$C$13:$C$9627=X$26)*('Monthly Data'!$D$13:$D$9627=$U37))</f>
        <v>7012</v>
      </c>
      <c r="Y37" s="80">
        <f>SUMPRODUCT(('Monthly Data'!$E$13:$E$9627=$U$26)*('Monthly Data'!$G$13:$G$9627)*('Monthly Data'!$C$13:$C$9627=Y$26)*('Monthly Data'!$D$13:$D$9627=$U37))</f>
        <v>6458</v>
      </c>
      <c r="Z37" s="80">
        <f>SUMPRODUCT(('Monthly Data'!$E$13:$E$9627=$U$26)*('Monthly Data'!$G$13:$G$9627)*('Monthly Data'!$C$13:$C$9627=Z$26)*('Monthly Data'!$D$13:$D$9627=$U37))</f>
        <v>6136</v>
      </c>
      <c r="AA37" s="80">
        <f>SUMPRODUCT(('Monthly Data'!$E$13:$E$9627=$U$26)*('Monthly Data'!$G$13:$G$9627)*('Monthly Data'!$C$13:$C$9627=AA$26)*('Monthly Data'!$D$13:$D$9627=$U37))</f>
        <v>7102</v>
      </c>
      <c r="AB37" s="80">
        <f>SUMPRODUCT(('Monthly Data'!$E$13:$E$9627=$U$26)*('Monthly Data'!$G$13:$G$9627)*('Monthly Data'!$C$13:$C$9627=AB$26)*('Monthly Data'!$D$13:$D$9627=$U37))</f>
        <v>7849</v>
      </c>
      <c r="AC37" s="80">
        <f>SUMPRODUCT(('Monthly Data'!$E$13:$E$9627=$U$26)*('Monthly Data'!$G$13:$G$9627)*('Monthly Data'!$C$13:$C$9627=AC$26)*('Monthly Data'!$D$13:$D$9627=$U37))</f>
        <v>8914</v>
      </c>
      <c r="AD37" s="80">
        <f>SUMPRODUCT(('Monthly Data'!$E$13:$E$9627=$U$26)*('Monthly Data'!$G$13:$G$9627)*('Monthly Data'!$C$13:$C$9627=AD$26)*('Monthly Data'!$D$13:$D$9627=$U37))</f>
        <v>8577</v>
      </c>
      <c r="AE37" s="80">
        <f>SUMPRODUCT(('Monthly Data'!$E$13:$E$9627=$U$26)*('Monthly Data'!$G$13:$G$9627)*('Monthly Data'!$C$13:$C$9627=AE$26)*('Monthly Data'!$D$13:$D$9627=$U37))</f>
        <v>7544</v>
      </c>
      <c r="AF37" s="80">
        <f>SUMPRODUCT(('Monthly Data'!$E$13:$E$9627=$U$26)*('Monthly Data'!$G$13:$G$9627)*('Monthly Data'!$C$13:$C$9627=AF$26)*('Monthly Data'!$D$13:$D$9627=$U37))</f>
        <v>7585</v>
      </c>
      <c r="AG37" s="80">
        <f>SUMPRODUCT(('Monthly Data'!$E$13:$E$9627=$U$26)*('Monthly Data'!$G$13:$G$9627)*('Monthly Data'!$C$13:$C$9627=AG$26)*('Monthly Data'!$D$13:$D$9627=$U37))</f>
        <v>7047</v>
      </c>
      <c r="AH37" s="80">
        <f>SUMPRODUCT(('Monthly Data'!$E$13:$E$9627=$U$26)*('Monthly Data'!$G$13:$G$9627)*('Monthly Data'!$C$13:$C$9627=AH$26)*('Monthly Data'!$D$13:$D$9627=$U37))</f>
        <v>8382</v>
      </c>
      <c r="AI37" s="80">
        <f>SUMPRODUCT(('Monthly Data'!$E$13:$E$9627=$U$26)*('Monthly Data'!$G$13:$G$9627)*('Monthly Data'!$C$13:$C$9627=AI$26)*('Monthly Data'!$D$13:$D$9627=$U37))</f>
        <v>7619</v>
      </c>
      <c r="AJ37" s="80">
        <f>SUMPRODUCT(('Monthly Data'!$E$13:$E$9627=$U$26)*('Monthly Data'!$G$13:$G$9627)*('Monthly Data'!$C$13:$C$9627=AJ$26)*('Monthly Data'!$D$13:$D$9627=$U37))</f>
        <v>0</v>
      </c>
      <c r="AL37" s="89">
        <f t="shared" si="1"/>
        <v>95637</v>
      </c>
    </row>
    <row r="38" spans="2:38">
      <c r="B38" s="30">
        <v>12</v>
      </c>
      <c r="C38" s="95">
        <f>SUMPRODUCT(('Monthly Data'!$E$13:$E$9627=$B$26)*('Monthly Data'!$F$13:$F$9627)*('Monthly Data'!$C$13:$C$9627=C$26)*('Monthly Data'!$D$13:$D$9627=$B38))</f>
        <v>174447</v>
      </c>
      <c r="D38" s="95">
        <f>SUMPRODUCT(('Monthly Data'!$E$13:$E$9627=$B$26)*('Monthly Data'!$F$13:$F$9627)*('Monthly Data'!$C$13:$C$9627=D$26)*('Monthly Data'!$D$13:$D$9627=$B38))</f>
        <v>190354</v>
      </c>
      <c r="E38" s="80">
        <f>SUMPRODUCT(('Monthly Data'!$E$13:$E$9627=$B$26)*('Monthly Data'!$F$13:$F$9627)*('Monthly Data'!$C$13:$C$9627=E$26)*('Monthly Data'!$D$13:$D$9627=$B38))</f>
        <v>178027</v>
      </c>
      <c r="F38" s="80">
        <f>SUMPRODUCT(('Monthly Data'!$E$13:$E$9627=$B$26)*('Monthly Data'!$F$13:$F$9627)*('Monthly Data'!$C$13:$C$9627=F$26)*('Monthly Data'!$D$13:$D$9627=$B38))</f>
        <v>190775</v>
      </c>
      <c r="G38" s="80">
        <f>SUMPRODUCT(('Monthly Data'!$E$13:$E$9627=$B$26)*('Monthly Data'!$F$13:$F$9627)*('Monthly Data'!$C$13:$C$9627=G$26)*('Monthly Data'!$D$13:$D$9627=$B38))</f>
        <v>189607</v>
      </c>
      <c r="H38" s="80">
        <f>SUMPRODUCT(('Monthly Data'!$E$13:$E$9627=$B$26)*('Monthly Data'!$F$13:$F$9627)*('Monthly Data'!$C$13:$C$9627=H$26)*('Monthly Data'!$D$13:$D$9627=$B38))</f>
        <v>206593</v>
      </c>
      <c r="I38" s="80">
        <f>SUMPRODUCT(('Monthly Data'!$E$13:$E$9627=$B$26)*('Monthly Data'!$F$13:$F$9627)*('Monthly Data'!$C$13:$C$9627=I$26)*('Monthly Data'!$D$13:$D$9627=$B38))</f>
        <v>227651</v>
      </c>
      <c r="J38" s="80">
        <f>SUMPRODUCT(('Monthly Data'!$E$13:$E$9627=$B$26)*('Monthly Data'!$F$13:$F$9627)*('Monthly Data'!$C$13:$C$9627=J$26)*('Monthly Data'!$D$13:$D$9627=$B38))</f>
        <v>249454</v>
      </c>
      <c r="K38" s="80">
        <f>SUMPRODUCT(('Monthly Data'!$E$13:$E$9627=$B$26)*('Monthly Data'!$F$13:$F$9627)*('Monthly Data'!$C$13:$C$9627=K$26)*('Monthly Data'!$D$13:$D$9627=$B38))</f>
        <v>242818</v>
      </c>
      <c r="L38" s="80">
        <f>SUMPRODUCT(('Monthly Data'!$E$13:$E$9627=$B$26)*('Monthly Data'!$F$13:$F$9627)*('Monthly Data'!$C$13:$C$9627=L$26)*('Monthly Data'!$D$13:$D$9627=$B38))</f>
        <v>236352</v>
      </c>
      <c r="M38" s="80">
        <f>SUMPRODUCT(('Monthly Data'!$E$13:$E$9627=$B$26)*('Monthly Data'!$F$13:$F$9627)*('Monthly Data'!$C$13:$C$9627=M$26)*('Monthly Data'!$D$13:$D$9627=$B38))</f>
        <v>214123</v>
      </c>
      <c r="N38" s="80">
        <f>SUMPRODUCT(('Monthly Data'!$E$13:$E$9627=$B$26)*('Monthly Data'!$F$13:$F$9627)*('Monthly Data'!$C$13:$C$9627=N$26)*('Monthly Data'!$D$13:$D$9627=$B38))</f>
        <v>195933</v>
      </c>
      <c r="O38" s="80">
        <f>SUMPRODUCT(('Monthly Data'!$E$13:$E$9627=$B$26)*('Monthly Data'!$F$13:$F$9627)*('Monthly Data'!$C$13:$C$9627=O$26)*('Monthly Data'!$D$13:$D$9627=$B38))</f>
        <v>233018</v>
      </c>
      <c r="P38" s="80">
        <f>SUMPRODUCT(('Monthly Data'!$E$13:$E$9627=$B$26)*('Monthly Data'!$F$13:$F$9627)*('Monthly Data'!$C$13:$C$9627=P$26)*('Monthly Data'!$D$13:$D$9627=$B38))</f>
        <v>239390</v>
      </c>
      <c r="Q38" s="80">
        <f>SUMPRODUCT(('Monthly Data'!$E$13:$E$9627=$B$26)*('Monthly Data'!$F$13:$F$9627)*('Monthly Data'!$C$13:$C$9627=Q$26)*('Monthly Data'!$D$13:$D$9627=$B38))</f>
        <v>0</v>
      </c>
      <c r="S38" s="89">
        <f t="shared" si="0"/>
        <v>2729152</v>
      </c>
      <c r="U38" s="30">
        <v>12</v>
      </c>
      <c r="V38" s="95">
        <f>SUMPRODUCT(('Monthly Data'!$E$13:$E$9627=$U$26)*('Monthly Data'!$G$13:$G$9627)*('Monthly Data'!$C$13:$C$9627=V$26)*('Monthly Data'!$D$13:$D$9627=$U38))</f>
        <v>5917</v>
      </c>
      <c r="W38" s="95">
        <f>SUMPRODUCT(('Monthly Data'!$E$13:$E$9627=$U$26)*('Monthly Data'!$G$13:$G$9627)*('Monthly Data'!$C$13:$C$9627=W$26)*('Monthly Data'!$D$13:$D$9627=$U38))</f>
        <v>6268</v>
      </c>
      <c r="X38" s="80">
        <f>SUMPRODUCT(('Monthly Data'!$E$13:$E$9627=$U$26)*('Monthly Data'!$G$13:$G$9627)*('Monthly Data'!$C$13:$C$9627=X$26)*('Monthly Data'!$D$13:$D$9627=$U38))</f>
        <v>6259</v>
      </c>
      <c r="Y38" s="80">
        <f>SUMPRODUCT(('Monthly Data'!$E$13:$E$9627=$U$26)*('Monthly Data'!$G$13:$G$9627)*('Monthly Data'!$C$13:$C$9627=Y$26)*('Monthly Data'!$D$13:$D$9627=$U38))</f>
        <v>6013</v>
      </c>
      <c r="Z38" s="80">
        <f>SUMPRODUCT(('Monthly Data'!$E$13:$E$9627=$U$26)*('Monthly Data'!$G$13:$G$9627)*('Monthly Data'!$C$13:$C$9627=Z$26)*('Monthly Data'!$D$13:$D$9627=$U38))</f>
        <v>6071</v>
      </c>
      <c r="AA38" s="80">
        <f>SUMPRODUCT(('Monthly Data'!$E$13:$E$9627=$U$26)*('Monthly Data'!$G$13:$G$9627)*('Monthly Data'!$C$13:$C$9627=AA$26)*('Monthly Data'!$D$13:$D$9627=$U38))</f>
        <v>6606</v>
      </c>
      <c r="AB38" s="80">
        <f>SUMPRODUCT(('Monthly Data'!$E$13:$E$9627=$U$26)*('Monthly Data'!$G$13:$G$9627)*('Monthly Data'!$C$13:$C$9627=AB$26)*('Monthly Data'!$D$13:$D$9627=$U38))</f>
        <v>7249</v>
      </c>
      <c r="AC38" s="80">
        <f>SUMPRODUCT(('Monthly Data'!$E$13:$E$9627=$U$26)*('Monthly Data'!$G$13:$G$9627)*('Monthly Data'!$C$13:$C$9627=AC$26)*('Monthly Data'!$D$13:$D$9627=$U38))</f>
        <v>7679</v>
      </c>
      <c r="AD38" s="80">
        <f>SUMPRODUCT(('Monthly Data'!$E$13:$E$9627=$U$26)*('Monthly Data'!$G$13:$G$9627)*('Monthly Data'!$C$13:$C$9627=AD$26)*('Monthly Data'!$D$13:$D$9627=$U38))</f>
        <v>7444</v>
      </c>
      <c r="AE38" s="80">
        <f>SUMPRODUCT(('Monthly Data'!$E$13:$E$9627=$U$26)*('Monthly Data'!$G$13:$G$9627)*('Monthly Data'!$C$13:$C$9627=AE$26)*('Monthly Data'!$D$13:$D$9627=$U38))</f>
        <v>7664</v>
      </c>
      <c r="AF38" s="80">
        <f>SUMPRODUCT(('Monthly Data'!$E$13:$E$9627=$U$26)*('Monthly Data'!$G$13:$G$9627)*('Monthly Data'!$C$13:$C$9627=AF$26)*('Monthly Data'!$D$13:$D$9627=$U38))</f>
        <v>7009</v>
      </c>
      <c r="AG38" s="80">
        <f>SUMPRODUCT(('Monthly Data'!$E$13:$E$9627=$U$26)*('Monthly Data'!$G$13:$G$9627)*('Monthly Data'!$C$13:$C$9627=AG$26)*('Monthly Data'!$D$13:$D$9627=$U38))</f>
        <v>6488</v>
      </c>
      <c r="AH38" s="80">
        <f>SUMPRODUCT(('Monthly Data'!$E$13:$E$9627=$U$26)*('Monthly Data'!$G$13:$G$9627)*('Monthly Data'!$C$13:$C$9627=AH$26)*('Monthly Data'!$D$13:$D$9627=$U38))</f>
        <v>7842</v>
      </c>
      <c r="AI38" s="80">
        <f>SUMPRODUCT(('Monthly Data'!$E$13:$E$9627=$U$26)*('Monthly Data'!$G$13:$G$9627)*('Monthly Data'!$C$13:$C$9627=AI$26)*('Monthly Data'!$D$13:$D$9627=$U38))</f>
        <v>6867</v>
      </c>
      <c r="AJ38" s="80">
        <f>SUMPRODUCT(('Monthly Data'!$E$13:$E$9627=$U$26)*('Monthly Data'!$G$13:$G$9627)*('Monthly Data'!$C$13:$C$9627=AJ$26)*('Monthly Data'!$D$13:$D$9627=$U38))</f>
        <v>0</v>
      </c>
      <c r="AL38" s="89">
        <f t="shared" si="1"/>
        <v>88509</v>
      </c>
    </row>
    <row r="39" spans="2:38">
      <c r="D39" s="90"/>
      <c r="S39" s="83"/>
      <c r="W39" s="90"/>
      <c r="AL39" s="83"/>
    </row>
    <row r="40" spans="2:38">
      <c r="B40" s="30" t="s">
        <v>106</v>
      </c>
      <c r="C40" s="97">
        <f t="shared" ref="C40:O40" si="2">SUM(C27:C38)</f>
        <v>2432506</v>
      </c>
      <c r="D40" s="97">
        <f t="shared" si="2"/>
        <v>2454196</v>
      </c>
      <c r="E40" s="89">
        <f t="shared" si="2"/>
        <v>2526161</v>
      </c>
      <c r="F40" s="89">
        <f t="shared" si="2"/>
        <v>2549333</v>
      </c>
      <c r="G40" s="89">
        <f t="shared" si="2"/>
        <v>2507878</v>
      </c>
      <c r="H40" s="89">
        <f t="shared" si="2"/>
        <v>2633808</v>
      </c>
      <c r="I40" s="89">
        <f t="shared" si="2"/>
        <v>2851784</v>
      </c>
      <c r="J40" s="89">
        <f t="shared" si="2"/>
        <v>3162624</v>
      </c>
      <c r="K40" s="89">
        <f t="shared" si="2"/>
        <v>3411140</v>
      </c>
      <c r="L40" s="89">
        <f t="shared" si="2"/>
        <v>3290236</v>
      </c>
      <c r="M40" s="89">
        <f t="shared" si="2"/>
        <v>2983793</v>
      </c>
      <c r="N40" s="89">
        <f t="shared" si="2"/>
        <v>2763491</v>
      </c>
      <c r="O40" s="89">
        <f t="shared" si="2"/>
        <v>3082575</v>
      </c>
      <c r="P40" s="89">
        <f>SUM(P27:P38)</f>
        <v>3328558</v>
      </c>
      <c r="Q40" s="89">
        <f>SUM(Q27:Q38)</f>
        <v>1004836</v>
      </c>
      <c r="S40" s="89">
        <f>SUM(D27:P38)</f>
        <v>37545577</v>
      </c>
      <c r="U40" s="30" t="s">
        <v>106</v>
      </c>
      <c r="V40" s="97">
        <f>SUM(V27:V38)</f>
        <v>78071</v>
      </c>
      <c r="W40" s="97">
        <f t="shared" ref="W40:AG40" si="3">SUM(W27:W38)</f>
        <v>78003</v>
      </c>
      <c r="X40" s="89">
        <f t="shared" si="3"/>
        <v>83291</v>
      </c>
      <c r="Y40" s="89">
        <f t="shared" si="3"/>
        <v>79516</v>
      </c>
      <c r="Z40" s="89">
        <f t="shared" si="3"/>
        <v>76818</v>
      </c>
      <c r="AA40" s="89">
        <f t="shared" si="3"/>
        <v>80684</v>
      </c>
      <c r="AB40" s="89">
        <f t="shared" si="3"/>
        <v>89480</v>
      </c>
      <c r="AC40" s="89">
        <f t="shared" si="3"/>
        <v>97863</v>
      </c>
      <c r="AD40" s="89">
        <f t="shared" si="3"/>
        <v>102835</v>
      </c>
      <c r="AE40" s="89">
        <f t="shared" si="3"/>
        <v>100169</v>
      </c>
      <c r="AF40" s="89">
        <f t="shared" si="3"/>
        <v>94386</v>
      </c>
      <c r="AG40" s="89">
        <f t="shared" si="3"/>
        <v>87950</v>
      </c>
      <c r="AH40" s="89">
        <f>SUM(AH27:AH38)</f>
        <v>95255</v>
      </c>
      <c r="AI40" s="89">
        <f>SUM(AI27:AI38)</f>
        <v>101167</v>
      </c>
      <c r="AJ40" s="89">
        <f>SUM(AJ27:AJ38)</f>
        <v>30280</v>
      </c>
      <c r="AL40" s="89">
        <f>SUM(V27:AH38)</f>
        <v>1144321</v>
      </c>
    </row>
    <row r="41" spans="2:38">
      <c r="D41" s="90"/>
      <c r="W41" s="90"/>
    </row>
    <row r="42" spans="2:38" ht="15">
      <c r="B42" s="88" t="s">
        <v>212</v>
      </c>
      <c r="C42" s="69">
        <v>1999</v>
      </c>
      <c r="D42" s="96">
        <v>2000</v>
      </c>
      <c r="E42" s="69">
        <v>2001</v>
      </c>
      <c r="F42" s="69">
        <v>2002</v>
      </c>
      <c r="G42" s="69">
        <v>2003</v>
      </c>
      <c r="H42" s="69">
        <v>2004</v>
      </c>
      <c r="I42" s="69">
        <v>2005</v>
      </c>
      <c r="J42" s="69">
        <v>2006</v>
      </c>
      <c r="K42" s="69">
        <v>2007</v>
      </c>
      <c r="L42" s="69">
        <v>2008</v>
      </c>
      <c r="M42" s="69">
        <v>2009</v>
      </c>
      <c r="N42" s="69">
        <v>2010</v>
      </c>
      <c r="O42" s="69">
        <v>2011</v>
      </c>
      <c r="P42" s="69">
        <v>2012</v>
      </c>
      <c r="Q42" s="69">
        <v>2013</v>
      </c>
      <c r="S42" s="69" t="s">
        <v>106</v>
      </c>
      <c r="U42" s="88" t="s">
        <v>212</v>
      </c>
      <c r="V42" s="69">
        <v>1999</v>
      </c>
      <c r="W42" s="96">
        <v>2000</v>
      </c>
      <c r="X42" s="69">
        <v>2001</v>
      </c>
      <c r="Y42" s="69">
        <v>2002</v>
      </c>
      <c r="Z42" s="69">
        <v>2003</v>
      </c>
      <c r="AA42" s="69">
        <v>2004</v>
      </c>
      <c r="AB42" s="69">
        <v>2005</v>
      </c>
      <c r="AC42" s="69">
        <v>2006</v>
      </c>
      <c r="AD42" s="69">
        <v>2007</v>
      </c>
      <c r="AE42" s="69">
        <v>2008</v>
      </c>
      <c r="AF42" s="69">
        <v>2009</v>
      </c>
      <c r="AG42" s="69">
        <v>2010</v>
      </c>
      <c r="AH42" s="69">
        <v>2011</v>
      </c>
      <c r="AI42" s="69">
        <v>2012</v>
      </c>
      <c r="AJ42" s="69">
        <v>2013</v>
      </c>
      <c r="AL42" s="69" t="s">
        <v>106</v>
      </c>
    </row>
    <row r="43" spans="2:38">
      <c r="B43" s="30">
        <v>1</v>
      </c>
      <c r="C43" s="95">
        <f>SUMPRODUCT(('Monthly Data'!$E$13:$E$9627=$B$42)*('Monthly Data'!$F$13:$F$9627)*('Monthly Data'!$C$13:$C$9627=C$26)*('Monthly Data'!$D$13:$D$9627=$B43))</f>
        <v>397383</v>
      </c>
      <c r="D43" s="95">
        <f>SUMPRODUCT(('Monthly Data'!$E$13:$E$9627=$B$42)*('Monthly Data'!$F$13:$F$9627)*('Monthly Data'!$C$13:$C$9627=D$26)*('Monthly Data'!$D$13:$D$9627=$B43))</f>
        <v>392509</v>
      </c>
      <c r="E43" s="80">
        <f>SUMPRODUCT(('Monthly Data'!$E$13:$E$9627=$B$42)*('Monthly Data'!$F$13:$F$9627)*('Monthly Data'!$C$13:$C$9627=E$26)*('Monthly Data'!$D$13:$D$9627=$B43))</f>
        <v>457933</v>
      </c>
      <c r="F43" s="80">
        <f>SUMPRODUCT(('Monthly Data'!$E$13:$E$9627=$B$42)*('Monthly Data'!$F$13:$F$9627)*('Monthly Data'!$C$13:$C$9627=F$26)*('Monthly Data'!$D$13:$D$9627=$B43))</f>
        <v>402623</v>
      </c>
      <c r="G43" s="80">
        <f>SUMPRODUCT(('Monthly Data'!$E$13:$E$9627=$B$42)*('Monthly Data'!$F$13:$F$9627)*('Monthly Data'!$C$13:$C$9627=G$26)*('Monthly Data'!$D$13:$D$9627=$B43))</f>
        <v>505483</v>
      </c>
      <c r="H43" s="80">
        <f>SUMPRODUCT(('Monthly Data'!$E$13:$E$9627=$B$42)*('Monthly Data'!$F$13:$F$9627)*('Monthly Data'!$C$13:$C$9627=H$26)*('Monthly Data'!$D$13:$D$9627=$B43))</f>
        <v>533333</v>
      </c>
      <c r="I43" s="80">
        <f>SUMPRODUCT(('Monthly Data'!$E$13:$E$9627=$B$42)*('Monthly Data'!$F$13:$F$9627)*('Monthly Data'!$C$13:$C$9627=I$26)*('Monthly Data'!$D$13:$D$9627=$B43))</f>
        <v>530435</v>
      </c>
      <c r="J43" s="80">
        <f>SUMPRODUCT(('Monthly Data'!$E$13:$E$9627=$B$42)*('Monthly Data'!$F$13:$F$9627)*('Monthly Data'!$C$13:$C$9627=J$26)*('Monthly Data'!$D$13:$D$9627=$B43))</f>
        <v>559024</v>
      </c>
      <c r="K43" s="80">
        <f>SUMPRODUCT(('Monthly Data'!$E$13:$E$9627=$B$42)*('Monthly Data'!$F$13:$F$9627)*('Monthly Data'!$C$13:$C$9627=K$26)*('Monthly Data'!$D$13:$D$9627=$B43))</f>
        <v>565421</v>
      </c>
      <c r="L43" s="80">
        <f>SUMPRODUCT(('Monthly Data'!$E$13:$E$9627=$B$42)*('Monthly Data'!$F$13:$F$9627)*('Monthly Data'!$C$13:$C$9627=L$26)*('Monthly Data'!$D$13:$D$9627=$B43))</f>
        <v>568088</v>
      </c>
      <c r="M43" s="80">
        <f>SUMPRODUCT(('Monthly Data'!$E$13:$E$9627=$B$42)*('Monthly Data'!$F$13:$F$9627)*('Monthly Data'!$C$13:$C$9627=M$26)*('Monthly Data'!$D$13:$D$9627=$B43))</f>
        <v>561184</v>
      </c>
      <c r="N43" s="80">
        <f>SUMPRODUCT(('Monthly Data'!$E$13:$E$9627=$B$42)*('Monthly Data'!$F$13:$F$9627)*('Monthly Data'!$C$13:$C$9627=N$26)*('Monthly Data'!$D$13:$D$9627=$B43))</f>
        <v>518958</v>
      </c>
      <c r="O43" s="80">
        <f>SUMPRODUCT(('Monthly Data'!$E$13:$E$9627=$B$42)*('Monthly Data'!$F$13:$F$9627)*('Monthly Data'!$C$13:$C$9627=O$26)*('Monthly Data'!$D$13:$D$9627=$B43))</f>
        <v>522473</v>
      </c>
      <c r="P43" s="80">
        <f>SUMPRODUCT(('Monthly Data'!$E$13:$E$9627=$B$42)*('Monthly Data'!$F$13:$F$9627)*('Monthly Data'!$C$13:$C$9627=P$26)*('Monthly Data'!$D$13:$D$9627=$B43))</f>
        <v>501328</v>
      </c>
      <c r="Q43" s="80">
        <f>SUMPRODUCT(('Monthly Data'!$E$13:$E$9627=$B$42)*('Monthly Data'!$F$13:$F$9627)*('Monthly Data'!$C$13:$C$9627=Q$26)*('Monthly Data'!$D$13:$D$9627=$B43))</f>
        <v>495880</v>
      </c>
      <c r="S43" s="89">
        <f>SUM(C43:O43)</f>
        <v>6514847</v>
      </c>
      <c r="U43" s="30">
        <v>1</v>
      </c>
      <c r="V43" s="95">
        <f>SUMPRODUCT(('Monthly Data'!$E$13:$E$9627=$U$42)*('Monthly Data'!$G$13:$G$9627)*('Monthly Data'!$C$13:$C$9627=V$26)*('Monthly Data'!$D$13:$D$9627=$U43))</f>
        <v>6785</v>
      </c>
      <c r="W43" s="95">
        <f>SUMPRODUCT(('Monthly Data'!$E$13:$E$9627=$U$42)*('Monthly Data'!$G$13:$G$9627)*('Monthly Data'!$C$13:$C$9627=W$26)*('Monthly Data'!$D$13:$D$9627=$U43))</f>
        <v>7495</v>
      </c>
      <c r="X43" s="80">
        <f>SUMPRODUCT(('Monthly Data'!$E$13:$E$9627=$U$42)*('Monthly Data'!$G$13:$G$9627)*('Monthly Data'!$C$13:$C$9627=X$26)*('Monthly Data'!$D$13:$D$9627=$U43))</f>
        <v>8440</v>
      </c>
      <c r="Y43" s="80">
        <f>SUMPRODUCT(('Monthly Data'!$E$13:$E$9627=$U$42)*('Monthly Data'!$G$13:$G$9627)*('Monthly Data'!$C$13:$C$9627=Y$26)*('Monthly Data'!$D$13:$D$9627=$U43))</f>
        <v>7599</v>
      </c>
      <c r="Z43" s="80">
        <f>SUMPRODUCT(('Monthly Data'!$E$13:$E$9627=$U$42)*('Monthly Data'!$G$13:$G$9627)*('Monthly Data'!$C$13:$C$9627=Z$26)*('Monthly Data'!$D$13:$D$9627=$U43))</f>
        <v>8856</v>
      </c>
      <c r="AA43" s="80">
        <f>SUMPRODUCT(('Monthly Data'!$E$13:$E$9627=$U$42)*('Monthly Data'!$G$13:$G$9627)*('Monthly Data'!$C$13:$C$9627=AA$26)*('Monthly Data'!$D$13:$D$9627=$U43))</f>
        <v>8663</v>
      </c>
      <c r="AB43" s="80">
        <f>SUMPRODUCT(('Monthly Data'!$E$13:$E$9627=$U$42)*('Monthly Data'!$G$13:$G$9627)*('Monthly Data'!$C$13:$C$9627=AB$26)*('Monthly Data'!$D$13:$D$9627=$U43))</f>
        <v>8008</v>
      </c>
      <c r="AC43" s="80">
        <f>SUMPRODUCT(('Monthly Data'!$E$13:$E$9627=$U$42)*('Monthly Data'!$G$13:$G$9627)*('Monthly Data'!$C$13:$C$9627=AC$26)*('Monthly Data'!$D$13:$D$9627=$U43))</f>
        <v>8112</v>
      </c>
      <c r="AD43" s="80">
        <f>SUMPRODUCT(('Monthly Data'!$E$13:$E$9627=$U$42)*('Monthly Data'!$G$13:$G$9627)*('Monthly Data'!$C$13:$C$9627=AD$26)*('Monthly Data'!$D$13:$D$9627=$U43))</f>
        <v>8171</v>
      </c>
      <c r="AE43" s="80">
        <f>SUMPRODUCT(('Monthly Data'!$E$13:$E$9627=$U$42)*('Monthly Data'!$G$13:$G$9627)*('Monthly Data'!$C$13:$C$9627=AE$26)*('Monthly Data'!$D$13:$D$9627=$U43))</f>
        <v>7577</v>
      </c>
      <c r="AF43" s="80">
        <f>SUMPRODUCT(('Monthly Data'!$E$13:$E$9627=$U$42)*('Monthly Data'!$G$13:$G$9627)*('Monthly Data'!$C$13:$C$9627=AF$26)*('Monthly Data'!$D$13:$D$9627=$U43))</f>
        <v>7121</v>
      </c>
      <c r="AG43" s="80">
        <f>SUMPRODUCT(('Monthly Data'!$E$13:$E$9627=$U$42)*('Monthly Data'!$G$13:$G$9627)*('Monthly Data'!$C$13:$C$9627=AG$26)*('Monthly Data'!$D$13:$D$9627=$U43))</f>
        <v>6131</v>
      </c>
      <c r="AH43" s="80">
        <f>SUMPRODUCT(('Monthly Data'!$E$13:$E$9627=$U$42)*('Monthly Data'!$G$13:$G$9627)*('Monthly Data'!$C$13:$C$9627=AH$26)*('Monthly Data'!$D$13:$D$9627=$U43))</f>
        <v>5969</v>
      </c>
      <c r="AI43" s="80">
        <f>SUMPRODUCT(('Monthly Data'!$E$13:$E$9627=$U$42)*('Monthly Data'!$G$13:$G$9627)*('Monthly Data'!$C$13:$C$9627=AI$26)*('Monthly Data'!$D$13:$D$9627=$U43))</f>
        <v>5663</v>
      </c>
      <c r="AJ43" s="80">
        <f>SUMPRODUCT(('Monthly Data'!$E$13:$E$9627=$U$42)*('Monthly Data'!$G$13:$G$9627)*('Monthly Data'!$C$13:$C$9627=AJ$26)*('Monthly Data'!$D$13:$D$9627=$U43))</f>
        <v>5355</v>
      </c>
      <c r="AL43" s="89">
        <f>SUM(V43:AH43)</f>
        <v>98927</v>
      </c>
    </row>
    <row r="44" spans="2:38">
      <c r="B44" s="30">
        <v>2</v>
      </c>
      <c r="C44" s="95">
        <f>SUMPRODUCT(('Monthly Data'!$E$13:$E$9627=$B$42)*('Monthly Data'!$F$13:$F$9627)*('Monthly Data'!$C$13:$C$9627=C$26)*('Monthly Data'!$D$13:$D$9627=$B44))</f>
        <v>422714</v>
      </c>
      <c r="D44" s="95">
        <f>SUMPRODUCT(('Monthly Data'!$E$13:$E$9627=$B$42)*('Monthly Data'!$F$13:$F$9627)*('Monthly Data'!$C$13:$C$9627=D$26)*('Monthly Data'!$D$13:$D$9627=$B44))</f>
        <v>452006</v>
      </c>
      <c r="E44" s="80">
        <f>SUMPRODUCT(('Monthly Data'!$E$13:$E$9627=$B$42)*('Monthly Data'!$F$13:$F$9627)*('Monthly Data'!$C$13:$C$9627=E$26)*('Monthly Data'!$D$13:$D$9627=$B44))</f>
        <v>486931</v>
      </c>
      <c r="F44" s="80">
        <f>SUMPRODUCT(('Monthly Data'!$E$13:$E$9627=$B$42)*('Monthly Data'!$F$13:$F$9627)*('Monthly Data'!$C$13:$C$9627=F$26)*('Monthly Data'!$D$13:$D$9627=$B44))</f>
        <v>467660</v>
      </c>
      <c r="G44" s="80">
        <f>SUMPRODUCT(('Monthly Data'!$E$13:$E$9627=$B$42)*('Monthly Data'!$F$13:$F$9627)*('Monthly Data'!$C$13:$C$9627=G$26)*('Monthly Data'!$D$13:$D$9627=$B44))</f>
        <v>541876</v>
      </c>
      <c r="H44" s="80">
        <f>SUMPRODUCT(('Monthly Data'!$E$13:$E$9627=$B$42)*('Monthly Data'!$F$13:$F$9627)*('Monthly Data'!$C$13:$C$9627=H$26)*('Monthly Data'!$D$13:$D$9627=$B44))</f>
        <v>591695</v>
      </c>
      <c r="I44" s="80">
        <f>SUMPRODUCT(('Monthly Data'!$E$13:$E$9627=$B$42)*('Monthly Data'!$F$13:$F$9627)*('Monthly Data'!$C$13:$C$9627=I$26)*('Monthly Data'!$D$13:$D$9627=$B44))</f>
        <v>567571</v>
      </c>
      <c r="J44" s="80">
        <f>SUMPRODUCT(('Monthly Data'!$E$13:$E$9627=$B$42)*('Monthly Data'!$F$13:$F$9627)*('Monthly Data'!$C$13:$C$9627=J$26)*('Monthly Data'!$D$13:$D$9627=$B44))</f>
        <v>593387</v>
      </c>
      <c r="K44" s="80">
        <f>SUMPRODUCT(('Monthly Data'!$E$13:$E$9627=$B$42)*('Monthly Data'!$F$13:$F$9627)*('Monthly Data'!$C$13:$C$9627=K$26)*('Monthly Data'!$D$13:$D$9627=$B44))</f>
        <v>572028</v>
      </c>
      <c r="L44" s="80">
        <f>SUMPRODUCT(('Monthly Data'!$E$13:$E$9627=$B$42)*('Monthly Data'!$F$13:$F$9627)*('Monthly Data'!$C$13:$C$9627=L$26)*('Monthly Data'!$D$13:$D$9627=$B44))</f>
        <v>628194</v>
      </c>
      <c r="M44" s="80">
        <f>SUMPRODUCT(('Monthly Data'!$E$13:$E$9627=$B$42)*('Monthly Data'!$F$13:$F$9627)*('Monthly Data'!$C$13:$C$9627=M$26)*('Monthly Data'!$D$13:$D$9627=$B44))</f>
        <v>585197</v>
      </c>
      <c r="N44" s="80">
        <f>SUMPRODUCT(('Monthly Data'!$E$13:$E$9627=$B$42)*('Monthly Data'!$F$13:$F$9627)*('Monthly Data'!$C$13:$C$9627=N$26)*('Monthly Data'!$D$13:$D$9627=$B44))</f>
        <v>548115</v>
      </c>
      <c r="O44" s="80">
        <f>SUMPRODUCT(('Monthly Data'!$E$13:$E$9627=$B$42)*('Monthly Data'!$F$13:$F$9627)*('Monthly Data'!$C$13:$C$9627=O$26)*('Monthly Data'!$D$13:$D$9627=$B44))</f>
        <v>535630</v>
      </c>
      <c r="P44" s="80">
        <f>SUMPRODUCT(('Monthly Data'!$E$13:$E$9627=$B$42)*('Monthly Data'!$F$13:$F$9627)*('Monthly Data'!$C$13:$C$9627=P$26)*('Monthly Data'!$D$13:$D$9627=$B44))</f>
        <v>531155</v>
      </c>
      <c r="Q44" s="80">
        <f>SUMPRODUCT(('Monthly Data'!$E$13:$E$9627=$B$42)*('Monthly Data'!$F$13:$F$9627)*('Monthly Data'!$C$13:$C$9627=Q$26)*('Monthly Data'!$D$13:$D$9627=$B44))</f>
        <v>533854</v>
      </c>
      <c r="S44" s="89">
        <f t="shared" ref="S44:S54" si="4">SUM(C44:O44)</f>
        <v>6993004</v>
      </c>
      <c r="U44" s="30">
        <v>2</v>
      </c>
      <c r="V44" s="95">
        <f>SUMPRODUCT(('Monthly Data'!$E$13:$E$9627=$U$42)*('Monthly Data'!$G$13:$G$9627)*('Monthly Data'!$C$13:$C$9627=V$26)*('Monthly Data'!$D$13:$D$9627=$U44))</f>
        <v>6797</v>
      </c>
      <c r="W44" s="95">
        <f>SUMPRODUCT(('Monthly Data'!$E$13:$E$9627=$U$42)*('Monthly Data'!$G$13:$G$9627)*('Monthly Data'!$C$13:$C$9627=W$26)*('Monthly Data'!$D$13:$D$9627=$U44))</f>
        <v>7762</v>
      </c>
      <c r="X44" s="80">
        <f>SUMPRODUCT(('Monthly Data'!$E$13:$E$9627=$U$42)*('Monthly Data'!$G$13:$G$9627)*('Monthly Data'!$C$13:$C$9627=X$26)*('Monthly Data'!$D$13:$D$9627=$U44))</f>
        <v>8014</v>
      </c>
      <c r="Y44" s="80">
        <f>SUMPRODUCT(('Monthly Data'!$E$13:$E$9627=$U$42)*('Monthly Data'!$G$13:$G$9627)*('Monthly Data'!$C$13:$C$9627=Y$26)*('Monthly Data'!$D$13:$D$9627=$U44))</f>
        <v>7570</v>
      </c>
      <c r="Z44" s="80">
        <f>SUMPRODUCT(('Monthly Data'!$E$13:$E$9627=$U$42)*('Monthly Data'!$G$13:$G$9627)*('Monthly Data'!$C$13:$C$9627=Z$26)*('Monthly Data'!$D$13:$D$9627=$U44))</f>
        <v>8491</v>
      </c>
      <c r="AA44" s="80">
        <f>SUMPRODUCT(('Monthly Data'!$E$13:$E$9627=$U$42)*('Monthly Data'!$G$13:$G$9627)*('Monthly Data'!$C$13:$C$9627=AA$26)*('Monthly Data'!$D$13:$D$9627=$U44))</f>
        <v>8663</v>
      </c>
      <c r="AB44" s="80">
        <f>SUMPRODUCT(('Monthly Data'!$E$13:$E$9627=$U$42)*('Monthly Data'!$G$13:$G$9627)*('Monthly Data'!$C$13:$C$9627=AB$26)*('Monthly Data'!$D$13:$D$9627=$U44))</f>
        <v>7962</v>
      </c>
      <c r="AC44" s="80">
        <f>SUMPRODUCT(('Monthly Data'!$E$13:$E$9627=$U$42)*('Monthly Data'!$G$13:$G$9627)*('Monthly Data'!$C$13:$C$9627=AC$26)*('Monthly Data'!$D$13:$D$9627=$U44))</f>
        <v>7829</v>
      </c>
      <c r="AD44" s="80">
        <f>SUMPRODUCT(('Monthly Data'!$E$13:$E$9627=$U$42)*('Monthly Data'!$G$13:$G$9627)*('Monthly Data'!$C$13:$C$9627=AD$26)*('Monthly Data'!$D$13:$D$9627=$U44))</f>
        <v>7614</v>
      </c>
      <c r="AE44" s="80">
        <f>SUMPRODUCT(('Monthly Data'!$E$13:$E$9627=$U$42)*('Monthly Data'!$G$13:$G$9627)*('Monthly Data'!$C$13:$C$9627=AE$26)*('Monthly Data'!$D$13:$D$9627=$U44))</f>
        <v>7540</v>
      </c>
      <c r="AF44" s="80">
        <f>SUMPRODUCT(('Monthly Data'!$E$13:$E$9627=$U$42)*('Monthly Data'!$G$13:$G$9627)*('Monthly Data'!$C$13:$C$9627=AF$26)*('Monthly Data'!$D$13:$D$9627=$U44))</f>
        <v>6844</v>
      </c>
      <c r="AG44" s="80">
        <f>SUMPRODUCT(('Monthly Data'!$E$13:$E$9627=$U$42)*('Monthly Data'!$G$13:$G$9627)*('Monthly Data'!$C$13:$C$9627=AG$26)*('Monthly Data'!$D$13:$D$9627=$U44))</f>
        <v>6030</v>
      </c>
      <c r="AH44" s="80">
        <f>SUMPRODUCT(('Monthly Data'!$E$13:$E$9627=$U$42)*('Monthly Data'!$G$13:$G$9627)*('Monthly Data'!$C$13:$C$9627=AH$26)*('Monthly Data'!$D$13:$D$9627=$U44))</f>
        <v>5848</v>
      </c>
      <c r="AI44" s="80">
        <f>SUMPRODUCT(('Monthly Data'!$E$13:$E$9627=$U$42)*('Monthly Data'!$G$13:$G$9627)*('Monthly Data'!$C$13:$C$9627=AI$26)*('Monthly Data'!$D$13:$D$9627=$U44))</f>
        <v>5766</v>
      </c>
      <c r="AJ44" s="80">
        <f>SUMPRODUCT(('Monthly Data'!$E$13:$E$9627=$U$42)*('Monthly Data'!$G$13:$G$9627)*('Monthly Data'!$C$13:$C$9627=AJ$26)*('Monthly Data'!$D$13:$D$9627=$U44))</f>
        <v>5347</v>
      </c>
      <c r="AL44" s="89">
        <f t="shared" ref="AL44:AL54" si="5">SUM(V44:AH44)</f>
        <v>96964</v>
      </c>
    </row>
    <row r="45" spans="2:38">
      <c r="B45" s="30">
        <v>3</v>
      </c>
      <c r="C45" s="95">
        <f>SUMPRODUCT(('Monthly Data'!$E$13:$E$9627=$B$42)*('Monthly Data'!$F$13:$F$9627)*('Monthly Data'!$C$13:$C$9627=C$26)*('Monthly Data'!$D$13:$D$9627=$B45))</f>
        <v>489751</v>
      </c>
      <c r="D45" s="95">
        <f>SUMPRODUCT(('Monthly Data'!$E$13:$E$9627=$B$42)*('Monthly Data'!$F$13:$F$9627)*('Monthly Data'!$C$13:$C$9627=D$26)*('Monthly Data'!$D$13:$D$9627=$B45))</f>
        <v>515545</v>
      </c>
      <c r="E45" s="80">
        <f>SUMPRODUCT(('Monthly Data'!$E$13:$E$9627=$B$42)*('Monthly Data'!$F$13:$F$9627)*('Monthly Data'!$C$13:$C$9627=E$26)*('Monthly Data'!$D$13:$D$9627=$B45))</f>
        <v>532636</v>
      </c>
      <c r="F45" s="80">
        <f>SUMPRODUCT(('Monthly Data'!$E$13:$E$9627=$B$42)*('Monthly Data'!$F$13:$F$9627)*('Monthly Data'!$C$13:$C$9627=F$26)*('Monthly Data'!$D$13:$D$9627=$B45))</f>
        <v>552556</v>
      </c>
      <c r="G45" s="80">
        <f>SUMPRODUCT(('Monthly Data'!$E$13:$E$9627=$B$42)*('Monthly Data'!$F$13:$F$9627)*('Monthly Data'!$C$13:$C$9627=G$26)*('Monthly Data'!$D$13:$D$9627=$B45))</f>
        <v>600247</v>
      </c>
      <c r="H45" s="80">
        <f>SUMPRODUCT(('Monthly Data'!$E$13:$E$9627=$B$42)*('Monthly Data'!$F$13:$F$9627)*('Monthly Data'!$C$13:$C$9627=H$26)*('Monthly Data'!$D$13:$D$9627=$B45))</f>
        <v>656853</v>
      </c>
      <c r="I45" s="80">
        <f>SUMPRODUCT(('Monthly Data'!$E$13:$E$9627=$B$42)*('Monthly Data'!$F$13:$F$9627)*('Monthly Data'!$C$13:$C$9627=I$26)*('Monthly Data'!$D$13:$D$9627=$B45))</f>
        <v>654135</v>
      </c>
      <c r="J45" s="80">
        <f>SUMPRODUCT(('Monthly Data'!$E$13:$E$9627=$B$42)*('Monthly Data'!$F$13:$F$9627)*('Monthly Data'!$C$13:$C$9627=J$26)*('Monthly Data'!$D$13:$D$9627=$B45))</f>
        <v>667463</v>
      </c>
      <c r="K45" s="80">
        <f>SUMPRODUCT(('Monthly Data'!$E$13:$E$9627=$B$42)*('Monthly Data'!$F$13:$F$9627)*('Monthly Data'!$C$13:$C$9627=K$26)*('Monthly Data'!$D$13:$D$9627=$B45))</f>
        <v>665226</v>
      </c>
      <c r="L45" s="80">
        <f>SUMPRODUCT(('Monthly Data'!$E$13:$E$9627=$B$42)*('Monthly Data'!$F$13:$F$9627)*('Monthly Data'!$C$13:$C$9627=L$26)*('Monthly Data'!$D$13:$D$9627=$B45))</f>
        <v>723678</v>
      </c>
      <c r="M45" s="80">
        <f>SUMPRODUCT(('Monthly Data'!$E$13:$E$9627=$B$42)*('Monthly Data'!$F$13:$F$9627)*('Monthly Data'!$C$13:$C$9627=M$26)*('Monthly Data'!$D$13:$D$9627=$B45))</f>
        <v>674076</v>
      </c>
      <c r="N45" s="80">
        <f>SUMPRODUCT(('Monthly Data'!$E$13:$E$9627=$B$42)*('Monthly Data'!$F$13:$F$9627)*('Monthly Data'!$C$13:$C$9627=N$26)*('Monthly Data'!$D$13:$D$9627=$B45))</f>
        <v>662420</v>
      </c>
      <c r="O45" s="80">
        <f>SUMPRODUCT(('Monthly Data'!$E$13:$E$9627=$B$42)*('Monthly Data'!$F$13:$F$9627)*('Monthly Data'!$C$13:$C$9627=O$26)*('Monthly Data'!$D$13:$D$9627=$B45))</f>
        <v>621050</v>
      </c>
      <c r="P45" s="80">
        <f>SUMPRODUCT(('Monthly Data'!$E$13:$E$9627=$B$42)*('Monthly Data'!$F$13:$F$9627)*('Monthly Data'!$C$13:$C$9627=P$26)*('Monthly Data'!$D$13:$D$9627=$B45))</f>
        <v>630771</v>
      </c>
      <c r="Q45" s="80">
        <f>SUMPRODUCT(('Monthly Data'!$E$13:$E$9627=$B$42)*('Monthly Data'!$F$13:$F$9627)*('Monthly Data'!$C$13:$C$9627=Q$26)*('Monthly Data'!$D$13:$D$9627=$B45))</f>
        <v>625741</v>
      </c>
      <c r="S45" s="89">
        <f t="shared" si="4"/>
        <v>8015636</v>
      </c>
      <c r="U45" s="30">
        <v>3</v>
      </c>
      <c r="V45" s="95">
        <f>SUMPRODUCT(('Monthly Data'!$E$13:$E$9627=$U$42)*('Monthly Data'!$G$13:$G$9627)*('Monthly Data'!$C$13:$C$9627=V$26)*('Monthly Data'!$D$13:$D$9627=$U45))</f>
        <v>7713</v>
      </c>
      <c r="W45" s="95">
        <f>SUMPRODUCT(('Monthly Data'!$E$13:$E$9627=$U$42)*('Monthly Data'!$G$13:$G$9627)*('Monthly Data'!$C$13:$C$9627=W$26)*('Monthly Data'!$D$13:$D$9627=$U45))</f>
        <v>8619</v>
      </c>
      <c r="X45" s="80">
        <f>SUMPRODUCT(('Monthly Data'!$E$13:$E$9627=$U$42)*('Monthly Data'!$G$13:$G$9627)*('Monthly Data'!$C$13:$C$9627=X$26)*('Monthly Data'!$D$13:$D$9627=$U45))</f>
        <v>8945</v>
      </c>
      <c r="Y45" s="80">
        <f>SUMPRODUCT(('Monthly Data'!$E$13:$E$9627=$U$42)*('Monthly Data'!$G$13:$G$9627)*('Monthly Data'!$C$13:$C$9627=Y$26)*('Monthly Data'!$D$13:$D$9627=$U45))</f>
        <v>8544</v>
      </c>
      <c r="Z45" s="80">
        <f>SUMPRODUCT(('Monthly Data'!$E$13:$E$9627=$U$42)*('Monthly Data'!$G$13:$G$9627)*('Monthly Data'!$C$13:$C$9627=Z$26)*('Monthly Data'!$D$13:$D$9627=$U45))</f>
        <v>9268</v>
      </c>
      <c r="AA45" s="80">
        <f>SUMPRODUCT(('Monthly Data'!$E$13:$E$9627=$U$42)*('Monthly Data'!$G$13:$G$9627)*('Monthly Data'!$C$13:$C$9627=AA$26)*('Monthly Data'!$D$13:$D$9627=$U45))</f>
        <v>9387</v>
      </c>
      <c r="AB45" s="80">
        <f>SUMPRODUCT(('Monthly Data'!$E$13:$E$9627=$U$42)*('Monthly Data'!$G$13:$G$9627)*('Monthly Data'!$C$13:$C$9627=AB$26)*('Monthly Data'!$D$13:$D$9627=$U45))</f>
        <v>8800</v>
      </c>
      <c r="AC45" s="80">
        <f>SUMPRODUCT(('Monthly Data'!$E$13:$E$9627=$U$42)*('Monthly Data'!$G$13:$G$9627)*('Monthly Data'!$C$13:$C$9627=AC$26)*('Monthly Data'!$D$13:$D$9627=$U45))</f>
        <v>8826</v>
      </c>
      <c r="AD45" s="80">
        <f>SUMPRODUCT(('Monthly Data'!$E$13:$E$9627=$U$42)*('Monthly Data'!$G$13:$G$9627)*('Monthly Data'!$C$13:$C$9627=AD$26)*('Monthly Data'!$D$13:$D$9627=$U45))</f>
        <v>8224</v>
      </c>
      <c r="AE45" s="80">
        <f>SUMPRODUCT(('Monthly Data'!$E$13:$E$9627=$U$42)*('Monthly Data'!$G$13:$G$9627)*('Monthly Data'!$C$13:$C$9627=AE$26)*('Monthly Data'!$D$13:$D$9627=$U45))</f>
        <v>8081</v>
      </c>
      <c r="AF45" s="80">
        <f>SUMPRODUCT(('Monthly Data'!$E$13:$E$9627=$U$42)*('Monthly Data'!$G$13:$G$9627)*('Monthly Data'!$C$13:$C$9627=AF$26)*('Monthly Data'!$D$13:$D$9627=$U45))</f>
        <v>7873</v>
      </c>
      <c r="AG45" s="80">
        <f>SUMPRODUCT(('Monthly Data'!$E$13:$E$9627=$U$42)*('Monthly Data'!$G$13:$G$9627)*('Monthly Data'!$C$13:$C$9627=AG$26)*('Monthly Data'!$D$13:$D$9627=$U45))</f>
        <v>7078</v>
      </c>
      <c r="AH45" s="80">
        <f>SUMPRODUCT(('Monthly Data'!$E$13:$E$9627=$U$42)*('Monthly Data'!$G$13:$G$9627)*('Monthly Data'!$C$13:$C$9627=AH$26)*('Monthly Data'!$D$13:$D$9627=$U45))</f>
        <v>6792</v>
      </c>
      <c r="AI45" s="80">
        <f>SUMPRODUCT(('Monthly Data'!$E$13:$E$9627=$U$42)*('Monthly Data'!$G$13:$G$9627)*('Monthly Data'!$C$13:$C$9627=AI$26)*('Monthly Data'!$D$13:$D$9627=$U45))</f>
        <v>6654</v>
      </c>
      <c r="AJ45" s="80">
        <f>SUMPRODUCT(('Monthly Data'!$E$13:$E$9627=$U$42)*('Monthly Data'!$G$13:$G$9627)*('Monthly Data'!$C$13:$C$9627=AJ$26)*('Monthly Data'!$D$13:$D$9627=$U45))</f>
        <v>6084</v>
      </c>
      <c r="AL45" s="89">
        <f t="shared" si="5"/>
        <v>108150</v>
      </c>
    </row>
    <row r="46" spans="2:38">
      <c r="B46" s="30">
        <v>4</v>
      </c>
      <c r="C46" s="95">
        <f>SUMPRODUCT(('Monthly Data'!$E$13:$E$9627=$B$42)*('Monthly Data'!$F$13:$F$9627)*('Monthly Data'!$C$13:$C$9627=C$26)*('Monthly Data'!$D$13:$D$9627=$B46))</f>
        <v>468110</v>
      </c>
      <c r="D46" s="95">
        <f>SUMPRODUCT(('Monthly Data'!$E$13:$E$9627=$B$42)*('Monthly Data'!$F$13:$F$9627)*('Monthly Data'!$C$13:$C$9627=D$26)*('Monthly Data'!$D$13:$D$9627=$B46))</f>
        <v>505247</v>
      </c>
      <c r="E46" s="80">
        <f>SUMPRODUCT(('Monthly Data'!$E$13:$E$9627=$B$42)*('Monthly Data'!$F$13:$F$9627)*('Monthly Data'!$C$13:$C$9627=E$26)*('Monthly Data'!$D$13:$D$9627=$B46))</f>
        <v>566010</v>
      </c>
      <c r="F46" s="80">
        <f>SUMPRODUCT(('Monthly Data'!$E$13:$E$9627=$B$42)*('Monthly Data'!$F$13:$F$9627)*('Monthly Data'!$C$13:$C$9627=F$26)*('Monthly Data'!$D$13:$D$9627=$B46))</f>
        <v>571830</v>
      </c>
      <c r="G46" s="80">
        <f>SUMPRODUCT(('Monthly Data'!$E$13:$E$9627=$B$42)*('Monthly Data'!$F$13:$F$9627)*('Monthly Data'!$C$13:$C$9627=G$26)*('Monthly Data'!$D$13:$D$9627=$B46))</f>
        <v>647960</v>
      </c>
      <c r="H46" s="80">
        <f>SUMPRODUCT(('Monthly Data'!$E$13:$E$9627=$B$42)*('Monthly Data'!$F$13:$F$9627)*('Monthly Data'!$C$13:$C$9627=H$26)*('Monthly Data'!$D$13:$D$9627=$B46))</f>
        <v>673817</v>
      </c>
      <c r="I46" s="80">
        <f>SUMPRODUCT(('Monthly Data'!$E$13:$E$9627=$B$42)*('Monthly Data'!$F$13:$F$9627)*('Monthly Data'!$C$13:$C$9627=I$26)*('Monthly Data'!$D$13:$D$9627=$B46))</f>
        <v>666926</v>
      </c>
      <c r="J46" s="80">
        <f>SUMPRODUCT(('Monthly Data'!$E$13:$E$9627=$B$42)*('Monthly Data'!$F$13:$F$9627)*('Monthly Data'!$C$13:$C$9627=J$26)*('Monthly Data'!$D$13:$D$9627=$B46))</f>
        <v>690742</v>
      </c>
      <c r="K46" s="80">
        <f>SUMPRODUCT(('Monthly Data'!$E$13:$E$9627=$B$42)*('Monthly Data'!$F$13:$F$9627)*('Monthly Data'!$C$13:$C$9627=K$26)*('Monthly Data'!$D$13:$D$9627=$B46))</f>
        <v>664334</v>
      </c>
      <c r="L46" s="80">
        <f>SUMPRODUCT(('Monthly Data'!$E$13:$E$9627=$B$42)*('Monthly Data'!$F$13:$F$9627)*('Monthly Data'!$C$13:$C$9627=L$26)*('Monthly Data'!$D$13:$D$9627=$B46))</f>
        <v>706456</v>
      </c>
      <c r="M46" s="80">
        <f>SUMPRODUCT(('Monthly Data'!$E$13:$E$9627=$B$42)*('Monthly Data'!$F$13:$F$9627)*('Monthly Data'!$C$13:$C$9627=M$26)*('Monthly Data'!$D$13:$D$9627=$B46))</f>
        <v>716965</v>
      </c>
      <c r="N46" s="80">
        <f>SUMPRODUCT(('Monthly Data'!$E$13:$E$9627=$B$42)*('Monthly Data'!$F$13:$F$9627)*('Monthly Data'!$C$13:$C$9627=N$26)*('Monthly Data'!$D$13:$D$9627=$B46))</f>
        <v>538958</v>
      </c>
      <c r="O46" s="80">
        <f>SUMPRODUCT(('Monthly Data'!$E$13:$E$9627=$B$42)*('Monthly Data'!$F$13:$F$9627)*('Monthly Data'!$C$13:$C$9627=O$26)*('Monthly Data'!$D$13:$D$9627=$B46))</f>
        <v>685236</v>
      </c>
      <c r="P46" s="80">
        <f>SUMPRODUCT(('Monthly Data'!$E$13:$E$9627=$B$42)*('Monthly Data'!$F$13:$F$9627)*('Monthly Data'!$C$13:$C$9627=P$26)*('Monthly Data'!$D$13:$D$9627=$B46))</f>
        <v>701541</v>
      </c>
      <c r="Q46" s="80">
        <f>SUMPRODUCT(('Monthly Data'!$E$13:$E$9627=$B$42)*('Monthly Data'!$F$13:$F$9627)*('Monthly Data'!$C$13:$C$9627=Q$26)*('Monthly Data'!$D$13:$D$9627=$B46))</f>
        <v>649940</v>
      </c>
      <c r="S46" s="89">
        <f t="shared" si="4"/>
        <v>8102591</v>
      </c>
      <c r="U46" s="30">
        <v>4</v>
      </c>
      <c r="V46" s="95">
        <f>SUMPRODUCT(('Monthly Data'!$E$13:$E$9627=$U$42)*('Monthly Data'!$G$13:$G$9627)*('Monthly Data'!$C$13:$C$9627=V$26)*('Monthly Data'!$D$13:$D$9627=$U46))</f>
        <v>7436</v>
      </c>
      <c r="W46" s="95">
        <f>SUMPRODUCT(('Monthly Data'!$E$13:$E$9627=$U$42)*('Monthly Data'!$G$13:$G$9627)*('Monthly Data'!$C$13:$C$9627=W$26)*('Monthly Data'!$D$13:$D$9627=$U46))</f>
        <v>8209</v>
      </c>
      <c r="X46" s="80">
        <f>SUMPRODUCT(('Monthly Data'!$E$13:$E$9627=$U$42)*('Monthly Data'!$G$13:$G$9627)*('Monthly Data'!$C$13:$C$9627=X$26)*('Monthly Data'!$D$13:$D$9627=$U46))</f>
        <v>8700</v>
      </c>
      <c r="Y46" s="80">
        <f>SUMPRODUCT(('Monthly Data'!$E$13:$E$9627=$U$42)*('Monthly Data'!$G$13:$G$9627)*('Monthly Data'!$C$13:$C$9627=Y$26)*('Monthly Data'!$D$13:$D$9627=$U46))</f>
        <v>8963</v>
      </c>
      <c r="Z46" s="80">
        <f>SUMPRODUCT(('Monthly Data'!$E$13:$E$9627=$U$42)*('Monthly Data'!$G$13:$G$9627)*('Monthly Data'!$C$13:$C$9627=Z$26)*('Monthly Data'!$D$13:$D$9627=$U46))</f>
        <v>9317</v>
      </c>
      <c r="AA46" s="80">
        <f>SUMPRODUCT(('Monthly Data'!$E$13:$E$9627=$U$42)*('Monthly Data'!$G$13:$G$9627)*('Monthly Data'!$C$13:$C$9627=AA$26)*('Monthly Data'!$D$13:$D$9627=$U46))</f>
        <v>9150</v>
      </c>
      <c r="AB46" s="80">
        <f>SUMPRODUCT(('Monthly Data'!$E$13:$E$9627=$U$42)*('Monthly Data'!$G$13:$G$9627)*('Monthly Data'!$C$13:$C$9627=AB$26)*('Monthly Data'!$D$13:$D$9627=$U46))</f>
        <v>9019</v>
      </c>
      <c r="AC46" s="80">
        <f>SUMPRODUCT(('Monthly Data'!$E$13:$E$9627=$U$42)*('Monthly Data'!$G$13:$G$9627)*('Monthly Data'!$C$13:$C$9627=AC$26)*('Monthly Data'!$D$13:$D$9627=$U46))</f>
        <v>8340</v>
      </c>
      <c r="AD46" s="80">
        <f>SUMPRODUCT(('Monthly Data'!$E$13:$E$9627=$U$42)*('Monthly Data'!$G$13:$G$9627)*('Monthly Data'!$C$13:$C$9627=AD$26)*('Monthly Data'!$D$13:$D$9627=$U46))</f>
        <v>8003</v>
      </c>
      <c r="AE46" s="80">
        <f>SUMPRODUCT(('Monthly Data'!$E$13:$E$9627=$U$42)*('Monthly Data'!$G$13:$G$9627)*('Monthly Data'!$C$13:$C$9627=AE$26)*('Monthly Data'!$D$13:$D$9627=$U46))</f>
        <v>8224</v>
      </c>
      <c r="AF46" s="80">
        <f>SUMPRODUCT(('Monthly Data'!$E$13:$E$9627=$U$42)*('Monthly Data'!$G$13:$G$9627)*('Monthly Data'!$C$13:$C$9627=AF$26)*('Monthly Data'!$D$13:$D$9627=$U46))</f>
        <v>7734</v>
      </c>
      <c r="AG46" s="80">
        <f>SUMPRODUCT(('Monthly Data'!$E$13:$E$9627=$U$42)*('Monthly Data'!$G$13:$G$9627)*('Monthly Data'!$C$13:$C$9627=AG$26)*('Monthly Data'!$D$13:$D$9627=$U46))</f>
        <v>5594</v>
      </c>
      <c r="AH46" s="80">
        <f>SUMPRODUCT(('Monthly Data'!$E$13:$E$9627=$U$42)*('Monthly Data'!$G$13:$G$9627)*('Monthly Data'!$C$13:$C$9627=AH$26)*('Monthly Data'!$D$13:$D$9627=$U46))</f>
        <v>6725</v>
      </c>
      <c r="AI46" s="80">
        <f>SUMPRODUCT(('Monthly Data'!$E$13:$E$9627=$U$42)*('Monthly Data'!$G$13:$G$9627)*('Monthly Data'!$C$13:$C$9627=AI$26)*('Monthly Data'!$D$13:$D$9627=$U46))</f>
        <v>6881</v>
      </c>
      <c r="AJ46" s="80">
        <f>SUMPRODUCT(('Monthly Data'!$E$13:$E$9627=$U$42)*('Monthly Data'!$G$13:$G$9627)*('Monthly Data'!$C$13:$C$9627=AJ$26)*('Monthly Data'!$D$13:$D$9627=$U46))</f>
        <v>6391</v>
      </c>
      <c r="AL46" s="89">
        <f t="shared" si="5"/>
        <v>105414</v>
      </c>
    </row>
    <row r="47" spans="2:38">
      <c r="B47" s="30">
        <v>5</v>
      </c>
      <c r="C47" s="95">
        <f>SUMPRODUCT(('Monthly Data'!$E$13:$E$9627=$B$42)*('Monthly Data'!$F$13:$F$9627)*('Monthly Data'!$C$13:$C$9627=C$26)*('Monthly Data'!$D$13:$D$9627=$B47))</f>
        <v>661857</v>
      </c>
      <c r="D47" s="95">
        <f>SUMPRODUCT(('Monthly Data'!$E$13:$E$9627=$B$42)*('Monthly Data'!$F$13:$F$9627)*('Monthly Data'!$C$13:$C$9627=D$26)*('Monthly Data'!$D$13:$D$9627=$B47))</f>
        <v>720057</v>
      </c>
      <c r="E47" s="80">
        <f>SUMPRODUCT(('Monthly Data'!$E$13:$E$9627=$B$42)*('Monthly Data'!$F$13:$F$9627)*('Monthly Data'!$C$13:$C$9627=E$26)*('Monthly Data'!$D$13:$D$9627=$B47))</f>
        <v>749316</v>
      </c>
      <c r="F47" s="80">
        <f>SUMPRODUCT(('Monthly Data'!$E$13:$E$9627=$B$42)*('Monthly Data'!$F$13:$F$9627)*('Monthly Data'!$C$13:$C$9627=F$26)*('Monthly Data'!$D$13:$D$9627=$B47))</f>
        <v>729264</v>
      </c>
      <c r="G47" s="80">
        <f>SUMPRODUCT(('Monthly Data'!$E$13:$E$9627=$B$42)*('Monthly Data'!$F$13:$F$9627)*('Monthly Data'!$C$13:$C$9627=G$26)*('Monthly Data'!$D$13:$D$9627=$B47))</f>
        <v>827915</v>
      </c>
      <c r="H47" s="80">
        <f>SUMPRODUCT(('Monthly Data'!$E$13:$E$9627=$B$42)*('Monthly Data'!$F$13:$F$9627)*('Monthly Data'!$C$13:$C$9627=H$26)*('Monthly Data'!$D$13:$D$9627=$B47))</f>
        <v>790739</v>
      </c>
      <c r="I47" s="80">
        <f>SUMPRODUCT(('Monthly Data'!$E$13:$E$9627=$B$42)*('Monthly Data'!$F$13:$F$9627)*('Monthly Data'!$C$13:$C$9627=I$26)*('Monthly Data'!$D$13:$D$9627=$B47))</f>
        <v>847647</v>
      </c>
      <c r="J47" s="80">
        <f>SUMPRODUCT(('Monthly Data'!$E$13:$E$9627=$B$42)*('Monthly Data'!$F$13:$F$9627)*('Monthly Data'!$C$13:$C$9627=J$26)*('Monthly Data'!$D$13:$D$9627=$B47))</f>
        <v>827472</v>
      </c>
      <c r="K47" s="80">
        <f>SUMPRODUCT(('Monthly Data'!$E$13:$E$9627=$B$42)*('Monthly Data'!$F$13:$F$9627)*('Monthly Data'!$C$13:$C$9627=K$26)*('Monthly Data'!$D$13:$D$9627=$B47))</f>
        <v>824279</v>
      </c>
      <c r="L47" s="80">
        <f>SUMPRODUCT(('Monthly Data'!$E$13:$E$9627=$B$42)*('Monthly Data'!$F$13:$F$9627)*('Monthly Data'!$C$13:$C$9627=L$26)*('Monthly Data'!$D$13:$D$9627=$B47))</f>
        <v>873192</v>
      </c>
      <c r="M47" s="80">
        <f>SUMPRODUCT(('Monthly Data'!$E$13:$E$9627=$B$42)*('Monthly Data'!$F$13:$F$9627)*('Monthly Data'!$C$13:$C$9627=M$26)*('Monthly Data'!$D$13:$D$9627=$B47))</f>
        <v>831207</v>
      </c>
      <c r="N47" s="80">
        <f>SUMPRODUCT(('Monthly Data'!$E$13:$E$9627=$B$42)*('Monthly Data'!$F$13:$F$9627)*('Monthly Data'!$C$13:$C$9627=N$26)*('Monthly Data'!$D$13:$D$9627=$B47))</f>
        <v>787834</v>
      </c>
      <c r="O47" s="80">
        <f>SUMPRODUCT(('Monthly Data'!$E$13:$E$9627=$B$42)*('Monthly Data'!$F$13:$F$9627)*('Monthly Data'!$C$13:$C$9627=O$26)*('Monthly Data'!$D$13:$D$9627=$B47))</f>
        <v>777805</v>
      </c>
      <c r="P47" s="80">
        <f>SUMPRODUCT(('Monthly Data'!$E$13:$E$9627=$B$42)*('Monthly Data'!$F$13:$F$9627)*('Monthly Data'!$C$13:$C$9627=P$26)*('Monthly Data'!$D$13:$D$9627=$B47))</f>
        <v>790505</v>
      </c>
      <c r="Q47" s="80">
        <f>SUMPRODUCT(('Monthly Data'!$E$13:$E$9627=$B$42)*('Monthly Data'!$F$13:$F$9627)*('Monthly Data'!$C$13:$C$9627=Q$26)*('Monthly Data'!$D$13:$D$9627=$B47))</f>
        <v>0</v>
      </c>
      <c r="S47" s="89">
        <f t="shared" si="4"/>
        <v>10248584</v>
      </c>
      <c r="U47" s="30">
        <v>5</v>
      </c>
      <c r="V47" s="95">
        <f>SUMPRODUCT(('Monthly Data'!$E$13:$E$9627=$U$42)*('Monthly Data'!$G$13:$G$9627)*('Monthly Data'!$C$13:$C$9627=V$26)*('Monthly Data'!$D$13:$D$9627=$U47))</f>
        <v>8796</v>
      </c>
      <c r="W47" s="95">
        <f>SUMPRODUCT(('Monthly Data'!$E$13:$E$9627=$U$42)*('Monthly Data'!$G$13:$G$9627)*('Monthly Data'!$C$13:$C$9627=W$26)*('Monthly Data'!$D$13:$D$9627=$U47))</f>
        <v>9901</v>
      </c>
      <c r="X47" s="80">
        <f>SUMPRODUCT(('Monthly Data'!$E$13:$E$9627=$U$42)*('Monthly Data'!$G$13:$G$9627)*('Monthly Data'!$C$13:$C$9627=X$26)*('Monthly Data'!$D$13:$D$9627=$U47))</f>
        <v>10102</v>
      </c>
      <c r="Y47" s="80">
        <f>SUMPRODUCT(('Monthly Data'!$E$13:$E$9627=$U$42)*('Monthly Data'!$G$13:$G$9627)*('Monthly Data'!$C$13:$C$9627=Y$26)*('Monthly Data'!$D$13:$D$9627=$U47))</f>
        <v>10147</v>
      </c>
      <c r="Z47" s="80">
        <f>SUMPRODUCT(('Monthly Data'!$E$13:$E$9627=$U$42)*('Monthly Data'!$G$13:$G$9627)*('Monthly Data'!$C$13:$C$9627=Z$26)*('Monthly Data'!$D$13:$D$9627=$U47))</f>
        <v>10293</v>
      </c>
      <c r="AA47" s="80">
        <f>SUMPRODUCT(('Monthly Data'!$E$13:$E$9627=$U$42)*('Monthly Data'!$G$13:$G$9627)*('Monthly Data'!$C$13:$C$9627=AA$26)*('Monthly Data'!$D$13:$D$9627=$U47))</f>
        <v>9254</v>
      </c>
      <c r="AB47" s="80">
        <f>SUMPRODUCT(('Monthly Data'!$E$13:$E$9627=$U$42)*('Monthly Data'!$G$13:$G$9627)*('Monthly Data'!$C$13:$C$9627=AB$26)*('Monthly Data'!$D$13:$D$9627=$U47))</f>
        <v>10288</v>
      </c>
      <c r="AC47" s="80">
        <f>SUMPRODUCT(('Monthly Data'!$E$13:$E$9627=$U$42)*('Monthly Data'!$G$13:$G$9627)*('Monthly Data'!$C$13:$C$9627=AC$26)*('Monthly Data'!$D$13:$D$9627=$U47))</f>
        <v>9965</v>
      </c>
      <c r="AD47" s="80">
        <f>SUMPRODUCT(('Monthly Data'!$E$13:$E$9627=$U$42)*('Monthly Data'!$G$13:$G$9627)*('Monthly Data'!$C$13:$C$9627=AD$26)*('Monthly Data'!$D$13:$D$9627=$U47))</f>
        <v>9322</v>
      </c>
      <c r="AE47" s="80">
        <f>SUMPRODUCT(('Monthly Data'!$E$13:$E$9627=$U$42)*('Monthly Data'!$G$13:$G$9627)*('Monthly Data'!$C$13:$C$9627=AE$26)*('Monthly Data'!$D$13:$D$9627=$U47))</f>
        <v>9167</v>
      </c>
      <c r="AF47" s="80">
        <f>SUMPRODUCT(('Monthly Data'!$E$13:$E$9627=$U$42)*('Monthly Data'!$G$13:$G$9627)*('Monthly Data'!$C$13:$C$9627=AF$26)*('Monthly Data'!$D$13:$D$9627=$U47))</f>
        <v>8468</v>
      </c>
      <c r="AG47" s="80">
        <f>SUMPRODUCT(('Monthly Data'!$E$13:$E$9627=$U$42)*('Monthly Data'!$G$13:$G$9627)*('Monthly Data'!$C$13:$C$9627=AG$26)*('Monthly Data'!$D$13:$D$9627=$U47))</f>
        <v>7767</v>
      </c>
      <c r="AH47" s="80">
        <f>SUMPRODUCT(('Monthly Data'!$E$13:$E$9627=$U$42)*('Monthly Data'!$G$13:$G$9627)*('Monthly Data'!$C$13:$C$9627=AH$26)*('Monthly Data'!$D$13:$D$9627=$U47))</f>
        <v>7677</v>
      </c>
      <c r="AI47" s="80">
        <f>SUMPRODUCT(('Monthly Data'!$E$13:$E$9627=$U$42)*('Monthly Data'!$G$13:$G$9627)*('Monthly Data'!$C$13:$C$9627=AI$26)*('Monthly Data'!$D$13:$D$9627=$U47))</f>
        <v>7923</v>
      </c>
      <c r="AJ47" s="80">
        <f>SUMPRODUCT(('Monthly Data'!$E$13:$E$9627=$U$42)*('Monthly Data'!$G$13:$G$9627)*('Monthly Data'!$C$13:$C$9627=AJ$26)*('Monthly Data'!$D$13:$D$9627=$U47))</f>
        <v>0</v>
      </c>
      <c r="AL47" s="89">
        <f t="shared" si="5"/>
        <v>121147</v>
      </c>
    </row>
    <row r="48" spans="2:38">
      <c r="B48" s="30">
        <v>6</v>
      </c>
      <c r="C48" s="95">
        <f>SUMPRODUCT(('Monthly Data'!$E$13:$E$9627=$B$42)*('Monthly Data'!$F$13:$F$9627)*('Monthly Data'!$C$13:$C$9627=C$26)*('Monthly Data'!$D$13:$D$9627=$B48))</f>
        <v>711576</v>
      </c>
      <c r="D48" s="95">
        <f>SUMPRODUCT(('Monthly Data'!$E$13:$E$9627=$B$42)*('Monthly Data'!$F$13:$F$9627)*('Monthly Data'!$C$13:$C$9627=D$26)*('Monthly Data'!$D$13:$D$9627=$B48))</f>
        <v>773928</v>
      </c>
      <c r="E48" s="80">
        <f>SUMPRODUCT(('Monthly Data'!$E$13:$E$9627=$B$42)*('Monthly Data'!$F$13:$F$9627)*('Monthly Data'!$C$13:$C$9627=E$26)*('Monthly Data'!$D$13:$D$9627=$B48))</f>
        <v>810213</v>
      </c>
      <c r="F48" s="80">
        <f>SUMPRODUCT(('Monthly Data'!$E$13:$E$9627=$B$42)*('Monthly Data'!$F$13:$F$9627)*('Monthly Data'!$C$13:$C$9627=F$26)*('Monthly Data'!$D$13:$D$9627=$B48))</f>
        <v>794161</v>
      </c>
      <c r="G48" s="80">
        <f>SUMPRODUCT(('Monthly Data'!$E$13:$E$9627=$B$42)*('Monthly Data'!$F$13:$F$9627)*('Monthly Data'!$C$13:$C$9627=G$26)*('Monthly Data'!$D$13:$D$9627=$B48))</f>
        <v>894307</v>
      </c>
      <c r="H48" s="80">
        <f>SUMPRODUCT(('Monthly Data'!$E$13:$E$9627=$B$42)*('Monthly Data'!$F$13:$F$9627)*('Monthly Data'!$C$13:$C$9627=H$26)*('Monthly Data'!$D$13:$D$9627=$B48))</f>
        <v>875241</v>
      </c>
      <c r="I48" s="80">
        <f>SUMPRODUCT(('Monthly Data'!$E$13:$E$9627=$B$42)*('Monthly Data'!$F$13:$F$9627)*('Monthly Data'!$C$13:$C$9627=I$26)*('Monthly Data'!$D$13:$D$9627=$B48))</f>
        <v>952755</v>
      </c>
      <c r="J48" s="80">
        <f>SUMPRODUCT(('Monthly Data'!$E$13:$E$9627=$B$42)*('Monthly Data'!$F$13:$F$9627)*('Monthly Data'!$C$13:$C$9627=J$26)*('Monthly Data'!$D$13:$D$9627=$B48))</f>
        <v>883599</v>
      </c>
      <c r="K48" s="80">
        <f>SUMPRODUCT(('Monthly Data'!$E$13:$E$9627=$B$42)*('Monthly Data'!$F$13:$F$9627)*('Monthly Data'!$C$13:$C$9627=K$26)*('Monthly Data'!$D$13:$D$9627=$B48))</f>
        <v>904573</v>
      </c>
      <c r="L48" s="80">
        <f>SUMPRODUCT(('Monthly Data'!$E$13:$E$9627=$B$42)*('Monthly Data'!$F$13:$F$9627)*('Monthly Data'!$C$13:$C$9627=L$26)*('Monthly Data'!$D$13:$D$9627=$B48))</f>
        <v>932940</v>
      </c>
      <c r="M48" s="80">
        <f>SUMPRODUCT(('Monthly Data'!$E$13:$E$9627=$B$42)*('Monthly Data'!$F$13:$F$9627)*('Monthly Data'!$C$13:$C$9627=M$26)*('Monthly Data'!$D$13:$D$9627=$B48))</f>
        <v>898313</v>
      </c>
      <c r="N48" s="80">
        <f>SUMPRODUCT(('Monthly Data'!$E$13:$E$9627=$B$42)*('Monthly Data'!$F$13:$F$9627)*('Monthly Data'!$C$13:$C$9627=N$26)*('Monthly Data'!$D$13:$D$9627=$B48))</f>
        <v>870304</v>
      </c>
      <c r="O48" s="80">
        <f>SUMPRODUCT(('Monthly Data'!$E$13:$E$9627=$B$42)*('Monthly Data'!$F$13:$F$9627)*('Monthly Data'!$C$13:$C$9627=O$26)*('Monthly Data'!$D$13:$D$9627=$B48))</f>
        <v>859923</v>
      </c>
      <c r="P48" s="80">
        <f>SUMPRODUCT(('Monthly Data'!$E$13:$E$9627=$B$42)*('Monthly Data'!$F$13:$F$9627)*('Monthly Data'!$C$13:$C$9627=P$26)*('Monthly Data'!$D$13:$D$9627=$B48))</f>
        <v>912524</v>
      </c>
      <c r="Q48" s="80">
        <f>SUMPRODUCT(('Monthly Data'!$E$13:$E$9627=$B$42)*('Monthly Data'!$F$13:$F$9627)*('Monthly Data'!$C$13:$C$9627=Q$26)*('Monthly Data'!$D$13:$D$9627=$B48))</f>
        <v>0</v>
      </c>
      <c r="S48" s="89">
        <f t="shared" si="4"/>
        <v>11161833</v>
      </c>
      <c r="U48" s="30">
        <v>6</v>
      </c>
      <c r="V48" s="95">
        <f>SUMPRODUCT(('Monthly Data'!$E$13:$E$9627=$U$42)*('Monthly Data'!$G$13:$G$9627)*('Monthly Data'!$C$13:$C$9627=V$26)*('Monthly Data'!$D$13:$D$9627=$U48))</f>
        <v>9097</v>
      </c>
      <c r="W48" s="95">
        <f>SUMPRODUCT(('Monthly Data'!$E$13:$E$9627=$U$42)*('Monthly Data'!$G$13:$G$9627)*('Monthly Data'!$C$13:$C$9627=W$26)*('Monthly Data'!$D$13:$D$9627=$U48))</f>
        <v>9952</v>
      </c>
      <c r="X48" s="80">
        <f>SUMPRODUCT(('Monthly Data'!$E$13:$E$9627=$U$42)*('Monthly Data'!$G$13:$G$9627)*('Monthly Data'!$C$13:$C$9627=X$26)*('Monthly Data'!$D$13:$D$9627=$U48))</f>
        <v>10035</v>
      </c>
      <c r="Y48" s="80">
        <f>SUMPRODUCT(('Monthly Data'!$E$13:$E$9627=$U$42)*('Monthly Data'!$G$13:$G$9627)*('Monthly Data'!$C$13:$C$9627=Y$26)*('Monthly Data'!$D$13:$D$9627=$U48))</f>
        <v>9939</v>
      </c>
      <c r="Z48" s="80">
        <f>SUMPRODUCT(('Monthly Data'!$E$13:$E$9627=$U$42)*('Monthly Data'!$G$13:$G$9627)*('Monthly Data'!$C$13:$C$9627=Z$26)*('Monthly Data'!$D$13:$D$9627=$U48))</f>
        <v>10301</v>
      </c>
      <c r="AA48" s="80">
        <f>SUMPRODUCT(('Monthly Data'!$E$13:$E$9627=$U$42)*('Monthly Data'!$G$13:$G$9627)*('Monthly Data'!$C$13:$C$9627=AA$26)*('Monthly Data'!$D$13:$D$9627=$U48))</f>
        <v>9681</v>
      </c>
      <c r="AB48" s="80">
        <f>SUMPRODUCT(('Monthly Data'!$E$13:$E$9627=$U$42)*('Monthly Data'!$G$13:$G$9627)*('Monthly Data'!$C$13:$C$9627=AB$26)*('Monthly Data'!$D$13:$D$9627=$U48))</f>
        <v>10675</v>
      </c>
      <c r="AC48" s="80">
        <f>SUMPRODUCT(('Monthly Data'!$E$13:$E$9627=$U$42)*('Monthly Data'!$G$13:$G$9627)*('Monthly Data'!$C$13:$C$9627=AC$26)*('Monthly Data'!$D$13:$D$9627=$U48))</f>
        <v>9950</v>
      </c>
      <c r="AD48" s="80">
        <f>SUMPRODUCT(('Monthly Data'!$E$13:$E$9627=$U$42)*('Monthly Data'!$G$13:$G$9627)*('Monthly Data'!$C$13:$C$9627=AD$26)*('Monthly Data'!$D$13:$D$9627=$U48))</f>
        <v>9577</v>
      </c>
      <c r="AE48" s="80">
        <f>SUMPRODUCT(('Monthly Data'!$E$13:$E$9627=$U$42)*('Monthly Data'!$G$13:$G$9627)*('Monthly Data'!$C$13:$C$9627=AE$26)*('Monthly Data'!$D$13:$D$9627=$U48))</f>
        <v>9510</v>
      </c>
      <c r="AF48" s="80">
        <f>SUMPRODUCT(('Monthly Data'!$E$13:$E$9627=$U$42)*('Monthly Data'!$G$13:$G$9627)*('Monthly Data'!$C$13:$C$9627=AF$26)*('Monthly Data'!$D$13:$D$9627=$U48))</f>
        <v>8810</v>
      </c>
      <c r="AG48" s="80">
        <f>SUMPRODUCT(('Monthly Data'!$E$13:$E$9627=$U$42)*('Monthly Data'!$G$13:$G$9627)*('Monthly Data'!$C$13:$C$9627=AG$26)*('Monthly Data'!$D$13:$D$9627=$U48))</f>
        <v>8287</v>
      </c>
      <c r="AH48" s="80">
        <f>SUMPRODUCT(('Monthly Data'!$E$13:$E$9627=$U$42)*('Monthly Data'!$G$13:$G$9627)*('Monthly Data'!$C$13:$C$9627=AH$26)*('Monthly Data'!$D$13:$D$9627=$U48))</f>
        <v>7999</v>
      </c>
      <c r="AI48" s="80">
        <f>SUMPRODUCT(('Monthly Data'!$E$13:$E$9627=$U$42)*('Monthly Data'!$G$13:$G$9627)*('Monthly Data'!$C$13:$C$9627=AI$26)*('Monthly Data'!$D$13:$D$9627=$U48))</f>
        <v>8088</v>
      </c>
      <c r="AJ48" s="80">
        <f>SUMPRODUCT(('Monthly Data'!$E$13:$E$9627=$U$42)*('Monthly Data'!$G$13:$G$9627)*('Monthly Data'!$C$13:$C$9627=AJ$26)*('Monthly Data'!$D$13:$D$9627=$U48))</f>
        <v>0</v>
      </c>
      <c r="AL48" s="89">
        <f t="shared" si="5"/>
        <v>123813</v>
      </c>
    </row>
    <row r="49" spans="2:38">
      <c r="B49" s="30">
        <v>7</v>
      </c>
      <c r="C49" s="95">
        <f>SUMPRODUCT(('Monthly Data'!$E$13:$E$9627=$B$42)*('Monthly Data'!$F$13:$F$9627)*('Monthly Data'!$C$13:$C$9627=C$26)*('Monthly Data'!$D$13:$D$9627=$B49))</f>
        <v>741605</v>
      </c>
      <c r="D49" s="95">
        <f>SUMPRODUCT(('Monthly Data'!$E$13:$E$9627=$B$42)*('Monthly Data'!$F$13:$F$9627)*('Monthly Data'!$C$13:$C$9627=D$26)*('Monthly Data'!$D$13:$D$9627=$B49))</f>
        <v>807872</v>
      </c>
      <c r="E49" s="80">
        <f>SUMPRODUCT(('Monthly Data'!$E$13:$E$9627=$B$42)*('Monthly Data'!$F$13:$F$9627)*('Monthly Data'!$C$13:$C$9627=E$26)*('Monthly Data'!$D$13:$D$9627=$B49))</f>
        <v>841848</v>
      </c>
      <c r="F49" s="80">
        <f>SUMPRODUCT(('Monthly Data'!$E$13:$E$9627=$B$42)*('Monthly Data'!$F$13:$F$9627)*('Monthly Data'!$C$13:$C$9627=F$26)*('Monthly Data'!$D$13:$D$9627=$B49))</f>
        <v>843058</v>
      </c>
      <c r="G49" s="80">
        <f>SUMPRODUCT(('Monthly Data'!$E$13:$E$9627=$B$42)*('Monthly Data'!$F$13:$F$9627)*('Monthly Data'!$C$13:$C$9627=G$26)*('Monthly Data'!$D$13:$D$9627=$B49))</f>
        <v>974591</v>
      </c>
      <c r="H49" s="80">
        <f>SUMPRODUCT(('Monthly Data'!$E$13:$E$9627=$B$42)*('Monthly Data'!$F$13:$F$9627)*('Monthly Data'!$C$13:$C$9627=H$26)*('Monthly Data'!$D$13:$D$9627=$B49))</f>
        <v>943953</v>
      </c>
      <c r="I49" s="80">
        <f>SUMPRODUCT(('Monthly Data'!$E$13:$E$9627=$B$42)*('Monthly Data'!$F$13:$F$9627)*('Monthly Data'!$C$13:$C$9627=I$26)*('Monthly Data'!$D$13:$D$9627=$B49))</f>
        <v>1013813</v>
      </c>
      <c r="J49" s="80">
        <f>SUMPRODUCT(('Monthly Data'!$E$13:$E$9627=$B$42)*('Monthly Data'!$F$13:$F$9627)*('Monthly Data'!$C$13:$C$9627=J$26)*('Monthly Data'!$D$13:$D$9627=$B49))</f>
        <v>945560</v>
      </c>
      <c r="K49" s="80">
        <f>SUMPRODUCT(('Monthly Data'!$E$13:$E$9627=$B$42)*('Monthly Data'!$F$13:$F$9627)*('Monthly Data'!$C$13:$C$9627=K$26)*('Monthly Data'!$D$13:$D$9627=$B49))</f>
        <v>955488</v>
      </c>
      <c r="L49" s="80">
        <f>SUMPRODUCT(('Monthly Data'!$E$13:$E$9627=$B$42)*('Monthly Data'!$F$13:$F$9627)*('Monthly Data'!$C$13:$C$9627=L$26)*('Monthly Data'!$D$13:$D$9627=$B49))</f>
        <v>1031946</v>
      </c>
      <c r="M49" s="80">
        <f>SUMPRODUCT(('Monthly Data'!$E$13:$E$9627=$B$42)*('Monthly Data'!$F$13:$F$9627)*('Monthly Data'!$C$13:$C$9627=M$26)*('Monthly Data'!$D$13:$D$9627=$B49))</f>
        <v>967933</v>
      </c>
      <c r="N49" s="80">
        <f>SUMPRODUCT(('Monthly Data'!$E$13:$E$9627=$B$42)*('Monthly Data'!$F$13:$F$9627)*('Monthly Data'!$C$13:$C$9627=N$26)*('Monthly Data'!$D$13:$D$9627=$B49))</f>
        <v>927780</v>
      </c>
      <c r="O49" s="80">
        <f>SUMPRODUCT(('Monthly Data'!$E$13:$E$9627=$B$42)*('Monthly Data'!$F$13:$F$9627)*('Monthly Data'!$C$13:$C$9627=O$26)*('Monthly Data'!$D$13:$D$9627=$B49))</f>
        <v>938554</v>
      </c>
      <c r="P49" s="80">
        <f>SUMPRODUCT(('Monthly Data'!$E$13:$E$9627=$B$42)*('Monthly Data'!$F$13:$F$9627)*('Monthly Data'!$C$13:$C$9627=P$26)*('Monthly Data'!$D$13:$D$9627=$B49))</f>
        <v>976505</v>
      </c>
      <c r="Q49" s="80">
        <f>SUMPRODUCT(('Monthly Data'!$E$13:$E$9627=$B$42)*('Monthly Data'!$F$13:$F$9627)*('Monthly Data'!$C$13:$C$9627=Q$26)*('Monthly Data'!$D$13:$D$9627=$B49))</f>
        <v>0</v>
      </c>
      <c r="S49" s="89">
        <f t="shared" si="4"/>
        <v>11934001</v>
      </c>
      <c r="U49" s="30">
        <v>7</v>
      </c>
      <c r="V49" s="95">
        <f>SUMPRODUCT(('Monthly Data'!$E$13:$E$9627=$U$42)*('Monthly Data'!$G$13:$G$9627)*('Monthly Data'!$C$13:$C$9627=V$26)*('Monthly Data'!$D$13:$D$9627=$U49))</f>
        <v>9343</v>
      </c>
      <c r="W49" s="95">
        <f>SUMPRODUCT(('Monthly Data'!$E$13:$E$9627=$U$42)*('Monthly Data'!$G$13:$G$9627)*('Monthly Data'!$C$13:$C$9627=W$26)*('Monthly Data'!$D$13:$D$9627=$U49))</f>
        <v>10308</v>
      </c>
      <c r="X49" s="80">
        <f>SUMPRODUCT(('Monthly Data'!$E$13:$E$9627=$U$42)*('Monthly Data'!$G$13:$G$9627)*('Monthly Data'!$C$13:$C$9627=X$26)*('Monthly Data'!$D$13:$D$9627=$U49))</f>
        <v>10577</v>
      </c>
      <c r="Y49" s="80">
        <f>SUMPRODUCT(('Monthly Data'!$E$13:$E$9627=$U$42)*('Monthly Data'!$G$13:$G$9627)*('Monthly Data'!$C$13:$C$9627=Y$26)*('Monthly Data'!$D$13:$D$9627=$U49))</f>
        <v>10651</v>
      </c>
      <c r="Z49" s="80">
        <f>SUMPRODUCT(('Monthly Data'!$E$13:$E$9627=$U$42)*('Monthly Data'!$G$13:$G$9627)*('Monthly Data'!$C$13:$C$9627=Z$26)*('Monthly Data'!$D$13:$D$9627=$U49))</f>
        <v>10781</v>
      </c>
      <c r="AA49" s="80">
        <f>SUMPRODUCT(('Monthly Data'!$E$13:$E$9627=$U$42)*('Monthly Data'!$G$13:$G$9627)*('Monthly Data'!$C$13:$C$9627=AA$26)*('Monthly Data'!$D$13:$D$9627=$U49))</f>
        <v>10005</v>
      </c>
      <c r="AB49" s="80">
        <f>SUMPRODUCT(('Monthly Data'!$E$13:$E$9627=$U$42)*('Monthly Data'!$G$13:$G$9627)*('Monthly Data'!$C$13:$C$9627=AB$26)*('Monthly Data'!$D$13:$D$9627=$U49))</f>
        <v>10763</v>
      </c>
      <c r="AC49" s="80">
        <f>SUMPRODUCT(('Monthly Data'!$E$13:$E$9627=$U$42)*('Monthly Data'!$G$13:$G$9627)*('Monthly Data'!$C$13:$C$9627=AC$26)*('Monthly Data'!$D$13:$D$9627=$U49))</f>
        <v>10170</v>
      </c>
      <c r="AD49" s="80">
        <f>SUMPRODUCT(('Monthly Data'!$E$13:$E$9627=$U$42)*('Monthly Data'!$G$13:$G$9627)*('Monthly Data'!$C$13:$C$9627=AD$26)*('Monthly Data'!$D$13:$D$9627=$U49))</f>
        <v>9640</v>
      </c>
      <c r="AE49" s="80">
        <f>SUMPRODUCT(('Monthly Data'!$E$13:$E$9627=$U$42)*('Monthly Data'!$G$13:$G$9627)*('Monthly Data'!$C$13:$C$9627=AE$26)*('Monthly Data'!$D$13:$D$9627=$U49))</f>
        <v>9809</v>
      </c>
      <c r="AF49" s="80">
        <f>SUMPRODUCT(('Monthly Data'!$E$13:$E$9627=$U$42)*('Monthly Data'!$G$13:$G$9627)*('Monthly Data'!$C$13:$C$9627=AF$26)*('Monthly Data'!$D$13:$D$9627=$U49))</f>
        <v>8835</v>
      </c>
      <c r="AG49" s="80">
        <f>SUMPRODUCT(('Monthly Data'!$E$13:$E$9627=$U$42)*('Monthly Data'!$G$13:$G$9627)*('Monthly Data'!$C$13:$C$9627=AG$26)*('Monthly Data'!$D$13:$D$9627=$U49))</f>
        <v>8319</v>
      </c>
      <c r="AH49" s="80">
        <f>SUMPRODUCT(('Monthly Data'!$E$13:$E$9627=$U$42)*('Monthly Data'!$G$13:$G$9627)*('Monthly Data'!$C$13:$C$9627=AH$26)*('Monthly Data'!$D$13:$D$9627=$U49))</f>
        <v>8096</v>
      </c>
      <c r="AI49" s="80">
        <f>SUMPRODUCT(('Monthly Data'!$E$13:$E$9627=$U$42)*('Monthly Data'!$G$13:$G$9627)*('Monthly Data'!$C$13:$C$9627=AI$26)*('Monthly Data'!$D$13:$D$9627=$U49))</f>
        <v>8161</v>
      </c>
      <c r="AJ49" s="80">
        <f>SUMPRODUCT(('Monthly Data'!$E$13:$E$9627=$U$42)*('Monthly Data'!$G$13:$G$9627)*('Monthly Data'!$C$13:$C$9627=AJ$26)*('Monthly Data'!$D$13:$D$9627=$U49))</f>
        <v>0</v>
      </c>
      <c r="AL49" s="89">
        <f t="shared" si="5"/>
        <v>127297</v>
      </c>
    </row>
    <row r="50" spans="2:38">
      <c r="B50" s="30">
        <v>8</v>
      </c>
      <c r="C50" s="95">
        <f>SUMPRODUCT(('Monthly Data'!$E$13:$E$9627=$B$42)*('Monthly Data'!$F$13:$F$9627)*('Monthly Data'!$C$13:$C$9627=C$26)*('Monthly Data'!$D$13:$D$9627=$B50))</f>
        <v>743634</v>
      </c>
      <c r="D50" s="95">
        <f>SUMPRODUCT(('Monthly Data'!$E$13:$E$9627=$B$42)*('Monthly Data'!$F$13:$F$9627)*('Monthly Data'!$C$13:$C$9627=D$26)*('Monthly Data'!$D$13:$D$9627=$B50))</f>
        <v>820563</v>
      </c>
      <c r="E50" s="80">
        <f>SUMPRODUCT(('Monthly Data'!$E$13:$E$9627=$B$42)*('Monthly Data'!$F$13:$F$9627)*('Monthly Data'!$C$13:$C$9627=E$26)*('Monthly Data'!$D$13:$D$9627=$B50))</f>
        <v>867600</v>
      </c>
      <c r="F50" s="80">
        <f>SUMPRODUCT(('Monthly Data'!$E$13:$E$9627=$B$42)*('Monthly Data'!$F$13:$F$9627)*('Monthly Data'!$C$13:$C$9627=F$26)*('Monthly Data'!$D$13:$D$9627=$B50))</f>
        <v>884516</v>
      </c>
      <c r="G50" s="80">
        <f>SUMPRODUCT(('Monthly Data'!$E$13:$E$9627=$B$42)*('Monthly Data'!$F$13:$F$9627)*('Monthly Data'!$C$13:$C$9627=G$26)*('Monthly Data'!$D$13:$D$9627=$B50))</f>
        <v>1000147</v>
      </c>
      <c r="H50" s="80">
        <f>SUMPRODUCT(('Monthly Data'!$E$13:$E$9627=$B$42)*('Monthly Data'!$F$13:$F$9627)*('Monthly Data'!$C$13:$C$9627=H$26)*('Monthly Data'!$D$13:$D$9627=$B50))</f>
        <v>961681</v>
      </c>
      <c r="I50" s="80">
        <f>SUMPRODUCT(('Monthly Data'!$E$13:$E$9627=$B$42)*('Monthly Data'!$F$13:$F$9627)*('Monthly Data'!$C$13:$C$9627=I$26)*('Monthly Data'!$D$13:$D$9627=$B50))</f>
        <v>1039470</v>
      </c>
      <c r="J50" s="80">
        <f>SUMPRODUCT(('Monthly Data'!$E$13:$E$9627=$B$42)*('Monthly Data'!$F$13:$F$9627)*('Monthly Data'!$C$13:$C$9627=J$26)*('Monthly Data'!$D$13:$D$9627=$B50))</f>
        <v>975042</v>
      </c>
      <c r="K50" s="80">
        <f>SUMPRODUCT(('Monthly Data'!$E$13:$E$9627=$B$42)*('Monthly Data'!$F$13:$F$9627)*('Monthly Data'!$C$13:$C$9627=K$26)*('Monthly Data'!$D$13:$D$9627=$B50))</f>
        <v>996495</v>
      </c>
      <c r="L50" s="80">
        <f>SUMPRODUCT(('Monthly Data'!$E$13:$E$9627=$B$42)*('Monthly Data'!$F$13:$F$9627)*('Monthly Data'!$C$13:$C$9627=L$26)*('Monthly Data'!$D$13:$D$9627=$B50))</f>
        <v>1074667</v>
      </c>
      <c r="M50" s="80">
        <f>SUMPRODUCT(('Monthly Data'!$E$13:$E$9627=$B$42)*('Monthly Data'!$F$13:$F$9627)*('Monthly Data'!$C$13:$C$9627=M$26)*('Monthly Data'!$D$13:$D$9627=$B50))</f>
        <v>1013459</v>
      </c>
      <c r="N50" s="80">
        <f>SUMPRODUCT(('Monthly Data'!$E$13:$E$9627=$B$42)*('Monthly Data'!$F$13:$F$9627)*('Monthly Data'!$C$13:$C$9627=N$26)*('Monthly Data'!$D$13:$D$9627=$B50))</f>
        <v>964991</v>
      </c>
      <c r="O50" s="80">
        <f>SUMPRODUCT(('Monthly Data'!$E$13:$E$9627=$B$42)*('Monthly Data'!$F$13:$F$9627)*('Monthly Data'!$C$13:$C$9627=O$26)*('Monthly Data'!$D$13:$D$9627=$B50))</f>
        <v>945379</v>
      </c>
      <c r="P50" s="80">
        <f>SUMPRODUCT(('Monthly Data'!$E$13:$E$9627=$B$42)*('Monthly Data'!$F$13:$F$9627)*('Monthly Data'!$C$13:$C$9627=P$26)*('Monthly Data'!$D$13:$D$9627=$B50))</f>
        <v>1029512</v>
      </c>
      <c r="Q50" s="80">
        <f>SUMPRODUCT(('Monthly Data'!$E$13:$E$9627=$B$42)*('Monthly Data'!$F$13:$F$9627)*('Monthly Data'!$C$13:$C$9627=Q$26)*('Monthly Data'!$D$13:$D$9627=$B50))</f>
        <v>0</v>
      </c>
      <c r="S50" s="89">
        <f t="shared" si="4"/>
        <v>12287644</v>
      </c>
      <c r="U50" s="30">
        <v>8</v>
      </c>
      <c r="V50" s="95">
        <f>SUMPRODUCT(('Monthly Data'!$E$13:$E$9627=$U$42)*('Monthly Data'!$G$13:$G$9627)*('Monthly Data'!$C$13:$C$9627=V$26)*('Monthly Data'!$D$13:$D$9627=$U50))</f>
        <v>9001</v>
      </c>
      <c r="W50" s="95">
        <f>SUMPRODUCT(('Monthly Data'!$E$13:$E$9627=$U$42)*('Monthly Data'!$G$13:$G$9627)*('Monthly Data'!$C$13:$C$9627=W$26)*('Monthly Data'!$D$13:$D$9627=$U50))</f>
        <v>10141</v>
      </c>
      <c r="X50" s="80">
        <f>SUMPRODUCT(('Monthly Data'!$E$13:$E$9627=$U$42)*('Monthly Data'!$G$13:$G$9627)*('Monthly Data'!$C$13:$C$9627=X$26)*('Monthly Data'!$D$13:$D$9627=$U50))</f>
        <v>10576</v>
      </c>
      <c r="Y50" s="80">
        <f>SUMPRODUCT(('Monthly Data'!$E$13:$E$9627=$U$42)*('Monthly Data'!$G$13:$G$9627)*('Monthly Data'!$C$13:$C$9627=Y$26)*('Monthly Data'!$D$13:$D$9627=$U50))</f>
        <v>10525</v>
      </c>
      <c r="Z50" s="80">
        <f>SUMPRODUCT(('Monthly Data'!$E$13:$E$9627=$U$42)*('Monthly Data'!$G$13:$G$9627)*('Monthly Data'!$C$13:$C$9627=Z$26)*('Monthly Data'!$D$13:$D$9627=$U50))</f>
        <v>10511</v>
      </c>
      <c r="AA50" s="80">
        <f>SUMPRODUCT(('Monthly Data'!$E$13:$E$9627=$U$42)*('Monthly Data'!$G$13:$G$9627)*('Monthly Data'!$C$13:$C$9627=AA$26)*('Monthly Data'!$D$13:$D$9627=$U50))</f>
        <v>9849</v>
      </c>
      <c r="AB50" s="80">
        <f>SUMPRODUCT(('Monthly Data'!$E$13:$E$9627=$U$42)*('Monthly Data'!$G$13:$G$9627)*('Monthly Data'!$C$13:$C$9627=AB$26)*('Monthly Data'!$D$13:$D$9627=$U50))</f>
        <v>10674</v>
      </c>
      <c r="AC50" s="80">
        <f>SUMPRODUCT(('Monthly Data'!$E$13:$E$9627=$U$42)*('Monthly Data'!$G$13:$G$9627)*('Monthly Data'!$C$13:$C$9627=AC$26)*('Monthly Data'!$D$13:$D$9627=$U50))</f>
        <v>10166</v>
      </c>
      <c r="AD50" s="80">
        <f>SUMPRODUCT(('Monthly Data'!$E$13:$E$9627=$U$42)*('Monthly Data'!$G$13:$G$9627)*('Monthly Data'!$C$13:$C$9627=AD$26)*('Monthly Data'!$D$13:$D$9627=$U50))</f>
        <v>9608</v>
      </c>
      <c r="AE50" s="80">
        <f>SUMPRODUCT(('Monthly Data'!$E$13:$E$9627=$U$42)*('Monthly Data'!$G$13:$G$9627)*('Monthly Data'!$C$13:$C$9627=AE$26)*('Monthly Data'!$D$13:$D$9627=$U50))</f>
        <v>9776</v>
      </c>
      <c r="AF50" s="80">
        <f>SUMPRODUCT(('Monthly Data'!$E$13:$E$9627=$U$42)*('Monthly Data'!$G$13:$G$9627)*('Monthly Data'!$C$13:$C$9627=AF$26)*('Monthly Data'!$D$13:$D$9627=$U50))</f>
        <v>8633</v>
      </c>
      <c r="AG50" s="80">
        <f>SUMPRODUCT(('Monthly Data'!$E$13:$E$9627=$U$42)*('Monthly Data'!$G$13:$G$9627)*('Monthly Data'!$C$13:$C$9627=AG$26)*('Monthly Data'!$D$13:$D$9627=$U50))</f>
        <v>8197</v>
      </c>
      <c r="AH50" s="80">
        <f>SUMPRODUCT(('Monthly Data'!$E$13:$E$9627=$U$42)*('Monthly Data'!$G$13:$G$9627)*('Monthly Data'!$C$13:$C$9627=AH$26)*('Monthly Data'!$D$13:$D$9627=$U50))</f>
        <v>7919</v>
      </c>
      <c r="AI50" s="80">
        <f>SUMPRODUCT(('Monthly Data'!$E$13:$E$9627=$U$42)*('Monthly Data'!$G$13:$G$9627)*('Monthly Data'!$C$13:$C$9627=AI$26)*('Monthly Data'!$D$13:$D$9627=$U50))</f>
        <v>8376</v>
      </c>
      <c r="AJ50" s="80">
        <f>SUMPRODUCT(('Monthly Data'!$E$13:$E$9627=$U$42)*('Monthly Data'!$G$13:$G$9627)*('Monthly Data'!$C$13:$C$9627=AJ$26)*('Monthly Data'!$D$13:$D$9627=$U50))</f>
        <v>0</v>
      </c>
      <c r="AL50" s="89">
        <f t="shared" si="5"/>
        <v>125576</v>
      </c>
    </row>
    <row r="51" spans="2:38">
      <c r="B51" s="30">
        <v>9</v>
      </c>
      <c r="C51" s="95">
        <f>SUMPRODUCT(('Monthly Data'!$E$13:$E$9627=$B$42)*('Monthly Data'!$F$13:$F$9627)*('Monthly Data'!$C$13:$C$9627=C$26)*('Monthly Data'!$D$13:$D$9627=$B51))</f>
        <v>751392</v>
      </c>
      <c r="D51" s="95">
        <f>SUMPRODUCT(('Monthly Data'!$E$13:$E$9627=$B$42)*('Monthly Data'!$F$13:$F$9627)*('Monthly Data'!$C$13:$C$9627=D$26)*('Monthly Data'!$D$13:$D$9627=$B51))</f>
        <v>835429</v>
      </c>
      <c r="E51" s="80">
        <f>SUMPRODUCT(('Monthly Data'!$E$13:$E$9627=$B$42)*('Monthly Data'!$F$13:$F$9627)*('Monthly Data'!$C$13:$C$9627=E$26)*('Monthly Data'!$D$13:$D$9627=$B51))</f>
        <v>827029</v>
      </c>
      <c r="F51" s="80">
        <f>SUMPRODUCT(('Monthly Data'!$E$13:$E$9627=$B$42)*('Monthly Data'!$F$13:$F$9627)*('Monthly Data'!$C$13:$C$9627=F$26)*('Monthly Data'!$D$13:$D$9627=$B51))</f>
        <v>858283</v>
      </c>
      <c r="G51" s="80">
        <f>SUMPRODUCT(('Monthly Data'!$E$13:$E$9627=$B$42)*('Monthly Data'!$F$13:$F$9627)*('Monthly Data'!$C$13:$C$9627=G$26)*('Monthly Data'!$D$13:$D$9627=$B51))</f>
        <v>951883</v>
      </c>
      <c r="H51" s="80">
        <f>SUMPRODUCT(('Monthly Data'!$E$13:$E$9627=$B$42)*('Monthly Data'!$F$13:$F$9627)*('Monthly Data'!$C$13:$C$9627=H$26)*('Monthly Data'!$D$13:$D$9627=$B51))</f>
        <v>922083</v>
      </c>
      <c r="I51" s="80">
        <f>SUMPRODUCT(('Monthly Data'!$E$13:$E$9627=$B$42)*('Monthly Data'!$F$13:$F$9627)*('Monthly Data'!$C$13:$C$9627=I$26)*('Monthly Data'!$D$13:$D$9627=$B51))</f>
        <v>1014787</v>
      </c>
      <c r="J51" s="80">
        <f>SUMPRODUCT(('Monthly Data'!$E$13:$E$9627=$B$42)*('Monthly Data'!$F$13:$F$9627)*('Monthly Data'!$C$13:$C$9627=J$26)*('Monthly Data'!$D$13:$D$9627=$B51))</f>
        <v>941798</v>
      </c>
      <c r="K51" s="80">
        <f>SUMPRODUCT(('Monthly Data'!$E$13:$E$9627=$B$42)*('Monthly Data'!$F$13:$F$9627)*('Monthly Data'!$C$13:$C$9627=K$26)*('Monthly Data'!$D$13:$D$9627=$B51))</f>
        <v>962925</v>
      </c>
      <c r="L51" s="80">
        <f>SUMPRODUCT(('Monthly Data'!$E$13:$E$9627=$B$42)*('Monthly Data'!$F$13:$F$9627)*('Monthly Data'!$C$13:$C$9627=L$26)*('Monthly Data'!$D$13:$D$9627=$B51))</f>
        <v>980624</v>
      </c>
      <c r="M51" s="80">
        <f>SUMPRODUCT(('Monthly Data'!$E$13:$E$9627=$B$42)*('Monthly Data'!$F$13:$F$9627)*('Monthly Data'!$C$13:$C$9627=M$26)*('Monthly Data'!$D$13:$D$9627=$B51))</f>
        <v>936711</v>
      </c>
      <c r="N51" s="80">
        <f>SUMPRODUCT(('Monthly Data'!$E$13:$E$9627=$B$42)*('Monthly Data'!$F$13:$F$9627)*('Monthly Data'!$C$13:$C$9627=N$26)*('Monthly Data'!$D$13:$D$9627=$B51))</f>
        <v>917590</v>
      </c>
      <c r="O51" s="80">
        <f>SUMPRODUCT(('Monthly Data'!$E$13:$E$9627=$B$42)*('Monthly Data'!$F$13:$F$9627)*('Monthly Data'!$C$13:$C$9627=O$26)*('Monthly Data'!$D$13:$D$9627=$B51))</f>
        <v>903658</v>
      </c>
      <c r="P51" s="80">
        <f>SUMPRODUCT(('Monthly Data'!$E$13:$E$9627=$B$42)*('Monthly Data'!$F$13:$F$9627)*('Monthly Data'!$C$13:$C$9627=P$26)*('Monthly Data'!$D$13:$D$9627=$B51))</f>
        <v>946288</v>
      </c>
      <c r="Q51" s="80">
        <f>SUMPRODUCT(('Monthly Data'!$E$13:$E$9627=$B$42)*('Monthly Data'!$F$13:$F$9627)*('Monthly Data'!$C$13:$C$9627=Q$26)*('Monthly Data'!$D$13:$D$9627=$B51))</f>
        <v>0</v>
      </c>
      <c r="S51" s="89">
        <f t="shared" si="4"/>
        <v>11804192</v>
      </c>
      <c r="U51" s="30">
        <v>9</v>
      </c>
      <c r="V51" s="95">
        <f>SUMPRODUCT(('Monthly Data'!$E$13:$E$9627=$U$42)*('Monthly Data'!$G$13:$G$9627)*('Monthly Data'!$C$13:$C$9627=V$26)*('Monthly Data'!$D$13:$D$9627=$U51))</f>
        <v>9272</v>
      </c>
      <c r="W51" s="95">
        <f>SUMPRODUCT(('Monthly Data'!$E$13:$E$9627=$U$42)*('Monthly Data'!$G$13:$G$9627)*('Monthly Data'!$C$13:$C$9627=W$26)*('Monthly Data'!$D$13:$D$9627=$U51))</f>
        <v>10166</v>
      </c>
      <c r="X51" s="80">
        <f>SUMPRODUCT(('Monthly Data'!$E$13:$E$9627=$U$42)*('Monthly Data'!$G$13:$G$9627)*('Monthly Data'!$C$13:$C$9627=X$26)*('Monthly Data'!$D$13:$D$9627=$U51))</f>
        <v>10196</v>
      </c>
      <c r="Y51" s="80">
        <f>SUMPRODUCT(('Monthly Data'!$E$13:$E$9627=$U$42)*('Monthly Data'!$G$13:$G$9627)*('Monthly Data'!$C$13:$C$9627=Y$26)*('Monthly Data'!$D$13:$D$9627=$U51))</f>
        <v>10466</v>
      </c>
      <c r="Z51" s="80">
        <f>SUMPRODUCT(('Monthly Data'!$E$13:$E$9627=$U$42)*('Monthly Data'!$G$13:$G$9627)*('Monthly Data'!$C$13:$C$9627=Z$26)*('Monthly Data'!$D$13:$D$9627=$U51))</f>
        <v>10493</v>
      </c>
      <c r="AA51" s="80">
        <f>SUMPRODUCT(('Monthly Data'!$E$13:$E$9627=$U$42)*('Monthly Data'!$G$13:$G$9627)*('Monthly Data'!$C$13:$C$9627=AA$26)*('Monthly Data'!$D$13:$D$9627=$U51))</f>
        <v>9835</v>
      </c>
      <c r="AB51" s="80">
        <f>SUMPRODUCT(('Monthly Data'!$E$13:$E$9627=$U$42)*('Monthly Data'!$G$13:$G$9627)*('Monthly Data'!$C$13:$C$9627=AB$26)*('Monthly Data'!$D$13:$D$9627=$U51))</f>
        <v>10701</v>
      </c>
      <c r="AC51" s="80">
        <f>SUMPRODUCT(('Monthly Data'!$E$13:$E$9627=$U$42)*('Monthly Data'!$G$13:$G$9627)*('Monthly Data'!$C$13:$C$9627=AC$26)*('Monthly Data'!$D$13:$D$9627=$U51))</f>
        <v>9910</v>
      </c>
      <c r="AD51" s="80">
        <f>SUMPRODUCT(('Monthly Data'!$E$13:$E$9627=$U$42)*('Monthly Data'!$G$13:$G$9627)*('Monthly Data'!$C$13:$C$9627=AD$26)*('Monthly Data'!$D$13:$D$9627=$U51))</f>
        <v>9588</v>
      </c>
      <c r="AE51" s="80">
        <f>SUMPRODUCT(('Monthly Data'!$E$13:$E$9627=$U$42)*('Monthly Data'!$G$13:$G$9627)*('Monthly Data'!$C$13:$C$9627=AE$26)*('Monthly Data'!$D$13:$D$9627=$U51))</f>
        <v>9665</v>
      </c>
      <c r="AF51" s="80">
        <f>SUMPRODUCT(('Monthly Data'!$E$13:$E$9627=$U$42)*('Monthly Data'!$G$13:$G$9627)*('Monthly Data'!$C$13:$C$9627=AF$26)*('Monthly Data'!$D$13:$D$9627=$U51))</f>
        <v>8774</v>
      </c>
      <c r="AG51" s="80">
        <f>SUMPRODUCT(('Monthly Data'!$E$13:$E$9627=$U$42)*('Monthly Data'!$G$13:$G$9627)*('Monthly Data'!$C$13:$C$9627=AG$26)*('Monthly Data'!$D$13:$D$9627=$U51))</f>
        <v>8218</v>
      </c>
      <c r="AH51" s="80">
        <f>SUMPRODUCT(('Monthly Data'!$E$13:$E$9627=$U$42)*('Monthly Data'!$G$13:$G$9627)*('Monthly Data'!$C$13:$C$9627=AH$26)*('Monthly Data'!$D$13:$D$9627=$U51))</f>
        <v>7972</v>
      </c>
      <c r="AI51" s="80">
        <f>SUMPRODUCT(('Monthly Data'!$E$13:$E$9627=$U$42)*('Monthly Data'!$G$13:$G$9627)*('Monthly Data'!$C$13:$C$9627=AI$26)*('Monthly Data'!$D$13:$D$9627=$U51))</f>
        <v>7916</v>
      </c>
      <c r="AJ51" s="80">
        <f>SUMPRODUCT(('Monthly Data'!$E$13:$E$9627=$U$42)*('Monthly Data'!$G$13:$G$9627)*('Monthly Data'!$C$13:$C$9627=AJ$26)*('Monthly Data'!$D$13:$D$9627=$U51))</f>
        <v>0</v>
      </c>
      <c r="AL51" s="89">
        <f t="shared" si="5"/>
        <v>125256</v>
      </c>
    </row>
    <row r="52" spans="2:38">
      <c r="B52" s="30">
        <v>10</v>
      </c>
      <c r="C52" s="95">
        <f>SUMPRODUCT(('Monthly Data'!$E$13:$E$9627=$B$42)*('Monthly Data'!$F$13:$F$9627)*('Monthly Data'!$C$13:$C$9627=C$26)*('Monthly Data'!$D$13:$D$9627=$B52))</f>
        <v>710290</v>
      </c>
      <c r="D52" s="95">
        <f>SUMPRODUCT(('Monthly Data'!$E$13:$E$9627=$B$42)*('Monthly Data'!$F$13:$F$9627)*('Monthly Data'!$C$13:$C$9627=D$26)*('Monthly Data'!$D$13:$D$9627=$B52))</f>
        <v>749420</v>
      </c>
      <c r="E52" s="80">
        <f>SUMPRODUCT(('Monthly Data'!$E$13:$E$9627=$B$42)*('Monthly Data'!$F$13:$F$9627)*('Monthly Data'!$C$13:$C$9627=E$26)*('Monthly Data'!$D$13:$D$9627=$B52))</f>
        <v>705851</v>
      </c>
      <c r="F52" s="80">
        <f>SUMPRODUCT(('Monthly Data'!$E$13:$E$9627=$B$42)*('Monthly Data'!$F$13:$F$9627)*('Monthly Data'!$C$13:$C$9627=F$26)*('Monthly Data'!$D$13:$D$9627=$B52))</f>
        <v>779961</v>
      </c>
      <c r="G52" s="80">
        <f>SUMPRODUCT(('Monthly Data'!$E$13:$E$9627=$B$42)*('Monthly Data'!$F$13:$F$9627)*('Monthly Data'!$C$13:$C$9627=G$26)*('Monthly Data'!$D$13:$D$9627=$B52))</f>
        <v>871543</v>
      </c>
      <c r="H52" s="80">
        <f>SUMPRODUCT(('Monthly Data'!$E$13:$E$9627=$B$42)*('Monthly Data'!$F$13:$F$9627)*('Monthly Data'!$C$13:$C$9627=H$26)*('Monthly Data'!$D$13:$D$9627=$B52))</f>
        <v>826123</v>
      </c>
      <c r="I52" s="80">
        <f>SUMPRODUCT(('Monthly Data'!$E$13:$E$9627=$B$42)*('Monthly Data'!$F$13:$F$9627)*('Monthly Data'!$C$13:$C$9627=I$26)*('Monthly Data'!$D$13:$D$9627=$B52))</f>
        <v>886558</v>
      </c>
      <c r="J52" s="80">
        <f>SUMPRODUCT(('Monthly Data'!$E$13:$E$9627=$B$42)*('Monthly Data'!$F$13:$F$9627)*('Monthly Data'!$C$13:$C$9627=J$26)*('Monthly Data'!$D$13:$D$9627=$B52))</f>
        <v>817595</v>
      </c>
      <c r="K52" s="80">
        <f>SUMPRODUCT(('Monthly Data'!$E$13:$E$9627=$B$42)*('Monthly Data'!$F$13:$F$9627)*('Monthly Data'!$C$13:$C$9627=K$26)*('Monthly Data'!$D$13:$D$9627=$B52))</f>
        <v>843100</v>
      </c>
      <c r="L52" s="80">
        <f>SUMPRODUCT(('Monthly Data'!$E$13:$E$9627=$B$42)*('Monthly Data'!$F$13:$F$9627)*('Monthly Data'!$C$13:$C$9627=L$26)*('Monthly Data'!$D$13:$D$9627=$B52))</f>
        <v>840040</v>
      </c>
      <c r="M52" s="80">
        <f>SUMPRODUCT(('Monthly Data'!$E$13:$E$9627=$B$42)*('Monthly Data'!$F$13:$F$9627)*('Monthly Data'!$C$13:$C$9627=M$26)*('Monthly Data'!$D$13:$D$9627=$B52))</f>
        <v>795335</v>
      </c>
      <c r="N52" s="80">
        <f>SUMPRODUCT(('Monthly Data'!$E$13:$E$9627=$B$42)*('Monthly Data'!$F$13:$F$9627)*('Monthly Data'!$C$13:$C$9627=N$26)*('Monthly Data'!$D$13:$D$9627=$B52))</f>
        <v>792737</v>
      </c>
      <c r="O52" s="80">
        <f>SUMPRODUCT(('Monthly Data'!$E$13:$E$9627=$B$42)*('Monthly Data'!$F$13:$F$9627)*('Monthly Data'!$C$13:$C$9627=O$26)*('Monthly Data'!$D$13:$D$9627=$B52))</f>
        <v>763028</v>
      </c>
      <c r="P52" s="80">
        <f>SUMPRODUCT(('Monthly Data'!$E$13:$E$9627=$B$42)*('Monthly Data'!$F$13:$F$9627)*('Monthly Data'!$C$13:$C$9627=P$26)*('Monthly Data'!$D$13:$D$9627=$B52))</f>
        <v>795675</v>
      </c>
      <c r="Q52" s="80">
        <f>SUMPRODUCT(('Monthly Data'!$E$13:$E$9627=$B$42)*('Monthly Data'!$F$13:$F$9627)*('Monthly Data'!$C$13:$C$9627=Q$26)*('Monthly Data'!$D$13:$D$9627=$B52))</f>
        <v>0</v>
      </c>
      <c r="S52" s="89">
        <f t="shared" si="4"/>
        <v>10381581</v>
      </c>
      <c r="U52" s="30">
        <v>10</v>
      </c>
      <c r="V52" s="95">
        <f>SUMPRODUCT(('Monthly Data'!$E$13:$E$9627=$U$42)*('Monthly Data'!$G$13:$G$9627)*('Monthly Data'!$C$13:$C$9627=V$26)*('Monthly Data'!$D$13:$D$9627=$U52))</f>
        <v>9106</v>
      </c>
      <c r="W52" s="95">
        <f>SUMPRODUCT(('Monthly Data'!$E$13:$E$9627=$U$42)*('Monthly Data'!$G$13:$G$9627)*('Monthly Data'!$C$13:$C$9627=W$26)*('Monthly Data'!$D$13:$D$9627=$U52))</f>
        <v>10050</v>
      </c>
      <c r="X52" s="80">
        <f>SUMPRODUCT(('Monthly Data'!$E$13:$E$9627=$U$42)*('Monthly Data'!$G$13:$G$9627)*('Monthly Data'!$C$13:$C$9627=X$26)*('Monthly Data'!$D$13:$D$9627=$U52))</f>
        <v>10134</v>
      </c>
      <c r="Y52" s="80">
        <f>SUMPRODUCT(('Monthly Data'!$E$13:$E$9627=$U$42)*('Monthly Data'!$G$13:$G$9627)*('Monthly Data'!$C$13:$C$9627=Y$26)*('Monthly Data'!$D$13:$D$9627=$U52))</f>
        <v>10489</v>
      </c>
      <c r="Z52" s="80">
        <f>SUMPRODUCT(('Monthly Data'!$E$13:$E$9627=$U$42)*('Monthly Data'!$G$13:$G$9627)*('Monthly Data'!$C$13:$C$9627=Z$26)*('Monthly Data'!$D$13:$D$9627=$U52))</f>
        <v>10431</v>
      </c>
      <c r="AA52" s="80">
        <f>SUMPRODUCT(('Monthly Data'!$E$13:$E$9627=$U$42)*('Monthly Data'!$G$13:$G$9627)*('Monthly Data'!$C$13:$C$9627=AA$26)*('Monthly Data'!$D$13:$D$9627=$U52))</f>
        <v>9517</v>
      </c>
      <c r="AB52" s="80">
        <f>SUMPRODUCT(('Monthly Data'!$E$13:$E$9627=$U$42)*('Monthly Data'!$G$13:$G$9627)*('Monthly Data'!$C$13:$C$9627=AB$26)*('Monthly Data'!$D$13:$D$9627=$U52))</f>
        <v>10188</v>
      </c>
      <c r="AC52" s="80">
        <f>SUMPRODUCT(('Monthly Data'!$E$13:$E$9627=$U$42)*('Monthly Data'!$G$13:$G$9627)*('Monthly Data'!$C$13:$C$9627=AC$26)*('Monthly Data'!$D$13:$D$9627=$U52))</f>
        <v>9582</v>
      </c>
      <c r="AD52" s="80">
        <f>SUMPRODUCT(('Monthly Data'!$E$13:$E$9627=$U$42)*('Monthly Data'!$G$13:$G$9627)*('Monthly Data'!$C$13:$C$9627=AD$26)*('Monthly Data'!$D$13:$D$9627=$U52))</f>
        <v>9457</v>
      </c>
      <c r="AE52" s="80">
        <f>SUMPRODUCT(('Monthly Data'!$E$13:$E$9627=$U$42)*('Monthly Data'!$G$13:$G$9627)*('Monthly Data'!$C$13:$C$9627=AE$26)*('Monthly Data'!$D$13:$D$9627=$U52))</f>
        <v>9000</v>
      </c>
      <c r="AF52" s="80">
        <f>SUMPRODUCT(('Monthly Data'!$E$13:$E$9627=$U$42)*('Monthly Data'!$G$13:$G$9627)*('Monthly Data'!$C$13:$C$9627=AF$26)*('Monthly Data'!$D$13:$D$9627=$U52))</f>
        <v>8078</v>
      </c>
      <c r="AG52" s="80">
        <f>SUMPRODUCT(('Monthly Data'!$E$13:$E$9627=$U$42)*('Monthly Data'!$G$13:$G$9627)*('Monthly Data'!$C$13:$C$9627=AG$26)*('Monthly Data'!$D$13:$D$9627=$U52))</f>
        <v>7702</v>
      </c>
      <c r="AH52" s="80">
        <f>SUMPRODUCT(('Monthly Data'!$E$13:$E$9627=$U$42)*('Monthly Data'!$G$13:$G$9627)*('Monthly Data'!$C$13:$C$9627=AH$26)*('Monthly Data'!$D$13:$D$9627=$U52))</f>
        <v>7328</v>
      </c>
      <c r="AI52" s="80">
        <f>SUMPRODUCT(('Monthly Data'!$E$13:$E$9627=$U$42)*('Monthly Data'!$G$13:$G$9627)*('Monthly Data'!$C$13:$C$9627=AI$26)*('Monthly Data'!$D$13:$D$9627=$U52))</f>
        <v>7444</v>
      </c>
      <c r="AJ52" s="80">
        <f>SUMPRODUCT(('Monthly Data'!$E$13:$E$9627=$U$42)*('Monthly Data'!$G$13:$G$9627)*('Monthly Data'!$C$13:$C$9627=AJ$26)*('Monthly Data'!$D$13:$D$9627=$U52))</f>
        <v>0</v>
      </c>
      <c r="AL52" s="89">
        <f t="shared" si="5"/>
        <v>121062</v>
      </c>
    </row>
    <row r="53" spans="2:38">
      <c r="B53" s="30">
        <v>11</v>
      </c>
      <c r="C53" s="95">
        <f>SUMPRODUCT(('Monthly Data'!$E$13:$E$9627=$B$42)*('Monthly Data'!$F$13:$F$9627)*('Monthly Data'!$C$13:$C$9627=C$26)*('Monthly Data'!$D$13:$D$9627=$B53))</f>
        <v>451527</v>
      </c>
      <c r="D53" s="95">
        <f>SUMPRODUCT(('Monthly Data'!$E$13:$E$9627=$B$42)*('Monthly Data'!$F$13:$F$9627)*('Monthly Data'!$C$13:$C$9627=D$26)*('Monthly Data'!$D$13:$D$9627=$B53))</f>
        <v>486914</v>
      </c>
      <c r="E53" s="80">
        <f>SUMPRODUCT(('Monthly Data'!$E$13:$E$9627=$B$42)*('Monthly Data'!$F$13:$F$9627)*('Monthly Data'!$C$13:$C$9627=E$26)*('Monthly Data'!$D$13:$D$9627=$B53))</f>
        <v>461717</v>
      </c>
      <c r="F53" s="80">
        <f>SUMPRODUCT(('Monthly Data'!$E$13:$E$9627=$B$42)*('Monthly Data'!$F$13:$F$9627)*('Monthly Data'!$C$13:$C$9627=F$26)*('Monthly Data'!$D$13:$D$9627=$B53))</f>
        <v>538547</v>
      </c>
      <c r="G53" s="80">
        <f>SUMPRODUCT(('Monthly Data'!$E$13:$E$9627=$B$42)*('Monthly Data'!$F$13:$F$9627)*('Monthly Data'!$C$13:$C$9627=G$26)*('Monthly Data'!$D$13:$D$9627=$B53))</f>
        <v>575768</v>
      </c>
      <c r="H53" s="80">
        <f>SUMPRODUCT(('Monthly Data'!$E$13:$E$9627=$B$42)*('Monthly Data'!$F$13:$F$9627)*('Monthly Data'!$C$13:$C$9627=H$26)*('Monthly Data'!$D$13:$D$9627=$B53))</f>
        <v>528751</v>
      </c>
      <c r="I53" s="80">
        <f>SUMPRODUCT(('Monthly Data'!$E$13:$E$9627=$B$42)*('Monthly Data'!$F$13:$F$9627)*('Monthly Data'!$C$13:$C$9627=I$26)*('Monthly Data'!$D$13:$D$9627=$B53))</f>
        <v>580113</v>
      </c>
      <c r="J53" s="80">
        <f>SUMPRODUCT(('Monthly Data'!$E$13:$E$9627=$B$42)*('Monthly Data'!$F$13:$F$9627)*('Monthly Data'!$C$13:$C$9627=J$26)*('Monthly Data'!$D$13:$D$9627=$B53))</f>
        <v>589592</v>
      </c>
      <c r="K53" s="80">
        <f>SUMPRODUCT(('Monthly Data'!$E$13:$E$9627=$B$42)*('Monthly Data'!$F$13:$F$9627)*('Monthly Data'!$C$13:$C$9627=K$26)*('Monthly Data'!$D$13:$D$9627=$B53))</f>
        <v>602050</v>
      </c>
      <c r="L53" s="80">
        <f>SUMPRODUCT(('Monthly Data'!$E$13:$E$9627=$B$42)*('Monthly Data'!$F$13:$F$9627)*('Monthly Data'!$C$13:$C$9627=L$26)*('Monthly Data'!$D$13:$D$9627=$B53))</f>
        <v>619944</v>
      </c>
      <c r="M53" s="80">
        <f>SUMPRODUCT(('Monthly Data'!$E$13:$E$9627=$B$42)*('Monthly Data'!$F$13:$F$9627)*('Monthly Data'!$C$13:$C$9627=M$26)*('Monthly Data'!$D$13:$D$9627=$B53))</f>
        <v>565844</v>
      </c>
      <c r="N53" s="80">
        <f>SUMPRODUCT(('Monthly Data'!$E$13:$E$9627=$B$42)*('Monthly Data'!$F$13:$F$9627)*('Monthly Data'!$C$13:$C$9627=N$26)*('Monthly Data'!$D$13:$D$9627=$B53))</f>
        <v>544262</v>
      </c>
      <c r="O53" s="80">
        <f>SUMPRODUCT(('Monthly Data'!$E$13:$E$9627=$B$42)*('Monthly Data'!$F$13:$F$9627)*('Monthly Data'!$C$13:$C$9627=O$26)*('Monthly Data'!$D$13:$D$9627=$B53))</f>
        <v>546296</v>
      </c>
      <c r="P53" s="80">
        <f>SUMPRODUCT(('Monthly Data'!$E$13:$E$9627=$B$42)*('Monthly Data'!$F$13:$F$9627)*('Monthly Data'!$C$13:$C$9627=P$26)*('Monthly Data'!$D$13:$D$9627=$B53))</f>
        <v>568442</v>
      </c>
      <c r="Q53" s="80">
        <f>SUMPRODUCT(('Monthly Data'!$E$13:$E$9627=$B$42)*('Monthly Data'!$F$13:$F$9627)*('Monthly Data'!$C$13:$C$9627=Q$26)*('Monthly Data'!$D$13:$D$9627=$B53))</f>
        <v>0</v>
      </c>
      <c r="S53" s="89">
        <f t="shared" si="4"/>
        <v>7091325</v>
      </c>
      <c r="U53" s="30">
        <v>11</v>
      </c>
      <c r="V53" s="95">
        <f>SUMPRODUCT(('Monthly Data'!$E$13:$E$9627=$U$42)*('Monthly Data'!$G$13:$G$9627)*('Monthly Data'!$C$13:$C$9627=V$26)*('Monthly Data'!$D$13:$D$9627=$U53))</f>
        <v>7906</v>
      </c>
      <c r="W53" s="95">
        <f>SUMPRODUCT(('Monthly Data'!$E$13:$E$9627=$U$42)*('Monthly Data'!$G$13:$G$9627)*('Monthly Data'!$C$13:$C$9627=W$26)*('Monthly Data'!$D$13:$D$9627=$U53))</f>
        <v>8348</v>
      </c>
      <c r="X53" s="80">
        <f>SUMPRODUCT(('Monthly Data'!$E$13:$E$9627=$U$42)*('Monthly Data'!$G$13:$G$9627)*('Monthly Data'!$C$13:$C$9627=X$26)*('Monthly Data'!$D$13:$D$9627=$U53))</f>
        <v>8147</v>
      </c>
      <c r="Y53" s="80">
        <f>SUMPRODUCT(('Monthly Data'!$E$13:$E$9627=$U$42)*('Monthly Data'!$G$13:$G$9627)*('Monthly Data'!$C$13:$C$9627=Y$26)*('Monthly Data'!$D$13:$D$9627=$U53))</f>
        <v>9013</v>
      </c>
      <c r="Z53" s="80">
        <f>SUMPRODUCT(('Monthly Data'!$E$13:$E$9627=$U$42)*('Monthly Data'!$G$13:$G$9627)*('Monthly Data'!$C$13:$C$9627=Z$26)*('Monthly Data'!$D$13:$D$9627=$U53))</f>
        <v>8815</v>
      </c>
      <c r="AA53" s="80">
        <f>SUMPRODUCT(('Monthly Data'!$E$13:$E$9627=$U$42)*('Monthly Data'!$G$13:$G$9627)*('Monthly Data'!$C$13:$C$9627=AA$26)*('Monthly Data'!$D$13:$D$9627=$U53))</f>
        <v>7889</v>
      </c>
      <c r="AB53" s="80">
        <f>SUMPRODUCT(('Monthly Data'!$E$13:$E$9627=$U$42)*('Monthly Data'!$G$13:$G$9627)*('Monthly Data'!$C$13:$C$9627=AB$26)*('Monthly Data'!$D$13:$D$9627=$U53))</f>
        <v>8168</v>
      </c>
      <c r="AC53" s="80">
        <f>SUMPRODUCT(('Monthly Data'!$E$13:$E$9627=$U$42)*('Monthly Data'!$G$13:$G$9627)*('Monthly Data'!$C$13:$C$9627=AC$26)*('Monthly Data'!$D$13:$D$9627=$U53))</f>
        <v>8267</v>
      </c>
      <c r="AD53" s="80">
        <f>SUMPRODUCT(('Monthly Data'!$E$13:$E$9627=$U$42)*('Monthly Data'!$G$13:$G$9627)*('Monthly Data'!$C$13:$C$9627=AD$26)*('Monthly Data'!$D$13:$D$9627=$U53))</f>
        <v>7911</v>
      </c>
      <c r="AE53" s="80">
        <f>SUMPRODUCT(('Monthly Data'!$E$13:$E$9627=$U$42)*('Monthly Data'!$G$13:$G$9627)*('Monthly Data'!$C$13:$C$9627=AE$26)*('Monthly Data'!$D$13:$D$9627=$U53))</f>
        <v>7383</v>
      </c>
      <c r="AF53" s="80">
        <f>SUMPRODUCT(('Monthly Data'!$E$13:$E$9627=$U$42)*('Monthly Data'!$G$13:$G$9627)*('Monthly Data'!$C$13:$C$9627=AF$26)*('Monthly Data'!$D$13:$D$9627=$U53))</f>
        <v>6585</v>
      </c>
      <c r="AG53" s="80">
        <f>SUMPRODUCT(('Monthly Data'!$E$13:$E$9627=$U$42)*('Monthly Data'!$G$13:$G$9627)*('Monthly Data'!$C$13:$C$9627=AG$26)*('Monthly Data'!$D$13:$D$9627=$U53))</f>
        <v>6077</v>
      </c>
      <c r="AH53" s="80">
        <f>SUMPRODUCT(('Monthly Data'!$E$13:$E$9627=$U$42)*('Monthly Data'!$G$13:$G$9627)*('Monthly Data'!$C$13:$C$9627=AH$26)*('Monthly Data'!$D$13:$D$9627=$U53))</f>
        <v>5963</v>
      </c>
      <c r="AI53" s="80">
        <f>SUMPRODUCT(('Monthly Data'!$E$13:$E$9627=$U$42)*('Monthly Data'!$G$13:$G$9627)*('Monthly Data'!$C$13:$C$9627=AI$26)*('Monthly Data'!$D$13:$D$9627=$U53))</f>
        <v>6034</v>
      </c>
      <c r="AJ53" s="80">
        <f>SUMPRODUCT(('Monthly Data'!$E$13:$E$9627=$U$42)*('Monthly Data'!$G$13:$G$9627)*('Monthly Data'!$C$13:$C$9627=AJ$26)*('Monthly Data'!$D$13:$D$9627=$U53))</f>
        <v>0</v>
      </c>
      <c r="AL53" s="89">
        <f t="shared" si="5"/>
        <v>100472</v>
      </c>
    </row>
    <row r="54" spans="2:38">
      <c r="B54" s="30">
        <v>12</v>
      </c>
      <c r="C54" s="95">
        <f>SUMPRODUCT(('Monthly Data'!$E$13:$E$9627=$B$42)*('Monthly Data'!$F$13:$F$9627)*('Monthly Data'!$C$13:$C$9627=C$26)*('Monthly Data'!$D$13:$D$9627=$B54))</f>
        <v>385248</v>
      </c>
      <c r="D54" s="95">
        <f>SUMPRODUCT(('Monthly Data'!$E$13:$E$9627=$B$42)*('Monthly Data'!$F$13:$F$9627)*('Monthly Data'!$C$13:$C$9627=D$26)*('Monthly Data'!$D$13:$D$9627=$B54))</f>
        <v>432731</v>
      </c>
      <c r="E54" s="80">
        <f>SUMPRODUCT(('Monthly Data'!$E$13:$E$9627=$B$42)*('Monthly Data'!$F$13:$F$9627)*('Monthly Data'!$C$13:$C$9627=E$26)*('Monthly Data'!$D$13:$D$9627=$B54))</f>
        <v>405057</v>
      </c>
      <c r="F54" s="80">
        <f>SUMPRODUCT(('Monthly Data'!$E$13:$E$9627=$B$42)*('Monthly Data'!$F$13:$F$9627)*('Monthly Data'!$C$13:$C$9627=F$26)*('Monthly Data'!$D$13:$D$9627=$B54))</f>
        <v>488834</v>
      </c>
      <c r="G54" s="80">
        <f>SUMPRODUCT(('Monthly Data'!$E$13:$E$9627=$B$42)*('Monthly Data'!$F$13:$F$9627)*('Monthly Data'!$C$13:$C$9627=G$26)*('Monthly Data'!$D$13:$D$9627=$B54))</f>
        <v>532182</v>
      </c>
      <c r="H54" s="80">
        <f>SUMPRODUCT(('Monthly Data'!$E$13:$E$9627=$B$42)*('Monthly Data'!$F$13:$F$9627)*('Monthly Data'!$C$13:$C$9627=H$26)*('Monthly Data'!$D$13:$D$9627=$B54))</f>
        <v>492443</v>
      </c>
      <c r="I54" s="80">
        <f>SUMPRODUCT(('Monthly Data'!$E$13:$E$9627=$B$42)*('Monthly Data'!$F$13:$F$9627)*('Monthly Data'!$C$13:$C$9627=I$26)*('Monthly Data'!$D$13:$D$9627=$B54))</f>
        <v>557193</v>
      </c>
      <c r="J54" s="80">
        <f>SUMPRODUCT(('Monthly Data'!$E$13:$E$9627=$B$42)*('Monthly Data'!$F$13:$F$9627)*('Monthly Data'!$C$13:$C$9627=J$26)*('Monthly Data'!$D$13:$D$9627=$B54))</f>
        <v>564730</v>
      </c>
      <c r="K54" s="80">
        <f>SUMPRODUCT(('Monthly Data'!$E$13:$E$9627=$B$42)*('Monthly Data'!$F$13:$F$9627)*('Monthly Data'!$C$13:$C$9627=K$26)*('Monthly Data'!$D$13:$D$9627=$B54))</f>
        <v>578136</v>
      </c>
      <c r="L54" s="80">
        <f>SUMPRODUCT(('Monthly Data'!$E$13:$E$9627=$B$42)*('Monthly Data'!$F$13:$F$9627)*('Monthly Data'!$C$13:$C$9627=L$26)*('Monthly Data'!$D$13:$D$9627=$B54))</f>
        <v>596931</v>
      </c>
      <c r="M54" s="80">
        <f>SUMPRODUCT(('Monthly Data'!$E$13:$E$9627=$B$42)*('Monthly Data'!$F$13:$F$9627)*('Monthly Data'!$C$13:$C$9627=M$26)*('Monthly Data'!$D$13:$D$9627=$B54))</f>
        <v>546977</v>
      </c>
      <c r="N54" s="80">
        <f>SUMPRODUCT(('Monthly Data'!$E$13:$E$9627=$B$42)*('Monthly Data'!$F$13:$F$9627)*('Monthly Data'!$C$13:$C$9627=N$26)*('Monthly Data'!$D$13:$D$9627=$B54))</f>
        <v>489556</v>
      </c>
      <c r="O54" s="80">
        <f>SUMPRODUCT(('Monthly Data'!$E$13:$E$9627=$B$42)*('Monthly Data'!$F$13:$F$9627)*('Monthly Data'!$C$13:$C$9627=O$26)*('Monthly Data'!$D$13:$D$9627=$B54))</f>
        <v>509160</v>
      </c>
      <c r="P54" s="80">
        <f>SUMPRODUCT(('Monthly Data'!$E$13:$E$9627=$B$42)*('Monthly Data'!$F$13:$F$9627)*('Monthly Data'!$C$13:$C$9627=P$26)*('Monthly Data'!$D$13:$D$9627=$B54))</f>
        <v>531963</v>
      </c>
      <c r="Q54" s="80">
        <f>SUMPRODUCT(('Monthly Data'!$E$13:$E$9627=$B$42)*('Monthly Data'!$F$13:$F$9627)*('Monthly Data'!$C$13:$C$9627=Q$26)*('Monthly Data'!$D$13:$D$9627=$B54))</f>
        <v>0</v>
      </c>
      <c r="S54" s="89">
        <f t="shared" si="4"/>
        <v>6579178</v>
      </c>
      <c r="U54" s="30">
        <v>12</v>
      </c>
      <c r="V54" s="95">
        <f>SUMPRODUCT(('Monthly Data'!$E$13:$E$9627=$U$42)*('Monthly Data'!$G$13:$G$9627)*('Monthly Data'!$C$13:$C$9627=V$26)*('Monthly Data'!$D$13:$D$9627=$U54))</f>
        <v>7141</v>
      </c>
      <c r="W54" s="95">
        <f>SUMPRODUCT(('Monthly Data'!$E$13:$E$9627=$U$42)*('Monthly Data'!$G$13:$G$9627)*('Monthly Data'!$C$13:$C$9627=W$26)*('Monthly Data'!$D$13:$D$9627=$U54))</f>
        <v>7494</v>
      </c>
      <c r="X54" s="80">
        <f>SUMPRODUCT(('Monthly Data'!$E$13:$E$9627=$U$42)*('Monthly Data'!$G$13:$G$9627)*('Monthly Data'!$C$13:$C$9627=X$26)*('Monthly Data'!$D$13:$D$9627=$U54))</f>
        <v>7142</v>
      </c>
      <c r="Y54" s="80">
        <f>SUMPRODUCT(('Monthly Data'!$E$13:$E$9627=$U$42)*('Monthly Data'!$G$13:$G$9627)*('Monthly Data'!$C$13:$C$9627=Y$26)*('Monthly Data'!$D$13:$D$9627=$U54))</f>
        <v>8378</v>
      </c>
      <c r="Z54" s="80">
        <f>SUMPRODUCT(('Monthly Data'!$E$13:$E$9627=$U$42)*('Monthly Data'!$G$13:$G$9627)*('Monthly Data'!$C$13:$C$9627=Z$26)*('Monthly Data'!$D$13:$D$9627=$U54))</f>
        <v>8483</v>
      </c>
      <c r="AA54" s="80">
        <f>SUMPRODUCT(('Monthly Data'!$E$13:$E$9627=$U$42)*('Monthly Data'!$G$13:$G$9627)*('Monthly Data'!$C$13:$C$9627=AA$26)*('Monthly Data'!$D$13:$D$9627=$U54))</f>
        <v>7309</v>
      </c>
      <c r="AB54" s="80">
        <f>SUMPRODUCT(('Monthly Data'!$E$13:$E$9627=$U$42)*('Monthly Data'!$G$13:$G$9627)*('Monthly Data'!$C$13:$C$9627=AB$26)*('Monthly Data'!$D$13:$D$9627=$U54))</f>
        <v>7717</v>
      </c>
      <c r="AC54" s="80">
        <f>SUMPRODUCT(('Monthly Data'!$E$13:$E$9627=$U$42)*('Monthly Data'!$G$13:$G$9627)*('Monthly Data'!$C$13:$C$9627=AC$26)*('Monthly Data'!$D$13:$D$9627=$U54))</f>
        <v>7541</v>
      </c>
      <c r="AD54" s="80">
        <f>SUMPRODUCT(('Monthly Data'!$E$13:$E$9627=$U$42)*('Monthly Data'!$G$13:$G$9627)*('Monthly Data'!$C$13:$C$9627=AD$26)*('Monthly Data'!$D$13:$D$9627=$U54))</f>
        <v>7366</v>
      </c>
      <c r="AE54" s="80">
        <f>SUMPRODUCT(('Monthly Data'!$E$13:$E$9627=$U$42)*('Monthly Data'!$G$13:$G$9627)*('Monthly Data'!$C$13:$C$9627=AE$26)*('Monthly Data'!$D$13:$D$9627=$U54))</f>
        <v>7124</v>
      </c>
      <c r="AF54" s="80">
        <f>SUMPRODUCT(('Monthly Data'!$E$13:$E$9627=$U$42)*('Monthly Data'!$G$13:$G$9627)*('Monthly Data'!$C$13:$C$9627=AF$26)*('Monthly Data'!$D$13:$D$9627=$U54))</f>
        <v>6181</v>
      </c>
      <c r="AG54" s="80">
        <f>SUMPRODUCT(('Monthly Data'!$E$13:$E$9627=$U$42)*('Monthly Data'!$G$13:$G$9627)*('Monthly Data'!$C$13:$C$9627=AG$26)*('Monthly Data'!$D$13:$D$9627=$U54))</f>
        <v>5390</v>
      </c>
      <c r="AH54" s="80">
        <f>SUMPRODUCT(('Monthly Data'!$E$13:$E$9627=$U$42)*('Monthly Data'!$G$13:$G$9627)*('Monthly Data'!$C$13:$C$9627=AH$26)*('Monthly Data'!$D$13:$D$9627=$U54))</f>
        <v>5575</v>
      </c>
      <c r="AI54" s="80">
        <f>SUMPRODUCT(('Monthly Data'!$E$13:$E$9627=$U$42)*('Monthly Data'!$G$13:$G$9627)*('Monthly Data'!$C$13:$C$9627=AI$26)*('Monthly Data'!$D$13:$D$9627=$U54))</f>
        <v>5492</v>
      </c>
      <c r="AJ54" s="80">
        <f>SUMPRODUCT(('Monthly Data'!$E$13:$E$9627=$U$42)*('Monthly Data'!$G$13:$G$9627)*('Monthly Data'!$C$13:$C$9627=AJ$26)*('Monthly Data'!$D$13:$D$9627=$U54))</f>
        <v>0</v>
      </c>
      <c r="AL54" s="89">
        <f t="shared" si="5"/>
        <v>92841</v>
      </c>
    </row>
    <row r="55" spans="2:38">
      <c r="D55" s="90"/>
      <c r="S55" s="83"/>
      <c r="W55" s="90"/>
      <c r="AL55" s="83"/>
    </row>
    <row r="56" spans="2:38">
      <c r="B56" s="30" t="s">
        <v>106</v>
      </c>
      <c r="C56" s="97">
        <f>SUM(C43:C54)</f>
        <v>6935087</v>
      </c>
      <c r="D56" s="97">
        <f t="shared" ref="D56:O56" si="6">SUM(D43:D54)</f>
        <v>7492221</v>
      </c>
      <c r="E56" s="89">
        <f t="shared" si="6"/>
        <v>7712141</v>
      </c>
      <c r="F56" s="89">
        <f t="shared" si="6"/>
        <v>7911293</v>
      </c>
      <c r="G56" s="89">
        <f t="shared" si="6"/>
        <v>8923902</v>
      </c>
      <c r="H56" s="89">
        <f t="shared" si="6"/>
        <v>8796712</v>
      </c>
      <c r="I56" s="89">
        <f t="shared" si="6"/>
        <v>9311403</v>
      </c>
      <c r="J56" s="89">
        <f t="shared" si="6"/>
        <v>9056004</v>
      </c>
      <c r="K56" s="89">
        <f t="shared" si="6"/>
        <v>9134055</v>
      </c>
      <c r="L56" s="89">
        <f t="shared" si="6"/>
        <v>9576700</v>
      </c>
      <c r="M56" s="89">
        <f t="shared" si="6"/>
        <v>9093201</v>
      </c>
      <c r="N56" s="89">
        <f t="shared" si="6"/>
        <v>8563505</v>
      </c>
      <c r="O56" s="89">
        <f t="shared" si="6"/>
        <v>8608192</v>
      </c>
      <c r="P56" s="89">
        <f>SUM(P43:P54)</f>
        <v>8916209</v>
      </c>
      <c r="Q56" s="89">
        <f>SUM(Q43:Q54)</f>
        <v>2305415</v>
      </c>
      <c r="S56" s="89">
        <f>SUM(D43:P54)</f>
        <v>113095538</v>
      </c>
      <c r="U56" s="30" t="s">
        <v>106</v>
      </c>
      <c r="V56" s="97">
        <f>SUM(V43:V54)</f>
        <v>98393</v>
      </c>
      <c r="W56" s="97">
        <f t="shared" ref="W56:AH56" si="7">SUM(W43:W54)</f>
        <v>108445</v>
      </c>
      <c r="X56" s="89">
        <f t="shared" si="7"/>
        <v>111008</v>
      </c>
      <c r="Y56" s="89">
        <f t="shared" si="7"/>
        <v>112284</v>
      </c>
      <c r="Z56" s="89">
        <f t="shared" si="7"/>
        <v>116040</v>
      </c>
      <c r="AA56" s="89">
        <f t="shared" si="7"/>
        <v>109202</v>
      </c>
      <c r="AB56" s="89">
        <f t="shared" si="7"/>
        <v>112963</v>
      </c>
      <c r="AC56" s="89">
        <f t="shared" si="7"/>
        <v>108658</v>
      </c>
      <c r="AD56" s="89">
        <f t="shared" si="7"/>
        <v>104481</v>
      </c>
      <c r="AE56" s="89">
        <f t="shared" si="7"/>
        <v>102856</v>
      </c>
      <c r="AF56" s="89">
        <f t="shared" si="7"/>
        <v>93936</v>
      </c>
      <c r="AG56" s="89">
        <f t="shared" si="7"/>
        <v>84790</v>
      </c>
      <c r="AH56" s="89">
        <f t="shared" si="7"/>
        <v>83863</v>
      </c>
      <c r="AI56" s="89">
        <f>SUM(AI43:AI54)</f>
        <v>84398</v>
      </c>
      <c r="AJ56" s="89">
        <f>SUM(AJ43:AJ54)</f>
        <v>23177</v>
      </c>
      <c r="AL56" s="89">
        <f>SUM(V43:AH54)</f>
        <v>1346919</v>
      </c>
    </row>
    <row r="57" spans="2:38">
      <c r="D57" s="90"/>
      <c r="W57" s="90"/>
    </row>
    <row r="58" spans="2:38" ht="15">
      <c r="B58" s="88" t="s">
        <v>119</v>
      </c>
      <c r="C58" s="69">
        <v>1999</v>
      </c>
      <c r="D58" s="96">
        <v>2000</v>
      </c>
      <c r="E58" s="69">
        <v>2001</v>
      </c>
      <c r="F58" s="69">
        <v>2002</v>
      </c>
      <c r="G58" s="69">
        <v>2003</v>
      </c>
      <c r="H58" s="69">
        <v>2004</v>
      </c>
      <c r="I58" s="69">
        <v>2005</v>
      </c>
      <c r="J58" s="69">
        <v>2006</v>
      </c>
      <c r="K58" s="69">
        <v>2007</v>
      </c>
      <c r="L58" s="69">
        <v>2008</v>
      </c>
      <c r="M58" s="69">
        <v>2009</v>
      </c>
      <c r="N58" s="69">
        <v>2010</v>
      </c>
      <c r="O58" s="69">
        <v>2011</v>
      </c>
      <c r="P58" s="69">
        <v>2012</v>
      </c>
      <c r="Q58" s="69">
        <v>2013</v>
      </c>
      <c r="S58" s="69" t="s">
        <v>106</v>
      </c>
      <c r="U58" s="88" t="s">
        <v>119</v>
      </c>
      <c r="V58" s="69">
        <v>1999</v>
      </c>
      <c r="W58" s="96">
        <v>2000</v>
      </c>
      <c r="X58" s="69">
        <v>2001</v>
      </c>
      <c r="Y58" s="69">
        <v>2002</v>
      </c>
      <c r="Z58" s="69">
        <v>2003</v>
      </c>
      <c r="AA58" s="69">
        <v>2004</v>
      </c>
      <c r="AB58" s="69">
        <v>2005</v>
      </c>
      <c r="AC58" s="69">
        <v>2006</v>
      </c>
      <c r="AD58" s="69">
        <v>2007</v>
      </c>
      <c r="AE58" s="69">
        <v>2008</v>
      </c>
      <c r="AF58" s="69">
        <v>2009</v>
      </c>
      <c r="AG58" s="69">
        <v>2010</v>
      </c>
      <c r="AH58" s="69">
        <v>2011</v>
      </c>
      <c r="AI58" s="69">
        <v>2012</v>
      </c>
      <c r="AJ58" s="69">
        <v>2013</v>
      </c>
      <c r="AL58" s="69" t="s">
        <v>106</v>
      </c>
    </row>
    <row r="59" spans="2:38">
      <c r="B59" s="30">
        <v>1</v>
      </c>
      <c r="C59" s="95">
        <f>SUMPRODUCT(('Monthly Data'!$E$13:$E$9627=$B$58)*('Monthly Data'!$F$13:$F$9627)*('Monthly Data'!$C$13:$C$9627=C$26)*('Monthly Data'!$D$13:$D$9627=$B59))</f>
        <v>296878</v>
      </c>
      <c r="D59" s="95">
        <f>SUMPRODUCT(('Monthly Data'!$E$13:$E$9627=$B$58)*('Monthly Data'!$F$13:$F$9627)*('Monthly Data'!$C$13:$C$9627=D$26)*('Monthly Data'!$D$13:$D$9627=$B59))</f>
        <v>326789</v>
      </c>
      <c r="E59" s="80">
        <f>SUMPRODUCT(('Monthly Data'!$E$13:$E$9627=$B$58)*('Monthly Data'!$F$13:$F$9627)*('Monthly Data'!$C$13:$C$9627=E$26)*('Monthly Data'!$D$13:$D$9627=$B59))</f>
        <v>389825</v>
      </c>
      <c r="F59" s="80">
        <f>SUMPRODUCT(('Monthly Data'!$E$13:$E$9627=$B$58)*('Monthly Data'!$F$13:$F$9627)*('Monthly Data'!$C$13:$C$9627=F$26)*('Monthly Data'!$D$13:$D$9627=$B59))</f>
        <v>429561</v>
      </c>
      <c r="G59" s="80">
        <f>SUMPRODUCT(('Monthly Data'!$E$13:$E$9627=$B$58)*('Monthly Data'!$F$13:$F$9627)*('Monthly Data'!$C$13:$C$9627=G$26)*('Monthly Data'!$D$13:$D$9627=$B59))</f>
        <v>498929</v>
      </c>
      <c r="H59" s="80">
        <f>SUMPRODUCT(('Monthly Data'!$E$13:$E$9627=$B$58)*('Monthly Data'!$F$13:$F$9627)*('Monthly Data'!$C$13:$C$9627=H$26)*('Monthly Data'!$D$13:$D$9627=$B59))</f>
        <v>508339</v>
      </c>
      <c r="I59" s="80">
        <f>SUMPRODUCT(('Monthly Data'!$E$13:$E$9627=$B$58)*('Monthly Data'!$F$13:$F$9627)*('Monthly Data'!$C$13:$C$9627=I$26)*('Monthly Data'!$D$13:$D$9627=$B59))</f>
        <v>533539</v>
      </c>
      <c r="J59" s="80">
        <f>SUMPRODUCT(('Monthly Data'!$E$13:$E$9627=$B$58)*('Monthly Data'!$F$13:$F$9627)*('Monthly Data'!$C$13:$C$9627=J$26)*('Monthly Data'!$D$13:$D$9627=$B59))</f>
        <v>552654</v>
      </c>
      <c r="K59" s="80">
        <f>SUMPRODUCT(('Monthly Data'!$E$13:$E$9627=$B$58)*('Monthly Data'!$F$13:$F$9627)*('Monthly Data'!$C$13:$C$9627=K$26)*('Monthly Data'!$D$13:$D$9627=$B59))</f>
        <v>564833</v>
      </c>
      <c r="L59" s="80">
        <f>SUMPRODUCT(('Monthly Data'!$E$13:$E$9627=$B$58)*('Monthly Data'!$F$13:$F$9627)*('Monthly Data'!$C$13:$C$9627=L$26)*('Monthly Data'!$D$13:$D$9627=$B59))</f>
        <v>587769</v>
      </c>
      <c r="M59" s="80">
        <f>SUMPRODUCT(('Monthly Data'!$E$13:$E$9627=$B$58)*('Monthly Data'!$F$13:$F$9627)*('Monthly Data'!$C$13:$C$9627=M$26)*('Monthly Data'!$D$13:$D$9627=$B59))</f>
        <v>553853</v>
      </c>
      <c r="N59" s="80">
        <f>SUMPRODUCT(('Monthly Data'!$E$13:$E$9627=$B$58)*('Monthly Data'!$F$13:$F$9627)*('Monthly Data'!$C$13:$C$9627=N$26)*('Monthly Data'!$D$13:$D$9627=$B59))</f>
        <v>512591</v>
      </c>
      <c r="O59" s="80">
        <f>SUMPRODUCT(('Monthly Data'!$E$13:$E$9627=$B$58)*('Monthly Data'!$F$13:$F$9627)*('Monthly Data'!$C$13:$C$9627=O$26)*('Monthly Data'!$D$13:$D$9627=$B59))</f>
        <v>583343</v>
      </c>
      <c r="P59" s="80">
        <f>SUMPRODUCT(('Monthly Data'!$E$13:$E$9627=$B$58)*('Monthly Data'!$F$13:$F$9627)*('Monthly Data'!$C$13:$C$9627=P$26)*('Monthly Data'!$D$13:$D$9627=$B59))</f>
        <v>557395</v>
      </c>
      <c r="Q59" s="80">
        <f>SUMPRODUCT(('Monthly Data'!$E$13:$E$9627=$B$58)*('Monthly Data'!$F$13:$F$9627)*('Monthly Data'!$C$13:$C$9627=Q$26)*('Monthly Data'!$D$13:$D$9627=$B59))</f>
        <v>525223</v>
      </c>
      <c r="S59" s="89">
        <f>SUM(C59:O59)</f>
        <v>6338903</v>
      </c>
      <c r="U59" s="30">
        <v>1</v>
      </c>
      <c r="V59" s="95">
        <f>SUMPRODUCT(('Monthly Data'!$E$13:$E$9627=$U$58)*('Monthly Data'!$G$13:$G$9627)*('Monthly Data'!$C$13:$C$9627=V$26)*('Monthly Data'!$D$13:$D$9627=$U59))</f>
        <v>5787</v>
      </c>
      <c r="W59" s="95">
        <f>SUMPRODUCT(('Monthly Data'!$E$13:$E$9627=$U$58)*('Monthly Data'!$G$13:$G$9627)*('Monthly Data'!$C$13:$C$9627=W$26)*('Monthly Data'!$D$13:$D$9627=$U59))</f>
        <v>6540</v>
      </c>
      <c r="X59" s="80">
        <f>SUMPRODUCT(('Monthly Data'!$E$13:$E$9627=$U$58)*('Monthly Data'!$G$13:$G$9627)*('Monthly Data'!$C$13:$C$9627=X$26)*('Monthly Data'!$D$13:$D$9627=$U59))</f>
        <v>7356</v>
      </c>
      <c r="Y59" s="80">
        <f>SUMPRODUCT(('Monthly Data'!$E$13:$E$9627=$U$58)*('Monthly Data'!$G$13:$G$9627)*('Monthly Data'!$C$13:$C$9627=Y$26)*('Monthly Data'!$D$13:$D$9627=$U59))</f>
        <v>8148</v>
      </c>
      <c r="Z59" s="80">
        <f>SUMPRODUCT(('Monthly Data'!$E$13:$E$9627=$U$58)*('Monthly Data'!$G$13:$G$9627)*('Monthly Data'!$C$13:$C$9627=Z$26)*('Monthly Data'!$D$13:$D$9627=$U59))</f>
        <v>8532</v>
      </c>
      <c r="AA59" s="80">
        <f>SUMPRODUCT(('Monthly Data'!$E$13:$E$9627=$U$58)*('Monthly Data'!$G$13:$G$9627)*('Monthly Data'!$C$13:$C$9627=AA$26)*('Monthly Data'!$D$13:$D$9627=$U59))</f>
        <v>8736</v>
      </c>
      <c r="AB59" s="80">
        <f>SUMPRODUCT(('Monthly Data'!$E$13:$E$9627=$U$58)*('Monthly Data'!$G$13:$G$9627)*('Monthly Data'!$C$13:$C$9627=AB$26)*('Monthly Data'!$D$13:$D$9627=$U59))</f>
        <v>8725</v>
      </c>
      <c r="AC59" s="80">
        <f>SUMPRODUCT(('Monthly Data'!$E$13:$E$9627=$U$58)*('Monthly Data'!$G$13:$G$9627)*('Monthly Data'!$C$13:$C$9627=AC$26)*('Monthly Data'!$D$13:$D$9627=$U59))</f>
        <v>8957</v>
      </c>
      <c r="AD59" s="80">
        <f>SUMPRODUCT(('Monthly Data'!$E$13:$E$9627=$U$58)*('Monthly Data'!$G$13:$G$9627)*('Monthly Data'!$C$13:$C$9627=AD$26)*('Monthly Data'!$D$13:$D$9627=$U59))</f>
        <v>9108</v>
      </c>
      <c r="AE59" s="80">
        <f>SUMPRODUCT(('Monthly Data'!$E$13:$E$9627=$U$58)*('Monthly Data'!$G$13:$G$9627)*('Monthly Data'!$C$13:$C$9627=AE$26)*('Monthly Data'!$D$13:$D$9627=$U59))</f>
        <v>8902</v>
      </c>
      <c r="AF59" s="80">
        <f>SUMPRODUCT(('Monthly Data'!$E$13:$E$9627=$U$58)*('Monthly Data'!$G$13:$G$9627)*('Monthly Data'!$C$13:$C$9627=AF$26)*('Monthly Data'!$D$13:$D$9627=$U59))</f>
        <v>8024</v>
      </c>
      <c r="AG59" s="80">
        <f>SUMPRODUCT(('Monthly Data'!$E$13:$E$9627=$U$58)*('Monthly Data'!$G$13:$G$9627)*('Monthly Data'!$C$13:$C$9627=AG$26)*('Monthly Data'!$D$13:$D$9627=$U59))</f>
        <v>7136</v>
      </c>
      <c r="AH59" s="80">
        <f>SUMPRODUCT(('Monthly Data'!$E$13:$E$9627=$U$58)*('Monthly Data'!$G$13:$G$9627)*('Monthly Data'!$C$13:$C$9627=AH$26)*('Monthly Data'!$D$13:$D$9627=$U59))</f>
        <v>7624</v>
      </c>
      <c r="AI59" s="80">
        <f>SUMPRODUCT(('Monthly Data'!$E$13:$E$9627=$U$58)*('Monthly Data'!$G$13:$G$9627)*('Monthly Data'!$C$13:$C$9627=AI$26)*('Monthly Data'!$D$13:$D$9627=$U59))</f>
        <v>7554</v>
      </c>
      <c r="AJ59" s="80">
        <f>SUMPRODUCT(('Monthly Data'!$E$13:$E$9627=$U$58)*('Monthly Data'!$G$13:$G$9627)*('Monthly Data'!$C$13:$C$9627=AJ$26)*('Monthly Data'!$D$13:$D$9627=$U59))</f>
        <v>6657</v>
      </c>
      <c r="AL59" s="89">
        <f>SUM(V59:AH59)</f>
        <v>103575</v>
      </c>
    </row>
    <row r="60" spans="2:38">
      <c r="B60" s="30">
        <v>2</v>
      </c>
      <c r="C60" s="95">
        <f>SUMPRODUCT(('Monthly Data'!$E$13:$E$9627=$B$58)*('Monthly Data'!$F$13:$F$9627)*('Monthly Data'!$C$13:$C$9627=C$26)*('Monthly Data'!$D$13:$D$9627=$B60))</f>
        <v>326839</v>
      </c>
      <c r="D60" s="95">
        <f>SUMPRODUCT(('Monthly Data'!$E$13:$E$9627=$B$58)*('Monthly Data'!$F$13:$F$9627)*('Monthly Data'!$C$13:$C$9627=D$26)*('Monthly Data'!$D$13:$D$9627=$B60))</f>
        <v>371162</v>
      </c>
      <c r="E60" s="80">
        <f>SUMPRODUCT(('Monthly Data'!$E$13:$E$9627=$B$58)*('Monthly Data'!$F$13:$F$9627)*('Monthly Data'!$C$13:$C$9627=E$26)*('Monthly Data'!$D$13:$D$9627=$B60))</f>
        <v>395407</v>
      </c>
      <c r="F60" s="80">
        <f>SUMPRODUCT(('Monthly Data'!$E$13:$E$9627=$B$58)*('Monthly Data'!$F$13:$F$9627)*('Monthly Data'!$C$13:$C$9627=F$26)*('Monthly Data'!$D$13:$D$9627=$B60))</f>
        <v>470521</v>
      </c>
      <c r="G60" s="80">
        <f>SUMPRODUCT(('Monthly Data'!$E$13:$E$9627=$B$58)*('Monthly Data'!$F$13:$F$9627)*('Monthly Data'!$C$13:$C$9627=G$26)*('Monthly Data'!$D$13:$D$9627=$B60))</f>
        <v>527311</v>
      </c>
      <c r="H60" s="80">
        <f>SUMPRODUCT(('Monthly Data'!$E$13:$E$9627=$B$58)*('Monthly Data'!$F$13:$F$9627)*('Monthly Data'!$C$13:$C$9627=H$26)*('Monthly Data'!$D$13:$D$9627=$B60))</f>
        <v>565909</v>
      </c>
      <c r="I60" s="80">
        <f>SUMPRODUCT(('Monthly Data'!$E$13:$E$9627=$B$58)*('Monthly Data'!$F$13:$F$9627)*('Monthly Data'!$C$13:$C$9627=I$26)*('Monthly Data'!$D$13:$D$9627=$B60))</f>
        <v>566100</v>
      </c>
      <c r="J60" s="80">
        <f>SUMPRODUCT(('Monthly Data'!$E$13:$E$9627=$B$58)*('Monthly Data'!$F$13:$F$9627)*('Monthly Data'!$C$13:$C$9627=J$26)*('Monthly Data'!$D$13:$D$9627=$B60))</f>
        <v>585108</v>
      </c>
      <c r="K60" s="80">
        <f>SUMPRODUCT(('Monthly Data'!$E$13:$E$9627=$B$58)*('Monthly Data'!$F$13:$F$9627)*('Monthly Data'!$C$13:$C$9627=K$26)*('Monthly Data'!$D$13:$D$9627=$B60))</f>
        <v>588253</v>
      </c>
      <c r="L60" s="80">
        <f>SUMPRODUCT(('Monthly Data'!$E$13:$E$9627=$B$58)*('Monthly Data'!$F$13:$F$9627)*('Monthly Data'!$C$13:$C$9627=L$26)*('Monthly Data'!$D$13:$D$9627=$B60))</f>
        <v>637504</v>
      </c>
      <c r="M60" s="80">
        <f>SUMPRODUCT(('Monthly Data'!$E$13:$E$9627=$B$58)*('Monthly Data'!$F$13:$F$9627)*('Monthly Data'!$C$13:$C$9627=M$26)*('Monthly Data'!$D$13:$D$9627=$B60))</f>
        <v>562371</v>
      </c>
      <c r="N60" s="80">
        <f>SUMPRODUCT(('Monthly Data'!$E$13:$E$9627=$B$58)*('Monthly Data'!$F$13:$F$9627)*('Monthly Data'!$C$13:$C$9627=N$26)*('Monthly Data'!$D$13:$D$9627=$B60))</f>
        <v>581789</v>
      </c>
      <c r="O60" s="80">
        <f>SUMPRODUCT(('Monthly Data'!$E$13:$E$9627=$B$58)*('Monthly Data'!$F$13:$F$9627)*('Monthly Data'!$C$13:$C$9627=O$26)*('Monthly Data'!$D$13:$D$9627=$B60))</f>
        <v>611124</v>
      </c>
      <c r="P60" s="80">
        <f>SUMPRODUCT(('Monthly Data'!$E$13:$E$9627=$B$58)*('Monthly Data'!$F$13:$F$9627)*('Monthly Data'!$C$13:$C$9627=P$26)*('Monthly Data'!$D$13:$D$9627=$B60))</f>
        <v>611627</v>
      </c>
      <c r="Q60" s="80">
        <f>SUMPRODUCT(('Monthly Data'!$E$13:$E$9627=$B$58)*('Monthly Data'!$F$13:$F$9627)*('Monthly Data'!$C$13:$C$9627=Q$26)*('Monthly Data'!$D$13:$D$9627=$B60))</f>
        <v>564117</v>
      </c>
      <c r="S60" s="89">
        <f t="shared" ref="S60:S70" si="8">SUM(C60:O60)</f>
        <v>6789398</v>
      </c>
      <c r="U60" s="30">
        <v>2</v>
      </c>
      <c r="V60" s="95">
        <f>SUMPRODUCT(('Monthly Data'!$E$13:$E$9627=$U$58)*('Monthly Data'!$G$13:$G$9627)*('Monthly Data'!$C$13:$C$9627=V$26)*('Monthly Data'!$D$13:$D$9627=$U60))</f>
        <v>5624</v>
      </c>
      <c r="W60" s="95">
        <f>SUMPRODUCT(('Monthly Data'!$E$13:$E$9627=$U$58)*('Monthly Data'!$G$13:$G$9627)*('Monthly Data'!$C$13:$C$9627=W$26)*('Monthly Data'!$D$13:$D$9627=$U60))</f>
        <v>6735</v>
      </c>
      <c r="X60" s="80">
        <f>SUMPRODUCT(('Monthly Data'!$E$13:$E$9627=$U$58)*('Monthly Data'!$G$13:$G$9627)*('Monthly Data'!$C$13:$C$9627=X$26)*('Monthly Data'!$D$13:$D$9627=$U60))</f>
        <v>6982</v>
      </c>
      <c r="Y60" s="80">
        <f>SUMPRODUCT(('Monthly Data'!$E$13:$E$9627=$U$58)*('Monthly Data'!$G$13:$G$9627)*('Monthly Data'!$C$13:$C$9627=Y$26)*('Monthly Data'!$D$13:$D$9627=$U60))</f>
        <v>8015</v>
      </c>
      <c r="Z60" s="80">
        <f>SUMPRODUCT(('Monthly Data'!$E$13:$E$9627=$U$58)*('Monthly Data'!$G$13:$G$9627)*('Monthly Data'!$C$13:$C$9627=Z$26)*('Monthly Data'!$D$13:$D$9627=$U60))</f>
        <v>8079</v>
      </c>
      <c r="AA60" s="80">
        <f>SUMPRODUCT(('Monthly Data'!$E$13:$E$9627=$U$58)*('Monthly Data'!$G$13:$G$9627)*('Monthly Data'!$C$13:$C$9627=AA$26)*('Monthly Data'!$D$13:$D$9627=$U60))</f>
        <v>8599</v>
      </c>
      <c r="AB60" s="80">
        <f>SUMPRODUCT(('Monthly Data'!$E$13:$E$9627=$U$58)*('Monthly Data'!$G$13:$G$9627)*('Monthly Data'!$C$13:$C$9627=AB$26)*('Monthly Data'!$D$13:$D$9627=$U60))</f>
        <v>8615</v>
      </c>
      <c r="AC60" s="80">
        <f>SUMPRODUCT(('Monthly Data'!$E$13:$E$9627=$U$58)*('Monthly Data'!$G$13:$G$9627)*('Monthly Data'!$C$13:$C$9627=AC$26)*('Monthly Data'!$D$13:$D$9627=$U60))</f>
        <v>8613</v>
      </c>
      <c r="AD60" s="80">
        <f>SUMPRODUCT(('Monthly Data'!$E$13:$E$9627=$U$58)*('Monthly Data'!$G$13:$G$9627)*('Monthly Data'!$C$13:$C$9627=AD$26)*('Monthly Data'!$D$13:$D$9627=$U60))</f>
        <v>8606</v>
      </c>
      <c r="AE60" s="80">
        <f>SUMPRODUCT(('Monthly Data'!$E$13:$E$9627=$U$58)*('Monthly Data'!$G$13:$G$9627)*('Monthly Data'!$C$13:$C$9627=AE$26)*('Monthly Data'!$D$13:$D$9627=$U60))</f>
        <v>8518</v>
      </c>
      <c r="AF60" s="80">
        <f>SUMPRODUCT(('Monthly Data'!$E$13:$E$9627=$U$58)*('Monthly Data'!$G$13:$G$9627)*('Monthly Data'!$C$13:$C$9627=AF$26)*('Monthly Data'!$D$13:$D$9627=$U60))</f>
        <v>7552</v>
      </c>
      <c r="AG60" s="80">
        <f>SUMPRODUCT(('Monthly Data'!$E$13:$E$9627=$U$58)*('Monthly Data'!$G$13:$G$9627)*('Monthly Data'!$C$13:$C$9627=AG$26)*('Monthly Data'!$D$13:$D$9627=$U60))</f>
        <v>7402</v>
      </c>
      <c r="AH60" s="80">
        <f>SUMPRODUCT(('Monthly Data'!$E$13:$E$9627=$U$58)*('Monthly Data'!$G$13:$G$9627)*('Monthly Data'!$C$13:$C$9627=AH$26)*('Monthly Data'!$D$13:$D$9627=$U60))</f>
        <v>7377</v>
      </c>
      <c r="AI60" s="80">
        <f>SUMPRODUCT(('Monthly Data'!$E$13:$E$9627=$U$58)*('Monthly Data'!$G$13:$G$9627)*('Monthly Data'!$C$13:$C$9627=AI$26)*('Monthly Data'!$D$13:$D$9627=$U60))</f>
        <v>7838</v>
      </c>
      <c r="AJ60" s="80">
        <f>SUMPRODUCT(('Monthly Data'!$E$13:$E$9627=$U$58)*('Monthly Data'!$G$13:$G$9627)*('Monthly Data'!$C$13:$C$9627=AJ$26)*('Monthly Data'!$D$13:$D$9627=$U60))</f>
        <v>6694</v>
      </c>
      <c r="AL60" s="89">
        <f t="shared" ref="AL60:AL70" si="9">SUM(V60:AH60)</f>
        <v>100717</v>
      </c>
    </row>
    <row r="61" spans="2:38">
      <c r="B61" s="30">
        <v>3</v>
      </c>
      <c r="C61" s="95">
        <f>SUMPRODUCT(('Monthly Data'!$E$13:$E$9627=$B$58)*('Monthly Data'!$F$13:$F$9627)*('Monthly Data'!$C$13:$C$9627=C$26)*('Monthly Data'!$D$13:$D$9627=$B61))</f>
        <v>383102</v>
      </c>
      <c r="D61" s="95">
        <f>SUMPRODUCT(('Monthly Data'!$E$13:$E$9627=$B$58)*('Monthly Data'!$F$13:$F$9627)*('Monthly Data'!$C$13:$C$9627=D$26)*('Monthly Data'!$D$13:$D$9627=$B61))</f>
        <v>436250</v>
      </c>
      <c r="E61" s="80">
        <f>SUMPRODUCT(('Monthly Data'!$E$13:$E$9627=$B$58)*('Monthly Data'!$F$13:$F$9627)*('Monthly Data'!$C$13:$C$9627=E$26)*('Monthly Data'!$D$13:$D$9627=$B61))</f>
        <v>460333</v>
      </c>
      <c r="F61" s="80">
        <f>SUMPRODUCT(('Monthly Data'!$E$13:$E$9627=$B$58)*('Monthly Data'!$F$13:$F$9627)*('Monthly Data'!$C$13:$C$9627=F$26)*('Monthly Data'!$D$13:$D$9627=$B61))</f>
        <v>561340</v>
      </c>
      <c r="G61" s="80">
        <f>SUMPRODUCT(('Monthly Data'!$E$13:$E$9627=$B$58)*('Monthly Data'!$F$13:$F$9627)*('Monthly Data'!$C$13:$C$9627=G$26)*('Monthly Data'!$D$13:$D$9627=$B61))</f>
        <v>595593</v>
      </c>
      <c r="H61" s="80">
        <f>SUMPRODUCT(('Monthly Data'!$E$13:$E$9627=$B$58)*('Monthly Data'!$F$13:$F$9627)*('Monthly Data'!$C$13:$C$9627=H$26)*('Monthly Data'!$D$13:$D$9627=$B61))</f>
        <v>647420</v>
      </c>
      <c r="I61" s="80">
        <f>SUMPRODUCT(('Monthly Data'!$E$13:$E$9627=$B$58)*('Monthly Data'!$F$13:$F$9627)*('Monthly Data'!$C$13:$C$9627=I$26)*('Monthly Data'!$D$13:$D$9627=$B61))</f>
        <v>670551</v>
      </c>
      <c r="J61" s="80">
        <f>SUMPRODUCT(('Monthly Data'!$E$13:$E$9627=$B$58)*('Monthly Data'!$F$13:$F$9627)*('Monthly Data'!$C$13:$C$9627=J$26)*('Monthly Data'!$D$13:$D$9627=$B61))</f>
        <v>676090</v>
      </c>
      <c r="K61" s="80">
        <f>SUMPRODUCT(('Monthly Data'!$E$13:$E$9627=$B$58)*('Monthly Data'!$F$13:$F$9627)*('Monthly Data'!$C$13:$C$9627=K$26)*('Monthly Data'!$D$13:$D$9627=$B61))</f>
        <v>712442</v>
      </c>
      <c r="L61" s="80">
        <f>SUMPRODUCT(('Monthly Data'!$E$13:$E$9627=$B$58)*('Monthly Data'!$F$13:$F$9627)*('Monthly Data'!$C$13:$C$9627=L$26)*('Monthly Data'!$D$13:$D$9627=$B61))</f>
        <v>719970</v>
      </c>
      <c r="M61" s="80">
        <f>SUMPRODUCT(('Monthly Data'!$E$13:$E$9627=$B$58)*('Monthly Data'!$F$13:$F$9627)*('Monthly Data'!$C$13:$C$9627=M$26)*('Monthly Data'!$D$13:$D$9627=$B61))</f>
        <v>693718</v>
      </c>
      <c r="N61" s="80">
        <f>SUMPRODUCT(('Monthly Data'!$E$13:$E$9627=$B$58)*('Monthly Data'!$F$13:$F$9627)*('Monthly Data'!$C$13:$C$9627=N$26)*('Monthly Data'!$D$13:$D$9627=$B61))</f>
        <v>671113</v>
      </c>
      <c r="O61" s="80">
        <f>SUMPRODUCT(('Monthly Data'!$E$13:$E$9627=$B$58)*('Monthly Data'!$F$13:$F$9627)*('Monthly Data'!$C$13:$C$9627=O$26)*('Monthly Data'!$D$13:$D$9627=$B61))</f>
        <v>719797</v>
      </c>
      <c r="P61" s="80">
        <f>SUMPRODUCT(('Monthly Data'!$E$13:$E$9627=$B$58)*('Monthly Data'!$F$13:$F$9627)*('Monthly Data'!$C$13:$C$9627=P$26)*('Monthly Data'!$D$13:$D$9627=$B61))</f>
        <v>699817</v>
      </c>
      <c r="Q61" s="80">
        <f>SUMPRODUCT(('Monthly Data'!$E$13:$E$9627=$B$58)*('Monthly Data'!$F$13:$F$9627)*('Monthly Data'!$C$13:$C$9627=Q$26)*('Monthly Data'!$D$13:$D$9627=$B61))</f>
        <v>699612</v>
      </c>
      <c r="S61" s="89">
        <f t="shared" si="8"/>
        <v>7947719</v>
      </c>
      <c r="U61" s="30">
        <v>3</v>
      </c>
      <c r="V61" s="95">
        <f>SUMPRODUCT(('Monthly Data'!$E$13:$E$9627=$U$58)*('Monthly Data'!$G$13:$G$9627)*('Monthly Data'!$C$13:$C$9627=V$26)*('Monthly Data'!$D$13:$D$9627=$U61))</f>
        <v>6597</v>
      </c>
      <c r="W61" s="95">
        <f>SUMPRODUCT(('Monthly Data'!$E$13:$E$9627=$U$58)*('Monthly Data'!$G$13:$G$9627)*('Monthly Data'!$C$13:$C$9627=W$26)*('Monthly Data'!$D$13:$D$9627=$U61))</f>
        <v>7306</v>
      </c>
      <c r="X61" s="80">
        <f>SUMPRODUCT(('Monthly Data'!$E$13:$E$9627=$U$58)*('Monthly Data'!$G$13:$G$9627)*('Monthly Data'!$C$13:$C$9627=X$26)*('Monthly Data'!$D$13:$D$9627=$U61))</f>
        <v>7986</v>
      </c>
      <c r="Y61" s="80">
        <f>SUMPRODUCT(('Monthly Data'!$E$13:$E$9627=$U$58)*('Monthly Data'!$G$13:$G$9627)*('Monthly Data'!$C$13:$C$9627=Y$26)*('Monthly Data'!$D$13:$D$9627=$U61))</f>
        <v>8704</v>
      </c>
      <c r="Z61" s="80">
        <f>SUMPRODUCT(('Monthly Data'!$E$13:$E$9627=$U$58)*('Monthly Data'!$G$13:$G$9627)*('Monthly Data'!$C$13:$C$9627=Z$26)*('Monthly Data'!$D$13:$D$9627=$U61))</f>
        <v>8647</v>
      </c>
      <c r="AA61" s="80">
        <f>SUMPRODUCT(('Monthly Data'!$E$13:$E$9627=$U$58)*('Monthly Data'!$G$13:$G$9627)*('Monthly Data'!$C$13:$C$9627=AA$26)*('Monthly Data'!$D$13:$D$9627=$U61))</f>
        <v>9523</v>
      </c>
      <c r="AB61" s="80">
        <f>SUMPRODUCT(('Monthly Data'!$E$13:$E$9627=$U$58)*('Monthly Data'!$G$13:$G$9627)*('Monthly Data'!$C$13:$C$9627=AB$26)*('Monthly Data'!$D$13:$D$9627=$U61))</f>
        <v>9472</v>
      </c>
      <c r="AC61" s="80">
        <f>SUMPRODUCT(('Monthly Data'!$E$13:$E$9627=$U$58)*('Monthly Data'!$G$13:$G$9627)*('Monthly Data'!$C$13:$C$9627=AC$26)*('Monthly Data'!$D$13:$D$9627=$U61))</f>
        <v>9725</v>
      </c>
      <c r="AD61" s="80">
        <f>SUMPRODUCT(('Monthly Data'!$E$13:$E$9627=$U$58)*('Monthly Data'!$G$13:$G$9627)*('Monthly Data'!$C$13:$C$9627=AD$26)*('Monthly Data'!$D$13:$D$9627=$U61))</f>
        <v>9472</v>
      </c>
      <c r="AE61" s="80">
        <f>SUMPRODUCT(('Monthly Data'!$E$13:$E$9627=$U$58)*('Monthly Data'!$G$13:$G$9627)*('Monthly Data'!$C$13:$C$9627=AE$26)*('Monthly Data'!$D$13:$D$9627=$U61))</f>
        <v>9105</v>
      </c>
      <c r="AF61" s="80">
        <f>SUMPRODUCT(('Monthly Data'!$E$13:$E$9627=$U$58)*('Monthly Data'!$G$13:$G$9627)*('Monthly Data'!$C$13:$C$9627=AF$26)*('Monthly Data'!$D$13:$D$9627=$U61))</f>
        <v>8892</v>
      </c>
      <c r="AG61" s="80">
        <f>SUMPRODUCT(('Monthly Data'!$E$13:$E$9627=$U$58)*('Monthly Data'!$G$13:$G$9627)*('Monthly Data'!$C$13:$C$9627=AG$26)*('Monthly Data'!$D$13:$D$9627=$U61))</f>
        <v>8317</v>
      </c>
      <c r="AH61" s="80">
        <f>SUMPRODUCT(('Monthly Data'!$E$13:$E$9627=$U$58)*('Monthly Data'!$G$13:$G$9627)*('Monthly Data'!$C$13:$C$9627=AH$26)*('Monthly Data'!$D$13:$D$9627=$U61))</f>
        <v>8541</v>
      </c>
      <c r="AI61" s="80">
        <f>SUMPRODUCT(('Monthly Data'!$E$13:$E$9627=$U$58)*('Monthly Data'!$G$13:$G$9627)*('Monthly Data'!$C$13:$C$9627=AI$26)*('Monthly Data'!$D$13:$D$9627=$U61))</f>
        <v>8743</v>
      </c>
      <c r="AJ61" s="80">
        <f>SUMPRODUCT(('Monthly Data'!$E$13:$E$9627=$U$58)*('Monthly Data'!$G$13:$G$9627)*('Monthly Data'!$C$13:$C$9627=AJ$26)*('Monthly Data'!$D$13:$D$9627=$U61))</f>
        <v>7781</v>
      </c>
      <c r="AL61" s="89">
        <f t="shared" si="9"/>
        <v>112287</v>
      </c>
    </row>
    <row r="62" spans="2:38">
      <c r="B62" s="30">
        <v>4</v>
      </c>
      <c r="C62" s="95">
        <f>SUMPRODUCT(('Monthly Data'!$E$13:$E$9627=$B$58)*('Monthly Data'!$F$13:$F$9627)*('Monthly Data'!$C$13:$C$9627=C$26)*('Monthly Data'!$D$13:$D$9627=$B62))</f>
        <v>388953</v>
      </c>
      <c r="D62" s="95">
        <f>SUMPRODUCT(('Monthly Data'!$E$13:$E$9627=$B$58)*('Monthly Data'!$F$13:$F$9627)*('Monthly Data'!$C$13:$C$9627=D$26)*('Monthly Data'!$D$13:$D$9627=$B62))</f>
        <v>423543</v>
      </c>
      <c r="E62" s="80">
        <f>SUMPRODUCT(('Monthly Data'!$E$13:$E$9627=$B$58)*('Monthly Data'!$F$13:$F$9627)*('Monthly Data'!$C$13:$C$9627=E$26)*('Monthly Data'!$D$13:$D$9627=$B62))</f>
        <v>467627</v>
      </c>
      <c r="F62" s="80">
        <f>SUMPRODUCT(('Monthly Data'!$E$13:$E$9627=$B$58)*('Monthly Data'!$F$13:$F$9627)*('Monthly Data'!$C$13:$C$9627=F$26)*('Monthly Data'!$D$13:$D$9627=$B62))</f>
        <v>547840</v>
      </c>
      <c r="G62" s="80">
        <f>SUMPRODUCT(('Monthly Data'!$E$13:$E$9627=$B$58)*('Monthly Data'!$F$13:$F$9627)*('Monthly Data'!$C$13:$C$9627=G$26)*('Monthly Data'!$D$13:$D$9627=$B62))</f>
        <v>605439</v>
      </c>
      <c r="H62" s="80">
        <f>SUMPRODUCT(('Monthly Data'!$E$13:$E$9627=$B$58)*('Monthly Data'!$F$13:$F$9627)*('Monthly Data'!$C$13:$C$9627=H$26)*('Monthly Data'!$D$13:$D$9627=$B62))</f>
        <v>662140</v>
      </c>
      <c r="I62" s="80">
        <f>SUMPRODUCT(('Monthly Data'!$E$13:$E$9627=$B$58)*('Monthly Data'!$F$13:$F$9627)*('Monthly Data'!$C$13:$C$9627=I$26)*('Monthly Data'!$D$13:$D$9627=$B62))</f>
        <v>688114</v>
      </c>
      <c r="J62" s="80">
        <f>SUMPRODUCT(('Monthly Data'!$E$13:$E$9627=$B$58)*('Monthly Data'!$F$13:$F$9627)*('Monthly Data'!$C$13:$C$9627=J$26)*('Monthly Data'!$D$13:$D$9627=$B62))</f>
        <v>700111</v>
      </c>
      <c r="K62" s="80">
        <f>SUMPRODUCT(('Monthly Data'!$E$13:$E$9627=$B$58)*('Monthly Data'!$F$13:$F$9627)*('Monthly Data'!$C$13:$C$9627=K$26)*('Monthly Data'!$D$13:$D$9627=$B62))</f>
        <v>725235</v>
      </c>
      <c r="L62" s="80">
        <f>SUMPRODUCT(('Monthly Data'!$E$13:$E$9627=$B$58)*('Monthly Data'!$F$13:$F$9627)*('Monthly Data'!$C$13:$C$9627=L$26)*('Monthly Data'!$D$13:$D$9627=$B62))</f>
        <v>724189</v>
      </c>
      <c r="M62" s="80">
        <f>SUMPRODUCT(('Monthly Data'!$E$13:$E$9627=$B$58)*('Monthly Data'!$F$13:$F$9627)*('Monthly Data'!$C$13:$C$9627=M$26)*('Monthly Data'!$D$13:$D$9627=$B62))</f>
        <v>751931</v>
      </c>
      <c r="N62" s="80">
        <f>SUMPRODUCT(('Monthly Data'!$E$13:$E$9627=$B$58)*('Monthly Data'!$F$13:$F$9627)*('Monthly Data'!$C$13:$C$9627=N$26)*('Monthly Data'!$D$13:$D$9627=$B62))</f>
        <v>539679</v>
      </c>
      <c r="O62" s="80">
        <f>SUMPRODUCT(('Monthly Data'!$E$13:$E$9627=$B$58)*('Monthly Data'!$F$13:$F$9627)*('Monthly Data'!$C$13:$C$9627=O$26)*('Monthly Data'!$D$13:$D$9627=$B62))</f>
        <v>776192</v>
      </c>
      <c r="P62" s="80">
        <f>SUMPRODUCT(('Monthly Data'!$E$13:$E$9627=$B$58)*('Monthly Data'!$F$13:$F$9627)*('Monthly Data'!$C$13:$C$9627=P$26)*('Monthly Data'!$D$13:$D$9627=$B62))</f>
        <v>767505</v>
      </c>
      <c r="Q62" s="80">
        <f>SUMPRODUCT(('Monthly Data'!$E$13:$E$9627=$B$58)*('Monthly Data'!$F$13:$F$9627)*('Monthly Data'!$C$13:$C$9627=Q$26)*('Monthly Data'!$D$13:$D$9627=$B62))</f>
        <v>801663</v>
      </c>
      <c r="S62" s="89">
        <f t="shared" si="8"/>
        <v>8000993</v>
      </c>
      <c r="U62" s="30">
        <v>4</v>
      </c>
      <c r="V62" s="95">
        <f>SUMPRODUCT(('Monthly Data'!$E$13:$E$9627=$U$58)*('Monthly Data'!$G$13:$G$9627)*('Monthly Data'!$C$13:$C$9627=V$26)*('Monthly Data'!$D$13:$D$9627=$U62))</f>
        <v>6601</v>
      </c>
      <c r="W62" s="95">
        <f>SUMPRODUCT(('Monthly Data'!$E$13:$E$9627=$U$58)*('Monthly Data'!$G$13:$G$9627)*('Monthly Data'!$C$13:$C$9627=W$26)*('Monthly Data'!$D$13:$D$9627=$U62))</f>
        <v>6482</v>
      </c>
      <c r="X62" s="80">
        <f>SUMPRODUCT(('Monthly Data'!$E$13:$E$9627=$U$58)*('Monthly Data'!$G$13:$G$9627)*('Monthly Data'!$C$13:$C$9627=X$26)*('Monthly Data'!$D$13:$D$9627=$U62))</f>
        <v>7848</v>
      </c>
      <c r="Y62" s="80">
        <f>SUMPRODUCT(('Monthly Data'!$E$13:$E$9627=$U$58)*('Monthly Data'!$G$13:$G$9627)*('Monthly Data'!$C$13:$C$9627=Y$26)*('Monthly Data'!$D$13:$D$9627=$U62))</f>
        <v>8744</v>
      </c>
      <c r="Z62" s="80">
        <f>SUMPRODUCT(('Monthly Data'!$E$13:$E$9627=$U$58)*('Monthly Data'!$G$13:$G$9627)*('Monthly Data'!$C$13:$C$9627=Z$26)*('Monthly Data'!$D$13:$D$9627=$U62))</f>
        <v>8567</v>
      </c>
      <c r="AA62" s="80">
        <f>SUMPRODUCT(('Monthly Data'!$E$13:$E$9627=$U$58)*('Monthly Data'!$G$13:$G$9627)*('Monthly Data'!$C$13:$C$9627=AA$26)*('Monthly Data'!$D$13:$D$9627=$U62))</f>
        <v>9537</v>
      </c>
      <c r="AB62" s="80">
        <f>SUMPRODUCT(('Monthly Data'!$E$13:$E$9627=$U$58)*('Monthly Data'!$G$13:$G$9627)*('Monthly Data'!$C$13:$C$9627=AB$26)*('Monthly Data'!$D$13:$D$9627=$U62))</f>
        <v>9690</v>
      </c>
      <c r="AC62" s="80">
        <f>SUMPRODUCT(('Monthly Data'!$E$13:$E$9627=$U$58)*('Monthly Data'!$G$13:$G$9627)*('Monthly Data'!$C$13:$C$9627=AC$26)*('Monthly Data'!$D$13:$D$9627=$U62))</f>
        <v>9171</v>
      </c>
      <c r="AD62" s="80">
        <f>SUMPRODUCT(('Monthly Data'!$E$13:$E$9627=$U$58)*('Monthly Data'!$G$13:$G$9627)*('Monthly Data'!$C$13:$C$9627=AD$26)*('Monthly Data'!$D$13:$D$9627=$U62))</f>
        <v>9326</v>
      </c>
      <c r="AE62" s="80">
        <f>SUMPRODUCT(('Monthly Data'!$E$13:$E$9627=$U$58)*('Monthly Data'!$G$13:$G$9627)*('Monthly Data'!$C$13:$C$9627=AE$26)*('Monthly Data'!$D$13:$D$9627=$U62))</f>
        <v>9642</v>
      </c>
      <c r="AF62" s="80">
        <f>SUMPRODUCT(('Monthly Data'!$E$13:$E$9627=$U$58)*('Monthly Data'!$G$13:$G$9627)*('Monthly Data'!$C$13:$C$9627=AF$26)*('Monthly Data'!$D$13:$D$9627=$U62))</f>
        <v>9009</v>
      </c>
      <c r="AG62" s="80">
        <f>SUMPRODUCT(('Monthly Data'!$E$13:$E$9627=$U$58)*('Monthly Data'!$G$13:$G$9627)*('Monthly Data'!$C$13:$C$9627=AG$26)*('Monthly Data'!$D$13:$D$9627=$U62))</f>
        <v>6812</v>
      </c>
      <c r="AH62" s="80">
        <f>SUMPRODUCT(('Monthly Data'!$E$13:$E$9627=$U$58)*('Monthly Data'!$G$13:$G$9627)*('Monthly Data'!$C$13:$C$9627=AH$26)*('Monthly Data'!$D$13:$D$9627=$U62))</f>
        <v>8716</v>
      </c>
      <c r="AI62" s="80">
        <f>SUMPRODUCT(('Monthly Data'!$E$13:$E$9627=$U$58)*('Monthly Data'!$G$13:$G$9627)*('Monthly Data'!$C$13:$C$9627=AI$26)*('Monthly Data'!$D$13:$D$9627=$U62))</f>
        <v>9011</v>
      </c>
      <c r="AJ62" s="80">
        <f>SUMPRODUCT(('Monthly Data'!$E$13:$E$9627=$U$58)*('Monthly Data'!$G$13:$G$9627)*('Monthly Data'!$C$13:$C$9627=AJ$26)*('Monthly Data'!$D$13:$D$9627=$U62))</f>
        <v>9082</v>
      </c>
      <c r="AL62" s="89">
        <f t="shared" si="9"/>
        <v>110145</v>
      </c>
    </row>
    <row r="63" spans="2:38">
      <c r="B63" s="30">
        <v>5</v>
      </c>
      <c r="C63" s="95">
        <f>SUMPRODUCT(('Monthly Data'!$E$13:$E$9627=$B$58)*('Monthly Data'!$F$13:$F$9627)*('Monthly Data'!$C$13:$C$9627=C$26)*('Monthly Data'!$D$13:$D$9627=$B63))</f>
        <v>434008</v>
      </c>
      <c r="D63" s="95">
        <f>SUMPRODUCT(('Monthly Data'!$E$13:$E$9627=$B$58)*('Monthly Data'!$F$13:$F$9627)*('Monthly Data'!$C$13:$C$9627=D$26)*('Monthly Data'!$D$13:$D$9627=$B63))</f>
        <v>465488</v>
      </c>
      <c r="E63" s="80">
        <f>SUMPRODUCT(('Monthly Data'!$E$13:$E$9627=$B$58)*('Monthly Data'!$F$13:$F$9627)*('Monthly Data'!$C$13:$C$9627=E$26)*('Monthly Data'!$D$13:$D$9627=$B63))</f>
        <v>522706</v>
      </c>
      <c r="F63" s="80">
        <f>SUMPRODUCT(('Monthly Data'!$E$13:$E$9627=$B$58)*('Monthly Data'!$F$13:$F$9627)*('Monthly Data'!$C$13:$C$9627=F$26)*('Monthly Data'!$D$13:$D$9627=$B63))</f>
        <v>607262</v>
      </c>
      <c r="G63" s="80">
        <f>SUMPRODUCT(('Monthly Data'!$E$13:$E$9627=$B$58)*('Monthly Data'!$F$13:$F$9627)*('Monthly Data'!$C$13:$C$9627=G$26)*('Monthly Data'!$D$13:$D$9627=$B63))</f>
        <v>643417</v>
      </c>
      <c r="H63" s="80">
        <f>SUMPRODUCT(('Monthly Data'!$E$13:$E$9627=$B$58)*('Monthly Data'!$F$13:$F$9627)*('Monthly Data'!$C$13:$C$9627=H$26)*('Monthly Data'!$D$13:$D$9627=$B63))</f>
        <v>667396</v>
      </c>
      <c r="I63" s="80">
        <f>SUMPRODUCT(('Monthly Data'!$E$13:$E$9627=$B$58)*('Monthly Data'!$F$13:$F$9627)*('Monthly Data'!$C$13:$C$9627=I$26)*('Monthly Data'!$D$13:$D$9627=$B63))</f>
        <v>749490</v>
      </c>
      <c r="J63" s="80">
        <f>SUMPRODUCT(('Monthly Data'!$E$13:$E$9627=$B$58)*('Monthly Data'!$F$13:$F$9627)*('Monthly Data'!$C$13:$C$9627=J$26)*('Monthly Data'!$D$13:$D$9627=$B63))</f>
        <v>760253</v>
      </c>
      <c r="K63" s="80">
        <f>SUMPRODUCT(('Monthly Data'!$E$13:$E$9627=$B$58)*('Monthly Data'!$F$13:$F$9627)*('Monthly Data'!$C$13:$C$9627=K$26)*('Monthly Data'!$D$13:$D$9627=$B63))</f>
        <v>804690</v>
      </c>
      <c r="L63" s="80">
        <f>SUMPRODUCT(('Monthly Data'!$E$13:$E$9627=$B$58)*('Monthly Data'!$F$13:$F$9627)*('Monthly Data'!$C$13:$C$9627=L$26)*('Monthly Data'!$D$13:$D$9627=$B63))</f>
        <v>809868</v>
      </c>
      <c r="M63" s="80">
        <f>SUMPRODUCT(('Monthly Data'!$E$13:$E$9627=$B$58)*('Monthly Data'!$F$13:$F$9627)*('Monthly Data'!$C$13:$C$9627=M$26)*('Monthly Data'!$D$13:$D$9627=$B63))</f>
        <v>821216</v>
      </c>
      <c r="N63" s="80">
        <f>SUMPRODUCT(('Monthly Data'!$E$13:$E$9627=$B$58)*('Monthly Data'!$F$13:$F$9627)*('Monthly Data'!$C$13:$C$9627=N$26)*('Monthly Data'!$D$13:$D$9627=$B63))</f>
        <v>726401</v>
      </c>
      <c r="O63" s="80">
        <f>SUMPRODUCT(('Monthly Data'!$E$13:$E$9627=$B$58)*('Monthly Data'!$F$13:$F$9627)*('Monthly Data'!$C$13:$C$9627=O$26)*('Monthly Data'!$D$13:$D$9627=$B63))</f>
        <v>825692</v>
      </c>
      <c r="P63" s="80">
        <f>SUMPRODUCT(('Monthly Data'!$E$13:$E$9627=$B$58)*('Monthly Data'!$F$13:$F$9627)*('Monthly Data'!$C$13:$C$9627=P$26)*('Monthly Data'!$D$13:$D$9627=$B63))</f>
        <v>844266</v>
      </c>
      <c r="Q63" s="80">
        <f>SUMPRODUCT(('Monthly Data'!$E$13:$E$9627=$B$58)*('Monthly Data'!$F$13:$F$9627)*('Monthly Data'!$C$13:$C$9627=Q$26)*('Monthly Data'!$D$13:$D$9627=$B63))</f>
        <v>0</v>
      </c>
      <c r="S63" s="89">
        <f t="shared" si="8"/>
        <v>8837887</v>
      </c>
      <c r="U63" s="30">
        <v>5</v>
      </c>
      <c r="V63" s="95">
        <f>SUMPRODUCT(('Monthly Data'!$E$13:$E$9627=$U$58)*('Monthly Data'!$G$13:$G$9627)*('Monthly Data'!$C$13:$C$9627=V$26)*('Monthly Data'!$D$13:$D$9627=$U63))</f>
        <v>6893</v>
      </c>
      <c r="W63" s="95">
        <f>SUMPRODUCT(('Monthly Data'!$E$13:$E$9627=$U$58)*('Monthly Data'!$G$13:$G$9627)*('Monthly Data'!$C$13:$C$9627=W$26)*('Monthly Data'!$D$13:$D$9627=$U63))</f>
        <v>7122</v>
      </c>
      <c r="X63" s="80">
        <f>SUMPRODUCT(('Monthly Data'!$E$13:$E$9627=$U$58)*('Monthly Data'!$G$13:$G$9627)*('Monthly Data'!$C$13:$C$9627=X$26)*('Monthly Data'!$D$13:$D$9627=$U63))</f>
        <v>8551</v>
      </c>
      <c r="Y63" s="80">
        <f>SUMPRODUCT(('Monthly Data'!$E$13:$E$9627=$U$58)*('Monthly Data'!$G$13:$G$9627)*('Monthly Data'!$C$13:$C$9627=Y$26)*('Monthly Data'!$D$13:$D$9627=$U63))</f>
        <v>9277</v>
      </c>
      <c r="Z63" s="80">
        <f>SUMPRODUCT(('Monthly Data'!$E$13:$E$9627=$U$58)*('Monthly Data'!$G$13:$G$9627)*('Monthly Data'!$C$13:$C$9627=Z$26)*('Monthly Data'!$D$13:$D$9627=$U63))</f>
        <v>8868</v>
      </c>
      <c r="AA63" s="80">
        <f>SUMPRODUCT(('Monthly Data'!$E$13:$E$9627=$U$58)*('Monthly Data'!$G$13:$G$9627)*('Monthly Data'!$C$13:$C$9627=AA$26)*('Monthly Data'!$D$13:$D$9627=$U63))</f>
        <v>9349</v>
      </c>
      <c r="AB63" s="80">
        <f>SUMPRODUCT(('Monthly Data'!$E$13:$E$9627=$U$58)*('Monthly Data'!$G$13:$G$9627)*('Monthly Data'!$C$13:$C$9627=AB$26)*('Monthly Data'!$D$13:$D$9627=$U63))</f>
        <v>10101</v>
      </c>
      <c r="AC63" s="80">
        <f>SUMPRODUCT(('Monthly Data'!$E$13:$E$9627=$U$58)*('Monthly Data'!$G$13:$G$9627)*('Monthly Data'!$C$13:$C$9627=AC$26)*('Monthly Data'!$D$13:$D$9627=$U63))</f>
        <v>10117</v>
      </c>
      <c r="AD63" s="80">
        <f>SUMPRODUCT(('Monthly Data'!$E$13:$E$9627=$U$58)*('Monthly Data'!$G$13:$G$9627)*('Monthly Data'!$C$13:$C$9627=AD$26)*('Monthly Data'!$D$13:$D$9627=$U63))</f>
        <v>10130</v>
      </c>
      <c r="AE63" s="80">
        <f>SUMPRODUCT(('Monthly Data'!$E$13:$E$9627=$U$58)*('Monthly Data'!$G$13:$G$9627)*('Monthly Data'!$C$13:$C$9627=AE$26)*('Monthly Data'!$D$13:$D$9627=$U63))</f>
        <v>10083</v>
      </c>
      <c r="AF63" s="80">
        <f>SUMPRODUCT(('Monthly Data'!$E$13:$E$9627=$U$58)*('Monthly Data'!$G$13:$G$9627)*('Monthly Data'!$C$13:$C$9627=AF$26)*('Monthly Data'!$D$13:$D$9627=$U63))</f>
        <v>9574</v>
      </c>
      <c r="AG63" s="80">
        <f>SUMPRODUCT(('Monthly Data'!$E$13:$E$9627=$U$58)*('Monthly Data'!$G$13:$G$9627)*('Monthly Data'!$C$13:$C$9627=AG$26)*('Monthly Data'!$D$13:$D$9627=$U63))</f>
        <v>8676</v>
      </c>
      <c r="AH63" s="80">
        <f>SUMPRODUCT(('Monthly Data'!$E$13:$E$9627=$U$58)*('Monthly Data'!$G$13:$G$9627)*('Monthly Data'!$C$13:$C$9627=AH$26)*('Monthly Data'!$D$13:$D$9627=$U63))</f>
        <v>9183</v>
      </c>
      <c r="AI63" s="80">
        <f>SUMPRODUCT(('Monthly Data'!$E$13:$E$9627=$U$58)*('Monthly Data'!$G$13:$G$9627)*('Monthly Data'!$C$13:$C$9627=AI$26)*('Monthly Data'!$D$13:$D$9627=$U63))</f>
        <v>9875</v>
      </c>
      <c r="AJ63" s="80">
        <f>SUMPRODUCT(('Monthly Data'!$E$13:$E$9627=$U$58)*('Monthly Data'!$G$13:$G$9627)*('Monthly Data'!$C$13:$C$9627=AJ$26)*('Monthly Data'!$D$13:$D$9627=$U63))</f>
        <v>0</v>
      </c>
      <c r="AL63" s="89">
        <f t="shared" si="9"/>
        <v>117924</v>
      </c>
    </row>
    <row r="64" spans="2:38">
      <c r="B64" s="30">
        <v>6</v>
      </c>
      <c r="C64" s="95">
        <f>SUMPRODUCT(('Monthly Data'!$E$13:$E$9627=$B$58)*('Monthly Data'!$F$13:$F$9627)*('Monthly Data'!$C$13:$C$9627=C$26)*('Monthly Data'!$D$13:$D$9627=$B64))</f>
        <v>482331</v>
      </c>
      <c r="D64" s="95">
        <f>SUMPRODUCT(('Monthly Data'!$E$13:$E$9627=$B$58)*('Monthly Data'!$F$13:$F$9627)*('Monthly Data'!$C$13:$C$9627=D$26)*('Monthly Data'!$D$13:$D$9627=$B64))</f>
        <v>505297</v>
      </c>
      <c r="E64" s="80">
        <f>SUMPRODUCT(('Monthly Data'!$E$13:$E$9627=$B$58)*('Monthly Data'!$F$13:$F$9627)*('Monthly Data'!$C$13:$C$9627=E$26)*('Monthly Data'!$D$13:$D$9627=$B64))</f>
        <v>554610</v>
      </c>
      <c r="F64" s="80">
        <f>SUMPRODUCT(('Monthly Data'!$E$13:$E$9627=$B$58)*('Monthly Data'!$F$13:$F$9627)*('Monthly Data'!$C$13:$C$9627=F$26)*('Monthly Data'!$D$13:$D$9627=$B64))</f>
        <v>598865</v>
      </c>
      <c r="G64" s="80">
        <f>SUMPRODUCT(('Monthly Data'!$E$13:$E$9627=$B$58)*('Monthly Data'!$F$13:$F$9627)*('Monthly Data'!$C$13:$C$9627=G$26)*('Monthly Data'!$D$13:$D$9627=$B64))</f>
        <v>669070</v>
      </c>
      <c r="H64" s="80">
        <f>SUMPRODUCT(('Monthly Data'!$E$13:$E$9627=$B$58)*('Monthly Data'!$F$13:$F$9627)*('Monthly Data'!$C$13:$C$9627=H$26)*('Monthly Data'!$D$13:$D$9627=$B64))</f>
        <v>720768</v>
      </c>
      <c r="I64" s="80">
        <f>SUMPRODUCT(('Monthly Data'!$E$13:$E$9627=$B$58)*('Monthly Data'!$F$13:$F$9627)*('Monthly Data'!$C$13:$C$9627=I$26)*('Monthly Data'!$D$13:$D$9627=$B64))</f>
        <v>790256</v>
      </c>
      <c r="J64" s="80">
        <f>SUMPRODUCT(('Monthly Data'!$E$13:$E$9627=$B$58)*('Monthly Data'!$F$13:$F$9627)*('Monthly Data'!$C$13:$C$9627=J$26)*('Monthly Data'!$D$13:$D$9627=$B64))</f>
        <v>817276</v>
      </c>
      <c r="K64" s="80">
        <f>SUMPRODUCT(('Monthly Data'!$E$13:$E$9627=$B$58)*('Monthly Data'!$F$13:$F$9627)*('Monthly Data'!$C$13:$C$9627=K$26)*('Monthly Data'!$D$13:$D$9627=$B64))</f>
        <v>846880</v>
      </c>
      <c r="L64" s="80">
        <f>SUMPRODUCT(('Monthly Data'!$E$13:$E$9627=$B$58)*('Monthly Data'!$F$13:$F$9627)*('Monthly Data'!$C$13:$C$9627=L$26)*('Monthly Data'!$D$13:$D$9627=$B64))</f>
        <v>859389</v>
      </c>
      <c r="M64" s="80">
        <f>SUMPRODUCT(('Monthly Data'!$E$13:$E$9627=$B$58)*('Monthly Data'!$F$13:$F$9627)*('Monthly Data'!$C$13:$C$9627=M$26)*('Monthly Data'!$D$13:$D$9627=$B64))</f>
        <v>871165</v>
      </c>
      <c r="N64" s="80">
        <f>SUMPRODUCT(('Monthly Data'!$E$13:$E$9627=$B$58)*('Monthly Data'!$F$13:$F$9627)*('Monthly Data'!$C$13:$C$9627=N$26)*('Monthly Data'!$D$13:$D$9627=$B64))</f>
        <v>853906</v>
      </c>
      <c r="O64" s="80">
        <f>SUMPRODUCT(('Monthly Data'!$E$13:$E$9627=$B$58)*('Monthly Data'!$F$13:$F$9627)*('Monthly Data'!$C$13:$C$9627=O$26)*('Monthly Data'!$D$13:$D$9627=$B64))</f>
        <v>918853</v>
      </c>
      <c r="P64" s="80">
        <f>SUMPRODUCT(('Monthly Data'!$E$13:$E$9627=$B$58)*('Monthly Data'!$F$13:$F$9627)*('Monthly Data'!$C$13:$C$9627=P$26)*('Monthly Data'!$D$13:$D$9627=$B64))</f>
        <v>882800</v>
      </c>
      <c r="Q64" s="80">
        <f>SUMPRODUCT(('Monthly Data'!$E$13:$E$9627=$B$58)*('Monthly Data'!$F$13:$F$9627)*('Monthly Data'!$C$13:$C$9627=Q$26)*('Monthly Data'!$D$13:$D$9627=$B64))</f>
        <v>0</v>
      </c>
      <c r="S64" s="89">
        <f t="shared" si="8"/>
        <v>9488666</v>
      </c>
      <c r="U64" s="30">
        <v>6</v>
      </c>
      <c r="V64" s="95">
        <f>SUMPRODUCT(('Monthly Data'!$E$13:$E$9627=$U$58)*('Monthly Data'!$G$13:$G$9627)*('Monthly Data'!$C$13:$C$9627=V$26)*('Monthly Data'!$D$13:$D$9627=$U64))</f>
        <v>7113</v>
      </c>
      <c r="W64" s="95">
        <f>SUMPRODUCT(('Monthly Data'!$E$13:$E$9627=$U$58)*('Monthly Data'!$G$13:$G$9627)*('Monthly Data'!$C$13:$C$9627=W$26)*('Monthly Data'!$D$13:$D$9627=$U64))</f>
        <v>7267</v>
      </c>
      <c r="X64" s="80">
        <f>SUMPRODUCT(('Monthly Data'!$E$13:$E$9627=$U$58)*('Monthly Data'!$G$13:$G$9627)*('Monthly Data'!$C$13:$C$9627=X$26)*('Monthly Data'!$D$13:$D$9627=$U64))</f>
        <v>8483</v>
      </c>
      <c r="Y64" s="80">
        <f>SUMPRODUCT(('Monthly Data'!$E$13:$E$9627=$U$58)*('Monthly Data'!$G$13:$G$9627)*('Monthly Data'!$C$13:$C$9627=Y$26)*('Monthly Data'!$D$13:$D$9627=$U64))</f>
        <v>8608</v>
      </c>
      <c r="Z64" s="80">
        <f>SUMPRODUCT(('Monthly Data'!$E$13:$E$9627=$U$58)*('Monthly Data'!$G$13:$G$9627)*('Monthly Data'!$C$13:$C$9627=Z$26)*('Monthly Data'!$D$13:$D$9627=$U64))</f>
        <v>8819</v>
      </c>
      <c r="AA64" s="80">
        <f>SUMPRODUCT(('Monthly Data'!$E$13:$E$9627=$U$58)*('Monthly Data'!$G$13:$G$9627)*('Monthly Data'!$C$13:$C$9627=AA$26)*('Monthly Data'!$D$13:$D$9627=$U64))</f>
        <v>9678</v>
      </c>
      <c r="AB64" s="80">
        <f>SUMPRODUCT(('Monthly Data'!$E$13:$E$9627=$U$58)*('Monthly Data'!$G$13:$G$9627)*('Monthly Data'!$C$13:$C$9627=AB$26)*('Monthly Data'!$D$13:$D$9627=$U64))</f>
        <v>10379</v>
      </c>
      <c r="AC64" s="80">
        <f>SUMPRODUCT(('Monthly Data'!$E$13:$E$9627=$U$58)*('Monthly Data'!$G$13:$G$9627)*('Monthly Data'!$C$13:$C$9627=AC$26)*('Monthly Data'!$D$13:$D$9627=$U64))</f>
        <v>10317</v>
      </c>
      <c r="AD64" s="80">
        <f>SUMPRODUCT(('Monthly Data'!$E$13:$E$9627=$U$58)*('Monthly Data'!$G$13:$G$9627)*('Monthly Data'!$C$13:$C$9627=AD$26)*('Monthly Data'!$D$13:$D$9627=$U64))</f>
        <v>10002</v>
      </c>
      <c r="AE64" s="80">
        <f>SUMPRODUCT(('Monthly Data'!$E$13:$E$9627=$U$58)*('Monthly Data'!$G$13:$G$9627)*('Monthly Data'!$C$13:$C$9627=AE$26)*('Monthly Data'!$D$13:$D$9627=$U64))</f>
        <v>10112</v>
      </c>
      <c r="AF64" s="80">
        <f>SUMPRODUCT(('Monthly Data'!$E$13:$E$9627=$U$58)*('Monthly Data'!$G$13:$G$9627)*('Monthly Data'!$C$13:$C$9627=AF$26)*('Monthly Data'!$D$13:$D$9627=$U64))</f>
        <v>9789</v>
      </c>
      <c r="AG64" s="80">
        <f>SUMPRODUCT(('Monthly Data'!$E$13:$E$9627=$U$58)*('Monthly Data'!$G$13:$G$9627)*('Monthly Data'!$C$13:$C$9627=AG$26)*('Monthly Data'!$D$13:$D$9627=$U64))</f>
        <v>9650</v>
      </c>
      <c r="AH64" s="80">
        <f>SUMPRODUCT(('Monthly Data'!$E$13:$E$9627=$U$58)*('Monthly Data'!$G$13:$G$9627)*('Monthly Data'!$C$13:$C$9627=AH$26)*('Monthly Data'!$D$13:$D$9627=$U64))</f>
        <v>9759</v>
      </c>
      <c r="AI64" s="80">
        <f>SUMPRODUCT(('Monthly Data'!$E$13:$E$9627=$U$58)*('Monthly Data'!$G$13:$G$9627)*('Monthly Data'!$C$13:$C$9627=AI$26)*('Monthly Data'!$D$13:$D$9627=$U64))</f>
        <v>9641</v>
      </c>
      <c r="AJ64" s="80">
        <f>SUMPRODUCT(('Monthly Data'!$E$13:$E$9627=$U$58)*('Monthly Data'!$G$13:$G$9627)*('Monthly Data'!$C$13:$C$9627=AJ$26)*('Monthly Data'!$D$13:$D$9627=$U64))</f>
        <v>0</v>
      </c>
      <c r="AL64" s="89">
        <f t="shared" si="9"/>
        <v>119976</v>
      </c>
    </row>
    <row r="65" spans="2:38">
      <c r="B65" s="30">
        <v>7</v>
      </c>
      <c r="C65" s="95">
        <f>SUMPRODUCT(('Monthly Data'!$E$13:$E$9627=$B$58)*('Monthly Data'!$F$13:$F$9627)*('Monthly Data'!$C$13:$C$9627=C$26)*('Monthly Data'!$D$13:$D$9627=$B65))</f>
        <v>532926</v>
      </c>
      <c r="D65" s="95">
        <f>SUMPRODUCT(('Monthly Data'!$E$13:$E$9627=$B$58)*('Monthly Data'!$F$13:$F$9627)*('Monthly Data'!$C$13:$C$9627=D$26)*('Monthly Data'!$D$13:$D$9627=$B65))</f>
        <v>561371</v>
      </c>
      <c r="E65" s="80">
        <f>SUMPRODUCT(('Monthly Data'!$E$13:$E$9627=$B$58)*('Monthly Data'!$F$13:$F$9627)*('Monthly Data'!$C$13:$C$9627=E$26)*('Monthly Data'!$D$13:$D$9627=$B65))</f>
        <v>594203</v>
      </c>
      <c r="F65" s="80">
        <f>SUMPRODUCT(('Monthly Data'!$E$13:$E$9627=$B$58)*('Monthly Data'!$F$13:$F$9627)*('Monthly Data'!$C$13:$C$9627=F$26)*('Monthly Data'!$D$13:$D$9627=$B65))</f>
        <v>685109</v>
      </c>
      <c r="G65" s="80">
        <f>SUMPRODUCT(('Monthly Data'!$E$13:$E$9627=$B$58)*('Monthly Data'!$F$13:$F$9627)*('Monthly Data'!$C$13:$C$9627=G$26)*('Monthly Data'!$D$13:$D$9627=$B65))</f>
        <v>721961</v>
      </c>
      <c r="H65" s="80">
        <f>SUMPRODUCT(('Monthly Data'!$E$13:$E$9627=$B$58)*('Monthly Data'!$F$13:$F$9627)*('Monthly Data'!$C$13:$C$9627=H$26)*('Monthly Data'!$D$13:$D$9627=$B65))</f>
        <v>794697</v>
      </c>
      <c r="I65" s="80">
        <f>SUMPRODUCT(('Monthly Data'!$E$13:$E$9627=$B$58)*('Monthly Data'!$F$13:$F$9627)*('Monthly Data'!$C$13:$C$9627=I$26)*('Monthly Data'!$D$13:$D$9627=$B65))</f>
        <v>845351</v>
      </c>
      <c r="J65" s="80">
        <f>SUMPRODUCT(('Monthly Data'!$E$13:$E$9627=$B$58)*('Monthly Data'!$F$13:$F$9627)*('Monthly Data'!$C$13:$C$9627=J$26)*('Monthly Data'!$D$13:$D$9627=$B65))</f>
        <v>862472</v>
      </c>
      <c r="K65" s="80">
        <f>SUMPRODUCT(('Monthly Data'!$E$13:$E$9627=$B$58)*('Monthly Data'!$F$13:$F$9627)*('Monthly Data'!$C$13:$C$9627=K$26)*('Monthly Data'!$D$13:$D$9627=$B65))</f>
        <v>916779</v>
      </c>
      <c r="L65" s="80">
        <f>SUMPRODUCT(('Monthly Data'!$E$13:$E$9627=$B$58)*('Monthly Data'!$F$13:$F$9627)*('Monthly Data'!$C$13:$C$9627=L$26)*('Monthly Data'!$D$13:$D$9627=$B65))</f>
        <v>904512</v>
      </c>
      <c r="M65" s="80">
        <f>SUMPRODUCT(('Monthly Data'!$E$13:$E$9627=$B$58)*('Monthly Data'!$F$13:$F$9627)*('Monthly Data'!$C$13:$C$9627=M$26)*('Monthly Data'!$D$13:$D$9627=$B65))</f>
        <v>955718</v>
      </c>
      <c r="N65" s="80">
        <f>SUMPRODUCT(('Monthly Data'!$E$13:$E$9627=$B$58)*('Monthly Data'!$F$13:$F$9627)*('Monthly Data'!$C$13:$C$9627=N$26)*('Monthly Data'!$D$13:$D$9627=$B65))</f>
        <v>961056</v>
      </c>
      <c r="O65" s="80">
        <f>SUMPRODUCT(('Monthly Data'!$E$13:$E$9627=$B$58)*('Monthly Data'!$F$13:$F$9627)*('Monthly Data'!$C$13:$C$9627=O$26)*('Monthly Data'!$D$13:$D$9627=$B65))</f>
        <v>992462</v>
      </c>
      <c r="P65" s="80">
        <f>SUMPRODUCT(('Monthly Data'!$E$13:$E$9627=$B$58)*('Monthly Data'!$F$13:$F$9627)*('Monthly Data'!$C$13:$C$9627=P$26)*('Monthly Data'!$D$13:$D$9627=$B65))</f>
        <v>957897</v>
      </c>
      <c r="Q65" s="80">
        <f>SUMPRODUCT(('Monthly Data'!$E$13:$E$9627=$B$58)*('Monthly Data'!$F$13:$F$9627)*('Monthly Data'!$C$13:$C$9627=Q$26)*('Monthly Data'!$D$13:$D$9627=$B65))</f>
        <v>0</v>
      </c>
      <c r="S65" s="89">
        <f t="shared" si="8"/>
        <v>10328617</v>
      </c>
      <c r="U65" s="30">
        <v>7</v>
      </c>
      <c r="V65" s="95">
        <f>SUMPRODUCT(('Monthly Data'!$E$13:$E$9627=$U$58)*('Monthly Data'!$G$13:$G$9627)*('Monthly Data'!$C$13:$C$9627=V$26)*('Monthly Data'!$D$13:$D$9627=$U65))</f>
        <v>7424</v>
      </c>
      <c r="W65" s="95">
        <f>SUMPRODUCT(('Monthly Data'!$E$13:$E$9627=$U$58)*('Monthly Data'!$G$13:$G$9627)*('Monthly Data'!$C$13:$C$9627=W$26)*('Monthly Data'!$D$13:$D$9627=$U65))</f>
        <v>7599</v>
      </c>
      <c r="X65" s="80">
        <f>SUMPRODUCT(('Monthly Data'!$E$13:$E$9627=$U$58)*('Monthly Data'!$G$13:$G$9627)*('Monthly Data'!$C$13:$C$9627=X$26)*('Monthly Data'!$D$13:$D$9627=$U65))</f>
        <v>8787</v>
      </c>
      <c r="Y65" s="80">
        <f>SUMPRODUCT(('Monthly Data'!$E$13:$E$9627=$U$58)*('Monthly Data'!$G$13:$G$9627)*('Monthly Data'!$C$13:$C$9627=Y$26)*('Monthly Data'!$D$13:$D$9627=$U65))</f>
        <v>9545</v>
      </c>
      <c r="Z65" s="80">
        <f>SUMPRODUCT(('Monthly Data'!$E$13:$E$9627=$U$58)*('Monthly Data'!$G$13:$G$9627)*('Monthly Data'!$C$13:$C$9627=Z$26)*('Monthly Data'!$D$13:$D$9627=$U65))</f>
        <v>9262</v>
      </c>
      <c r="AA65" s="80">
        <f>SUMPRODUCT(('Monthly Data'!$E$13:$E$9627=$U$58)*('Monthly Data'!$G$13:$G$9627)*('Monthly Data'!$C$13:$C$9627=AA$26)*('Monthly Data'!$D$13:$D$9627=$U65))</f>
        <v>9984</v>
      </c>
      <c r="AB65" s="80">
        <f>SUMPRODUCT(('Monthly Data'!$E$13:$E$9627=$U$58)*('Monthly Data'!$G$13:$G$9627)*('Monthly Data'!$C$13:$C$9627=AB$26)*('Monthly Data'!$D$13:$D$9627=$U65))</f>
        <v>10490</v>
      </c>
      <c r="AC65" s="80">
        <f>SUMPRODUCT(('Monthly Data'!$E$13:$E$9627=$U$58)*('Monthly Data'!$G$13:$G$9627)*('Monthly Data'!$C$13:$C$9627=AC$26)*('Monthly Data'!$D$13:$D$9627=$U65))</f>
        <v>10348</v>
      </c>
      <c r="AD65" s="80">
        <f>SUMPRODUCT(('Monthly Data'!$E$13:$E$9627=$U$58)*('Monthly Data'!$G$13:$G$9627)*('Monthly Data'!$C$13:$C$9627=AD$26)*('Monthly Data'!$D$13:$D$9627=$U65))</f>
        <v>10373</v>
      </c>
      <c r="AE65" s="80">
        <f>SUMPRODUCT(('Monthly Data'!$E$13:$E$9627=$U$58)*('Monthly Data'!$G$13:$G$9627)*('Monthly Data'!$C$13:$C$9627=AE$26)*('Monthly Data'!$D$13:$D$9627=$U65))</f>
        <v>10544</v>
      </c>
      <c r="AF65" s="80">
        <f>SUMPRODUCT(('Monthly Data'!$E$13:$E$9627=$U$58)*('Monthly Data'!$G$13:$G$9627)*('Monthly Data'!$C$13:$C$9627=AF$26)*('Monthly Data'!$D$13:$D$9627=$U65))</f>
        <v>10083</v>
      </c>
      <c r="AG65" s="80">
        <f>SUMPRODUCT(('Monthly Data'!$E$13:$E$9627=$U$58)*('Monthly Data'!$G$13:$G$9627)*('Monthly Data'!$C$13:$C$9627=AG$26)*('Monthly Data'!$D$13:$D$9627=$U65))</f>
        <v>10078</v>
      </c>
      <c r="AH65" s="80">
        <f>SUMPRODUCT(('Monthly Data'!$E$13:$E$9627=$U$58)*('Monthly Data'!$G$13:$G$9627)*('Monthly Data'!$C$13:$C$9627=AH$26)*('Monthly Data'!$D$13:$D$9627=$U65))</f>
        <v>10055</v>
      </c>
      <c r="AI65" s="80">
        <f>SUMPRODUCT(('Monthly Data'!$E$13:$E$9627=$U$58)*('Monthly Data'!$G$13:$G$9627)*('Monthly Data'!$C$13:$C$9627=AI$26)*('Monthly Data'!$D$13:$D$9627=$U65))</f>
        <v>9791</v>
      </c>
      <c r="AJ65" s="80">
        <f>SUMPRODUCT(('Monthly Data'!$E$13:$E$9627=$U$58)*('Monthly Data'!$G$13:$G$9627)*('Monthly Data'!$C$13:$C$9627=AJ$26)*('Monthly Data'!$D$13:$D$9627=$U65))</f>
        <v>0</v>
      </c>
      <c r="AL65" s="89">
        <f t="shared" si="9"/>
        <v>124572</v>
      </c>
    </row>
    <row r="66" spans="2:38">
      <c r="B66" s="30">
        <v>8</v>
      </c>
      <c r="C66" s="95">
        <f>SUMPRODUCT(('Monthly Data'!$E$13:$E$9627=$B$58)*('Monthly Data'!$F$13:$F$9627)*('Monthly Data'!$C$13:$C$9627=C$26)*('Monthly Data'!$D$13:$D$9627=$B66))</f>
        <v>526454</v>
      </c>
      <c r="D66" s="95">
        <f>SUMPRODUCT(('Monthly Data'!$E$13:$E$9627=$B$58)*('Monthly Data'!$F$13:$F$9627)*('Monthly Data'!$C$13:$C$9627=D$26)*('Monthly Data'!$D$13:$D$9627=$B66))</f>
        <v>549622</v>
      </c>
      <c r="E66" s="80">
        <f>SUMPRODUCT(('Monthly Data'!$E$13:$E$9627=$B$58)*('Monthly Data'!$F$13:$F$9627)*('Monthly Data'!$C$13:$C$9627=E$26)*('Monthly Data'!$D$13:$D$9627=$B66))</f>
        <v>594687</v>
      </c>
      <c r="F66" s="80">
        <f>SUMPRODUCT(('Monthly Data'!$E$13:$E$9627=$B$58)*('Monthly Data'!$F$13:$F$9627)*('Monthly Data'!$C$13:$C$9627=F$26)*('Monthly Data'!$D$13:$D$9627=$B66))</f>
        <v>684784</v>
      </c>
      <c r="G66" s="80">
        <f>SUMPRODUCT(('Monthly Data'!$E$13:$E$9627=$B$58)*('Monthly Data'!$F$13:$F$9627)*('Monthly Data'!$C$13:$C$9627=G$26)*('Monthly Data'!$D$13:$D$9627=$B66))</f>
        <v>717373</v>
      </c>
      <c r="H66" s="80">
        <f>SUMPRODUCT(('Monthly Data'!$E$13:$E$9627=$B$58)*('Monthly Data'!$F$13:$F$9627)*('Monthly Data'!$C$13:$C$9627=H$26)*('Monthly Data'!$D$13:$D$9627=$B66))</f>
        <v>772772</v>
      </c>
      <c r="I66" s="80">
        <f>SUMPRODUCT(('Monthly Data'!$E$13:$E$9627=$B$58)*('Monthly Data'!$F$13:$F$9627)*('Monthly Data'!$C$13:$C$9627=I$26)*('Monthly Data'!$D$13:$D$9627=$B66))</f>
        <v>823856</v>
      </c>
      <c r="J66" s="80">
        <f>SUMPRODUCT(('Monthly Data'!$E$13:$E$9627=$B$58)*('Monthly Data'!$F$13:$F$9627)*('Monthly Data'!$C$13:$C$9627=J$26)*('Monthly Data'!$D$13:$D$9627=$B66))</f>
        <v>812936</v>
      </c>
      <c r="K66" s="80">
        <f>SUMPRODUCT(('Monthly Data'!$E$13:$E$9627=$B$58)*('Monthly Data'!$F$13:$F$9627)*('Monthly Data'!$C$13:$C$9627=K$26)*('Monthly Data'!$D$13:$D$9627=$B66))</f>
        <v>894613</v>
      </c>
      <c r="L66" s="80">
        <f>SUMPRODUCT(('Monthly Data'!$E$13:$E$9627=$B$58)*('Monthly Data'!$F$13:$F$9627)*('Monthly Data'!$C$13:$C$9627=L$26)*('Monthly Data'!$D$13:$D$9627=$B66))</f>
        <v>885989</v>
      </c>
      <c r="M66" s="80">
        <f>SUMPRODUCT(('Monthly Data'!$E$13:$E$9627=$B$58)*('Monthly Data'!$F$13:$F$9627)*('Monthly Data'!$C$13:$C$9627=M$26)*('Monthly Data'!$D$13:$D$9627=$B66))</f>
        <v>928614</v>
      </c>
      <c r="N66" s="80">
        <f>SUMPRODUCT(('Monthly Data'!$E$13:$E$9627=$B$58)*('Monthly Data'!$F$13:$F$9627)*('Monthly Data'!$C$13:$C$9627=N$26)*('Monthly Data'!$D$13:$D$9627=$B66))</f>
        <v>926963</v>
      </c>
      <c r="O66" s="80">
        <f>SUMPRODUCT(('Monthly Data'!$E$13:$E$9627=$B$58)*('Monthly Data'!$F$13:$F$9627)*('Monthly Data'!$C$13:$C$9627=O$26)*('Monthly Data'!$D$13:$D$9627=$B66))</f>
        <v>954357</v>
      </c>
      <c r="P66" s="80">
        <f>SUMPRODUCT(('Monthly Data'!$E$13:$E$9627=$B$58)*('Monthly Data'!$F$13:$F$9627)*('Monthly Data'!$C$13:$C$9627=P$26)*('Monthly Data'!$D$13:$D$9627=$B66))</f>
        <v>936710</v>
      </c>
      <c r="Q66" s="80">
        <f>SUMPRODUCT(('Monthly Data'!$E$13:$E$9627=$B$58)*('Monthly Data'!$F$13:$F$9627)*('Monthly Data'!$C$13:$C$9627=Q$26)*('Monthly Data'!$D$13:$D$9627=$B66))</f>
        <v>0</v>
      </c>
      <c r="S66" s="89">
        <f t="shared" si="8"/>
        <v>10073020</v>
      </c>
      <c r="U66" s="30">
        <v>8</v>
      </c>
      <c r="V66" s="95">
        <f>SUMPRODUCT(('Monthly Data'!$E$13:$E$9627=$U$58)*('Monthly Data'!$G$13:$G$9627)*('Monthly Data'!$C$13:$C$9627=V$26)*('Monthly Data'!$D$13:$D$9627=$U66))</f>
        <v>7166</v>
      </c>
      <c r="W66" s="95">
        <f>SUMPRODUCT(('Monthly Data'!$E$13:$E$9627=$U$58)*('Monthly Data'!$G$13:$G$9627)*('Monthly Data'!$C$13:$C$9627=W$26)*('Monthly Data'!$D$13:$D$9627=$U66))</f>
        <v>7713</v>
      </c>
      <c r="X66" s="80">
        <f>SUMPRODUCT(('Monthly Data'!$E$13:$E$9627=$U$58)*('Monthly Data'!$G$13:$G$9627)*('Monthly Data'!$C$13:$C$9627=X$26)*('Monthly Data'!$D$13:$D$9627=$U66))</f>
        <v>8722</v>
      </c>
      <c r="Y66" s="80">
        <f>SUMPRODUCT(('Monthly Data'!$E$13:$E$9627=$U$58)*('Monthly Data'!$G$13:$G$9627)*('Monthly Data'!$C$13:$C$9627=Y$26)*('Monthly Data'!$D$13:$D$9627=$U66))</f>
        <v>9125</v>
      </c>
      <c r="Z66" s="80">
        <f>SUMPRODUCT(('Monthly Data'!$E$13:$E$9627=$U$58)*('Monthly Data'!$G$13:$G$9627)*('Monthly Data'!$C$13:$C$9627=Z$26)*('Monthly Data'!$D$13:$D$9627=$U66))</f>
        <v>8996</v>
      </c>
      <c r="AA66" s="80">
        <f>SUMPRODUCT(('Monthly Data'!$E$13:$E$9627=$U$58)*('Monthly Data'!$G$13:$G$9627)*('Monthly Data'!$C$13:$C$9627=AA$26)*('Monthly Data'!$D$13:$D$9627=$U66))</f>
        <v>9749</v>
      </c>
      <c r="AB66" s="80">
        <f>SUMPRODUCT(('Monthly Data'!$E$13:$E$9627=$U$58)*('Monthly Data'!$G$13:$G$9627)*('Monthly Data'!$C$13:$C$9627=AB$26)*('Monthly Data'!$D$13:$D$9627=$U66))</f>
        <v>10487</v>
      </c>
      <c r="AC66" s="80">
        <f>SUMPRODUCT(('Monthly Data'!$E$13:$E$9627=$U$58)*('Monthly Data'!$G$13:$G$9627)*('Monthly Data'!$C$13:$C$9627=AC$26)*('Monthly Data'!$D$13:$D$9627=$U66))</f>
        <v>10384</v>
      </c>
      <c r="AD66" s="80">
        <f>SUMPRODUCT(('Monthly Data'!$E$13:$E$9627=$U$58)*('Monthly Data'!$G$13:$G$9627)*('Monthly Data'!$C$13:$C$9627=AD$26)*('Monthly Data'!$D$13:$D$9627=$U66))</f>
        <v>10374</v>
      </c>
      <c r="AE66" s="80">
        <f>SUMPRODUCT(('Monthly Data'!$E$13:$E$9627=$U$58)*('Monthly Data'!$G$13:$G$9627)*('Monthly Data'!$C$13:$C$9627=AE$26)*('Monthly Data'!$D$13:$D$9627=$U66))</f>
        <v>10114</v>
      </c>
      <c r="AF66" s="80">
        <f>SUMPRODUCT(('Monthly Data'!$E$13:$E$9627=$U$58)*('Monthly Data'!$G$13:$G$9627)*('Monthly Data'!$C$13:$C$9627=AF$26)*('Monthly Data'!$D$13:$D$9627=$U66))</f>
        <v>9703</v>
      </c>
      <c r="AG66" s="80">
        <f>SUMPRODUCT(('Monthly Data'!$E$13:$E$9627=$U$58)*('Monthly Data'!$G$13:$G$9627)*('Monthly Data'!$C$13:$C$9627=AG$26)*('Monthly Data'!$D$13:$D$9627=$U66))</f>
        <v>9786</v>
      </c>
      <c r="AH66" s="80">
        <f>SUMPRODUCT(('Monthly Data'!$E$13:$E$9627=$U$58)*('Monthly Data'!$G$13:$G$9627)*('Monthly Data'!$C$13:$C$9627=AH$26)*('Monthly Data'!$D$13:$D$9627=$U66))</f>
        <v>9876</v>
      </c>
      <c r="AI66" s="80">
        <f>SUMPRODUCT(('Monthly Data'!$E$13:$E$9627=$U$58)*('Monthly Data'!$G$13:$G$9627)*('Monthly Data'!$C$13:$C$9627=AI$26)*('Monthly Data'!$D$13:$D$9627=$U66))</f>
        <v>9600</v>
      </c>
      <c r="AJ66" s="80">
        <f>SUMPRODUCT(('Monthly Data'!$E$13:$E$9627=$U$58)*('Monthly Data'!$G$13:$G$9627)*('Monthly Data'!$C$13:$C$9627=AJ$26)*('Monthly Data'!$D$13:$D$9627=$U66))</f>
        <v>0</v>
      </c>
      <c r="AL66" s="89">
        <f t="shared" si="9"/>
        <v>122195</v>
      </c>
    </row>
    <row r="67" spans="2:38">
      <c r="B67" s="30">
        <v>9</v>
      </c>
      <c r="C67" s="95">
        <f>SUMPRODUCT(('Monthly Data'!$E$13:$E$9627=$B$58)*('Monthly Data'!$F$13:$F$9627)*('Monthly Data'!$C$13:$C$9627=C$26)*('Monthly Data'!$D$13:$D$9627=$B67))</f>
        <v>487197</v>
      </c>
      <c r="D67" s="95">
        <f>SUMPRODUCT(('Monthly Data'!$E$13:$E$9627=$B$58)*('Monthly Data'!$F$13:$F$9627)*('Monthly Data'!$C$13:$C$9627=D$26)*('Monthly Data'!$D$13:$D$9627=$B67))</f>
        <v>507179</v>
      </c>
      <c r="E67" s="80">
        <f>SUMPRODUCT(('Monthly Data'!$E$13:$E$9627=$B$58)*('Monthly Data'!$F$13:$F$9627)*('Monthly Data'!$C$13:$C$9627=E$26)*('Monthly Data'!$D$13:$D$9627=$B67))</f>
        <v>574480</v>
      </c>
      <c r="F67" s="80">
        <f>SUMPRODUCT(('Monthly Data'!$E$13:$E$9627=$B$58)*('Monthly Data'!$F$13:$F$9627)*('Monthly Data'!$C$13:$C$9627=F$26)*('Monthly Data'!$D$13:$D$9627=$B67))</f>
        <v>624850</v>
      </c>
      <c r="G67" s="80">
        <f>SUMPRODUCT(('Monthly Data'!$E$13:$E$9627=$B$58)*('Monthly Data'!$F$13:$F$9627)*('Monthly Data'!$C$13:$C$9627=G$26)*('Monthly Data'!$D$13:$D$9627=$B67))</f>
        <v>686720</v>
      </c>
      <c r="H67" s="80">
        <f>SUMPRODUCT(('Monthly Data'!$E$13:$E$9627=$B$58)*('Monthly Data'!$F$13:$F$9627)*('Monthly Data'!$C$13:$C$9627=H$26)*('Monthly Data'!$D$13:$D$9627=$B67))</f>
        <v>731316</v>
      </c>
      <c r="I67" s="80">
        <f>SUMPRODUCT(('Monthly Data'!$E$13:$E$9627=$B$58)*('Monthly Data'!$F$13:$F$9627)*('Monthly Data'!$C$13:$C$9627=I$26)*('Monthly Data'!$D$13:$D$9627=$B67))</f>
        <v>782626</v>
      </c>
      <c r="J67" s="80">
        <f>SUMPRODUCT(('Monthly Data'!$E$13:$E$9627=$B$58)*('Monthly Data'!$F$13:$F$9627)*('Monthly Data'!$C$13:$C$9627=J$26)*('Monthly Data'!$D$13:$D$9627=$B67))</f>
        <v>796502</v>
      </c>
      <c r="K67" s="80">
        <f>SUMPRODUCT(('Monthly Data'!$E$13:$E$9627=$B$58)*('Monthly Data'!$F$13:$F$9627)*('Monthly Data'!$C$13:$C$9627=K$26)*('Monthly Data'!$D$13:$D$9627=$B67))</f>
        <v>847955</v>
      </c>
      <c r="L67" s="80">
        <f>SUMPRODUCT(('Monthly Data'!$E$13:$E$9627=$B$58)*('Monthly Data'!$F$13:$F$9627)*('Monthly Data'!$C$13:$C$9627=L$26)*('Monthly Data'!$D$13:$D$9627=$B67))</f>
        <v>823315</v>
      </c>
      <c r="M67" s="80">
        <f>SUMPRODUCT(('Monthly Data'!$E$13:$E$9627=$B$58)*('Monthly Data'!$F$13:$F$9627)*('Monthly Data'!$C$13:$C$9627=M$26)*('Monthly Data'!$D$13:$D$9627=$B67))</f>
        <v>854287</v>
      </c>
      <c r="N67" s="80">
        <f>SUMPRODUCT(('Monthly Data'!$E$13:$E$9627=$B$58)*('Monthly Data'!$F$13:$F$9627)*('Monthly Data'!$C$13:$C$9627=N$26)*('Monthly Data'!$D$13:$D$9627=$B67))</f>
        <v>873189</v>
      </c>
      <c r="O67" s="80">
        <f>SUMPRODUCT(('Monthly Data'!$E$13:$E$9627=$B$58)*('Monthly Data'!$F$13:$F$9627)*('Monthly Data'!$C$13:$C$9627=O$26)*('Monthly Data'!$D$13:$D$9627=$B67))</f>
        <v>899900</v>
      </c>
      <c r="P67" s="80">
        <f>SUMPRODUCT(('Monthly Data'!$E$13:$E$9627=$B$58)*('Monthly Data'!$F$13:$F$9627)*('Monthly Data'!$C$13:$C$9627=P$26)*('Monthly Data'!$D$13:$D$9627=$B67))</f>
        <v>880245</v>
      </c>
      <c r="Q67" s="80">
        <f>SUMPRODUCT(('Monthly Data'!$E$13:$E$9627=$B$58)*('Monthly Data'!$F$13:$F$9627)*('Monthly Data'!$C$13:$C$9627=Q$26)*('Monthly Data'!$D$13:$D$9627=$B67))</f>
        <v>0</v>
      </c>
      <c r="S67" s="89">
        <f t="shared" si="8"/>
        <v>9489516</v>
      </c>
      <c r="U67" s="30">
        <v>9</v>
      </c>
      <c r="V67" s="95">
        <f>SUMPRODUCT(('Monthly Data'!$E$13:$E$9627=$U$58)*('Monthly Data'!$G$13:$G$9627)*('Monthly Data'!$C$13:$C$9627=V$26)*('Monthly Data'!$D$13:$D$9627=$U67))</f>
        <v>7117</v>
      </c>
      <c r="W67" s="95">
        <f>SUMPRODUCT(('Monthly Data'!$E$13:$E$9627=$U$58)*('Monthly Data'!$G$13:$G$9627)*('Monthly Data'!$C$13:$C$9627=W$26)*('Monthly Data'!$D$13:$D$9627=$U67))</f>
        <v>7455</v>
      </c>
      <c r="X67" s="80">
        <f>SUMPRODUCT(('Monthly Data'!$E$13:$E$9627=$U$58)*('Monthly Data'!$G$13:$G$9627)*('Monthly Data'!$C$13:$C$9627=X$26)*('Monthly Data'!$D$13:$D$9627=$U67))</f>
        <v>8526</v>
      </c>
      <c r="Y67" s="80">
        <f>SUMPRODUCT(('Monthly Data'!$E$13:$E$9627=$U$58)*('Monthly Data'!$G$13:$G$9627)*('Monthly Data'!$C$13:$C$9627=Y$26)*('Monthly Data'!$D$13:$D$9627=$U67))</f>
        <v>8892</v>
      </c>
      <c r="Z67" s="80">
        <f>SUMPRODUCT(('Monthly Data'!$E$13:$E$9627=$U$58)*('Monthly Data'!$G$13:$G$9627)*('Monthly Data'!$C$13:$C$9627=Z$26)*('Monthly Data'!$D$13:$D$9627=$U67))</f>
        <v>8975</v>
      </c>
      <c r="AA67" s="80">
        <f>SUMPRODUCT(('Monthly Data'!$E$13:$E$9627=$U$58)*('Monthly Data'!$G$13:$G$9627)*('Monthly Data'!$C$13:$C$9627=AA$26)*('Monthly Data'!$D$13:$D$9627=$U67))</f>
        <v>9527</v>
      </c>
      <c r="AB67" s="80">
        <f>SUMPRODUCT(('Monthly Data'!$E$13:$E$9627=$U$58)*('Monthly Data'!$G$13:$G$9627)*('Monthly Data'!$C$13:$C$9627=AB$26)*('Monthly Data'!$D$13:$D$9627=$U67))</f>
        <v>10194</v>
      </c>
      <c r="AC67" s="80">
        <f>SUMPRODUCT(('Monthly Data'!$E$13:$E$9627=$U$58)*('Monthly Data'!$G$13:$G$9627)*('Monthly Data'!$C$13:$C$9627=AC$26)*('Monthly Data'!$D$13:$D$9627=$U67))</f>
        <v>10061</v>
      </c>
      <c r="AD67" s="80">
        <f>SUMPRODUCT(('Monthly Data'!$E$13:$E$9627=$U$58)*('Monthly Data'!$G$13:$G$9627)*('Monthly Data'!$C$13:$C$9627=AD$26)*('Monthly Data'!$D$13:$D$9627=$U67))</f>
        <v>9811</v>
      </c>
      <c r="AE67" s="80">
        <f>SUMPRODUCT(('Monthly Data'!$E$13:$E$9627=$U$58)*('Monthly Data'!$G$13:$G$9627)*('Monthly Data'!$C$13:$C$9627=AE$26)*('Monthly Data'!$D$13:$D$9627=$U67))</f>
        <v>10087</v>
      </c>
      <c r="AF67" s="80">
        <f>SUMPRODUCT(('Monthly Data'!$E$13:$E$9627=$U$58)*('Monthly Data'!$G$13:$G$9627)*('Monthly Data'!$C$13:$C$9627=AF$26)*('Monthly Data'!$D$13:$D$9627=$U67))</f>
        <v>9455</v>
      </c>
      <c r="AG67" s="80">
        <f>SUMPRODUCT(('Monthly Data'!$E$13:$E$9627=$U$58)*('Monthly Data'!$G$13:$G$9627)*('Monthly Data'!$C$13:$C$9627=AG$26)*('Monthly Data'!$D$13:$D$9627=$U67))</f>
        <v>9546</v>
      </c>
      <c r="AH67" s="80">
        <f>SUMPRODUCT(('Monthly Data'!$E$13:$E$9627=$U$58)*('Monthly Data'!$G$13:$G$9627)*('Monthly Data'!$C$13:$C$9627=AH$26)*('Monthly Data'!$D$13:$D$9627=$U67))</f>
        <v>9612</v>
      </c>
      <c r="AI67" s="80">
        <f>SUMPRODUCT(('Monthly Data'!$E$13:$E$9627=$U$58)*('Monthly Data'!$G$13:$G$9627)*('Monthly Data'!$C$13:$C$9627=AI$26)*('Monthly Data'!$D$13:$D$9627=$U67))</f>
        <v>9393</v>
      </c>
      <c r="AJ67" s="80">
        <f>SUMPRODUCT(('Monthly Data'!$E$13:$E$9627=$U$58)*('Monthly Data'!$G$13:$G$9627)*('Monthly Data'!$C$13:$C$9627=AJ$26)*('Monthly Data'!$D$13:$D$9627=$U67))</f>
        <v>0</v>
      </c>
      <c r="AL67" s="89">
        <f t="shared" si="9"/>
        <v>119258</v>
      </c>
    </row>
    <row r="68" spans="2:38">
      <c r="B68" s="30">
        <v>10</v>
      </c>
      <c r="C68" s="95">
        <f>SUMPRODUCT(('Monthly Data'!$E$13:$E$9627=$B$58)*('Monthly Data'!$F$13:$F$9627)*('Monthly Data'!$C$13:$C$9627=C$26)*('Monthly Data'!$D$13:$D$9627=$B68))</f>
        <v>474661</v>
      </c>
      <c r="D68" s="95">
        <f>SUMPRODUCT(('Monthly Data'!$E$13:$E$9627=$B$58)*('Monthly Data'!$F$13:$F$9627)*('Monthly Data'!$C$13:$C$9627=D$26)*('Monthly Data'!$D$13:$D$9627=$B68))</f>
        <v>494180</v>
      </c>
      <c r="E68" s="80">
        <f>SUMPRODUCT(('Monthly Data'!$E$13:$E$9627=$B$58)*('Monthly Data'!$F$13:$F$9627)*('Monthly Data'!$C$13:$C$9627=E$26)*('Monthly Data'!$D$13:$D$9627=$B68))</f>
        <v>560312</v>
      </c>
      <c r="F68" s="80">
        <f>SUMPRODUCT(('Monthly Data'!$E$13:$E$9627=$B$58)*('Monthly Data'!$F$13:$F$9627)*('Monthly Data'!$C$13:$C$9627=F$26)*('Monthly Data'!$D$13:$D$9627=$B68))</f>
        <v>630982</v>
      </c>
      <c r="G68" s="80">
        <f>SUMPRODUCT(('Monthly Data'!$E$13:$E$9627=$B$58)*('Monthly Data'!$F$13:$F$9627)*('Monthly Data'!$C$13:$C$9627=G$26)*('Monthly Data'!$D$13:$D$9627=$B68))</f>
        <v>679987</v>
      </c>
      <c r="H68" s="80">
        <f>SUMPRODUCT(('Monthly Data'!$E$13:$E$9627=$B$58)*('Monthly Data'!$F$13:$F$9627)*('Monthly Data'!$C$13:$C$9627=H$26)*('Monthly Data'!$D$13:$D$9627=$B68))</f>
        <v>727954</v>
      </c>
      <c r="I68" s="80">
        <f>SUMPRODUCT(('Monthly Data'!$E$13:$E$9627=$B$58)*('Monthly Data'!$F$13:$F$9627)*('Monthly Data'!$C$13:$C$9627=I$26)*('Monthly Data'!$D$13:$D$9627=$B68))</f>
        <v>765582</v>
      </c>
      <c r="J68" s="80">
        <f>SUMPRODUCT(('Monthly Data'!$E$13:$E$9627=$B$58)*('Monthly Data'!$F$13:$F$9627)*('Monthly Data'!$C$13:$C$9627=J$26)*('Monthly Data'!$D$13:$D$9627=$B68))</f>
        <v>780226</v>
      </c>
      <c r="K68" s="80">
        <f>SUMPRODUCT(('Monthly Data'!$E$13:$E$9627=$B$58)*('Monthly Data'!$F$13:$F$9627)*('Monthly Data'!$C$13:$C$9627=K$26)*('Monthly Data'!$D$13:$D$9627=$B68))</f>
        <v>820155</v>
      </c>
      <c r="L68" s="80">
        <f>SUMPRODUCT(('Monthly Data'!$E$13:$E$9627=$B$58)*('Monthly Data'!$F$13:$F$9627)*('Monthly Data'!$C$13:$C$9627=L$26)*('Monthly Data'!$D$13:$D$9627=$B68))</f>
        <v>794137</v>
      </c>
      <c r="M68" s="80">
        <f>SUMPRODUCT(('Monthly Data'!$E$13:$E$9627=$B$58)*('Monthly Data'!$F$13:$F$9627)*('Monthly Data'!$C$13:$C$9627=M$26)*('Monthly Data'!$D$13:$D$9627=$B68))</f>
        <v>824151</v>
      </c>
      <c r="N68" s="80">
        <f>SUMPRODUCT(('Monthly Data'!$E$13:$E$9627=$B$58)*('Monthly Data'!$F$13:$F$9627)*('Monthly Data'!$C$13:$C$9627=N$26)*('Monthly Data'!$D$13:$D$9627=$B68))</f>
        <v>853539</v>
      </c>
      <c r="O68" s="80">
        <f>SUMPRODUCT(('Monthly Data'!$E$13:$E$9627=$B$58)*('Monthly Data'!$F$13:$F$9627)*('Monthly Data'!$C$13:$C$9627=O$26)*('Monthly Data'!$D$13:$D$9627=$B68))</f>
        <v>868563</v>
      </c>
      <c r="P68" s="80">
        <f>SUMPRODUCT(('Monthly Data'!$E$13:$E$9627=$B$58)*('Monthly Data'!$F$13:$F$9627)*('Monthly Data'!$C$13:$C$9627=P$26)*('Monthly Data'!$D$13:$D$9627=$B68))</f>
        <v>844090</v>
      </c>
      <c r="Q68" s="80">
        <f>SUMPRODUCT(('Monthly Data'!$E$13:$E$9627=$B$58)*('Monthly Data'!$F$13:$F$9627)*('Monthly Data'!$C$13:$C$9627=Q$26)*('Monthly Data'!$D$13:$D$9627=$B68))</f>
        <v>0</v>
      </c>
      <c r="S68" s="89">
        <f t="shared" si="8"/>
        <v>9274429</v>
      </c>
      <c r="U68" s="30">
        <v>10</v>
      </c>
      <c r="V68" s="95">
        <f>SUMPRODUCT(('Monthly Data'!$E$13:$E$9627=$U$58)*('Monthly Data'!$G$13:$G$9627)*('Monthly Data'!$C$13:$C$9627=V$26)*('Monthly Data'!$D$13:$D$9627=$U68))</f>
        <v>7100</v>
      </c>
      <c r="W68" s="95">
        <f>SUMPRODUCT(('Monthly Data'!$E$13:$E$9627=$U$58)*('Monthly Data'!$G$13:$G$9627)*('Monthly Data'!$C$13:$C$9627=W$26)*('Monthly Data'!$D$13:$D$9627=$U68))</f>
        <v>7723</v>
      </c>
      <c r="X68" s="80">
        <f>SUMPRODUCT(('Monthly Data'!$E$13:$E$9627=$U$58)*('Monthly Data'!$G$13:$G$9627)*('Monthly Data'!$C$13:$C$9627=X$26)*('Monthly Data'!$D$13:$D$9627=$U68))</f>
        <v>9275</v>
      </c>
      <c r="Y68" s="80">
        <f>SUMPRODUCT(('Monthly Data'!$E$13:$E$9627=$U$58)*('Monthly Data'!$G$13:$G$9627)*('Monthly Data'!$C$13:$C$9627=Y$26)*('Monthly Data'!$D$13:$D$9627=$U68))</f>
        <v>9266</v>
      </c>
      <c r="Z68" s="80">
        <f>SUMPRODUCT(('Monthly Data'!$E$13:$E$9627=$U$58)*('Monthly Data'!$G$13:$G$9627)*('Monthly Data'!$C$13:$C$9627=Z$26)*('Monthly Data'!$D$13:$D$9627=$U68))</f>
        <v>9301</v>
      </c>
      <c r="AA68" s="80">
        <f>SUMPRODUCT(('Monthly Data'!$E$13:$E$9627=$U$58)*('Monthly Data'!$G$13:$G$9627)*('Monthly Data'!$C$13:$C$9627=AA$26)*('Monthly Data'!$D$13:$D$9627=$U68))</f>
        <v>9603</v>
      </c>
      <c r="AB68" s="80">
        <f>SUMPRODUCT(('Monthly Data'!$E$13:$E$9627=$U$58)*('Monthly Data'!$G$13:$G$9627)*('Monthly Data'!$C$13:$C$9627=AB$26)*('Monthly Data'!$D$13:$D$9627=$U68))</f>
        <v>10090</v>
      </c>
      <c r="AC68" s="80">
        <f>SUMPRODUCT(('Monthly Data'!$E$13:$E$9627=$U$58)*('Monthly Data'!$G$13:$G$9627)*('Monthly Data'!$C$13:$C$9627=AC$26)*('Monthly Data'!$D$13:$D$9627=$U68))</f>
        <v>10276</v>
      </c>
      <c r="AD68" s="80">
        <f>SUMPRODUCT(('Monthly Data'!$E$13:$E$9627=$U$58)*('Monthly Data'!$G$13:$G$9627)*('Monthly Data'!$C$13:$C$9627=AD$26)*('Monthly Data'!$D$13:$D$9627=$U68))</f>
        <v>10247</v>
      </c>
      <c r="AE68" s="80">
        <f>SUMPRODUCT(('Monthly Data'!$E$13:$E$9627=$U$58)*('Monthly Data'!$G$13:$G$9627)*('Monthly Data'!$C$13:$C$9627=AE$26)*('Monthly Data'!$D$13:$D$9627=$U68))</f>
        <v>9965</v>
      </c>
      <c r="AF68" s="80">
        <f>SUMPRODUCT(('Monthly Data'!$E$13:$E$9627=$U$58)*('Monthly Data'!$G$13:$G$9627)*('Monthly Data'!$C$13:$C$9627=AF$26)*('Monthly Data'!$D$13:$D$9627=$U68))</f>
        <v>9263</v>
      </c>
      <c r="AG68" s="80">
        <f>SUMPRODUCT(('Monthly Data'!$E$13:$E$9627=$U$58)*('Monthly Data'!$G$13:$G$9627)*('Monthly Data'!$C$13:$C$9627=AG$26)*('Monthly Data'!$D$13:$D$9627=$U68))</f>
        <v>9510</v>
      </c>
      <c r="AH68" s="80">
        <f>SUMPRODUCT(('Monthly Data'!$E$13:$E$9627=$U$58)*('Monthly Data'!$G$13:$G$9627)*('Monthly Data'!$C$13:$C$9627=AH$26)*('Monthly Data'!$D$13:$D$9627=$U68))</f>
        <v>9489</v>
      </c>
      <c r="AI68" s="80">
        <f>SUMPRODUCT(('Monthly Data'!$E$13:$E$9627=$U$58)*('Monthly Data'!$G$13:$G$9627)*('Monthly Data'!$C$13:$C$9627=AI$26)*('Monthly Data'!$D$13:$D$9627=$U68))</f>
        <v>9329</v>
      </c>
      <c r="AJ68" s="80">
        <f>SUMPRODUCT(('Monthly Data'!$E$13:$E$9627=$U$58)*('Monthly Data'!$G$13:$G$9627)*('Monthly Data'!$C$13:$C$9627=AJ$26)*('Monthly Data'!$D$13:$D$9627=$U68))</f>
        <v>0</v>
      </c>
      <c r="AL68" s="89">
        <f t="shared" si="9"/>
        <v>121108</v>
      </c>
    </row>
    <row r="69" spans="2:38">
      <c r="B69" s="30">
        <v>11</v>
      </c>
      <c r="C69" s="95">
        <f>SUMPRODUCT(('Monthly Data'!$E$13:$E$9627=$B$58)*('Monthly Data'!$F$13:$F$9627)*('Monthly Data'!$C$13:$C$9627=C$26)*('Monthly Data'!$D$13:$D$9627=$B69))</f>
        <v>406273</v>
      </c>
      <c r="D69" s="95">
        <f>SUMPRODUCT(('Monthly Data'!$E$13:$E$9627=$B$58)*('Monthly Data'!$F$13:$F$9627)*('Monthly Data'!$C$13:$C$9627=D$26)*('Monthly Data'!$D$13:$D$9627=$B69))</f>
        <v>453976</v>
      </c>
      <c r="E69" s="80">
        <f>SUMPRODUCT(('Monthly Data'!$E$13:$E$9627=$B$58)*('Monthly Data'!$F$13:$F$9627)*('Monthly Data'!$C$13:$C$9627=E$26)*('Monthly Data'!$D$13:$D$9627=$B69))</f>
        <v>490722</v>
      </c>
      <c r="F69" s="80">
        <f>SUMPRODUCT(('Monthly Data'!$E$13:$E$9627=$B$58)*('Monthly Data'!$F$13:$F$9627)*('Monthly Data'!$C$13:$C$9627=F$26)*('Monthly Data'!$D$13:$D$9627=$B69))</f>
        <v>556583</v>
      </c>
      <c r="G69" s="80">
        <f>SUMPRODUCT(('Monthly Data'!$E$13:$E$9627=$B$58)*('Monthly Data'!$F$13:$F$9627)*('Monthly Data'!$C$13:$C$9627=G$26)*('Monthly Data'!$D$13:$D$9627=$B69))</f>
        <v>589738</v>
      </c>
      <c r="H69" s="80">
        <f>SUMPRODUCT(('Monthly Data'!$E$13:$E$9627=$B$58)*('Monthly Data'!$F$13:$F$9627)*('Monthly Data'!$C$13:$C$9627=H$26)*('Monthly Data'!$D$13:$D$9627=$B69))</f>
        <v>615270</v>
      </c>
      <c r="I69" s="80">
        <f>SUMPRODUCT(('Monthly Data'!$E$13:$E$9627=$B$58)*('Monthly Data'!$F$13:$F$9627)*('Monthly Data'!$C$13:$C$9627=I$26)*('Monthly Data'!$D$13:$D$9627=$B69))</f>
        <v>634559</v>
      </c>
      <c r="J69" s="80">
        <f>SUMPRODUCT(('Monthly Data'!$E$13:$E$9627=$B$58)*('Monthly Data'!$F$13:$F$9627)*('Monthly Data'!$C$13:$C$9627=J$26)*('Monthly Data'!$D$13:$D$9627=$B69))</f>
        <v>663692</v>
      </c>
      <c r="K69" s="80">
        <f>SUMPRODUCT(('Monthly Data'!$E$13:$E$9627=$B$58)*('Monthly Data'!$F$13:$F$9627)*('Monthly Data'!$C$13:$C$9627=K$26)*('Monthly Data'!$D$13:$D$9627=$B69))</f>
        <v>693008</v>
      </c>
      <c r="L69" s="80">
        <f>SUMPRODUCT(('Monthly Data'!$E$13:$E$9627=$B$58)*('Monthly Data'!$F$13:$F$9627)*('Monthly Data'!$C$13:$C$9627=L$26)*('Monthly Data'!$D$13:$D$9627=$B69))</f>
        <v>638718</v>
      </c>
      <c r="M69" s="80">
        <f>SUMPRODUCT(('Monthly Data'!$E$13:$E$9627=$B$58)*('Monthly Data'!$F$13:$F$9627)*('Monthly Data'!$C$13:$C$9627=M$26)*('Monthly Data'!$D$13:$D$9627=$B69))</f>
        <v>647167</v>
      </c>
      <c r="N69" s="80">
        <f>SUMPRODUCT(('Monthly Data'!$E$13:$E$9627=$B$58)*('Monthly Data'!$F$13:$F$9627)*('Monthly Data'!$C$13:$C$9627=N$26)*('Monthly Data'!$D$13:$D$9627=$B69))</f>
        <v>621689</v>
      </c>
      <c r="O69" s="80">
        <f>SUMPRODUCT(('Monthly Data'!$E$13:$E$9627=$B$58)*('Monthly Data'!$F$13:$F$9627)*('Monthly Data'!$C$13:$C$9627=O$26)*('Monthly Data'!$D$13:$D$9627=$B69))</f>
        <v>642111</v>
      </c>
      <c r="P69" s="80">
        <f>SUMPRODUCT(('Monthly Data'!$E$13:$E$9627=$B$58)*('Monthly Data'!$F$13:$F$9627)*('Monthly Data'!$C$13:$C$9627=P$26)*('Monthly Data'!$D$13:$D$9627=$B69))</f>
        <v>631090</v>
      </c>
      <c r="Q69" s="80">
        <f>SUMPRODUCT(('Monthly Data'!$E$13:$E$9627=$B$58)*('Monthly Data'!$F$13:$F$9627)*('Monthly Data'!$C$13:$C$9627=Q$26)*('Monthly Data'!$D$13:$D$9627=$B69))</f>
        <v>0</v>
      </c>
      <c r="S69" s="89">
        <f t="shared" si="8"/>
        <v>7653506</v>
      </c>
      <c r="U69" s="30">
        <v>11</v>
      </c>
      <c r="V69" s="95">
        <f>SUMPRODUCT(('Monthly Data'!$E$13:$E$9627=$U$58)*('Monthly Data'!$G$13:$G$9627)*('Monthly Data'!$C$13:$C$9627=V$26)*('Monthly Data'!$D$13:$D$9627=$U69))</f>
        <v>6896</v>
      </c>
      <c r="W69" s="95">
        <f>SUMPRODUCT(('Monthly Data'!$E$13:$E$9627=$U$58)*('Monthly Data'!$G$13:$G$9627)*('Monthly Data'!$C$13:$C$9627=W$26)*('Monthly Data'!$D$13:$D$9627=$U69))</f>
        <v>7590</v>
      </c>
      <c r="X69" s="80">
        <f>SUMPRODUCT(('Monthly Data'!$E$13:$E$9627=$U$58)*('Monthly Data'!$G$13:$G$9627)*('Monthly Data'!$C$13:$C$9627=X$26)*('Monthly Data'!$D$13:$D$9627=$U69))</f>
        <v>8463</v>
      </c>
      <c r="Y69" s="80">
        <f>SUMPRODUCT(('Monthly Data'!$E$13:$E$9627=$U$58)*('Monthly Data'!$G$13:$G$9627)*('Monthly Data'!$C$13:$C$9627=Y$26)*('Monthly Data'!$D$13:$D$9627=$U69))</f>
        <v>8646</v>
      </c>
      <c r="Z69" s="80">
        <f>SUMPRODUCT(('Monthly Data'!$E$13:$E$9627=$U$58)*('Monthly Data'!$G$13:$G$9627)*('Monthly Data'!$C$13:$C$9627=Z$26)*('Monthly Data'!$D$13:$D$9627=$U69))</f>
        <v>8881</v>
      </c>
      <c r="AA69" s="80">
        <f>SUMPRODUCT(('Monthly Data'!$E$13:$E$9627=$U$58)*('Monthly Data'!$G$13:$G$9627)*('Monthly Data'!$C$13:$C$9627=AA$26)*('Monthly Data'!$D$13:$D$9627=$U69))</f>
        <v>9054</v>
      </c>
      <c r="AB69" s="80">
        <f>SUMPRODUCT(('Monthly Data'!$E$13:$E$9627=$U$58)*('Monthly Data'!$G$13:$G$9627)*('Monthly Data'!$C$13:$C$9627=AB$26)*('Monthly Data'!$D$13:$D$9627=$U69))</f>
        <v>9272</v>
      </c>
      <c r="AC69" s="80">
        <f>SUMPRODUCT(('Monthly Data'!$E$13:$E$9627=$U$58)*('Monthly Data'!$G$13:$G$9627)*('Monthly Data'!$C$13:$C$9627=AC$26)*('Monthly Data'!$D$13:$D$9627=$U69))</f>
        <v>9550</v>
      </c>
      <c r="AD69" s="80">
        <f>SUMPRODUCT(('Monthly Data'!$E$13:$E$9627=$U$58)*('Monthly Data'!$G$13:$G$9627)*('Monthly Data'!$C$13:$C$9627=AD$26)*('Monthly Data'!$D$13:$D$9627=$U69))</f>
        <v>9433</v>
      </c>
      <c r="AE69" s="80">
        <f>SUMPRODUCT(('Monthly Data'!$E$13:$E$9627=$U$58)*('Monthly Data'!$G$13:$G$9627)*('Monthly Data'!$C$13:$C$9627=AE$26)*('Monthly Data'!$D$13:$D$9627=$U69))</f>
        <v>8408</v>
      </c>
      <c r="AF69" s="80">
        <f>SUMPRODUCT(('Monthly Data'!$E$13:$E$9627=$U$58)*('Monthly Data'!$G$13:$G$9627)*('Monthly Data'!$C$13:$C$9627=AF$26)*('Monthly Data'!$D$13:$D$9627=$U69))</f>
        <v>7937</v>
      </c>
      <c r="AG69" s="80">
        <f>SUMPRODUCT(('Monthly Data'!$E$13:$E$9627=$U$58)*('Monthly Data'!$G$13:$G$9627)*('Monthly Data'!$C$13:$C$9627=AG$26)*('Monthly Data'!$D$13:$D$9627=$U69))</f>
        <v>7520</v>
      </c>
      <c r="AH69" s="80">
        <f>SUMPRODUCT(('Monthly Data'!$E$13:$E$9627=$U$58)*('Monthly Data'!$G$13:$G$9627)*('Monthly Data'!$C$13:$C$9627=AH$26)*('Monthly Data'!$D$13:$D$9627=$U69))</f>
        <v>7657</v>
      </c>
      <c r="AI69" s="80">
        <f>SUMPRODUCT(('Monthly Data'!$E$13:$E$9627=$U$58)*('Monthly Data'!$G$13:$G$9627)*('Monthly Data'!$C$13:$C$9627=AI$26)*('Monthly Data'!$D$13:$D$9627=$U69))</f>
        <v>7331</v>
      </c>
      <c r="AJ69" s="80">
        <f>SUMPRODUCT(('Monthly Data'!$E$13:$E$9627=$U$58)*('Monthly Data'!$G$13:$G$9627)*('Monthly Data'!$C$13:$C$9627=AJ$26)*('Monthly Data'!$D$13:$D$9627=$U69))</f>
        <v>0</v>
      </c>
      <c r="AL69" s="89">
        <f t="shared" si="9"/>
        <v>109307</v>
      </c>
    </row>
    <row r="70" spans="2:38">
      <c r="B70" s="30">
        <v>12</v>
      </c>
      <c r="C70" s="95">
        <f>SUMPRODUCT(('Monthly Data'!$E$13:$E$9627=$B$58)*('Monthly Data'!$F$13:$F$9627)*('Monthly Data'!$C$13:$C$9627=C$26)*('Monthly Data'!$D$13:$D$9627=$B70))</f>
        <v>344842</v>
      </c>
      <c r="D70" s="95">
        <f>SUMPRODUCT(('Monthly Data'!$E$13:$E$9627=$B$58)*('Monthly Data'!$F$13:$F$9627)*('Monthly Data'!$C$13:$C$9627=D$26)*('Monthly Data'!$D$13:$D$9627=$B70))</f>
        <v>398656</v>
      </c>
      <c r="E70" s="80">
        <f>SUMPRODUCT(('Monthly Data'!$E$13:$E$9627=$B$58)*('Monthly Data'!$F$13:$F$9627)*('Monthly Data'!$C$13:$C$9627=E$26)*('Monthly Data'!$D$13:$D$9627=$B70))</f>
        <v>433429</v>
      </c>
      <c r="F70" s="80">
        <f>SUMPRODUCT(('Monthly Data'!$E$13:$E$9627=$B$58)*('Monthly Data'!$F$13:$F$9627)*('Monthly Data'!$C$13:$C$9627=F$26)*('Monthly Data'!$D$13:$D$9627=$B70))</f>
        <v>513455</v>
      </c>
      <c r="G70" s="80">
        <f>SUMPRODUCT(('Monthly Data'!$E$13:$E$9627=$B$58)*('Monthly Data'!$F$13:$F$9627)*('Monthly Data'!$C$13:$C$9627=G$26)*('Monthly Data'!$D$13:$D$9627=$B70))</f>
        <v>540819</v>
      </c>
      <c r="H70" s="80">
        <f>SUMPRODUCT(('Monthly Data'!$E$13:$E$9627=$B$58)*('Monthly Data'!$F$13:$F$9627)*('Monthly Data'!$C$13:$C$9627=H$26)*('Monthly Data'!$D$13:$D$9627=$B70))</f>
        <v>578472</v>
      </c>
      <c r="I70" s="80">
        <f>SUMPRODUCT(('Monthly Data'!$E$13:$E$9627=$B$58)*('Monthly Data'!$F$13:$F$9627)*('Monthly Data'!$C$13:$C$9627=I$26)*('Monthly Data'!$D$13:$D$9627=$B70))</f>
        <v>598580</v>
      </c>
      <c r="J70" s="80">
        <f>SUMPRODUCT(('Monthly Data'!$E$13:$E$9627=$B$58)*('Monthly Data'!$F$13:$F$9627)*('Monthly Data'!$C$13:$C$9627=J$26)*('Monthly Data'!$D$13:$D$9627=$B70))</f>
        <v>599331</v>
      </c>
      <c r="K70" s="80">
        <f>SUMPRODUCT(('Monthly Data'!$E$13:$E$9627=$B$58)*('Monthly Data'!$F$13:$F$9627)*('Monthly Data'!$C$13:$C$9627=K$26)*('Monthly Data'!$D$13:$D$9627=$B70))</f>
        <v>622357</v>
      </c>
      <c r="L70" s="80">
        <f>SUMPRODUCT(('Monthly Data'!$E$13:$E$9627=$B$58)*('Monthly Data'!$F$13:$F$9627)*('Monthly Data'!$C$13:$C$9627=L$26)*('Monthly Data'!$D$13:$D$9627=$B70))</f>
        <v>606818</v>
      </c>
      <c r="M70" s="80">
        <f>SUMPRODUCT(('Monthly Data'!$E$13:$E$9627=$B$58)*('Monthly Data'!$F$13:$F$9627)*('Monthly Data'!$C$13:$C$9627=M$26)*('Monthly Data'!$D$13:$D$9627=$B70))</f>
        <v>579261</v>
      </c>
      <c r="N70" s="80">
        <f>SUMPRODUCT(('Monthly Data'!$E$13:$E$9627=$B$58)*('Monthly Data'!$F$13:$F$9627)*('Monthly Data'!$C$13:$C$9627=N$26)*('Monthly Data'!$D$13:$D$9627=$B70))</f>
        <v>472534</v>
      </c>
      <c r="O70" s="80">
        <f>SUMPRODUCT(('Monthly Data'!$E$13:$E$9627=$B$58)*('Monthly Data'!$F$13:$F$9627)*('Monthly Data'!$C$13:$C$9627=O$26)*('Monthly Data'!$D$13:$D$9627=$B70))</f>
        <v>591301</v>
      </c>
      <c r="P70" s="80">
        <f>SUMPRODUCT(('Monthly Data'!$E$13:$E$9627=$B$58)*('Monthly Data'!$F$13:$F$9627)*('Monthly Data'!$C$13:$C$9627=P$26)*('Monthly Data'!$D$13:$D$9627=$B70))</f>
        <v>580797</v>
      </c>
      <c r="Q70" s="80">
        <f>SUMPRODUCT(('Monthly Data'!$E$13:$E$9627=$B$58)*('Monthly Data'!$F$13:$F$9627)*('Monthly Data'!$C$13:$C$9627=Q$26)*('Monthly Data'!$D$13:$D$9627=$B70))</f>
        <v>0</v>
      </c>
      <c r="S70" s="89">
        <f t="shared" si="8"/>
        <v>6879855</v>
      </c>
      <c r="U70" s="30">
        <v>12</v>
      </c>
      <c r="V70" s="95">
        <f>SUMPRODUCT(('Monthly Data'!$E$13:$E$9627=$U$58)*('Monthly Data'!$G$13:$G$9627)*('Monthly Data'!$C$13:$C$9627=V$26)*('Monthly Data'!$D$13:$D$9627=$U70))</f>
        <v>6190</v>
      </c>
      <c r="W70" s="95">
        <f>SUMPRODUCT(('Monthly Data'!$E$13:$E$9627=$U$58)*('Monthly Data'!$G$13:$G$9627)*('Monthly Data'!$C$13:$C$9627=W$26)*('Monthly Data'!$D$13:$D$9627=$U70))</f>
        <v>6618</v>
      </c>
      <c r="X70" s="80">
        <f>SUMPRODUCT(('Monthly Data'!$E$13:$E$9627=$U$58)*('Monthly Data'!$G$13:$G$9627)*('Monthly Data'!$C$13:$C$9627=X$26)*('Monthly Data'!$D$13:$D$9627=$U70))</f>
        <v>7249</v>
      </c>
      <c r="Y70" s="80">
        <f>SUMPRODUCT(('Monthly Data'!$E$13:$E$9627=$U$58)*('Monthly Data'!$G$13:$G$9627)*('Monthly Data'!$C$13:$C$9627=Y$26)*('Monthly Data'!$D$13:$D$9627=$U70))</f>
        <v>7869</v>
      </c>
      <c r="Z70" s="80">
        <f>SUMPRODUCT(('Monthly Data'!$E$13:$E$9627=$U$58)*('Monthly Data'!$G$13:$G$9627)*('Monthly Data'!$C$13:$C$9627=Z$26)*('Monthly Data'!$D$13:$D$9627=$U70))</f>
        <v>8252</v>
      </c>
      <c r="AA70" s="80">
        <f>SUMPRODUCT(('Monthly Data'!$E$13:$E$9627=$U$58)*('Monthly Data'!$G$13:$G$9627)*('Monthly Data'!$C$13:$C$9627=AA$26)*('Monthly Data'!$D$13:$D$9627=$U70))</f>
        <v>8429</v>
      </c>
      <c r="AB70" s="80">
        <f>SUMPRODUCT(('Monthly Data'!$E$13:$E$9627=$U$58)*('Monthly Data'!$G$13:$G$9627)*('Monthly Data'!$C$13:$C$9627=AB$26)*('Monthly Data'!$D$13:$D$9627=$U70))</f>
        <v>8444</v>
      </c>
      <c r="AC70" s="80">
        <f>SUMPRODUCT(('Monthly Data'!$E$13:$E$9627=$U$58)*('Monthly Data'!$G$13:$G$9627)*('Monthly Data'!$C$13:$C$9627=AC$26)*('Monthly Data'!$D$13:$D$9627=$U70))</f>
        <v>8327</v>
      </c>
      <c r="AD70" s="80">
        <f>SUMPRODUCT(('Monthly Data'!$E$13:$E$9627=$U$58)*('Monthly Data'!$G$13:$G$9627)*('Monthly Data'!$C$13:$C$9627=AD$26)*('Monthly Data'!$D$13:$D$9627=$U70))</f>
        <v>8308</v>
      </c>
      <c r="AE70" s="80">
        <f>SUMPRODUCT(('Monthly Data'!$E$13:$E$9627=$U$58)*('Monthly Data'!$G$13:$G$9627)*('Monthly Data'!$C$13:$C$9627=AE$26)*('Monthly Data'!$D$13:$D$9627=$U70))</f>
        <v>8055</v>
      </c>
      <c r="AF70" s="80">
        <f>SUMPRODUCT(('Monthly Data'!$E$13:$E$9627=$U$58)*('Monthly Data'!$G$13:$G$9627)*('Monthly Data'!$C$13:$C$9627=AF$26)*('Monthly Data'!$D$13:$D$9627=$U70))</f>
        <v>7196</v>
      </c>
      <c r="AG70" s="80">
        <f>SUMPRODUCT(('Monthly Data'!$E$13:$E$9627=$U$58)*('Monthly Data'!$G$13:$G$9627)*('Monthly Data'!$C$13:$C$9627=AG$26)*('Monthly Data'!$D$13:$D$9627=$U70))</f>
        <v>6151</v>
      </c>
      <c r="AH70" s="80">
        <f>SUMPRODUCT(('Monthly Data'!$E$13:$E$9627=$U$58)*('Monthly Data'!$G$13:$G$9627)*('Monthly Data'!$C$13:$C$9627=AH$26)*('Monthly Data'!$D$13:$D$9627=$U70))</f>
        <v>7482</v>
      </c>
      <c r="AI70" s="80">
        <f>SUMPRODUCT(('Monthly Data'!$E$13:$E$9627=$U$58)*('Monthly Data'!$G$13:$G$9627)*('Monthly Data'!$C$13:$C$9627=AI$26)*('Monthly Data'!$D$13:$D$9627=$U70))</f>
        <v>6641</v>
      </c>
      <c r="AJ70" s="80">
        <f>SUMPRODUCT(('Monthly Data'!$E$13:$E$9627=$U$58)*('Monthly Data'!$G$13:$G$9627)*('Monthly Data'!$C$13:$C$9627=AJ$26)*('Monthly Data'!$D$13:$D$9627=$U70))</f>
        <v>0</v>
      </c>
      <c r="AL70" s="89">
        <f t="shared" si="9"/>
        <v>98570</v>
      </c>
    </row>
    <row r="71" spans="2:38">
      <c r="D71" s="90"/>
      <c r="S71" s="83"/>
      <c r="W71" s="90"/>
      <c r="AL71" s="83"/>
    </row>
    <row r="72" spans="2:38">
      <c r="B72" s="30" t="s">
        <v>106</v>
      </c>
      <c r="C72" s="97">
        <f>SUM(C59:C70)</f>
        <v>5084464</v>
      </c>
      <c r="D72" s="97">
        <f t="shared" ref="D72:O72" si="10">SUM(D59:D70)</f>
        <v>5493513</v>
      </c>
      <c r="E72" s="89">
        <f t="shared" si="10"/>
        <v>6038341</v>
      </c>
      <c r="F72" s="89">
        <f t="shared" si="10"/>
        <v>6911152</v>
      </c>
      <c r="G72" s="89">
        <f t="shared" si="10"/>
        <v>7476357</v>
      </c>
      <c r="H72" s="89">
        <f t="shared" si="10"/>
        <v>7992453</v>
      </c>
      <c r="I72" s="89">
        <f t="shared" si="10"/>
        <v>8448604</v>
      </c>
      <c r="J72" s="89">
        <f t="shared" si="10"/>
        <v>8606651</v>
      </c>
      <c r="K72" s="89">
        <f t="shared" si="10"/>
        <v>9037200</v>
      </c>
      <c r="L72" s="89">
        <f t="shared" si="10"/>
        <v>8992178</v>
      </c>
      <c r="M72" s="89">
        <f t="shared" si="10"/>
        <v>9043452</v>
      </c>
      <c r="N72" s="89">
        <f t="shared" si="10"/>
        <v>8594449</v>
      </c>
      <c r="O72" s="89">
        <f t="shared" si="10"/>
        <v>9383695</v>
      </c>
      <c r="P72" s="89">
        <f>SUM(P59:P70)</f>
        <v>9194239</v>
      </c>
      <c r="Q72" s="89">
        <f>SUM(Q59:Q70)</f>
        <v>2590615</v>
      </c>
      <c r="S72" s="89">
        <f>SUM(D59:P70)</f>
        <v>105212284</v>
      </c>
      <c r="U72" s="30" t="s">
        <v>106</v>
      </c>
      <c r="V72" s="97">
        <f>SUM(V59:V70)</f>
        <v>80508</v>
      </c>
      <c r="W72" s="97">
        <f t="shared" ref="W72:AH72" si="11">SUM(W59:W70)</f>
        <v>86150</v>
      </c>
      <c r="X72" s="89">
        <f t="shared" si="11"/>
        <v>98228</v>
      </c>
      <c r="Y72" s="89">
        <f t="shared" si="11"/>
        <v>104839</v>
      </c>
      <c r="Z72" s="89">
        <f t="shared" si="11"/>
        <v>105179</v>
      </c>
      <c r="AA72" s="89">
        <f t="shared" si="11"/>
        <v>111768</v>
      </c>
      <c r="AB72" s="89">
        <f t="shared" si="11"/>
        <v>115959</v>
      </c>
      <c r="AC72" s="89">
        <f t="shared" si="11"/>
        <v>115846</v>
      </c>
      <c r="AD72" s="89">
        <f t="shared" si="11"/>
        <v>115190</v>
      </c>
      <c r="AE72" s="89">
        <f t="shared" si="11"/>
        <v>113535</v>
      </c>
      <c r="AF72" s="89">
        <f t="shared" si="11"/>
        <v>106477</v>
      </c>
      <c r="AG72" s="89">
        <f t="shared" si="11"/>
        <v>100584</v>
      </c>
      <c r="AH72" s="89">
        <f t="shared" si="11"/>
        <v>105371</v>
      </c>
      <c r="AI72" s="89">
        <f>SUM(AI59:AI70)</f>
        <v>104747</v>
      </c>
      <c r="AJ72" s="89">
        <f>SUM(AJ59:AJ70)</f>
        <v>30214</v>
      </c>
      <c r="AL72" s="89">
        <f>SUM(V59:AH70)</f>
        <v>1359634</v>
      </c>
    </row>
    <row r="73" spans="2:38">
      <c r="D73" s="90"/>
      <c r="W73" s="90"/>
    </row>
    <row r="74" spans="2:38" ht="15">
      <c r="B74" s="88" t="s">
        <v>120</v>
      </c>
      <c r="C74" s="69">
        <v>1999</v>
      </c>
      <c r="D74" s="96">
        <v>2000</v>
      </c>
      <c r="E74" s="69">
        <v>2001</v>
      </c>
      <c r="F74" s="69">
        <v>2002</v>
      </c>
      <c r="G74" s="69">
        <v>2003</v>
      </c>
      <c r="H74" s="69">
        <v>2004</v>
      </c>
      <c r="I74" s="69">
        <v>2005</v>
      </c>
      <c r="J74" s="69">
        <v>2006</v>
      </c>
      <c r="K74" s="69">
        <v>2007</v>
      </c>
      <c r="L74" s="69">
        <v>2008</v>
      </c>
      <c r="M74" s="69">
        <v>2009</v>
      </c>
      <c r="N74" s="69">
        <v>2010</v>
      </c>
      <c r="O74" s="69">
        <v>2011</v>
      </c>
      <c r="P74" s="69">
        <v>2012</v>
      </c>
      <c r="Q74" s="69">
        <v>2013</v>
      </c>
      <c r="S74" s="69" t="s">
        <v>106</v>
      </c>
      <c r="U74" s="88" t="s">
        <v>120</v>
      </c>
      <c r="V74" s="69">
        <v>1999</v>
      </c>
      <c r="W74" s="96">
        <v>2000</v>
      </c>
      <c r="X74" s="69">
        <v>2001</v>
      </c>
      <c r="Y74" s="69">
        <v>2002</v>
      </c>
      <c r="Z74" s="69">
        <v>2003</v>
      </c>
      <c r="AA74" s="69">
        <v>2004</v>
      </c>
      <c r="AB74" s="69">
        <v>2005</v>
      </c>
      <c r="AC74" s="69">
        <v>2006</v>
      </c>
      <c r="AD74" s="69">
        <v>2007</v>
      </c>
      <c r="AE74" s="69">
        <v>2008</v>
      </c>
      <c r="AF74" s="69">
        <v>2009</v>
      </c>
      <c r="AG74" s="69">
        <v>2010</v>
      </c>
      <c r="AH74" s="69">
        <v>2010</v>
      </c>
      <c r="AI74" s="69">
        <v>2011</v>
      </c>
      <c r="AJ74" s="69">
        <v>2013</v>
      </c>
      <c r="AL74" s="69" t="s">
        <v>106</v>
      </c>
    </row>
    <row r="75" spans="2:38">
      <c r="B75" s="30">
        <v>1</v>
      </c>
      <c r="C75" s="95">
        <f>SUMPRODUCT(('Monthly Data'!$E$13:$E$9627=$B$74)*('Monthly Data'!$F$13:$F$9627)*('Monthly Data'!$C$13:$C$9627=C$26)*('Monthly Data'!$D$13:$D$9627=$B75))</f>
        <v>388527</v>
      </c>
      <c r="D75" s="95">
        <f>SUMPRODUCT(('Monthly Data'!$E$13:$E$9627=$B$74)*('Monthly Data'!$F$13:$F$9627)*('Monthly Data'!$C$13:$C$9627=D$26)*('Monthly Data'!$D$13:$D$9627=$B75))</f>
        <v>383462</v>
      </c>
      <c r="E75" s="80">
        <f>SUMPRODUCT(('Monthly Data'!$E$13:$E$9627=$B$74)*('Monthly Data'!$F$13:$F$9627)*('Monthly Data'!$C$13:$C$9627=E$26)*('Monthly Data'!$D$13:$D$9627=$B75))</f>
        <v>414421</v>
      </c>
      <c r="F75" s="80">
        <f>SUMPRODUCT(('Monthly Data'!$E$13:$E$9627=$B$74)*('Monthly Data'!$F$13:$F$9627)*('Monthly Data'!$C$13:$C$9627=F$26)*('Monthly Data'!$D$13:$D$9627=$B75))</f>
        <v>432460</v>
      </c>
      <c r="G75" s="80">
        <f>SUMPRODUCT(('Monthly Data'!$E$13:$E$9627=$B$74)*('Monthly Data'!$F$13:$F$9627)*('Monthly Data'!$C$13:$C$9627=G$26)*('Monthly Data'!$D$13:$D$9627=$B75))</f>
        <v>476766</v>
      </c>
      <c r="H75" s="80">
        <f>SUMPRODUCT(('Monthly Data'!$E$13:$E$9627=$B$74)*('Monthly Data'!$F$13:$F$9627)*('Monthly Data'!$C$13:$C$9627=H$26)*('Monthly Data'!$D$13:$D$9627=$B75))</f>
        <v>471599</v>
      </c>
      <c r="I75" s="80">
        <f>SUMPRODUCT(('Monthly Data'!$E$13:$E$9627=$B$74)*('Monthly Data'!$F$13:$F$9627)*('Monthly Data'!$C$13:$C$9627=I$26)*('Monthly Data'!$D$13:$D$9627=$B75))</f>
        <v>504004</v>
      </c>
      <c r="J75" s="80">
        <f>SUMPRODUCT(('Monthly Data'!$E$13:$E$9627=$B$74)*('Monthly Data'!$F$13:$F$9627)*('Monthly Data'!$C$13:$C$9627=J$26)*('Monthly Data'!$D$13:$D$9627=$B75))</f>
        <v>525596</v>
      </c>
      <c r="K75" s="80">
        <f>SUMPRODUCT(('Monthly Data'!$E$13:$E$9627=$B$74)*('Monthly Data'!$F$13:$F$9627)*('Monthly Data'!$C$13:$C$9627=K$26)*('Monthly Data'!$D$13:$D$9627=$B75))</f>
        <v>533881</v>
      </c>
      <c r="L75" s="80">
        <f>SUMPRODUCT(('Monthly Data'!$E$13:$E$9627=$B$74)*('Monthly Data'!$F$13:$F$9627)*('Monthly Data'!$C$13:$C$9627=L$26)*('Monthly Data'!$D$13:$D$9627=$B75))</f>
        <v>501051</v>
      </c>
      <c r="M75" s="80">
        <f>SUMPRODUCT(('Monthly Data'!$E$13:$E$9627=$B$74)*('Monthly Data'!$F$13:$F$9627)*('Monthly Data'!$C$13:$C$9627=M$26)*('Monthly Data'!$D$13:$D$9627=$B75))</f>
        <v>439456</v>
      </c>
      <c r="N75" s="80">
        <f>SUMPRODUCT(('Monthly Data'!$E$13:$E$9627=$B$74)*('Monthly Data'!$F$13:$F$9627)*('Monthly Data'!$C$13:$C$9627=N$26)*('Monthly Data'!$D$13:$D$9627=$B75))</f>
        <v>385885</v>
      </c>
      <c r="O75" s="80">
        <f>SUMPRODUCT(('Monthly Data'!$E$13:$E$9627=$B$74)*('Monthly Data'!$F$13:$F$9627)*('Monthly Data'!$C$13:$C$9627=O$26)*('Monthly Data'!$D$13:$D$9627=$B75))</f>
        <v>417385</v>
      </c>
      <c r="P75" s="80">
        <f>SUMPRODUCT(('Monthly Data'!$E$13:$E$9627=$B$74)*('Monthly Data'!$F$13:$F$9627)*('Monthly Data'!$C$13:$C$9627=P$26)*('Monthly Data'!$D$13:$D$9627=$B75))</f>
        <v>416254</v>
      </c>
      <c r="Q75" s="80">
        <f>SUMPRODUCT(('Monthly Data'!$E$13:$E$9627=$B$74)*('Monthly Data'!$F$13:$F$9627)*('Monthly Data'!$C$13:$C$9627=Q$26)*('Monthly Data'!$D$13:$D$9627=$B75))</f>
        <v>411466</v>
      </c>
      <c r="S75" s="89">
        <f>SUM(C75:O75)</f>
        <v>5874493</v>
      </c>
      <c r="U75" s="30">
        <v>1</v>
      </c>
      <c r="V75" s="95">
        <f>SUMPRODUCT(('Monthly Data'!$E$13:$E$9627=$U$74)*('Monthly Data'!$G$13:$G$9627)*('Monthly Data'!$C$13:$C$9627=V$26)*('Monthly Data'!$D$13:$D$9627=$U75))</f>
        <v>6128</v>
      </c>
      <c r="W75" s="95">
        <f>SUMPRODUCT(('Monthly Data'!$E$13:$E$9627=$U$74)*('Monthly Data'!$G$13:$G$9627)*('Monthly Data'!$C$13:$C$9627=W$26)*('Monthly Data'!$D$13:$D$9627=$U75))</f>
        <v>6339</v>
      </c>
      <c r="X75" s="80">
        <f>SUMPRODUCT(('Monthly Data'!$E$13:$E$9627=$U$74)*('Monthly Data'!$G$13:$G$9627)*('Monthly Data'!$C$13:$C$9627=X$26)*('Monthly Data'!$D$13:$D$9627=$U75))</f>
        <v>6891</v>
      </c>
      <c r="Y75" s="80">
        <f>SUMPRODUCT(('Monthly Data'!$E$13:$E$9627=$U$74)*('Monthly Data'!$G$13:$G$9627)*('Monthly Data'!$C$13:$C$9627=Y$26)*('Monthly Data'!$D$13:$D$9627=$U75))</f>
        <v>6607</v>
      </c>
      <c r="Z75" s="80">
        <f>SUMPRODUCT(('Monthly Data'!$E$13:$E$9627=$U$74)*('Monthly Data'!$G$13:$G$9627)*('Monthly Data'!$C$13:$C$9627=Z$26)*('Monthly Data'!$D$13:$D$9627=$U75))</f>
        <v>6588</v>
      </c>
      <c r="AA75" s="80">
        <f>SUMPRODUCT(('Monthly Data'!$E$13:$E$9627=$U$74)*('Monthly Data'!$G$13:$G$9627)*('Monthly Data'!$C$13:$C$9627=AA$26)*('Monthly Data'!$D$13:$D$9627=$U75))</f>
        <v>6532</v>
      </c>
      <c r="AB75" s="80">
        <f>SUMPRODUCT(('Monthly Data'!$E$13:$E$9627=$U$74)*('Monthly Data'!$G$13:$G$9627)*('Monthly Data'!$C$13:$C$9627=AB$26)*('Monthly Data'!$D$13:$D$9627=$U75))</f>
        <v>6803</v>
      </c>
      <c r="AC75" s="80">
        <f>SUMPRODUCT(('Monthly Data'!$E$13:$E$9627=$U$74)*('Monthly Data'!$G$13:$G$9627)*('Monthly Data'!$C$13:$C$9627=AC$26)*('Monthly Data'!$D$13:$D$9627=$U75))</f>
        <v>7088</v>
      </c>
      <c r="AD75" s="80">
        <f>SUMPRODUCT(('Monthly Data'!$E$13:$E$9627=$U$74)*('Monthly Data'!$G$13:$G$9627)*('Monthly Data'!$C$13:$C$9627=AD$26)*('Monthly Data'!$D$13:$D$9627=$U75))</f>
        <v>7256</v>
      </c>
      <c r="AE75" s="80">
        <f>SUMPRODUCT(('Monthly Data'!$E$13:$E$9627=$U$74)*('Monthly Data'!$G$13:$G$9627)*('Monthly Data'!$C$13:$C$9627=AE$26)*('Monthly Data'!$D$13:$D$9627=$U75))</f>
        <v>6416</v>
      </c>
      <c r="AF75" s="80">
        <f>SUMPRODUCT(('Monthly Data'!$E$13:$E$9627=$U$74)*('Monthly Data'!$G$13:$G$9627)*('Monthly Data'!$C$13:$C$9627=AF$26)*('Monthly Data'!$D$13:$D$9627=$U75))</f>
        <v>5513</v>
      </c>
      <c r="AG75" s="80">
        <f>SUMPRODUCT(('Monthly Data'!$E$13:$E$9627=$U$74)*('Monthly Data'!$G$13:$G$9627)*('Monthly Data'!$C$13:$C$9627=AG$26)*('Monthly Data'!$D$13:$D$9627=$U75))</f>
        <v>4747</v>
      </c>
      <c r="AH75" s="80">
        <f>SUMPRODUCT(('Monthly Data'!$E$13:$E$9627=$U$74)*('Monthly Data'!$G$13:$G$9627)*('Monthly Data'!$C$13:$C$9627=AH$26)*('Monthly Data'!$D$13:$D$9627=$U75))</f>
        <v>5256</v>
      </c>
      <c r="AI75" s="80">
        <f>SUMPRODUCT(('Monthly Data'!$E$13:$E$9627=$U$74)*('Monthly Data'!$G$13:$G$9627)*('Monthly Data'!$C$13:$C$9627=AI$26)*('Monthly Data'!$D$13:$D$9627=$U75))</f>
        <v>5161</v>
      </c>
      <c r="AJ75" s="80">
        <f>SUMPRODUCT(('Monthly Data'!$E$13:$E$9627=$U$74)*('Monthly Data'!$G$13:$G$9627)*('Monthly Data'!$C$13:$C$9627=AJ$26)*('Monthly Data'!$D$13:$D$9627=$U75))</f>
        <v>4866</v>
      </c>
      <c r="AL75" s="89">
        <f t="shared" ref="AL75:AL86" si="12">SUM(W75:AH75)</f>
        <v>76036</v>
      </c>
    </row>
    <row r="76" spans="2:38">
      <c r="B76" s="30">
        <v>2</v>
      </c>
      <c r="C76" s="95">
        <f>SUMPRODUCT(('Monthly Data'!$E$13:$E$9627=$B$74)*('Monthly Data'!$F$13:$F$9627)*('Monthly Data'!$C$13:$C$9627=C$26)*('Monthly Data'!$D$13:$D$9627=$B76))</f>
        <v>392809</v>
      </c>
      <c r="D76" s="95">
        <f>SUMPRODUCT(('Monthly Data'!$E$13:$E$9627=$B$74)*('Monthly Data'!$F$13:$F$9627)*('Monthly Data'!$C$13:$C$9627=D$26)*('Monthly Data'!$D$13:$D$9627=$B76))</f>
        <v>410640</v>
      </c>
      <c r="E76" s="80">
        <f>SUMPRODUCT(('Monthly Data'!$E$13:$E$9627=$B$74)*('Monthly Data'!$F$13:$F$9627)*('Monthly Data'!$C$13:$C$9627=E$26)*('Monthly Data'!$D$13:$D$9627=$B76))</f>
        <v>413357</v>
      </c>
      <c r="F76" s="80">
        <f>SUMPRODUCT(('Monthly Data'!$E$13:$E$9627=$B$74)*('Monthly Data'!$F$13:$F$9627)*('Monthly Data'!$C$13:$C$9627=F$26)*('Monthly Data'!$D$13:$D$9627=$B76))</f>
        <v>440089</v>
      </c>
      <c r="G76" s="80">
        <f>SUMPRODUCT(('Monthly Data'!$E$13:$E$9627=$B$74)*('Monthly Data'!$F$13:$F$9627)*('Monthly Data'!$C$13:$C$9627=G$26)*('Monthly Data'!$D$13:$D$9627=$B76))</f>
        <v>499905</v>
      </c>
      <c r="H76" s="80">
        <f>SUMPRODUCT(('Monthly Data'!$E$13:$E$9627=$B$74)*('Monthly Data'!$F$13:$F$9627)*('Monthly Data'!$C$13:$C$9627=H$26)*('Monthly Data'!$D$13:$D$9627=$B76))</f>
        <v>505054</v>
      </c>
      <c r="I76" s="80">
        <f>SUMPRODUCT(('Monthly Data'!$E$13:$E$9627=$B$74)*('Monthly Data'!$F$13:$F$9627)*('Monthly Data'!$C$13:$C$9627=I$26)*('Monthly Data'!$D$13:$D$9627=$B76))</f>
        <v>506474</v>
      </c>
      <c r="J76" s="80">
        <f>SUMPRODUCT(('Monthly Data'!$E$13:$E$9627=$B$74)*('Monthly Data'!$F$13:$F$9627)*('Monthly Data'!$C$13:$C$9627=J$26)*('Monthly Data'!$D$13:$D$9627=$B76))</f>
        <v>515649</v>
      </c>
      <c r="K76" s="80">
        <f>SUMPRODUCT(('Monthly Data'!$E$13:$E$9627=$B$74)*('Monthly Data'!$F$13:$F$9627)*('Monthly Data'!$C$13:$C$9627=K$26)*('Monthly Data'!$D$13:$D$9627=$B76))</f>
        <v>520251</v>
      </c>
      <c r="L76" s="80">
        <f>SUMPRODUCT(('Monthly Data'!$E$13:$E$9627=$B$74)*('Monthly Data'!$F$13:$F$9627)*('Monthly Data'!$C$13:$C$9627=L$26)*('Monthly Data'!$D$13:$D$9627=$B76))</f>
        <v>511136</v>
      </c>
      <c r="M76" s="80">
        <f>SUMPRODUCT(('Monthly Data'!$E$13:$E$9627=$B$74)*('Monthly Data'!$F$13:$F$9627)*('Monthly Data'!$C$13:$C$9627=M$26)*('Monthly Data'!$D$13:$D$9627=$B76))</f>
        <v>421364</v>
      </c>
      <c r="N76" s="80">
        <f>SUMPRODUCT(('Monthly Data'!$E$13:$E$9627=$B$74)*('Monthly Data'!$F$13:$F$9627)*('Monthly Data'!$C$13:$C$9627=N$26)*('Monthly Data'!$D$13:$D$9627=$B76))</f>
        <v>399425</v>
      </c>
      <c r="O76" s="80">
        <f>SUMPRODUCT(('Monthly Data'!$E$13:$E$9627=$B$74)*('Monthly Data'!$F$13:$F$9627)*('Monthly Data'!$C$13:$C$9627=O$26)*('Monthly Data'!$D$13:$D$9627=$B76))</f>
        <v>416119</v>
      </c>
      <c r="P76" s="80">
        <f>SUMPRODUCT(('Monthly Data'!$E$13:$E$9627=$B$74)*('Monthly Data'!$F$13:$F$9627)*('Monthly Data'!$C$13:$C$9627=P$26)*('Monthly Data'!$D$13:$D$9627=$B76))</f>
        <v>428264</v>
      </c>
      <c r="Q76" s="80">
        <f>SUMPRODUCT(('Monthly Data'!$E$13:$E$9627=$B$74)*('Monthly Data'!$F$13:$F$9627)*('Monthly Data'!$C$13:$C$9627=Q$26)*('Monthly Data'!$D$13:$D$9627=$B76))</f>
        <v>423500</v>
      </c>
      <c r="S76" s="89">
        <f t="shared" ref="S76:S86" si="13">SUM(C76:O76)</f>
        <v>5952272</v>
      </c>
      <c r="U76" s="30">
        <v>2</v>
      </c>
      <c r="V76" s="95">
        <f>SUMPRODUCT(('Monthly Data'!$E$13:$E$9627=$U$74)*('Monthly Data'!$G$13:$G$9627)*('Monthly Data'!$C$13:$C$9627=V$26)*('Monthly Data'!$D$13:$D$9627=$U76))</f>
        <v>5906</v>
      </c>
      <c r="W76" s="95">
        <f>SUMPRODUCT(('Monthly Data'!$E$13:$E$9627=$U$74)*('Monthly Data'!$G$13:$G$9627)*('Monthly Data'!$C$13:$C$9627=W$26)*('Monthly Data'!$D$13:$D$9627=$U76))</f>
        <v>6466</v>
      </c>
      <c r="X76" s="80">
        <f>SUMPRODUCT(('Monthly Data'!$E$13:$E$9627=$U$74)*('Monthly Data'!$G$13:$G$9627)*('Monthly Data'!$C$13:$C$9627=X$26)*('Monthly Data'!$D$13:$D$9627=$U76))</f>
        <v>6317</v>
      </c>
      <c r="Y76" s="80">
        <f>SUMPRODUCT(('Monthly Data'!$E$13:$E$9627=$U$74)*('Monthly Data'!$G$13:$G$9627)*('Monthly Data'!$C$13:$C$9627=Y$26)*('Monthly Data'!$D$13:$D$9627=$U76))</f>
        <v>6006</v>
      </c>
      <c r="Z76" s="80">
        <f>SUMPRODUCT(('Monthly Data'!$E$13:$E$9627=$U$74)*('Monthly Data'!$G$13:$G$9627)*('Monthly Data'!$C$13:$C$9627=Z$26)*('Monthly Data'!$D$13:$D$9627=$U76))</f>
        <v>6263</v>
      </c>
      <c r="AA76" s="80">
        <f>SUMPRODUCT(('Monthly Data'!$E$13:$E$9627=$U$74)*('Monthly Data'!$G$13:$G$9627)*('Monthly Data'!$C$13:$C$9627=AA$26)*('Monthly Data'!$D$13:$D$9627=$U76))</f>
        <v>6287</v>
      </c>
      <c r="AB76" s="80">
        <f>SUMPRODUCT(('Monthly Data'!$E$13:$E$9627=$U$74)*('Monthly Data'!$G$13:$G$9627)*('Monthly Data'!$C$13:$C$9627=AB$26)*('Monthly Data'!$D$13:$D$9627=$U76))</f>
        <v>6482</v>
      </c>
      <c r="AC76" s="80">
        <f>SUMPRODUCT(('Monthly Data'!$E$13:$E$9627=$U$74)*('Monthly Data'!$G$13:$G$9627)*('Monthly Data'!$C$13:$C$9627=AC$26)*('Monthly Data'!$D$13:$D$9627=$U76))</f>
        <v>6656</v>
      </c>
      <c r="AD76" s="80">
        <f>SUMPRODUCT(('Monthly Data'!$E$13:$E$9627=$U$74)*('Monthly Data'!$G$13:$G$9627)*('Monthly Data'!$C$13:$C$9627=AD$26)*('Monthly Data'!$D$13:$D$9627=$U76))</f>
        <v>6651</v>
      </c>
      <c r="AE76" s="80">
        <f>SUMPRODUCT(('Monthly Data'!$E$13:$E$9627=$U$74)*('Monthly Data'!$G$13:$G$9627)*('Monthly Data'!$C$13:$C$9627=AE$26)*('Monthly Data'!$D$13:$D$9627=$U76))</f>
        <v>6086</v>
      </c>
      <c r="AF76" s="80">
        <f>SUMPRODUCT(('Monthly Data'!$E$13:$E$9627=$U$74)*('Monthly Data'!$G$13:$G$9627)*('Monthly Data'!$C$13:$C$9627=AF$26)*('Monthly Data'!$D$13:$D$9627=$U76))</f>
        <v>5127</v>
      </c>
      <c r="AG76" s="80">
        <f>SUMPRODUCT(('Monthly Data'!$E$13:$E$9627=$U$74)*('Monthly Data'!$G$13:$G$9627)*('Monthly Data'!$C$13:$C$9627=AG$26)*('Monthly Data'!$D$13:$D$9627=$U76))</f>
        <v>4767</v>
      </c>
      <c r="AH76" s="80">
        <f>SUMPRODUCT(('Monthly Data'!$E$13:$E$9627=$U$74)*('Monthly Data'!$G$13:$G$9627)*('Monthly Data'!$C$13:$C$9627=AH$26)*('Monthly Data'!$D$13:$D$9627=$U76))</f>
        <v>4969</v>
      </c>
      <c r="AI76" s="80">
        <f>SUMPRODUCT(('Monthly Data'!$E$13:$E$9627=$U$74)*('Monthly Data'!$G$13:$G$9627)*('Monthly Data'!$C$13:$C$9627=AI$26)*('Monthly Data'!$D$13:$D$9627=$U76))</f>
        <v>5153</v>
      </c>
      <c r="AJ76" s="80">
        <f>SUMPRODUCT(('Monthly Data'!$E$13:$E$9627=$U$74)*('Monthly Data'!$G$13:$G$9627)*('Monthly Data'!$C$13:$C$9627=AJ$26)*('Monthly Data'!$D$13:$D$9627=$U76))</f>
        <v>4750</v>
      </c>
      <c r="AL76" s="89">
        <f t="shared" si="12"/>
        <v>72077</v>
      </c>
    </row>
    <row r="77" spans="2:38">
      <c r="B77" s="30">
        <v>3</v>
      </c>
      <c r="C77" s="95">
        <f>SUMPRODUCT(('Monthly Data'!$E$13:$E$9627=$B$74)*('Monthly Data'!$F$13:$F$9627)*('Monthly Data'!$C$13:$C$9627=C$26)*('Monthly Data'!$D$13:$D$9627=$B77))</f>
        <v>475118</v>
      </c>
      <c r="D77" s="95">
        <f>SUMPRODUCT(('Monthly Data'!$E$13:$E$9627=$B$74)*('Monthly Data'!$F$13:$F$9627)*('Monthly Data'!$C$13:$C$9627=D$26)*('Monthly Data'!$D$13:$D$9627=$B77))</f>
        <v>486989</v>
      </c>
      <c r="E77" s="80">
        <f>SUMPRODUCT(('Monthly Data'!$E$13:$E$9627=$B$74)*('Monthly Data'!$F$13:$F$9627)*('Monthly Data'!$C$13:$C$9627=E$26)*('Monthly Data'!$D$13:$D$9627=$B77))</f>
        <v>495921</v>
      </c>
      <c r="F77" s="80">
        <f>SUMPRODUCT(('Monthly Data'!$E$13:$E$9627=$B$74)*('Monthly Data'!$F$13:$F$9627)*('Monthly Data'!$C$13:$C$9627=F$26)*('Monthly Data'!$D$13:$D$9627=$B77))</f>
        <v>535188</v>
      </c>
      <c r="G77" s="80">
        <f>SUMPRODUCT(('Monthly Data'!$E$13:$E$9627=$B$74)*('Monthly Data'!$F$13:$F$9627)*('Monthly Data'!$C$13:$C$9627=G$26)*('Monthly Data'!$D$13:$D$9627=$B77))</f>
        <v>560364</v>
      </c>
      <c r="H77" s="80">
        <f>SUMPRODUCT(('Monthly Data'!$E$13:$E$9627=$B$74)*('Monthly Data'!$F$13:$F$9627)*('Monthly Data'!$C$13:$C$9627=H$26)*('Monthly Data'!$D$13:$D$9627=$B77))</f>
        <v>587425</v>
      </c>
      <c r="I77" s="80">
        <f>SUMPRODUCT(('Monthly Data'!$E$13:$E$9627=$B$74)*('Monthly Data'!$F$13:$F$9627)*('Monthly Data'!$C$13:$C$9627=I$26)*('Monthly Data'!$D$13:$D$9627=$B77))</f>
        <v>602835</v>
      </c>
      <c r="J77" s="80">
        <f>SUMPRODUCT(('Monthly Data'!$E$13:$E$9627=$B$74)*('Monthly Data'!$F$13:$F$9627)*('Monthly Data'!$C$13:$C$9627=J$26)*('Monthly Data'!$D$13:$D$9627=$B77))</f>
        <v>610374</v>
      </c>
      <c r="K77" s="80">
        <f>SUMPRODUCT(('Monthly Data'!$E$13:$E$9627=$B$74)*('Monthly Data'!$F$13:$F$9627)*('Monthly Data'!$C$13:$C$9627=K$26)*('Monthly Data'!$D$13:$D$9627=$B77))</f>
        <v>631935</v>
      </c>
      <c r="L77" s="80">
        <f>SUMPRODUCT(('Monthly Data'!$E$13:$E$9627=$B$74)*('Monthly Data'!$F$13:$F$9627)*('Monthly Data'!$C$13:$C$9627=L$26)*('Monthly Data'!$D$13:$D$9627=$B77))</f>
        <v>602548</v>
      </c>
      <c r="M77" s="80">
        <f>SUMPRODUCT(('Monthly Data'!$E$13:$E$9627=$B$74)*('Monthly Data'!$F$13:$F$9627)*('Monthly Data'!$C$13:$C$9627=M$26)*('Monthly Data'!$D$13:$D$9627=$B77))</f>
        <v>523786</v>
      </c>
      <c r="N77" s="80">
        <f>SUMPRODUCT(('Monthly Data'!$E$13:$E$9627=$B$74)*('Monthly Data'!$F$13:$F$9627)*('Monthly Data'!$C$13:$C$9627=N$26)*('Monthly Data'!$D$13:$D$9627=$B77))</f>
        <v>472854</v>
      </c>
      <c r="O77" s="80">
        <f>SUMPRODUCT(('Monthly Data'!$E$13:$E$9627=$B$74)*('Monthly Data'!$F$13:$F$9627)*('Monthly Data'!$C$13:$C$9627=O$26)*('Monthly Data'!$D$13:$D$9627=$B77))</f>
        <v>483731</v>
      </c>
      <c r="P77" s="80">
        <f>SUMPRODUCT(('Monthly Data'!$E$13:$E$9627=$B$74)*('Monthly Data'!$F$13:$F$9627)*('Monthly Data'!$C$13:$C$9627=P$26)*('Monthly Data'!$D$13:$D$9627=$B77))</f>
        <v>507265</v>
      </c>
      <c r="Q77" s="80">
        <f>SUMPRODUCT(('Monthly Data'!$E$13:$E$9627=$B$74)*('Monthly Data'!$F$13:$F$9627)*('Monthly Data'!$C$13:$C$9627=Q$26)*('Monthly Data'!$D$13:$D$9627=$B77))</f>
        <v>510009</v>
      </c>
      <c r="S77" s="89">
        <f t="shared" si="13"/>
        <v>7069068</v>
      </c>
      <c r="U77" s="30">
        <v>3</v>
      </c>
      <c r="V77" s="95">
        <f>SUMPRODUCT(('Monthly Data'!$E$13:$E$9627=$U$74)*('Monthly Data'!$G$13:$G$9627)*('Monthly Data'!$C$13:$C$9627=V$26)*('Monthly Data'!$D$13:$D$9627=$U77))</f>
        <v>6757</v>
      </c>
      <c r="W77" s="95">
        <f>SUMPRODUCT(('Monthly Data'!$E$13:$E$9627=$U$74)*('Monthly Data'!$G$13:$G$9627)*('Monthly Data'!$C$13:$C$9627=W$26)*('Monthly Data'!$D$13:$D$9627=$U77))</f>
        <v>7131</v>
      </c>
      <c r="X77" s="80">
        <f>SUMPRODUCT(('Monthly Data'!$E$13:$E$9627=$U$74)*('Monthly Data'!$G$13:$G$9627)*('Monthly Data'!$C$13:$C$9627=X$26)*('Monthly Data'!$D$13:$D$9627=$U77))</f>
        <v>7309</v>
      </c>
      <c r="Y77" s="80">
        <f>SUMPRODUCT(('Monthly Data'!$E$13:$E$9627=$U$74)*('Monthly Data'!$G$13:$G$9627)*('Monthly Data'!$C$13:$C$9627=Y$26)*('Monthly Data'!$D$13:$D$9627=$U77))</f>
        <v>6565</v>
      </c>
      <c r="Z77" s="80">
        <f>SUMPRODUCT(('Monthly Data'!$E$13:$E$9627=$U$74)*('Monthly Data'!$G$13:$G$9627)*('Monthly Data'!$C$13:$C$9627=Z$26)*('Monthly Data'!$D$13:$D$9627=$U77))</f>
        <v>6845</v>
      </c>
      <c r="AA77" s="80">
        <f>SUMPRODUCT(('Monthly Data'!$E$13:$E$9627=$U$74)*('Monthly Data'!$G$13:$G$9627)*('Monthly Data'!$C$13:$C$9627=AA$26)*('Monthly Data'!$D$13:$D$9627=$U77))</f>
        <v>7083</v>
      </c>
      <c r="AB77" s="80">
        <f>SUMPRODUCT(('Monthly Data'!$E$13:$E$9627=$U$74)*('Monthly Data'!$G$13:$G$9627)*('Monthly Data'!$C$13:$C$9627=AB$26)*('Monthly Data'!$D$13:$D$9627=$U77))</f>
        <v>7237</v>
      </c>
      <c r="AC77" s="80">
        <f>SUMPRODUCT(('Monthly Data'!$E$13:$E$9627=$U$74)*('Monthly Data'!$G$13:$G$9627)*('Monthly Data'!$C$13:$C$9627=AC$26)*('Monthly Data'!$D$13:$D$9627=$U77))</f>
        <v>7502</v>
      </c>
      <c r="AD77" s="80">
        <f>SUMPRODUCT(('Monthly Data'!$E$13:$E$9627=$U$74)*('Monthly Data'!$G$13:$G$9627)*('Monthly Data'!$C$13:$C$9627=AD$26)*('Monthly Data'!$D$13:$D$9627=$U77))</f>
        <v>7389</v>
      </c>
      <c r="AE77" s="80">
        <f>SUMPRODUCT(('Monthly Data'!$E$13:$E$9627=$U$74)*('Monthly Data'!$G$13:$G$9627)*('Monthly Data'!$C$13:$C$9627=AE$26)*('Monthly Data'!$D$13:$D$9627=$U77))</f>
        <v>6796</v>
      </c>
      <c r="AF77" s="80">
        <f>SUMPRODUCT(('Monthly Data'!$E$13:$E$9627=$U$74)*('Monthly Data'!$G$13:$G$9627)*('Monthly Data'!$C$13:$C$9627=AF$26)*('Monthly Data'!$D$13:$D$9627=$U77))</f>
        <v>6096</v>
      </c>
      <c r="AG77" s="80">
        <f>SUMPRODUCT(('Monthly Data'!$E$13:$E$9627=$U$74)*('Monthly Data'!$G$13:$G$9627)*('Monthly Data'!$C$13:$C$9627=AG$26)*('Monthly Data'!$D$13:$D$9627=$U77))</f>
        <v>5393</v>
      </c>
      <c r="AH77" s="80">
        <f>SUMPRODUCT(('Monthly Data'!$E$13:$E$9627=$U$74)*('Monthly Data'!$G$13:$G$9627)*('Monthly Data'!$C$13:$C$9627=AH$26)*('Monthly Data'!$D$13:$D$9627=$U77))</f>
        <v>5681</v>
      </c>
      <c r="AI77" s="80">
        <f>SUMPRODUCT(('Monthly Data'!$E$13:$E$9627=$U$74)*('Monthly Data'!$G$13:$G$9627)*('Monthly Data'!$C$13:$C$9627=AI$26)*('Monthly Data'!$D$13:$D$9627=$U77))</f>
        <v>5798</v>
      </c>
      <c r="AJ77" s="80">
        <f>SUMPRODUCT(('Monthly Data'!$E$13:$E$9627=$U$74)*('Monthly Data'!$G$13:$G$9627)*('Monthly Data'!$C$13:$C$9627=AJ$26)*('Monthly Data'!$D$13:$D$9627=$U77))</f>
        <v>5517</v>
      </c>
      <c r="AL77" s="89">
        <f t="shared" si="12"/>
        <v>81027</v>
      </c>
    </row>
    <row r="78" spans="2:38">
      <c r="B78" s="30">
        <v>4</v>
      </c>
      <c r="C78" s="95">
        <f>SUMPRODUCT(('Monthly Data'!$E$13:$E$9627=$B$74)*('Monthly Data'!$F$13:$F$9627)*('Monthly Data'!$C$13:$C$9627=C$26)*('Monthly Data'!$D$13:$D$9627=$B78))</f>
        <v>490685</v>
      </c>
      <c r="D78" s="95">
        <f>SUMPRODUCT(('Monthly Data'!$E$13:$E$9627=$B$74)*('Monthly Data'!$F$13:$F$9627)*('Monthly Data'!$C$13:$C$9627=D$26)*('Monthly Data'!$D$13:$D$9627=$B78))</f>
        <v>512735</v>
      </c>
      <c r="E78" s="80">
        <f>SUMPRODUCT(('Monthly Data'!$E$13:$E$9627=$B$74)*('Monthly Data'!$F$13:$F$9627)*('Monthly Data'!$C$13:$C$9627=E$26)*('Monthly Data'!$D$13:$D$9627=$B78))</f>
        <v>523634</v>
      </c>
      <c r="F78" s="80">
        <f>SUMPRODUCT(('Monthly Data'!$E$13:$E$9627=$B$74)*('Monthly Data'!$F$13:$F$9627)*('Monthly Data'!$C$13:$C$9627=F$26)*('Monthly Data'!$D$13:$D$9627=$B78))</f>
        <v>545133</v>
      </c>
      <c r="G78" s="80">
        <f>SUMPRODUCT(('Monthly Data'!$E$13:$E$9627=$B$74)*('Monthly Data'!$F$13:$F$9627)*('Monthly Data'!$C$13:$C$9627=G$26)*('Monthly Data'!$D$13:$D$9627=$B78))</f>
        <v>594765</v>
      </c>
      <c r="H78" s="80">
        <f>SUMPRODUCT(('Monthly Data'!$E$13:$E$9627=$B$74)*('Monthly Data'!$F$13:$F$9627)*('Monthly Data'!$C$13:$C$9627=H$26)*('Monthly Data'!$D$13:$D$9627=$B78))</f>
        <v>635684</v>
      </c>
      <c r="I78" s="80">
        <f>SUMPRODUCT(('Monthly Data'!$E$13:$E$9627=$B$74)*('Monthly Data'!$F$13:$F$9627)*('Monthly Data'!$C$13:$C$9627=I$26)*('Monthly Data'!$D$13:$D$9627=$B78))</f>
        <v>640578</v>
      </c>
      <c r="J78" s="80">
        <f>SUMPRODUCT(('Monthly Data'!$E$13:$E$9627=$B$74)*('Monthly Data'!$F$13:$F$9627)*('Monthly Data'!$C$13:$C$9627=J$26)*('Monthly Data'!$D$13:$D$9627=$B78))</f>
        <v>654947</v>
      </c>
      <c r="K78" s="80">
        <f>SUMPRODUCT(('Monthly Data'!$E$13:$E$9627=$B$74)*('Monthly Data'!$F$13:$F$9627)*('Monthly Data'!$C$13:$C$9627=K$26)*('Monthly Data'!$D$13:$D$9627=$B78))</f>
        <v>646583</v>
      </c>
      <c r="L78" s="80">
        <f>SUMPRODUCT(('Monthly Data'!$E$13:$E$9627=$B$74)*('Monthly Data'!$F$13:$F$9627)*('Monthly Data'!$C$13:$C$9627=L$26)*('Monthly Data'!$D$13:$D$9627=$B78))</f>
        <v>644119</v>
      </c>
      <c r="M78" s="80">
        <f>SUMPRODUCT(('Monthly Data'!$E$13:$E$9627=$B$74)*('Monthly Data'!$F$13:$F$9627)*('Monthly Data'!$C$13:$C$9627=M$26)*('Monthly Data'!$D$13:$D$9627=$B78))</f>
        <v>569408</v>
      </c>
      <c r="N78" s="80">
        <f>SUMPRODUCT(('Monthly Data'!$E$13:$E$9627=$B$74)*('Monthly Data'!$F$13:$F$9627)*('Monthly Data'!$C$13:$C$9627=N$26)*('Monthly Data'!$D$13:$D$9627=$B78))</f>
        <v>402797</v>
      </c>
      <c r="O78" s="80">
        <f>SUMPRODUCT(('Monthly Data'!$E$13:$E$9627=$B$74)*('Monthly Data'!$F$13:$F$9627)*('Monthly Data'!$C$13:$C$9627=O$26)*('Monthly Data'!$D$13:$D$9627=$B78))</f>
        <v>511988</v>
      </c>
      <c r="P78" s="80">
        <f>SUMPRODUCT(('Monthly Data'!$E$13:$E$9627=$B$74)*('Monthly Data'!$F$13:$F$9627)*('Monthly Data'!$C$13:$C$9627=P$26)*('Monthly Data'!$D$13:$D$9627=$B78))</f>
        <v>547219</v>
      </c>
      <c r="Q78" s="80">
        <f>SUMPRODUCT(('Monthly Data'!$E$13:$E$9627=$B$74)*('Monthly Data'!$F$13:$F$9627)*('Monthly Data'!$C$13:$C$9627=Q$26)*('Monthly Data'!$D$13:$D$9627=$B78))</f>
        <v>549376</v>
      </c>
      <c r="S78" s="89">
        <f t="shared" si="13"/>
        <v>7373056</v>
      </c>
      <c r="U78" s="30">
        <v>4</v>
      </c>
      <c r="V78" s="95">
        <f>SUMPRODUCT(('Monthly Data'!$E$13:$E$9627=$U$74)*('Monthly Data'!$G$13:$G$9627)*('Monthly Data'!$C$13:$C$9627=V$26)*('Monthly Data'!$D$13:$D$9627=$U78))</f>
        <v>6832</v>
      </c>
      <c r="W78" s="95">
        <f>SUMPRODUCT(('Monthly Data'!$E$13:$E$9627=$U$74)*('Monthly Data'!$G$13:$G$9627)*('Monthly Data'!$C$13:$C$9627=W$26)*('Monthly Data'!$D$13:$D$9627=$U78))</f>
        <v>6690</v>
      </c>
      <c r="X78" s="80">
        <f>SUMPRODUCT(('Monthly Data'!$E$13:$E$9627=$U$74)*('Monthly Data'!$G$13:$G$9627)*('Monthly Data'!$C$13:$C$9627=X$26)*('Monthly Data'!$D$13:$D$9627=$U78))</f>
        <v>7042</v>
      </c>
      <c r="Y78" s="80">
        <f>SUMPRODUCT(('Monthly Data'!$E$13:$E$9627=$U$74)*('Monthly Data'!$G$13:$G$9627)*('Monthly Data'!$C$13:$C$9627=Y$26)*('Monthly Data'!$D$13:$D$9627=$U78))</f>
        <v>6946</v>
      </c>
      <c r="Z78" s="80">
        <f>SUMPRODUCT(('Monthly Data'!$E$13:$E$9627=$U$74)*('Monthly Data'!$G$13:$G$9627)*('Monthly Data'!$C$13:$C$9627=Z$26)*('Monthly Data'!$D$13:$D$9627=$U78))</f>
        <v>6951</v>
      </c>
      <c r="AA78" s="80">
        <f>SUMPRODUCT(('Monthly Data'!$E$13:$E$9627=$U$74)*('Monthly Data'!$G$13:$G$9627)*('Monthly Data'!$C$13:$C$9627=AA$26)*('Monthly Data'!$D$13:$D$9627=$U78))</f>
        <v>7333</v>
      </c>
      <c r="AB78" s="80">
        <f>SUMPRODUCT(('Monthly Data'!$E$13:$E$9627=$U$74)*('Monthly Data'!$G$13:$G$9627)*('Monthly Data'!$C$13:$C$9627=AB$26)*('Monthly Data'!$D$13:$D$9627=$U78))</f>
        <v>7380</v>
      </c>
      <c r="AC78" s="80">
        <f>SUMPRODUCT(('Monthly Data'!$E$13:$E$9627=$U$74)*('Monthly Data'!$G$13:$G$9627)*('Monthly Data'!$C$13:$C$9627=AC$26)*('Monthly Data'!$D$13:$D$9627=$U78))</f>
        <v>7452</v>
      </c>
      <c r="AD78" s="80">
        <f>SUMPRODUCT(('Monthly Data'!$E$13:$E$9627=$U$74)*('Monthly Data'!$G$13:$G$9627)*('Monthly Data'!$C$13:$C$9627=AD$26)*('Monthly Data'!$D$13:$D$9627=$U78))</f>
        <v>7380</v>
      </c>
      <c r="AE78" s="80">
        <f>SUMPRODUCT(('Monthly Data'!$E$13:$E$9627=$U$74)*('Monthly Data'!$G$13:$G$9627)*('Monthly Data'!$C$13:$C$9627=AE$26)*('Monthly Data'!$D$13:$D$9627=$U78))</f>
        <v>7354</v>
      </c>
      <c r="AF78" s="80">
        <f>SUMPRODUCT(('Monthly Data'!$E$13:$E$9627=$U$74)*('Monthly Data'!$G$13:$G$9627)*('Monthly Data'!$C$13:$C$9627=AF$26)*('Monthly Data'!$D$13:$D$9627=$U78))</f>
        <v>6248</v>
      </c>
      <c r="AG78" s="80">
        <f>SUMPRODUCT(('Monthly Data'!$E$13:$E$9627=$U$74)*('Monthly Data'!$G$13:$G$9627)*('Monthly Data'!$C$13:$C$9627=AG$26)*('Monthly Data'!$D$13:$D$9627=$U78))</f>
        <v>4687</v>
      </c>
      <c r="AH78" s="80">
        <f>SUMPRODUCT(('Monthly Data'!$E$13:$E$9627=$U$74)*('Monthly Data'!$G$13:$G$9627)*('Monthly Data'!$C$13:$C$9627=AH$26)*('Monthly Data'!$D$13:$D$9627=$U78))</f>
        <v>5381</v>
      </c>
      <c r="AI78" s="80">
        <f>SUMPRODUCT(('Monthly Data'!$E$13:$E$9627=$U$74)*('Monthly Data'!$G$13:$G$9627)*('Monthly Data'!$C$13:$C$9627=AI$26)*('Monthly Data'!$D$13:$D$9627=$U78))</f>
        <v>5964</v>
      </c>
      <c r="AJ78" s="80">
        <f>SUMPRODUCT(('Monthly Data'!$E$13:$E$9627=$U$74)*('Monthly Data'!$G$13:$G$9627)*('Monthly Data'!$C$13:$C$9627=AJ$26)*('Monthly Data'!$D$13:$D$9627=$U78))</f>
        <v>5878</v>
      </c>
      <c r="AL78" s="89">
        <f t="shared" si="12"/>
        <v>80844</v>
      </c>
    </row>
    <row r="79" spans="2:38">
      <c r="B79" s="30">
        <v>5</v>
      </c>
      <c r="C79" s="95">
        <f>SUMPRODUCT(('Monthly Data'!$E$13:$E$9627=$B$74)*('Monthly Data'!$F$13:$F$9627)*('Monthly Data'!$C$13:$C$9627=C$26)*('Monthly Data'!$D$13:$D$9627=$B79))</f>
        <v>627705</v>
      </c>
      <c r="D79" s="95">
        <f>SUMPRODUCT(('Monthly Data'!$E$13:$E$9627=$B$74)*('Monthly Data'!$F$13:$F$9627)*('Monthly Data'!$C$13:$C$9627=D$26)*('Monthly Data'!$D$13:$D$9627=$B79))</f>
        <v>620831</v>
      </c>
      <c r="E79" s="80">
        <f>SUMPRODUCT(('Monthly Data'!$E$13:$E$9627=$B$74)*('Monthly Data'!$F$13:$F$9627)*('Monthly Data'!$C$13:$C$9627=E$26)*('Monthly Data'!$D$13:$D$9627=$B79))</f>
        <v>661404</v>
      </c>
      <c r="F79" s="80">
        <f>SUMPRODUCT(('Monthly Data'!$E$13:$E$9627=$B$74)*('Monthly Data'!$F$13:$F$9627)*('Monthly Data'!$C$13:$C$9627=F$26)*('Monthly Data'!$D$13:$D$9627=$B79))</f>
        <v>734329</v>
      </c>
      <c r="G79" s="80">
        <f>SUMPRODUCT(('Monthly Data'!$E$13:$E$9627=$B$74)*('Monthly Data'!$F$13:$F$9627)*('Monthly Data'!$C$13:$C$9627=G$26)*('Monthly Data'!$D$13:$D$9627=$B79))</f>
        <v>772096</v>
      </c>
      <c r="H79" s="80">
        <f>SUMPRODUCT(('Monthly Data'!$E$13:$E$9627=$B$74)*('Monthly Data'!$F$13:$F$9627)*('Monthly Data'!$C$13:$C$9627=H$26)*('Monthly Data'!$D$13:$D$9627=$B79))</f>
        <v>775016</v>
      </c>
      <c r="I79" s="80">
        <f>SUMPRODUCT(('Monthly Data'!$E$13:$E$9627=$B$74)*('Monthly Data'!$F$13:$F$9627)*('Monthly Data'!$C$13:$C$9627=I$26)*('Monthly Data'!$D$13:$D$9627=$B79))</f>
        <v>795207</v>
      </c>
      <c r="J79" s="80">
        <f>SUMPRODUCT(('Monthly Data'!$E$13:$E$9627=$B$74)*('Monthly Data'!$F$13:$F$9627)*('Monthly Data'!$C$13:$C$9627=J$26)*('Monthly Data'!$D$13:$D$9627=$B79))</f>
        <v>779528</v>
      </c>
      <c r="K79" s="80">
        <f>SUMPRODUCT(('Monthly Data'!$E$13:$E$9627=$B$74)*('Monthly Data'!$F$13:$F$9627)*('Monthly Data'!$C$13:$C$9627=K$26)*('Monthly Data'!$D$13:$D$9627=$B79))</f>
        <v>808144</v>
      </c>
      <c r="L79" s="80">
        <f>SUMPRODUCT(('Monthly Data'!$E$13:$E$9627=$B$74)*('Monthly Data'!$F$13:$F$9627)*('Monthly Data'!$C$13:$C$9627=L$26)*('Monthly Data'!$D$13:$D$9627=$B79))</f>
        <v>735220</v>
      </c>
      <c r="M79" s="80">
        <f>SUMPRODUCT(('Monthly Data'!$E$13:$E$9627=$B$74)*('Monthly Data'!$F$13:$F$9627)*('Monthly Data'!$C$13:$C$9627=M$26)*('Monthly Data'!$D$13:$D$9627=$B79))</f>
        <v>649479</v>
      </c>
      <c r="N79" s="80">
        <f>SUMPRODUCT(('Monthly Data'!$E$13:$E$9627=$B$74)*('Monthly Data'!$F$13:$F$9627)*('Monthly Data'!$C$13:$C$9627=N$26)*('Monthly Data'!$D$13:$D$9627=$B79))</f>
        <v>559995</v>
      </c>
      <c r="O79" s="80">
        <f>SUMPRODUCT(('Monthly Data'!$E$13:$E$9627=$B$74)*('Monthly Data'!$F$13:$F$9627)*('Monthly Data'!$C$13:$C$9627=O$26)*('Monthly Data'!$D$13:$D$9627=$B79))</f>
        <v>599245</v>
      </c>
      <c r="P79" s="80">
        <f>SUMPRODUCT(('Monthly Data'!$E$13:$E$9627=$B$74)*('Monthly Data'!$F$13:$F$9627)*('Monthly Data'!$C$13:$C$9627=P$26)*('Monthly Data'!$D$13:$D$9627=$B79))</f>
        <v>658366</v>
      </c>
      <c r="Q79" s="80">
        <f>SUMPRODUCT(('Monthly Data'!$E$13:$E$9627=$B$74)*('Monthly Data'!$F$13:$F$9627)*('Monthly Data'!$C$13:$C$9627=Q$26)*('Monthly Data'!$D$13:$D$9627=$B79))</f>
        <v>0</v>
      </c>
      <c r="S79" s="89">
        <f t="shared" si="13"/>
        <v>9118199</v>
      </c>
      <c r="U79" s="30">
        <v>5</v>
      </c>
      <c r="V79" s="95">
        <f>SUMPRODUCT(('Monthly Data'!$E$13:$E$9627=$U$74)*('Monthly Data'!$G$13:$G$9627)*('Monthly Data'!$C$13:$C$9627=V$26)*('Monthly Data'!$D$13:$D$9627=$U79))</f>
        <v>7601</v>
      </c>
      <c r="W79" s="95">
        <f>SUMPRODUCT(('Monthly Data'!$E$13:$E$9627=$U$74)*('Monthly Data'!$G$13:$G$9627)*('Monthly Data'!$C$13:$C$9627=W$26)*('Monthly Data'!$D$13:$D$9627=$U79))</f>
        <v>7695</v>
      </c>
      <c r="X79" s="80">
        <f>SUMPRODUCT(('Monthly Data'!$E$13:$E$9627=$U$74)*('Monthly Data'!$G$13:$G$9627)*('Monthly Data'!$C$13:$C$9627=X$26)*('Monthly Data'!$D$13:$D$9627=$U79))</f>
        <v>8135</v>
      </c>
      <c r="Y79" s="80">
        <f>SUMPRODUCT(('Monthly Data'!$E$13:$E$9627=$U$74)*('Monthly Data'!$G$13:$G$9627)*('Monthly Data'!$C$13:$C$9627=Y$26)*('Monthly Data'!$D$13:$D$9627=$U79))</f>
        <v>7891</v>
      </c>
      <c r="Z79" s="80">
        <f>SUMPRODUCT(('Monthly Data'!$E$13:$E$9627=$U$74)*('Monthly Data'!$G$13:$G$9627)*('Monthly Data'!$C$13:$C$9627=Z$26)*('Monthly Data'!$D$13:$D$9627=$U79))</f>
        <v>7945</v>
      </c>
      <c r="AA79" s="80">
        <f>SUMPRODUCT(('Monthly Data'!$E$13:$E$9627=$U$74)*('Monthly Data'!$G$13:$G$9627)*('Monthly Data'!$C$13:$C$9627=AA$26)*('Monthly Data'!$D$13:$D$9627=$U79))</f>
        <v>8226</v>
      </c>
      <c r="AB79" s="80">
        <f>SUMPRODUCT(('Monthly Data'!$E$13:$E$9627=$U$74)*('Monthly Data'!$G$13:$G$9627)*('Monthly Data'!$C$13:$C$9627=AB$26)*('Monthly Data'!$D$13:$D$9627=$U79))</f>
        <v>8477</v>
      </c>
      <c r="AC79" s="80">
        <f>SUMPRODUCT(('Monthly Data'!$E$13:$E$9627=$U$74)*('Monthly Data'!$G$13:$G$9627)*('Monthly Data'!$C$13:$C$9627=AC$26)*('Monthly Data'!$D$13:$D$9627=$U79))</f>
        <v>8634</v>
      </c>
      <c r="AD79" s="80">
        <f>SUMPRODUCT(('Monthly Data'!$E$13:$E$9627=$U$74)*('Monthly Data'!$G$13:$G$9627)*('Monthly Data'!$C$13:$C$9627=AD$26)*('Monthly Data'!$D$13:$D$9627=$U79))</f>
        <v>8496</v>
      </c>
      <c r="AE79" s="80">
        <f>SUMPRODUCT(('Monthly Data'!$E$13:$E$9627=$U$74)*('Monthly Data'!$G$13:$G$9627)*('Monthly Data'!$C$13:$C$9627=AE$26)*('Monthly Data'!$D$13:$D$9627=$U79))</f>
        <v>7922</v>
      </c>
      <c r="AF79" s="80">
        <f>SUMPRODUCT(('Monthly Data'!$E$13:$E$9627=$U$74)*('Monthly Data'!$G$13:$G$9627)*('Monthly Data'!$C$13:$C$9627=AF$26)*('Monthly Data'!$D$13:$D$9627=$U79))</f>
        <v>6638</v>
      </c>
      <c r="AG79" s="80">
        <f>SUMPRODUCT(('Monthly Data'!$E$13:$E$9627=$U$74)*('Monthly Data'!$G$13:$G$9627)*('Monthly Data'!$C$13:$C$9627=AG$26)*('Monthly Data'!$D$13:$D$9627=$U79))</f>
        <v>5959</v>
      </c>
      <c r="AH79" s="80">
        <f>SUMPRODUCT(('Monthly Data'!$E$13:$E$9627=$U$74)*('Monthly Data'!$G$13:$G$9627)*('Monthly Data'!$C$13:$C$9627=AH$26)*('Monthly Data'!$D$13:$D$9627=$U79))</f>
        <v>6031</v>
      </c>
      <c r="AI79" s="80">
        <f>SUMPRODUCT(('Monthly Data'!$E$13:$E$9627=$U$74)*('Monthly Data'!$G$13:$G$9627)*('Monthly Data'!$C$13:$C$9627=AI$26)*('Monthly Data'!$D$13:$D$9627=$U79))</f>
        <v>6834</v>
      </c>
      <c r="AJ79" s="80">
        <f>SUMPRODUCT(('Monthly Data'!$E$13:$E$9627=$U$74)*('Monthly Data'!$G$13:$G$9627)*('Monthly Data'!$C$13:$C$9627=AJ$26)*('Monthly Data'!$D$13:$D$9627=$U79))</f>
        <v>0</v>
      </c>
      <c r="AL79" s="89">
        <f t="shared" si="12"/>
        <v>92049</v>
      </c>
    </row>
    <row r="80" spans="2:38">
      <c r="B80" s="30">
        <v>6</v>
      </c>
      <c r="C80" s="95">
        <f>SUMPRODUCT(('Monthly Data'!$E$13:$E$9627=$B$74)*('Monthly Data'!$F$13:$F$9627)*('Monthly Data'!$C$13:$C$9627=C$26)*('Monthly Data'!$D$13:$D$9627=$B80))</f>
        <v>702338</v>
      </c>
      <c r="D80" s="95">
        <f>SUMPRODUCT(('Monthly Data'!$E$13:$E$9627=$B$74)*('Monthly Data'!$F$13:$F$9627)*('Monthly Data'!$C$13:$C$9627=D$26)*('Monthly Data'!$D$13:$D$9627=$B80))</f>
        <v>720699</v>
      </c>
      <c r="E80" s="80">
        <f>SUMPRODUCT(('Monthly Data'!$E$13:$E$9627=$B$74)*('Monthly Data'!$F$13:$F$9627)*('Monthly Data'!$C$13:$C$9627=E$26)*('Monthly Data'!$D$13:$D$9627=$B80))</f>
        <v>745433</v>
      </c>
      <c r="F80" s="80">
        <f>SUMPRODUCT(('Monthly Data'!$E$13:$E$9627=$B$74)*('Monthly Data'!$F$13:$F$9627)*('Monthly Data'!$C$13:$C$9627=F$26)*('Monthly Data'!$D$13:$D$9627=$B80))</f>
        <v>784840</v>
      </c>
      <c r="G80" s="80">
        <f>SUMPRODUCT(('Monthly Data'!$E$13:$E$9627=$B$74)*('Monthly Data'!$F$13:$F$9627)*('Monthly Data'!$C$13:$C$9627=G$26)*('Monthly Data'!$D$13:$D$9627=$B80))</f>
        <v>809153</v>
      </c>
      <c r="H80" s="80">
        <f>SUMPRODUCT(('Monthly Data'!$E$13:$E$9627=$B$74)*('Monthly Data'!$F$13:$F$9627)*('Monthly Data'!$C$13:$C$9627=H$26)*('Monthly Data'!$D$13:$D$9627=$B80))</f>
        <v>853777</v>
      </c>
      <c r="I80" s="80">
        <f>SUMPRODUCT(('Monthly Data'!$E$13:$E$9627=$B$74)*('Monthly Data'!$F$13:$F$9627)*('Monthly Data'!$C$13:$C$9627=I$26)*('Monthly Data'!$D$13:$D$9627=$B80))</f>
        <v>890648</v>
      </c>
      <c r="J80" s="80">
        <f>SUMPRODUCT(('Monthly Data'!$E$13:$E$9627=$B$74)*('Monthly Data'!$F$13:$F$9627)*('Monthly Data'!$C$13:$C$9627=J$26)*('Monthly Data'!$D$13:$D$9627=$B80))</f>
        <v>889377</v>
      </c>
      <c r="K80" s="80">
        <f>SUMPRODUCT(('Monthly Data'!$E$13:$E$9627=$B$74)*('Monthly Data'!$F$13:$F$9627)*('Monthly Data'!$C$13:$C$9627=K$26)*('Monthly Data'!$D$13:$D$9627=$B80))</f>
        <v>869434</v>
      </c>
      <c r="L80" s="80">
        <f>SUMPRODUCT(('Monthly Data'!$E$13:$E$9627=$B$74)*('Monthly Data'!$F$13:$F$9627)*('Monthly Data'!$C$13:$C$9627=L$26)*('Monthly Data'!$D$13:$D$9627=$B80))</f>
        <v>826905</v>
      </c>
      <c r="M80" s="80">
        <f>SUMPRODUCT(('Monthly Data'!$E$13:$E$9627=$B$74)*('Monthly Data'!$F$13:$F$9627)*('Monthly Data'!$C$13:$C$9627=M$26)*('Monthly Data'!$D$13:$D$9627=$B80))</f>
        <v>736308</v>
      </c>
      <c r="N80" s="80">
        <f>SUMPRODUCT(('Monthly Data'!$E$13:$E$9627=$B$74)*('Monthly Data'!$F$13:$F$9627)*('Monthly Data'!$C$13:$C$9627=N$26)*('Monthly Data'!$D$13:$D$9627=$B80))</f>
        <v>684475</v>
      </c>
      <c r="O80" s="80">
        <f>SUMPRODUCT(('Monthly Data'!$E$13:$E$9627=$B$74)*('Monthly Data'!$F$13:$F$9627)*('Monthly Data'!$C$13:$C$9627=O$26)*('Monthly Data'!$D$13:$D$9627=$B80))</f>
        <v>702348</v>
      </c>
      <c r="P80" s="80">
        <f>SUMPRODUCT(('Monthly Data'!$E$13:$E$9627=$B$74)*('Monthly Data'!$F$13:$F$9627)*('Monthly Data'!$C$13:$C$9627=P$26)*('Monthly Data'!$D$13:$D$9627=$B80))</f>
        <v>733655</v>
      </c>
      <c r="Q80" s="80">
        <f>SUMPRODUCT(('Monthly Data'!$E$13:$E$9627=$B$74)*('Monthly Data'!$F$13:$F$9627)*('Monthly Data'!$C$13:$C$9627=Q$26)*('Monthly Data'!$D$13:$D$9627=$B80))</f>
        <v>0</v>
      </c>
      <c r="S80" s="89">
        <f t="shared" si="13"/>
        <v>10215735</v>
      </c>
      <c r="U80" s="30">
        <v>6</v>
      </c>
      <c r="V80" s="95">
        <f>SUMPRODUCT(('Monthly Data'!$E$13:$E$9627=$U$74)*('Monthly Data'!$G$13:$G$9627)*('Monthly Data'!$C$13:$C$9627=V$26)*('Monthly Data'!$D$13:$D$9627=$U80))</f>
        <v>7880</v>
      </c>
      <c r="W80" s="95">
        <f>SUMPRODUCT(('Monthly Data'!$E$13:$E$9627=$U$74)*('Monthly Data'!$G$13:$G$9627)*('Monthly Data'!$C$13:$C$9627=W$26)*('Monthly Data'!$D$13:$D$9627=$U80))</f>
        <v>7965</v>
      </c>
      <c r="X80" s="80">
        <f>SUMPRODUCT(('Monthly Data'!$E$13:$E$9627=$U$74)*('Monthly Data'!$G$13:$G$9627)*('Monthly Data'!$C$13:$C$9627=X$26)*('Monthly Data'!$D$13:$D$9627=$U80))</f>
        <v>8230</v>
      </c>
      <c r="Y80" s="80">
        <f>SUMPRODUCT(('Monthly Data'!$E$13:$E$9627=$U$74)*('Monthly Data'!$G$13:$G$9627)*('Monthly Data'!$C$13:$C$9627=Y$26)*('Monthly Data'!$D$13:$D$9627=$U80))</f>
        <v>7829</v>
      </c>
      <c r="Z80" s="80">
        <f>SUMPRODUCT(('Monthly Data'!$E$13:$E$9627=$U$74)*('Monthly Data'!$G$13:$G$9627)*('Monthly Data'!$C$13:$C$9627=Z$26)*('Monthly Data'!$D$13:$D$9627=$U80))</f>
        <v>8017</v>
      </c>
      <c r="AA80" s="80">
        <f>SUMPRODUCT(('Monthly Data'!$E$13:$E$9627=$U$74)*('Monthly Data'!$G$13:$G$9627)*('Monthly Data'!$C$13:$C$9627=AA$26)*('Monthly Data'!$D$13:$D$9627=$U80))</f>
        <v>8439</v>
      </c>
      <c r="AB80" s="80">
        <f>SUMPRODUCT(('Monthly Data'!$E$13:$E$9627=$U$74)*('Monthly Data'!$G$13:$G$9627)*('Monthly Data'!$C$13:$C$9627=AB$26)*('Monthly Data'!$D$13:$D$9627=$U80))</f>
        <v>9105</v>
      </c>
      <c r="AC80" s="80">
        <f>SUMPRODUCT(('Monthly Data'!$E$13:$E$9627=$U$74)*('Monthly Data'!$G$13:$G$9627)*('Monthly Data'!$C$13:$C$9627=AC$26)*('Monthly Data'!$D$13:$D$9627=$U80))</f>
        <v>8893</v>
      </c>
      <c r="AD80" s="80">
        <f>SUMPRODUCT(('Monthly Data'!$E$13:$E$9627=$U$74)*('Monthly Data'!$G$13:$G$9627)*('Monthly Data'!$C$13:$C$9627=AD$26)*('Monthly Data'!$D$13:$D$9627=$U80))</f>
        <v>8538</v>
      </c>
      <c r="AE80" s="80">
        <f>SUMPRODUCT(('Monthly Data'!$E$13:$E$9627=$U$74)*('Monthly Data'!$G$13:$G$9627)*('Monthly Data'!$C$13:$C$9627=AE$26)*('Monthly Data'!$D$13:$D$9627=$U80))</f>
        <v>8151</v>
      </c>
      <c r="AF80" s="80">
        <f>SUMPRODUCT(('Monthly Data'!$E$13:$E$9627=$U$74)*('Monthly Data'!$G$13:$G$9627)*('Monthly Data'!$C$13:$C$9627=AF$26)*('Monthly Data'!$D$13:$D$9627=$U80))</f>
        <v>6984</v>
      </c>
      <c r="AG80" s="80">
        <f>SUMPRODUCT(('Monthly Data'!$E$13:$E$9627=$U$74)*('Monthly Data'!$G$13:$G$9627)*('Monthly Data'!$C$13:$C$9627=AG$26)*('Monthly Data'!$D$13:$D$9627=$U80))</f>
        <v>6602</v>
      </c>
      <c r="AH80" s="80">
        <f>SUMPRODUCT(('Monthly Data'!$E$13:$E$9627=$U$74)*('Monthly Data'!$G$13:$G$9627)*('Monthly Data'!$C$13:$C$9627=AH$26)*('Monthly Data'!$D$13:$D$9627=$U80))</f>
        <v>6487</v>
      </c>
      <c r="AI80" s="80">
        <f>SUMPRODUCT(('Monthly Data'!$E$13:$E$9627=$U$74)*('Monthly Data'!$G$13:$G$9627)*('Monthly Data'!$C$13:$C$9627=AI$26)*('Monthly Data'!$D$13:$D$9627=$U80))</f>
        <v>7016</v>
      </c>
      <c r="AJ80" s="80">
        <f>SUMPRODUCT(('Monthly Data'!$E$13:$E$9627=$U$74)*('Monthly Data'!$G$13:$G$9627)*('Monthly Data'!$C$13:$C$9627=AJ$26)*('Monthly Data'!$D$13:$D$9627=$U80))</f>
        <v>0</v>
      </c>
      <c r="AL80" s="89">
        <f t="shared" si="12"/>
        <v>95240</v>
      </c>
    </row>
    <row r="81" spans="2:38">
      <c r="B81" s="30">
        <v>7</v>
      </c>
      <c r="C81" s="95">
        <f>SUMPRODUCT(('Monthly Data'!$E$13:$E$9627=$B$74)*('Monthly Data'!$F$13:$F$9627)*('Monthly Data'!$C$13:$C$9627=C$26)*('Monthly Data'!$D$13:$D$9627=$B81))</f>
        <v>781757</v>
      </c>
      <c r="D81" s="95">
        <f>SUMPRODUCT(('Monthly Data'!$E$13:$E$9627=$B$74)*('Monthly Data'!$F$13:$F$9627)*('Monthly Data'!$C$13:$C$9627=D$26)*('Monthly Data'!$D$13:$D$9627=$B81))</f>
        <v>805723</v>
      </c>
      <c r="E81" s="80">
        <f>SUMPRODUCT(('Monthly Data'!$E$13:$E$9627=$B$74)*('Monthly Data'!$F$13:$F$9627)*('Monthly Data'!$C$13:$C$9627=E$26)*('Monthly Data'!$D$13:$D$9627=$B81))</f>
        <v>830939</v>
      </c>
      <c r="F81" s="80">
        <f>SUMPRODUCT(('Monthly Data'!$E$13:$E$9627=$B$74)*('Monthly Data'!$F$13:$F$9627)*('Monthly Data'!$C$13:$C$9627=F$26)*('Monthly Data'!$D$13:$D$9627=$B81))</f>
        <v>885190</v>
      </c>
      <c r="G81" s="80">
        <f>SUMPRODUCT(('Monthly Data'!$E$13:$E$9627=$B$74)*('Monthly Data'!$F$13:$F$9627)*('Monthly Data'!$C$13:$C$9627=G$26)*('Monthly Data'!$D$13:$D$9627=$B81))</f>
        <v>916786</v>
      </c>
      <c r="H81" s="80">
        <f>SUMPRODUCT(('Monthly Data'!$E$13:$E$9627=$B$74)*('Monthly Data'!$F$13:$F$9627)*('Monthly Data'!$C$13:$C$9627=H$26)*('Monthly Data'!$D$13:$D$9627=$B81))</f>
        <v>1006393</v>
      </c>
      <c r="I81" s="80">
        <f>SUMPRODUCT(('Monthly Data'!$E$13:$E$9627=$B$74)*('Monthly Data'!$F$13:$F$9627)*('Monthly Data'!$C$13:$C$9627=I$26)*('Monthly Data'!$D$13:$D$9627=$B81))</f>
        <v>1054888</v>
      </c>
      <c r="J81" s="80">
        <f>SUMPRODUCT(('Monthly Data'!$E$13:$E$9627=$B$74)*('Monthly Data'!$F$13:$F$9627)*('Monthly Data'!$C$13:$C$9627=J$26)*('Monthly Data'!$D$13:$D$9627=$B81))</f>
        <v>1032526</v>
      </c>
      <c r="K81" s="80">
        <f>SUMPRODUCT(('Monthly Data'!$E$13:$E$9627=$B$74)*('Monthly Data'!$F$13:$F$9627)*('Monthly Data'!$C$13:$C$9627=K$26)*('Monthly Data'!$D$13:$D$9627=$B81))</f>
        <v>968714</v>
      </c>
      <c r="L81" s="80">
        <f>SUMPRODUCT(('Monthly Data'!$E$13:$E$9627=$B$74)*('Monthly Data'!$F$13:$F$9627)*('Monthly Data'!$C$13:$C$9627=L$26)*('Monthly Data'!$D$13:$D$9627=$B81))</f>
        <v>938580</v>
      </c>
      <c r="M81" s="80">
        <f>SUMPRODUCT(('Monthly Data'!$E$13:$E$9627=$B$74)*('Monthly Data'!$F$13:$F$9627)*('Monthly Data'!$C$13:$C$9627=M$26)*('Monthly Data'!$D$13:$D$9627=$B81))</f>
        <v>817245</v>
      </c>
      <c r="N81" s="80">
        <f>SUMPRODUCT(('Monthly Data'!$E$13:$E$9627=$B$74)*('Monthly Data'!$F$13:$F$9627)*('Monthly Data'!$C$13:$C$9627=N$26)*('Monthly Data'!$D$13:$D$9627=$B81))</f>
        <v>788240</v>
      </c>
      <c r="O81" s="80">
        <f>SUMPRODUCT(('Monthly Data'!$E$13:$E$9627=$B$74)*('Monthly Data'!$F$13:$F$9627)*('Monthly Data'!$C$13:$C$9627=O$26)*('Monthly Data'!$D$13:$D$9627=$B81))</f>
        <v>793110</v>
      </c>
      <c r="P81" s="80">
        <f>SUMPRODUCT(('Monthly Data'!$E$13:$E$9627=$B$74)*('Monthly Data'!$F$13:$F$9627)*('Monthly Data'!$C$13:$C$9627=P$26)*('Monthly Data'!$D$13:$D$9627=$B81))</f>
        <v>789397</v>
      </c>
      <c r="Q81" s="80">
        <f>SUMPRODUCT(('Monthly Data'!$E$13:$E$9627=$B$74)*('Monthly Data'!$F$13:$F$9627)*('Monthly Data'!$C$13:$C$9627=Q$26)*('Monthly Data'!$D$13:$D$9627=$B81))</f>
        <v>0</v>
      </c>
      <c r="S81" s="89">
        <f t="shared" si="13"/>
        <v>11620091</v>
      </c>
      <c r="U81" s="30">
        <v>7</v>
      </c>
      <c r="V81" s="95">
        <f>SUMPRODUCT(('Monthly Data'!$E$13:$E$9627=$U$74)*('Monthly Data'!$G$13:$G$9627)*('Monthly Data'!$C$13:$C$9627=V$26)*('Monthly Data'!$D$13:$D$9627=$U81))</f>
        <v>8374</v>
      </c>
      <c r="W81" s="95">
        <f>SUMPRODUCT(('Monthly Data'!$E$13:$E$9627=$U$74)*('Monthly Data'!$G$13:$G$9627)*('Monthly Data'!$C$13:$C$9627=W$26)*('Monthly Data'!$D$13:$D$9627=$U81))</f>
        <v>8418</v>
      </c>
      <c r="X81" s="80">
        <f>SUMPRODUCT(('Monthly Data'!$E$13:$E$9627=$U$74)*('Monthly Data'!$G$13:$G$9627)*('Monthly Data'!$C$13:$C$9627=X$26)*('Monthly Data'!$D$13:$D$9627=$U81))</f>
        <v>8617</v>
      </c>
      <c r="Y81" s="80">
        <f>SUMPRODUCT(('Monthly Data'!$E$13:$E$9627=$U$74)*('Monthly Data'!$G$13:$G$9627)*('Monthly Data'!$C$13:$C$9627=Y$26)*('Monthly Data'!$D$13:$D$9627=$U81))</f>
        <v>8682</v>
      </c>
      <c r="Z81" s="80">
        <f>SUMPRODUCT(('Monthly Data'!$E$13:$E$9627=$U$74)*('Monthly Data'!$G$13:$G$9627)*('Monthly Data'!$C$13:$C$9627=Z$26)*('Monthly Data'!$D$13:$D$9627=$U81))</f>
        <v>8622</v>
      </c>
      <c r="AA81" s="80">
        <f>SUMPRODUCT(('Monthly Data'!$E$13:$E$9627=$U$74)*('Monthly Data'!$G$13:$G$9627)*('Monthly Data'!$C$13:$C$9627=AA$26)*('Monthly Data'!$D$13:$D$9627=$U81))</f>
        <v>9017</v>
      </c>
      <c r="AB81" s="80">
        <f>SUMPRODUCT(('Monthly Data'!$E$13:$E$9627=$U$74)*('Monthly Data'!$G$13:$G$9627)*('Monthly Data'!$C$13:$C$9627=AB$26)*('Monthly Data'!$D$13:$D$9627=$U81))</f>
        <v>9903</v>
      </c>
      <c r="AC81" s="80">
        <f>SUMPRODUCT(('Monthly Data'!$E$13:$E$9627=$U$74)*('Monthly Data'!$G$13:$G$9627)*('Monthly Data'!$C$13:$C$9627=AC$26)*('Monthly Data'!$D$13:$D$9627=$U81))</f>
        <v>9449</v>
      </c>
      <c r="AD81" s="80">
        <f>SUMPRODUCT(('Monthly Data'!$E$13:$E$9627=$U$74)*('Monthly Data'!$G$13:$G$9627)*('Monthly Data'!$C$13:$C$9627=AD$26)*('Monthly Data'!$D$13:$D$9627=$U81))</f>
        <v>8955</v>
      </c>
      <c r="AE81" s="80">
        <f>SUMPRODUCT(('Monthly Data'!$E$13:$E$9627=$U$74)*('Monthly Data'!$G$13:$G$9627)*('Monthly Data'!$C$13:$C$9627=AE$26)*('Monthly Data'!$D$13:$D$9627=$U81))</f>
        <v>8599</v>
      </c>
      <c r="AF81" s="80">
        <f>SUMPRODUCT(('Monthly Data'!$E$13:$E$9627=$U$74)*('Monthly Data'!$G$13:$G$9627)*('Monthly Data'!$C$13:$C$9627=AF$26)*('Monthly Data'!$D$13:$D$9627=$U81))</f>
        <v>7174</v>
      </c>
      <c r="AG81" s="80">
        <f>SUMPRODUCT(('Monthly Data'!$E$13:$E$9627=$U$74)*('Monthly Data'!$G$13:$G$9627)*('Monthly Data'!$C$13:$C$9627=AG$26)*('Monthly Data'!$D$13:$D$9627=$U81))</f>
        <v>7198</v>
      </c>
      <c r="AH81" s="80">
        <f>SUMPRODUCT(('Monthly Data'!$E$13:$E$9627=$U$74)*('Monthly Data'!$G$13:$G$9627)*('Monthly Data'!$C$13:$C$9627=AH$26)*('Monthly Data'!$D$13:$D$9627=$U81))</f>
        <v>6908</v>
      </c>
      <c r="AI81" s="80">
        <f>SUMPRODUCT(('Monthly Data'!$E$13:$E$9627=$U$74)*('Monthly Data'!$G$13:$G$9627)*('Monthly Data'!$C$13:$C$9627=AI$26)*('Monthly Data'!$D$13:$D$9627=$U81))</f>
        <v>7051</v>
      </c>
      <c r="AJ81" s="80">
        <f>SUMPRODUCT(('Monthly Data'!$E$13:$E$9627=$U$74)*('Monthly Data'!$G$13:$G$9627)*('Monthly Data'!$C$13:$C$9627=AJ$26)*('Monthly Data'!$D$13:$D$9627=$U81))</f>
        <v>0</v>
      </c>
      <c r="AL81" s="89">
        <f t="shared" si="12"/>
        <v>101542</v>
      </c>
    </row>
    <row r="82" spans="2:38">
      <c r="B82" s="30">
        <v>8</v>
      </c>
      <c r="C82" s="95">
        <f>SUMPRODUCT(('Monthly Data'!$E$13:$E$9627=$B$74)*('Monthly Data'!$F$13:$F$9627)*('Monthly Data'!$C$13:$C$9627=C$26)*('Monthly Data'!$D$13:$D$9627=$B82))</f>
        <v>701032</v>
      </c>
      <c r="D82" s="95">
        <f>SUMPRODUCT(('Monthly Data'!$E$13:$E$9627=$B$74)*('Monthly Data'!$F$13:$F$9627)*('Monthly Data'!$C$13:$C$9627=D$26)*('Monthly Data'!$D$13:$D$9627=$B82))</f>
        <v>704823</v>
      </c>
      <c r="E82" s="80">
        <f>SUMPRODUCT(('Monthly Data'!$E$13:$E$9627=$B$74)*('Monthly Data'!$F$13:$F$9627)*('Monthly Data'!$C$13:$C$9627=E$26)*('Monthly Data'!$D$13:$D$9627=$B82))</f>
        <v>750244</v>
      </c>
      <c r="F82" s="80">
        <f>SUMPRODUCT(('Monthly Data'!$E$13:$E$9627=$B$74)*('Monthly Data'!$F$13:$F$9627)*('Monthly Data'!$C$13:$C$9627=F$26)*('Monthly Data'!$D$13:$D$9627=$B82))</f>
        <v>825168</v>
      </c>
      <c r="G82" s="80">
        <f>SUMPRODUCT(('Monthly Data'!$E$13:$E$9627=$B$74)*('Monthly Data'!$F$13:$F$9627)*('Monthly Data'!$C$13:$C$9627=G$26)*('Monthly Data'!$D$13:$D$9627=$B82))</f>
        <v>833766</v>
      </c>
      <c r="H82" s="80">
        <f>SUMPRODUCT(('Monthly Data'!$E$13:$E$9627=$B$74)*('Monthly Data'!$F$13:$F$9627)*('Monthly Data'!$C$13:$C$9627=H$26)*('Monthly Data'!$D$13:$D$9627=$B82))</f>
        <v>870326</v>
      </c>
      <c r="I82" s="80">
        <f>SUMPRODUCT(('Monthly Data'!$E$13:$E$9627=$B$74)*('Monthly Data'!$F$13:$F$9627)*('Monthly Data'!$C$13:$C$9627=I$26)*('Monthly Data'!$D$13:$D$9627=$B82))</f>
        <v>883226</v>
      </c>
      <c r="J82" s="80">
        <f>SUMPRODUCT(('Monthly Data'!$E$13:$E$9627=$B$74)*('Monthly Data'!$F$13:$F$9627)*('Monthly Data'!$C$13:$C$9627=J$26)*('Monthly Data'!$D$13:$D$9627=$B82))</f>
        <v>864488</v>
      </c>
      <c r="K82" s="80">
        <f>SUMPRODUCT(('Monthly Data'!$E$13:$E$9627=$B$74)*('Monthly Data'!$F$13:$F$9627)*('Monthly Data'!$C$13:$C$9627=K$26)*('Monthly Data'!$D$13:$D$9627=$B82))</f>
        <v>869020</v>
      </c>
      <c r="L82" s="80">
        <f>SUMPRODUCT(('Monthly Data'!$E$13:$E$9627=$B$74)*('Monthly Data'!$F$13:$F$9627)*('Monthly Data'!$C$13:$C$9627=L$26)*('Monthly Data'!$D$13:$D$9627=$B82))</f>
        <v>823903</v>
      </c>
      <c r="M82" s="80">
        <f>SUMPRODUCT(('Monthly Data'!$E$13:$E$9627=$B$74)*('Monthly Data'!$F$13:$F$9627)*('Monthly Data'!$C$13:$C$9627=M$26)*('Monthly Data'!$D$13:$D$9627=$B82))</f>
        <v>712632</v>
      </c>
      <c r="N82" s="80">
        <f>SUMPRODUCT(('Monthly Data'!$E$13:$E$9627=$B$74)*('Monthly Data'!$F$13:$F$9627)*('Monthly Data'!$C$13:$C$9627=N$26)*('Monthly Data'!$D$13:$D$9627=$B82))</f>
        <v>646291</v>
      </c>
      <c r="O82" s="80">
        <f>SUMPRODUCT(('Monthly Data'!$E$13:$E$9627=$B$74)*('Monthly Data'!$F$13:$F$9627)*('Monthly Data'!$C$13:$C$9627=O$26)*('Monthly Data'!$D$13:$D$9627=$B82))</f>
        <v>682088</v>
      </c>
      <c r="P82" s="80">
        <f>SUMPRODUCT(('Monthly Data'!$E$13:$E$9627=$B$74)*('Monthly Data'!$F$13:$F$9627)*('Monthly Data'!$C$13:$C$9627=P$26)*('Monthly Data'!$D$13:$D$9627=$B82))</f>
        <v>703465</v>
      </c>
      <c r="Q82" s="80">
        <f>SUMPRODUCT(('Monthly Data'!$E$13:$E$9627=$B$74)*('Monthly Data'!$F$13:$F$9627)*('Monthly Data'!$C$13:$C$9627=Q$26)*('Monthly Data'!$D$13:$D$9627=$B82))</f>
        <v>0</v>
      </c>
      <c r="S82" s="89">
        <f t="shared" si="13"/>
        <v>10167007</v>
      </c>
      <c r="U82" s="30">
        <v>8</v>
      </c>
      <c r="V82" s="95">
        <f>SUMPRODUCT(('Monthly Data'!$E$13:$E$9627=$U$74)*('Monthly Data'!$G$13:$G$9627)*('Monthly Data'!$C$13:$C$9627=V$26)*('Monthly Data'!$D$13:$D$9627=$U82))</f>
        <v>7983</v>
      </c>
      <c r="W82" s="95">
        <f>SUMPRODUCT(('Monthly Data'!$E$13:$E$9627=$U$74)*('Monthly Data'!$G$13:$G$9627)*('Monthly Data'!$C$13:$C$9627=W$26)*('Monthly Data'!$D$13:$D$9627=$U82))</f>
        <v>8106</v>
      </c>
      <c r="X82" s="80">
        <f>SUMPRODUCT(('Monthly Data'!$E$13:$E$9627=$U$74)*('Monthly Data'!$G$13:$G$9627)*('Monthly Data'!$C$13:$C$9627=X$26)*('Monthly Data'!$D$13:$D$9627=$U82))</f>
        <v>8445</v>
      </c>
      <c r="Y82" s="80">
        <f>SUMPRODUCT(('Monthly Data'!$E$13:$E$9627=$U$74)*('Monthly Data'!$G$13:$G$9627)*('Monthly Data'!$C$13:$C$9627=Y$26)*('Monthly Data'!$D$13:$D$9627=$U82))</f>
        <v>8174</v>
      </c>
      <c r="Z82" s="80">
        <f>SUMPRODUCT(('Monthly Data'!$E$13:$E$9627=$U$74)*('Monthly Data'!$G$13:$G$9627)*('Monthly Data'!$C$13:$C$9627=Z$26)*('Monthly Data'!$D$13:$D$9627=$U82))</f>
        <v>8114</v>
      </c>
      <c r="AA82" s="80">
        <f>SUMPRODUCT(('Monthly Data'!$E$13:$E$9627=$U$74)*('Monthly Data'!$G$13:$G$9627)*('Monthly Data'!$C$13:$C$9627=AA$26)*('Monthly Data'!$D$13:$D$9627=$U82))</f>
        <v>8484</v>
      </c>
      <c r="AB82" s="80">
        <f>SUMPRODUCT(('Monthly Data'!$E$13:$E$9627=$U$74)*('Monthly Data'!$G$13:$G$9627)*('Monthly Data'!$C$13:$C$9627=AB$26)*('Monthly Data'!$D$13:$D$9627=$U82))</f>
        <v>9237</v>
      </c>
      <c r="AC82" s="80">
        <f>SUMPRODUCT(('Monthly Data'!$E$13:$E$9627=$U$74)*('Monthly Data'!$G$13:$G$9627)*('Monthly Data'!$C$13:$C$9627=AC$26)*('Monthly Data'!$D$13:$D$9627=$U82))</f>
        <v>8981</v>
      </c>
      <c r="AD82" s="80">
        <f>SUMPRODUCT(('Monthly Data'!$E$13:$E$9627=$U$74)*('Monthly Data'!$G$13:$G$9627)*('Monthly Data'!$C$13:$C$9627=AD$26)*('Monthly Data'!$D$13:$D$9627=$U82))</f>
        <v>8660</v>
      </c>
      <c r="AE82" s="80">
        <f>SUMPRODUCT(('Monthly Data'!$E$13:$E$9627=$U$74)*('Monthly Data'!$G$13:$G$9627)*('Monthly Data'!$C$13:$C$9627=AE$26)*('Monthly Data'!$D$13:$D$9627=$U82))</f>
        <v>7939</v>
      </c>
      <c r="AF82" s="80">
        <f>SUMPRODUCT(('Monthly Data'!$E$13:$E$9627=$U$74)*('Monthly Data'!$G$13:$G$9627)*('Monthly Data'!$C$13:$C$9627=AF$26)*('Monthly Data'!$D$13:$D$9627=$U82))</f>
        <v>6570</v>
      </c>
      <c r="AG82" s="80">
        <f>SUMPRODUCT(('Monthly Data'!$E$13:$E$9627=$U$74)*('Monthly Data'!$G$13:$G$9627)*('Monthly Data'!$C$13:$C$9627=AG$26)*('Monthly Data'!$D$13:$D$9627=$U82))</f>
        <v>6457</v>
      </c>
      <c r="AH82" s="80">
        <f>SUMPRODUCT(('Monthly Data'!$E$13:$E$9627=$U$74)*('Monthly Data'!$G$13:$G$9627)*('Monthly Data'!$C$13:$C$9627=AH$26)*('Monthly Data'!$D$13:$D$9627=$U82))</f>
        <v>6499</v>
      </c>
      <c r="AI82" s="80">
        <f>SUMPRODUCT(('Monthly Data'!$E$13:$E$9627=$U$74)*('Monthly Data'!$G$13:$G$9627)*('Monthly Data'!$C$13:$C$9627=AI$26)*('Monthly Data'!$D$13:$D$9627=$U82))</f>
        <v>6702</v>
      </c>
      <c r="AJ82" s="80">
        <f>SUMPRODUCT(('Monthly Data'!$E$13:$E$9627=$U$74)*('Monthly Data'!$G$13:$G$9627)*('Monthly Data'!$C$13:$C$9627=AJ$26)*('Monthly Data'!$D$13:$D$9627=$U82))</f>
        <v>0</v>
      </c>
      <c r="AL82" s="89">
        <f t="shared" si="12"/>
        <v>95666</v>
      </c>
    </row>
    <row r="83" spans="2:38">
      <c r="B83" s="30">
        <v>9</v>
      </c>
      <c r="C83" s="95">
        <f>SUMPRODUCT(('Monthly Data'!$E$13:$E$9627=$B$74)*('Monthly Data'!$F$13:$F$9627)*('Monthly Data'!$C$13:$C$9627=C$26)*('Monthly Data'!$D$13:$D$9627=$B83))</f>
        <v>699480</v>
      </c>
      <c r="D83" s="95">
        <f>SUMPRODUCT(('Monthly Data'!$E$13:$E$9627=$B$74)*('Monthly Data'!$F$13:$F$9627)*('Monthly Data'!$C$13:$C$9627=D$26)*('Monthly Data'!$D$13:$D$9627=$B83))</f>
        <v>698431</v>
      </c>
      <c r="E83" s="80">
        <f>SUMPRODUCT(('Monthly Data'!$E$13:$E$9627=$B$74)*('Monthly Data'!$F$13:$F$9627)*('Monthly Data'!$C$13:$C$9627=E$26)*('Monthly Data'!$D$13:$D$9627=$B83))</f>
        <v>746832</v>
      </c>
      <c r="F83" s="80">
        <f>SUMPRODUCT(('Monthly Data'!$E$13:$E$9627=$B$74)*('Monthly Data'!$F$13:$F$9627)*('Monthly Data'!$C$13:$C$9627=F$26)*('Monthly Data'!$D$13:$D$9627=$B83))</f>
        <v>785778</v>
      </c>
      <c r="G83" s="80">
        <f>SUMPRODUCT(('Monthly Data'!$E$13:$E$9627=$B$74)*('Monthly Data'!$F$13:$F$9627)*('Monthly Data'!$C$13:$C$9627=G$26)*('Monthly Data'!$D$13:$D$9627=$B83))</f>
        <v>814930</v>
      </c>
      <c r="H83" s="80">
        <f>SUMPRODUCT(('Monthly Data'!$E$13:$E$9627=$B$74)*('Monthly Data'!$F$13:$F$9627)*('Monthly Data'!$C$13:$C$9627=H$26)*('Monthly Data'!$D$13:$D$9627=$B83))</f>
        <v>882603</v>
      </c>
      <c r="I83" s="80">
        <f>SUMPRODUCT(('Monthly Data'!$E$13:$E$9627=$B$74)*('Monthly Data'!$F$13:$F$9627)*('Monthly Data'!$C$13:$C$9627=I$26)*('Monthly Data'!$D$13:$D$9627=$B83))</f>
        <v>900593</v>
      </c>
      <c r="J83" s="80">
        <f>SUMPRODUCT(('Monthly Data'!$E$13:$E$9627=$B$74)*('Monthly Data'!$F$13:$F$9627)*('Monthly Data'!$C$13:$C$9627=J$26)*('Monthly Data'!$D$13:$D$9627=$B83))</f>
        <v>891083</v>
      </c>
      <c r="K83" s="80">
        <f>SUMPRODUCT(('Monthly Data'!$E$13:$E$9627=$B$74)*('Monthly Data'!$F$13:$F$9627)*('Monthly Data'!$C$13:$C$9627=K$26)*('Monthly Data'!$D$13:$D$9627=$B83))</f>
        <v>883639</v>
      </c>
      <c r="L83" s="80">
        <f>SUMPRODUCT(('Monthly Data'!$E$13:$E$9627=$B$74)*('Monthly Data'!$F$13:$F$9627)*('Monthly Data'!$C$13:$C$9627=L$26)*('Monthly Data'!$D$13:$D$9627=$B83))</f>
        <v>786276</v>
      </c>
      <c r="M83" s="80">
        <f>SUMPRODUCT(('Monthly Data'!$E$13:$E$9627=$B$74)*('Monthly Data'!$F$13:$F$9627)*('Monthly Data'!$C$13:$C$9627=M$26)*('Monthly Data'!$D$13:$D$9627=$B83))</f>
        <v>716205</v>
      </c>
      <c r="N83" s="80">
        <f>SUMPRODUCT(('Monthly Data'!$E$13:$E$9627=$B$74)*('Monthly Data'!$F$13:$F$9627)*('Monthly Data'!$C$13:$C$9627=N$26)*('Monthly Data'!$D$13:$D$9627=$B83))</f>
        <v>675171</v>
      </c>
      <c r="O83" s="80">
        <f>SUMPRODUCT(('Monthly Data'!$E$13:$E$9627=$B$74)*('Monthly Data'!$F$13:$F$9627)*('Monthly Data'!$C$13:$C$9627=O$26)*('Monthly Data'!$D$13:$D$9627=$B83))</f>
        <v>696182</v>
      </c>
      <c r="P83" s="80">
        <f>SUMPRODUCT(('Monthly Data'!$E$13:$E$9627=$B$74)*('Monthly Data'!$F$13:$F$9627)*('Monthly Data'!$C$13:$C$9627=P$26)*('Monthly Data'!$D$13:$D$9627=$B83))</f>
        <v>735978</v>
      </c>
      <c r="Q83" s="80">
        <f>SUMPRODUCT(('Monthly Data'!$E$13:$E$9627=$B$74)*('Monthly Data'!$F$13:$F$9627)*('Monthly Data'!$C$13:$C$9627=Q$26)*('Monthly Data'!$D$13:$D$9627=$B83))</f>
        <v>0</v>
      </c>
      <c r="S83" s="89">
        <f t="shared" si="13"/>
        <v>10177203</v>
      </c>
      <c r="U83" s="30">
        <v>9</v>
      </c>
      <c r="V83" s="95">
        <f>SUMPRODUCT(('Monthly Data'!$E$13:$E$9627=$U$74)*('Monthly Data'!$G$13:$G$9627)*('Monthly Data'!$C$13:$C$9627=V$26)*('Monthly Data'!$D$13:$D$9627=$U83))</f>
        <v>7855</v>
      </c>
      <c r="W83" s="95">
        <f>SUMPRODUCT(('Monthly Data'!$E$13:$E$9627=$U$74)*('Monthly Data'!$G$13:$G$9627)*('Monthly Data'!$C$13:$C$9627=W$26)*('Monthly Data'!$D$13:$D$9627=$U83))</f>
        <v>7819</v>
      </c>
      <c r="X83" s="80">
        <f>SUMPRODUCT(('Monthly Data'!$E$13:$E$9627=$U$74)*('Monthly Data'!$G$13:$G$9627)*('Monthly Data'!$C$13:$C$9627=X$26)*('Monthly Data'!$D$13:$D$9627=$U83))</f>
        <v>8345</v>
      </c>
      <c r="Y83" s="80">
        <f>SUMPRODUCT(('Monthly Data'!$E$13:$E$9627=$U$74)*('Monthly Data'!$G$13:$G$9627)*('Monthly Data'!$C$13:$C$9627=Y$26)*('Monthly Data'!$D$13:$D$9627=$U83))</f>
        <v>7789</v>
      </c>
      <c r="Z83" s="80">
        <f>SUMPRODUCT(('Monthly Data'!$E$13:$E$9627=$U$74)*('Monthly Data'!$G$13:$G$9627)*('Monthly Data'!$C$13:$C$9627=Z$26)*('Monthly Data'!$D$13:$D$9627=$U83))</f>
        <v>7969</v>
      </c>
      <c r="AA83" s="80">
        <f>SUMPRODUCT(('Monthly Data'!$E$13:$E$9627=$U$74)*('Monthly Data'!$G$13:$G$9627)*('Monthly Data'!$C$13:$C$9627=AA$26)*('Monthly Data'!$D$13:$D$9627=$U83))</f>
        <v>8576</v>
      </c>
      <c r="AB83" s="80">
        <f>SUMPRODUCT(('Monthly Data'!$E$13:$E$9627=$U$74)*('Monthly Data'!$G$13:$G$9627)*('Monthly Data'!$C$13:$C$9627=AB$26)*('Monthly Data'!$D$13:$D$9627=$U83))</f>
        <v>8930</v>
      </c>
      <c r="AC83" s="80">
        <f>SUMPRODUCT(('Monthly Data'!$E$13:$E$9627=$U$74)*('Monthly Data'!$G$13:$G$9627)*('Monthly Data'!$C$13:$C$9627=AC$26)*('Monthly Data'!$D$13:$D$9627=$U83))</f>
        <v>8792</v>
      </c>
      <c r="AD83" s="80">
        <f>SUMPRODUCT(('Monthly Data'!$E$13:$E$9627=$U$74)*('Monthly Data'!$G$13:$G$9627)*('Monthly Data'!$C$13:$C$9627=AD$26)*('Monthly Data'!$D$13:$D$9627=$U83))</f>
        <v>8418</v>
      </c>
      <c r="AE83" s="80">
        <f>SUMPRODUCT(('Monthly Data'!$E$13:$E$9627=$U$74)*('Monthly Data'!$G$13:$G$9627)*('Monthly Data'!$C$13:$C$9627=AE$26)*('Monthly Data'!$D$13:$D$9627=$U83))</f>
        <v>7940</v>
      </c>
      <c r="AF83" s="80">
        <f>SUMPRODUCT(('Monthly Data'!$E$13:$E$9627=$U$74)*('Monthly Data'!$G$13:$G$9627)*('Monthly Data'!$C$13:$C$9627=AF$26)*('Monthly Data'!$D$13:$D$9627=$U83))</f>
        <v>6638</v>
      </c>
      <c r="AG83" s="80">
        <f>SUMPRODUCT(('Monthly Data'!$E$13:$E$9627=$U$74)*('Monthly Data'!$G$13:$G$9627)*('Monthly Data'!$C$13:$C$9627=AG$26)*('Monthly Data'!$D$13:$D$9627=$U83))</f>
        <v>6506</v>
      </c>
      <c r="AH83" s="80">
        <f>SUMPRODUCT(('Monthly Data'!$E$13:$E$9627=$U$74)*('Monthly Data'!$G$13:$G$9627)*('Monthly Data'!$C$13:$C$9627=AH$26)*('Monthly Data'!$D$13:$D$9627=$U83))</f>
        <v>6338</v>
      </c>
      <c r="AI83" s="80">
        <f>SUMPRODUCT(('Monthly Data'!$E$13:$E$9627=$U$74)*('Monthly Data'!$G$13:$G$9627)*('Monthly Data'!$C$13:$C$9627=AI$26)*('Monthly Data'!$D$13:$D$9627=$U83))</f>
        <v>6682</v>
      </c>
      <c r="AJ83" s="80">
        <f>SUMPRODUCT(('Monthly Data'!$E$13:$E$9627=$U$74)*('Monthly Data'!$G$13:$G$9627)*('Monthly Data'!$C$13:$C$9627=AJ$26)*('Monthly Data'!$D$13:$D$9627=$U83))</f>
        <v>0</v>
      </c>
      <c r="AL83" s="89">
        <f t="shared" si="12"/>
        <v>94060</v>
      </c>
    </row>
    <row r="84" spans="2:38">
      <c r="B84" s="30">
        <v>10</v>
      </c>
      <c r="C84" s="95">
        <f>SUMPRODUCT(('Monthly Data'!$E$13:$E$9627=$B$74)*('Monthly Data'!$F$13:$F$9627)*('Monthly Data'!$C$13:$C$9627=C$26)*('Monthly Data'!$D$13:$D$9627=$B84))</f>
        <v>664036</v>
      </c>
      <c r="D84" s="95">
        <f>SUMPRODUCT(('Monthly Data'!$E$13:$E$9627=$B$74)*('Monthly Data'!$F$13:$F$9627)*('Monthly Data'!$C$13:$C$9627=D$26)*('Monthly Data'!$D$13:$D$9627=$B84))</f>
        <v>665860</v>
      </c>
      <c r="E84" s="80">
        <f>SUMPRODUCT(('Monthly Data'!$E$13:$E$9627=$B$74)*('Monthly Data'!$F$13:$F$9627)*('Monthly Data'!$C$13:$C$9627=E$26)*('Monthly Data'!$D$13:$D$9627=$B84))</f>
        <v>709884</v>
      </c>
      <c r="F84" s="80">
        <f>SUMPRODUCT(('Monthly Data'!$E$13:$E$9627=$B$74)*('Monthly Data'!$F$13:$F$9627)*('Monthly Data'!$C$13:$C$9627=F$26)*('Monthly Data'!$D$13:$D$9627=$B84))</f>
        <v>777317</v>
      </c>
      <c r="G84" s="80">
        <f>SUMPRODUCT(('Monthly Data'!$E$13:$E$9627=$B$74)*('Monthly Data'!$F$13:$F$9627)*('Monthly Data'!$C$13:$C$9627=G$26)*('Monthly Data'!$D$13:$D$9627=$B84))</f>
        <v>791635</v>
      </c>
      <c r="H84" s="80">
        <f>SUMPRODUCT(('Monthly Data'!$E$13:$E$9627=$B$74)*('Monthly Data'!$F$13:$F$9627)*('Monthly Data'!$C$13:$C$9627=H$26)*('Monthly Data'!$D$13:$D$9627=$B84))</f>
        <v>857737</v>
      </c>
      <c r="I84" s="80">
        <f>SUMPRODUCT(('Monthly Data'!$E$13:$E$9627=$B$74)*('Monthly Data'!$F$13:$F$9627)*('Monthly Data'!$C$13:$C$9627=I$26)*('Monthly Data'!$D$13:$D$9627=$B84))</f>
        <v>867533</v>
      </c>
      <c r="J84" s="80">
        <f>SUMPRODUCT(('Monthly Data'!$E$13:$E$9627=$B$74)*('Monthly Data'!$F$13:$F$9627)*('Monthly Data'!$C$13:$C$9627=J$26)*('Monthly Data'!$D$13:$D$9627=$B84))</f>
        <v>881326</v>
      </c>
      <c r="K84" s="80">
        <f>SUMPRODUCT(('Monthly Data'!$E$13:$E$9627=$B$74)*('Monthly Data'!$F$13:$F$9627)*('Monthly Data'!$C$13:$C$9627=K$26)*('Monthly Data'!$D$13:$D$9627=$B84))</f>
        <v>866337</v>
      </c>
      <c r="L84" s="80">
        <f>SUMPRODUCT(('Monthly Data'!$E$13:$E$9627=$B$74)*('Monthly Data'!$F$13:$F$9627)*('Monthly Data'!$C$13:$C$9627=L$26)*('Monthly Data'!$D$13:$D$9627=$B84))</f>
        <v>787130</v>
      </c>
      <c r="M84" s="80">
        <f>SUMPRODUCT(('Monthly Data'!$E$13:$E$9627=$B$74)*('Monthly Data'!$F$13:$F$9627)*('Monthly Data'!$C$13:$C$9627=M$26)*('Monthly Data'!$D$13:$D$9627=$B84))</f>
        <v>714794</v>
      </c>
      <c r="N84" s="80">
        <f>SUMPRODUCT(('Monthly Data'!$E$13:$E$9627=$B$74)*('Monthly Data'!$F$13:$F$9627)*('Monthly Data'!$C$13:$C$9627=N$26)*('Monthly Data'!$D$13:$D$9627=$B84))</f>
        <v>662302</v>
      </c>
      <c r="O84" s="80">
        <f>SUMPRODUCT(('Monthly Data'!$E$13:$E$9627=$B$74)*('Monthly Data'!$F$13:$F$9627)*('Monthly Data'!$C$13:$C$9627=O$26)*('Monthly Data'!$D$13:$D$9627=$B84))</f>
        <v>663486</v>
      </c>
      <c r="P84" s="80">
        <f>SUMPRODUCT(('Monthly Data'!$E$13:$E$9627=$B$74)*('Monthly Data'!$F$13:$F$9627)*('Monthly Data'!$C$13:$C$9627=P$26)*('Monthly Data'!$D$13:$D$9627=$B84))</f>
        <v>694303</v>
      </c>
      <c r="Q84" s="80">
        <f>SUMPRODUCT(('Monthly Data'!$E$13:$E$9627=$B$74)*('Monthly Data'!$F$13:$F$9627)*('Monthly Data'!$C$13:$C$9627=Q$26)*('Monthly Data'!$D$13:$D$9627=$B84))</f>
        <v>0</v>
      </c>
      <c r="S84" s="89">
        <f t="shared" si="13"/>
        <v>9909377</v>
      </c>
      <c r="U84" s="30">
        <v>10</v>
      </c>
      <c r="V84" s="95">
        <f>SUMPRODUCT(('Monthly Data'!$E$13:$E$9627=$U$74)*('Monthly Data'!$G$13:$G$9627)*('Monthly Data'!$C$13:$C$9627=V$26)*('Monthly Data'!$D$13:$D$9627=$U84))</f>
        <v>7782</v>
      </c>
      <c r="W84" s="95">
        <f>SUMPRODUCT(('Monthly Data'!$E$13:$E$9627=$U$74)*('Monthly Data'!$G$13:$G$9627)*('Monthly Data'!$C$13:$C$9627=W$26)*('Monthly Data'!$D$13:$D$9627=$U84))</f>
        <v>7852</v>
      </c>
      <c r="X84" s="80">
        <f>SUMPRODUCT(('Monthly Data'!$E$13:$E$9627=$U$74)*('Monthly Data'!$G$13:$G$9627)*('Monthly Data'!$C$13:$C$9627=X$26)*('Monthly Data'!$D$13:$D$9627=$U84))</f>
        <v>8689</v>
      </c>
      <c r="Y84" s="80">
        <f>SUMPRODUCT(('Monthly Data'!$E$13:$E$9627=$U$74)*('Monthly Data'!$G$13:$G$9627)*('Monthly Data'!$C$13:$C$9627=Y$26)*('Monthly Data'!$D$13:$D$9627=$U84))</f>
        <v>7974</v>
      </c>
      <c r="Z84" s="80">
        <f>SUMPRODUCT(('Monthly Data'!$E$13:$E$9627=$U$74)*('Monthly Data'!$G$13:$G$9627)*('Monthly Data'!$C$13:$C$9627=Z$26)*('Monthly Data'!$D$13:$D$9627=$U84))</f>
        <v>7906</v>
      </c>
      <c r="AA84" s="80">
        <f>SUMPRODUCT(('Monthly Data'!$E$13:$E$9627=$U$74)*('Monthly Data'!$G$13:$G$9627)*('Monthly Data'!$C$13:$C$9627=AA$26)*('Monthly Data'!$D$13:$D$9627=$U84))</f>
        <v>8443</v>
      </c>
      <c r="AB84" s="80">
        <f>SUMPRODUCT(('Monthly Data'!$E$13:$E$9627=$U$74)*('Monthly Data'!$G$13:$G$9627)*('Monthly Data'!$C$13:$C$9627=AB$26)*('Monthly Data'!$D$13:$D$9627=$U84))</f>
        <v>8751</v>
      </c>
      <c r="AC84" s="80">
        <f>SUMPRODUCT(('Monthly Data'!$E$13:$E$9627=$U$74)*('Monthly Data'!$G$13:$G$9627)*('Monthly Data'!$C$13:$C$9627=AC$26)*('Monthly Data'!$D$13:$D$9627=$U84))</f>
        <v>8905</v>
      </c>
      <c r="AD84" s="80">
        <f>SUMPRODUCT(('Monthly Data'!$E$13:$E$9627=$U$74)*('Monthly Data'!$G$13:$G$9627)*('Monthly Data'!$C$13:$C$9627=AD$26)*('Monthly Data'!$D$13:$D$9627=$U84))</f>
        <v>8730</v>
      </c>
      <c r="AE84" s="80">
        <f>SUMPRODUCT(('Monthly Data'!$E$13:$E$9627=$U$74)*('Monthly Data'!$G$13:$G$9627)*('Monthly Data'!$C$13:$C$9627=AE$26)*('Monthly Data'!$D$13:$D$9627=$U84))</f>
        <v>7923</v>
      </c>
      <c r="AF84" s="80">
        <f>SUMPRODUCT(('Monthly Data'!$E$13:$E$9627=$U$74)*('Monthly Data'!$G$13:$G$9627)*('Monthly Data'!$C$13:$C$9627=AF$26)*('Monthly Data'!$D$13:$D$9627=$U84))</f>
        <v>6737</v>
      </c>
      <c r="AG84" s="80">
        <f>SUMPRODUCT(('Monthly Data'!$E$13:$E$9627=$U$74)*('Monthly Data'!$G$13:$G$9627)*('Monthly Data'!$C$13:$C$9627=AG$26)*('Monthly Data'!$D$13:$D$9627=$U84))</f>
        <v>6487</v>
      </c>
      <c r="AH84" s="80">
        <f>SUMPRODUCT(('Monthly Data'!$E$13:$E$9627=$U$74)*('Monthly Data'!$G$13:$G$9627)*('Monthly Data'!$C$13:$C$9627=AH$26)*('Monthly Data'!$D$13:$D$9627=$U84))</f>
        <v>6232</v>
      </c>
      <c r="AI84" s="80">
        <f>SUMPRODUCT(('Monthly Data'!$E$13:$E$9627=$U$74)*('Monthly Data'!$G$13:$G$9627)*('Monthly Data'!$C$13:$C$9627=AI$26)*('Monthly Data'!$D$13:$D$9627=$U84))</f>
        <v>6640</v>
      </c>
      <c r="AJ84" s="80">
        <f>SUMPRODUCT(('Monthly Data'!$E$13:$E$9627=$U$74)*('Monthly Data'!$G$13:$G$9627)*('Monthly Data'!$C$13:$C$9627=AJ$26)*('Monthly Data'!$D$13:$D$9627=$U84))</f>
        <v>0</v>
      </c>
      <c r="AL84" s="89">
        <f t="shared" si="12"/>
        <v>94629</v>
      </c>
    </row>
    <row r="85" spans="2:38">
      <c r="B85" s="30">
        <v>11</v>
      </c>
      <c r="C85" s="95">
        <f>SUMPRODUCT(('Monthly Data'!$E$13:$E$9627=$B$74)*('Monthly Data'!$F$13:$F$9627)*('Monthly Data'!$C$13:$C$9627=C$26)*('Monthly Data'!$D$13:$D$9627=$B85))</f>
        <v>440361</v>
      </c>
      <c r="D85" s="95">
        <f>SUMPRODUCT(('Monthly Data'!$E$13:$E$9627=$B$74)*('Monthly Data'!$F$13:$F$9627)*('Monthly Data'!$C$13:$C$9627=D$26)*('Monthly Data'!$D$13:$D$9627=$B85))</f>
        <v>487892</v>
      </c>
      <c r="E85" s="80">
        <f>SUMPRODUCT(('Monthly Data'!$E$13:$E$9627=$B$74)*('Monthly Data'!$F$13:$F$9627)*('Monthly Data'!$C$13:$C$9627=E$26)*('Monthly Data'!$D$13:$D$9627=$B85))</f>
        <v>504348</v>
      </c>
      <c r="F85" s="80">
        <f>SUMPRODUCT(('Monthly Data'!$E$13:$E$9627=$B$74)*('Monthly Data'!$F$13:$F$9627)*('Monthly Data'!$C$13:$C$9627=F$26)*('Monthly Data'!$D$13:$D$9627=$B85))</f>
        <v>532667</v>
      </c>
      <c r="G85" s="80">
        <f>SUMPRODUCT(('Monthly Data'!$E$13:$E$9627=$B$74)*('Monthly Data'!$F$13:$F$9627)*('Monthly Data'!$C$13:$C$9627=G$26)*('Monthly Data'!$D$13:$D$9627=$B85))</f>
        <v>554726</v>
      </c>
      <c r="H85" s="80">
        <f>SUMPRODUCT(('Monthly Data'!$E$13:$E$9627=$B$74)*('Monthly Data'!$F$13:$F$9627)*('Monthly Data'!$C$13:$C$9627=H$26)*('Monthly Data'!$D$13:$D$9627=$B85))</f>
        <v>585185</v>
      </c>
      <c r="I85" s="80">
        <f>SUMPRODUCT(('Monthly Data'!$E$13:$E$9627=$B$74)*('Monthly Data'!$F$13:$F$9627)*('Monthly Data'!$C$13:$C$9627=I$26)*('Monthly Data'!$D$13:$D$9627=$B85))</f>
        <v>593238</v>
      </c>
      <c r="J85" s="80">
        <f>SUMPRODUCT(('Monthly Data'!$E$13:$E$9627=$B$74)*('Monthly Data'!$F$13:$F$9627)*('Monthly Data'!$C$13:$C$9627=J$26)*('Monthly Data'!$D$13:$D$9627=$B85))</f>
        <v>627076</v>
      </c>
      <c r="K85" s="80">
        <f>SUMPRODUCT(('Monthly Data'!$E$13:$E$9627=$B$74)*('Monthly Data'!$F$13:$F$9627)*('Monthly Data'!$C$13:$C$9627=K$26)*('Monthly Data'!$D$13:$D$9627=$B85))</f>
        <v>607206</v>
      </c>
      <c r="L85" s="80">
        <f>SUMPRODUCT(('Monthly Data'!$E$13:$E$9627=$B$74)*('Monthly Data'!$F$13:$F$9627)*('Monthly Data'!$C$13:$C$9627=L$26)*('Monthly Data'!$D$13:$D$9627=$B85))</f>
        <v>512835</v>
      </c>
      <c r="M85" s="80">
        <f>SUMPRODUCT(('Monthly Data'!$E$13:$E$9627=$B$74)*('Monthly Data'!$F$13:$F$9627)*('Monthly Data'!$C$13:$C$9627=M$26)*('Monthly Data'!$D$13:$D$9627=$B85))</f>
        <v>488530</v>
      </c>
      <c r="N85" s="80">
        <f>SUMPRODUCT(('Monthly Data'!$E$13:$E$9627=$B$74)*('Monthly Data'!$F$13:$F$9627)*('Monthly Data'!$C$13:$C$9627=N$26)*('Monthly Data'!$D$13:$D$9627=$B85))</f>
        <v>484772</v>
      </c>
      <c r="O85" s="80">
        <f>SUMPRODUCT(('Monthly Data'!$E$13:$E$9627=$B$74)*('Monthly Data'!$F$13:$F$9627)*('Monthly Data'!$C$13:$C$9627=O$26)*('Monthly Data'!$D$13:$D$9627=$B85))</f>
        <v>472778</v>
      </c>
      <c r="P85" s="80">
        <f>SUMPRODUCT(('Monthly Data'!$E$13:$E$9627=$B$74)*('Monthly Data'!$F$13:$F$9627)*('Monthly Data'!$C$13:$C$9627=P$26)*('Monthly Data'!$D$13:$D$9627=$B85))</f>
        <v>497441</v>
      </c>
      <c r="Q85" s="80">
        <f>SUMPRODUCT(('Monthly Data'!$E$13:$E$9627=$B$74)*('Monthly Data'!$F$13:$F$9627)*('Monthly Data'!$C$13:$C$9627=Q$26)*('Monthly Data'!$D$13:$D$9627=$B85))</f>
        <v>0</v>
      </c>
      <c r="S85" s="89">
        <f t="shared" si="13"/>
        <v>6891614</v>
      </c>
      <c r="U85" s="30">
        <v>11</v>
      </c>
      <c r="V85" s="95">
        <f>SUMPRODUCT(('Monthly Data'!$E$13:$E$9627=$U$74)*('Monthly Data'!$G$13:$G$9627)*('Monthly Data'!$C$13:$C$9627=V$26)*('Monthly Data'!$D$13:$D$9627=$U85))</f>
        <v>6497</v>
      </c>
      <c r="W85" s="95">
        <f>SUMPRODUCT(('Monthly Data'!$E$13:$E$9627=$U$74)*('Monthly Data'!$G$13:$G$9627)*('Monthly Data'!$C$13:$C$9627=W$26)*('Monthly Data'!$D$13:$D$9627=$U85))</f>
        <v>7055</v>
      </c>
      <c r="X85" s="80">
        <f>SUMPRODUCT(('Monthly Data'!$E$13:$E$9627=$U$74)*('Monthly Data'!$G$13:$G$9627)*('Monthly Data'!$C$13:$C$9627=X$26)*('Monthly Data'!$D$13:$D$9627=$U85))</f>
        <v>7019</v>
      </c>
      <c r="Y85" s="80">
        <f>SUMPRODUCT(('Monthly Data'!$E$13:$E$9627=$U$74)*('Monthly Data'!$G$13:$G$9627)*('Monthly Data'!$C$13:$C$9627=Y$26)*('Monthly Data'!$D$13:$D$9627=$U85))</f>
        <v>6641</v>
      </c>
      <c r="Z85" s="80">
        <f>SUMPRODUCT(('Monthly Data'!$E$13:$E$9627=$U$74)*('Monthly Data'!$G$13:$G$9627)*('Monthly Data'!$C$13:$C$9627=Z$26)*('Monthly Data'!$D$13:$D$9627=$U85))</f>
        <v>6553</v>
      </c>
      <c r="AA85" s="80">
        <f>SUMPRODUCT(('Monthly Data'!$E$13:$E$9627=$U$74)*('Monthly Data'!$G$13:$G$9627)*('Monthly Data'!$C$13:$C$9627=AA$26)*('Monthly Data'!$D$13:$D$9627=$U85))</f>
        <v>7122</v>
      </c>
      <c r="AB85" s="80">
        <f>SUMPRODUCT(('Monthly Data'!$E$13:$E$9627=$U$74)*('Monthly Data'!$G$13:$G$9627)*('Monthly Data'!$C$13:$C$9627=AB$26)*('Monthly Data'!$D$13:$D$9627=$U85))</f>
        <v>7343</v>
      </c>
      <c r="AC85" s="80">
        <f>SUMPRODUCT(('Monthly Data'!$E$13:$E$9627=$U$74)*('Monthly Data'!$G$13:$G$9627)*('Monthly Data'!$C$13:$C$9627=AC$26)*('Monthly Data'!$D$13:$D$9627=$U85))</f>
        <v>7621</v>
      </c>
      <c r="AD85" s="80">
        <f>SUMPRODUCT(('Monthly Data'!$E$13:$E$9627=$U$74)*('Monthly Data'!$G$13:$G$9627)*('Monthly Data'!$C$13:$C$9627=AD$26)*('Monthly Data'!$D$13:$D$9627=$U85))</f>
        <v>6978</v>
      </c>
      <c r="AE85" s="80">
        <f>SUMPRODUCT(('Monthly Data'!$E$13:$E$9627=$U$74)*('Monthly Data'!$G$13:$G$9627)*('Monthly Data'!$C$13:$C$9627=AE$26)*('Monthly Data'!$D$13:$D$9627=$U85))</f>
        <v>5936</v>
      </c>
      <c r="AF85" s="80">
        <f>SUMPRODUCT(('Monthly Data'!$E$13:$E$9627=$U$74)*('Monthly Data'!$G$13:$G$9627)*('Monthly Data'!$C$13:$C$9627=AF$26)*('Monthly Data'!$D$13:$D$9627=$U85))</f>
        <v>5402</v>
      </c>
      <c r="AG85" s="80">
        <f>SUMPRODUCT(('Monthly Data'!$E$13:$E$9627=$U$74)*('Monthly Data'!$G$13:$G$9627)*('Monthly Data'!$C$13:$C$9627=AG$26)*('Monthly Data'!$D$13:$D$9627=$U85))</f>
        <v>5572</v>
      </c>
      <c r="AH85" s="80">
        <f>SUMPRODUCT(('Monthly Data'!$E$13:$E$9627=$U$74)*('Monthly Data'!$G$13:$G$9627)*('Monthly Data'!$C$13:$C$9627=AH$26)*('Monthly Data'!$D$13:$D$9627=$U85))</f>
        <v>5249</v>
      </c>
      <c r="AI85" s="80">
        <f>SUMPRODUCT(('Monthly Data'!$E$13:$E$9627=$U$74)*('Monthly Data'!$G$13:$G$9627)*('Monthly Data'!$C$13:$C$9627=AI$26)*('Monthly Data'!$D$13:$D$9627=$U85))</f>
        <v>5409</v>
      </c>
      <c r="AJ85" s="80">
        <f>SUMPRODUCT(('Monthly Data'!$E$13:$E$9627=$U$74)*('Monthly Data'!$G$13:$G$9627)*('Monthly Data'!$C$13:$C$9627=AJ$26)*('Monthly Data'!$D$13:$D$9627=$U85))</f>
        <v>0</v>
      </c>
      <c r="AL85" s="89">
        <f t="shared" si="12"/>
        <v>78491</v>
      </c>
    </row>
    <row r="86" spans="2:38">
      <c r="B86" s="30">
        <v>12</v>
      </c>
      <c r="C86" s="95">
        <f>SUMPRODUCT(('Monthly Data'!$E$13:$E$9627=$B$74)*('Monthly Data'!$F$13:$F$9627)*('Monthly Data'!$C$13:$C$9627=C$26)*('Monthly Data'!$D$13:$D$9627=$B86))</f>
        <v>391211</v>
      </c>
      <c r="D86" s="95">
        <f>SUMPRODUCT(('Monthly Data'!$E$13:$E$9627=$B$74)*('Monthly Data'!$F$13:$F$9627)*('Monthly Data'!$C$13:$C$9627=D$26)*('Monthly Data'!$D$13:$D$9627=$B86))</f>
        <v>421904</v>
      </c>
      <c r="E86" s="80">
        <f>SUMPRODUCT(('Monthly Data'!$E$13:$E$9627=$B$74)*('Monthly Data'!$F$13:$F$9627)*('Monthly Data'!$C$13:$C$9627=E$26)*('Monthly Data'!$D$13:$D$9627=$B86))</f>
        <v>446454</v>
      </c>
      <c r="F86" s="80">
        <f>SUMPRODUCT(('Monthly Data'!$E$13:$E$9627=$B$74)*('Monthly Data'!$F$13:$F$9627)*('Monthly Data'!$C$13:$C$9627=F$26)*('Monthly Data'!$D$13:$D$9627=$B86))</f>
        <v>490414</v>
      </c>
      <c r="G86" s="80">
        <f>SUMPRODUCT(('Monthly Data'!$E$13:$E$9627=$B$74)*('Monthly Data'!$F$13:$F$9627)*('Monthly Data'!$C$13:$C$9627=G$26)*('Monthly Data'!$D$13:$D$9627=$B86))</f>
        <v>490430</v>
      </c>
      <c r="H86" s="80">
        <f>SUMPRODUCT(('Monthly Data'!$E$13:$E$9627=$B$74)*('Monthly Data'!$F$13:$F$9627)*('Monthly Data'!$C$13:$C$9627=H$26)*('Monthly Data'!$D$13:$D$9627=$B86))</f>
        <v>526248</v>
      </c>
      <c r="I86" s="80">
        <f>SUMPRODUCT(('Monthly Data'!$E$13:$E$9627=$B$74)*('Monthly Data'!$F$13:$F$9627)*('Monthly Data'!$C$13:$C$9627=I$26)*('Monthly Data'!$D$13:$D$9627=$B86))</f>
        <v>536131</v>
      </c>
      <c r="J86" s="80">
        <f>SUMPRODUCT(('Monthly Data'!$E$13:$E$9627=$B$74)*('Monthly Data'!$F$13:$F$9627)*('Monthly Data'!$C$13:$C$9627=J$26)*('Monthly Data'!$D$13:$D$9627=$B86))</f>
        <v>548492</v>
      </c>
      <c r="K86" s="80">
        <f>SUMPRODUCT(('Monthly Data'!$E$13:$E$9627=$B$74)*('Monthly Data'!$F$13:$F$9627)*('Monthly Data'!$C$13:$C$9627=K$26)*('Monthly Data'!$D$13:$D$9627=$B86))</f>
        <v>520869</v>
      </c>
      <c r="L86" s="80">
        <f>SUMPRODUCT(('Monthly Data'!$E$13:$E$9627=$B$74)*('Monthly Data'!$F$13:$F$9627)*('Monthly Data'!$C$13:$C$9627=L$26)*('Monthly Data'!$D$13:$D$9627=$B86))</f>
        <v>465557</v>
      </c>
      <c r="M86" s="80">
        <f>SUMPRODUCT(('Monthly Data'!$E$13:$E$9627=$B$74)*('Monthly Data'!$F$13:$F$9627)*('Monthly Data'!$C$13:$C$9627=M$26)*('Monthly Data'!$D$13:$D$9627=$B86))</f>
        <v>424190</v>
      </c>
      <c r="N86" s="80">
        <f>SUMPRODUCT(('Monthly Data'!$E$13:$E$9627=$B$74)*('Monthly Data'!$F$13:$F$9627)*('Monthly Data'!$C$13:$C$9627=N$26)*('Monthly Data'!$D$13:$D$9627=$B86))</f>
        <v>359558</v>
      </c>
      <c r="O86" s="80">
        <f>SUMPRODUCT(('Monthly Data'!$E$13:$E$9627=$B$74)*('Monthly Data'!$F$13:$F$9627)*('Monthly Data'!$C$13:$C$9627=O$26)*('Monthly Data'!$D$13:$D$9627=$B86))</f>
        <v>419808</v>
      </c>
      <c r="P86" s="80">
        <f>SUMPRODUCT(('Monthly Data'!$E$13:$E$9627=$B$74)*('Monthly Data'!$F$13:$F$9627)*('Monthly Data'!$C$13:$C$9627=P$26)*('Monthly Data'!$D$13:$D$9627=$B86))</f>
        <v>438430</v>
      </c>
      <c r="Q86" s="80">
        <f>SUMPRODUCT(('Monthly Data'!$E$13:$E$9627=$B$74)*('Monthly Data'!$F$13:$F$9627)*('Monthly Data'!$C$13:$C$9627=Q$26)*('Monthly Data'!$D$13:$D$9627=$B86))</f>
        <v>0</v>
      </c>
      <c r="S86" s="89">
        <f t="shared" si="13"/>
        <v>6041266</v>
      </c>
      <c r="U86" s="30">
        <v>12</v>
      </c>
      <c r="V86" s="95">
        <f>SUMPRODUCT(('Monthly Data'!$E$13:$E$9627=$U$74)*('Monthly Data'!$G$13:$G$9627)*('Monthly Data'!$C$13:$C$9627=V$26)*('Monthly Data'!$D$13:$D$9627=$U86))</f>
        <v>6053</v>
      </c>
      <c r="W86" s="95">
        <f>SUMPRODUCT(('Monthly Data'!$E$13:$E$9627=$U$74)*('Monthly Data'!$G$13:$G$9627)*('Monthly Data'!$C$13:$C$9627=W$26)*('Monthly Data'!$D$13:$D$9627=$U86))</f>
        <v>6116</v>
      </c>
      <c r="X86" s="80">
        <f>SUMPRODUCT(('Monthly Data'!$E$13:$E$9627=$U$74)*('Monthly Data'!$G$13:$G$9627)*('Monthly Data'!$C$13:$C$9627=X$26)*('Monthly Data'!$D$13:$D$9627=$U86))</f>
        <v>6158</v>
      </c>
      <c r="Y86" s="80">
        <f>SUMPRODUCT(('Monthly Data'!$E$13:$E$9627=$U$74)*('Monthly Data'!$G$13:$G$9627)*('Monthly Data'!$C$13:$C$9627=Y$26)*('Monthly Data'!$D$13:$D$9627=$U86))</f>
        <v>6208</v>
      </c>
      <c r="Z86" s="80">
        <f>SUMPRODUCT(('Monthly Data'!$E$13:$E$9627=$U$74)*('Monthly Data'!$G$13:$G$9627)*('Monthly Data'!$C$13:$C$9627=Z$26)*('Monthly Data'!$D$13:$D$9627=$U86))</f>
        <v>6303</v>
      </c>
      <c r="AA86" s="80">
        <f>SUMPRODUCT(('Monthly Data'!$E$13:$E$9627=$U$74)*('Monthly Data'!$G$13:$G$9627)*('Monthly Data'!$C$13:$C$9627=AA$26)*('Monthly Data'!$D$13:$D$9627=$U86))</f>
        <v>6604</v>
      </c>
      <c r="AB86" s="80">
        <f>SUMPRODUCT(('Monthly Data'!$E$13:$E$9627=$U$74)*('Monthly Data'!$G$13:$G$9627)*('Monthly Data'!$C$13:$C$9627=AB$26)*('Monthly Data'!$D$13:$D$9627=$U86))</f>
        <v>6907</v>
      </c>
      <c r="AC86" s="80">
        <f>SUMPRODUCT(('Monthly Data'!$E$13:$E$9627=$U$74)*('Monthly Data'!$G$13:$G$9627)*('Monthly Data'!$C$13:$C$9627=AC$26)*('Monthly Data'!$D$13:$D$9627=$U86))</f>
        <v>6781</v>
      </c>
      <c r="AD86" s="80">
        <f>SUMPRODUCT(('Monthly Data'!$E$13:$E$9627=$U$74)*('Monthly Data'!$G$13:$G$9627)*('Monthly Data'!$C$13:$C$9627=AD$26)*('Monthly Data'!$D$13:$D$9627=$U86))</f>
        <v>6217</v>
      </c>
      <c r="AE86" s="80">
        <f>SUMPRODUCT(('Monthly Data'!$E$13:$E$9627=$U$74)*('Monthly Data'!$G$13:$G$9627)*('Monthly Data'!$C$13:$C$9627=AE$26)*('Monthly Data'!$D$13:$D$9627=$U86))</f>
        <v>5585</v>
      </c>
      <c r="AF86" s="80">
        <f>SUMPRODUCT(('Monthly Data'!$E$13:$E$9627=$U$74)*('Monthly Data'!$G$13:$G$9627)*('Monthly Data'!$C$13:$C$9627=AF$26)*('Monthly Data'!$D$13:$D$9627=$U86))</f>
        <v>4924</v>
      </c>
      <c r="AG86" s="80">
        <f>SUMPRODUCT(('Monthly Data'!$E$13:$E$9627=$U$74)*('Monthly Data'!$G$13:$G$9627)*('Monthly Data'!$C$13:$C$9627=AG$26)*('Monthly Data'!$D$13:$D$9627=$U86))</f>
        <v>4496</v>
      </c>
      <c r="AH86" s="80">
        <f>SUMPRODUCT(('Monthly Data'!$E$13:$E$9627=$U$74)*('Monthly Data'!$G$13:$G$9627)*('Monthly Data'!$C$13:$C$9627=AH$26)*('Monthly Data'!$D$13:$D$9627=$U86))</f>
        <v>5081</v>
      </c>
      <c r="AI86" s="80">
        <f>SUMPRODUCT(('Monthly Data'!$E$13:$E$9627=$U$74)*('Monthly Data'!$G$13:$G$9627)*('Monthly Data'!$C$13:$C$9627=AI$26)*('Monthly Data'!$D$13:$D$9627=$U86))</f>
        <v>4936</v>
      </c>
      <c r="AJ86" s="80">
        <f>SUMPRODUCT(('Monthly Data'!$E$13:$E$9627=$U$74)*('Monthly Data'!$G$13:$G$9627)*('Monthly Data'!$C$13:$C$9627=AJ$26)*('Monthly Data'!$D$13:$D$9627=$U86))</f>
        <v>0</v>
      </c>
      <c r="AL86" s="89">
        <f t="shared" si="12"/>
        <v>71380</v>
      </c>
    </row>
    <row r="87" spans="2:38">
      <c r="D87" s="90"/>
      <c r="S87" s="83"/>
      <c r="W87" s="90"/>
      <c r="AL87" s="83"/>
    </row>
    <row r="88" spans="2:38">
      <c r="B88" s="30" t="s">
        <v>106</v>
      </c>
      <c r="C88" s="97">
        <f>SUM(C75:C86)</f>
        <v>6755059</v>
      </c>
      <c r="D88" s="97">
        <f t="shared" ref="D88:O88" si="14">SUM(D75:D86)</f>
        <v>6919989</v>
      </c>
      <c r="E88" s="89">
        <f t="shared" si="14"/>
        <v>7242871</v>
      </c>
      <c r="F88" s="89">
        <f t="shared" si="14"/>
        <v>7768573</v>
      </c>
      <c r="G88" s="89">
        <f t="shared" si="14"/>
        <v>8115322</v>
      </c>
      <c r="H88" s="89">
        <f t="shared" si="14"/>
        <v>8557047</v>
      </c>
      <c r="I88" s="89">
        <f t="shared" si="14"/>
        <v>8775355</v>
      </c>
      <c r="J88" s="89">
        <f t="shared" si="14"/>
        <v>8820462</v>
      </c>
      <c r="K88" s="89">
        <f t="shared" si="14"/>
        <v>8726013</v>
      </c>
      <c r="L88" s="89">
        <f t="shared" si="14"/>
        <v>8135260</v>
      </c>
      <c r="M88" s="89">
        <f t="shared" si="14"/>
        <v>7213397</v>
      </c>
      <c r="N88" s="89">
        <f t="shared" si="14"/>
        <v>6521765</v>
      </c>
      <c r="O88" s="89">
        <f t="shared" si="14"/>
        <v>6858268</v>
      </c>
      <c r="P88" s="89">
        <f>SUM(P75:P86)</f>
        <v>7150037</v>
      </c>
      <c r="Q88" s="89">
        <f>SUM(Q75:Q86)</f>
        <v>1894351</v>
      </c>
      <c r="S88" s="89">
        <f>SUM(D75:P86)</f>
        <v>100804359</v>
      </c>
      <c r="U88" s="30" t="s">
        <v>106</v>
      </c>
      <c r="V88" s="97">
        <f>SUM(V75:V86)</f>
        <v>85648</v>
      </c>
      <c r="W88" s="97">
        <f t="shared" ref="W88:AH88" si="15">SUM(W75:W86)</f>
        <v>87652</v>
      </c>
      <c r="X88" s="89">
        <f t="shared" si="15"/>
        <v>91197</v>
      </c>
      <c r="Y88" s="89">
        <f t="shared" si="15"/>
        <v>87312</v>
      </c>
      <c r="Z88" s="89">
        <f t="shared" si="15"/>
        <v>88076</v>
      </c>
      <c r="AA88" s="89">
        <f t="shared" si="15"/>
        <v>92146</v>
      </c>
      <c r="AB88" s="89">
        <f t="shared" si="15"/>
        <v>96555</v>
      </c>
      <c r="AC88" s="89">
        <f t="shared" si="15"/>
        <v>96754</v>
      </c>
      <c r="AD88" s="89">
        <f t="shared" si="15"/>
        <v>93668</v>
      </c>
      <c r="AE88" s="89">
        <f t="shared" si="15"/>
        <v>86647</v>
      </c>
      <c r="AF88" s="89">
        <f t="shared" si="15"/>
        <v>74051</v>
      </c>
      <c r="AG88" s="89">
        <f t="shared" si="15"/>
        <v>68871</v>
      </c>
      <c r="AH88" s="89">
        <f t="shared" si="15"/>
        <v>70112</v>
      </c>
      <c r="AI88" s="89">
        <f>SUM(AI75:AI86)</f>
        <v>73346</v>
      </c>
      <c r="AJ88" s="89">
        <f>SUM(AJ75:AJ86)</f>
        <v>21011</v>
      </c>
      <c r="AL88" s="89">
        <f>SUM(V75:AH86)</f>
        <v>1118689</v>
      </c>
    </row>
    <row r="89" spans="2:38">
      <c r="D89" s="90"/>
      <c r="W89" s="90"/>
    </row>
    <row r="90" spans="2:38" ht="15">
      <c r="B90" s="88" t="s">
        <v>102</v>
      </c>
      <c r="C90" s="69">
        <v>1999</v>
      </c>
      <c r="D90" s="96">
        <v>2000</v>
      </c>
      <c r="E90" s="69">
        <v>2001</v>
      </c>
      <c r="F90" s="69">
        <v>2002</v>
      </c>
      <c r="G90" s="69">
        <v>2003</v>
      </c>
      <c r="H90" s="69">
        <v>2004</v>
      </c>
      <c r="I90" s="69">
        <v>2005</v>
      </c>
      <c r="J90" s="69">
        <v>2006</v>
      </c>
      <c r="K90" s="69">
        <v>2007</v>
      </c>
      <c r="L90" s="69">
        <v>2008</v>
      </c>
      <c r="M90" s="69">
        <v>2009</v>
      </c>
      <c r="N90" s="69">
        <v>2010</v>
      </c>
      <c r="O90" s="69">
        <v>2011</v>
      </c>
      <c r="P90" s="69">
        <v>2012</v>
      </c>
      <c r="Q90" s="69">
        <v>2012</v>
      </c>
      <c r="S90" s="69" t="s">
        <v>106</v>
      </c>
      <c r="U90" s="88" t="s">
        <v>102</v>
      </c>
      <c r="V90" s="69">
        <v>1999</v>
      </c>
      <c r="W90" s="96">
        <v>2000</v>
      </c>
      <c r="X90" s="69">
        <v>2001</v>
      </c>
      <c r="Y90" s="69">
        <v>2002</v>
      </c>
      <c r="Z90" s="69">
        <v>2003</v>
      </c>
      <c r="AA90" s="69">
        <v>2004</v>
      </c>
      <c r="AB90" s="69">
        <v>2005</v>
      </c>
      <c r="AC90" s="69">
        <v>2006</v>
      </c>
      <c r="AD90" s="69">
        <v>2007</v>
      </c>
      <c r="AE90" s="69">
        <v>2008</v>
      </c>
      <c r="AF90" s="69">
        <v>2009</v>
      </c>
      <c r="AG90" s="69">
        <v>2010</v>
      </c>
      <c r="AH90" s="69">
        <v>2011</v>
      </c>
      <c r="AI90" s="69">
        <v>2012</v>
      </c>
      <c r="AJ90" s="69">
        <v>2013</v>
      </c>
      <c r="AL90" s="69" t="s">
        <v>106</v>
      </c>
    </row>
    <row r="91" spans="2:38">
      <c r="B91" s="30">
        <v>1</v>
      </c>
      <c r="C91" s="95">
        <f>SUMPRODUCT(('Monthly Data'!$E$13:$E$9627=$B$90)*('Monthly Data'!$F$13:$F$9627)*('Monthly Data'!$C$13:$C$9627=C$26)*('Monthly Data'!$D$13:$D$9627=$B91))</f>
        <v>1918628</v>
      </c>
      <c r="D91" s="95">
        <f>SUMPRODUCT(('Monthly Data'!$E$13:$E$9627=$B$90)*('Monthly Data'!$F$13:$F$9627)*('Monthly Data'!$C$13:$C$9627=D$26)*('Monthly Data'!$D$13:$D$9627=$B91))</f>
        <v>1833980</v>
      </c>
      <c r="E91" s="80">
        <f>SUMPRODUCT(('Monthly Data'!$E$13:$E$9627=$B$90)*('Monthly Data'!$F$13:$F$9627)*('Monthly Data'!$C$13:$C$9627=E$26)*('Monthly Data'!$D$13:$D$9627=$B91))</f>
        <v>1955921</v>
      </c>
      <c r="F91" s="80">
        <f>SUMPRODUCT(('Monthly Data'!$E$13:$E$9627=$B$90)*('Monthly Data'!$F$13:$F$9627)*('Monthly Data'!$C$13:$C$9627=F$26)*('Monthly Data'!$D$13:$D$9627=$B91))</f>
        <v>1634844</v>
      </c>
      <c r="G91" s="80">
        <f>SUMPRODUCT(('Monthly Data'!$E$13:$E$9627=$B$90)*('Monthly Data'!$F$13:$F$9627)*('Monthly Data'!$C$13:$C$9627=G$26)*('Monthly Data'!$D$13:$D$9627=$B91))</f>
        <v>1796716</v>
      </c>
      <c r="H91" s="80">
        <f>SUMPRODUCT(('Monthly Data'!$E$13:$E$9627=$B$90)*('Monthly Data'!$F$13:$F$9627)*('Monthly Data'!$C$13:$C$9627=H$26)*('Monthly Data'!$D$13:$D$9627=$B91))</f>
        <v>1849893</v>
      </c>
      <c r="I91" s="80">
        <f>SUMPRODUCT(('Monthly Data'!$E$13:$E$9627=$B$90)*('Monthly Data'!$F$13:$F$9627)*('Monthly Data'!$C$13:$C$9627=I$26)*('Monthly Data'!$D$13:$D$9627=$B91))</f>
        <v>2050065</v>
      </c>
      <c r="J91" s="80">
        <f>SUMPRODUCT(('Monthly Data'!$E$13:$E$9627=$B$90)*('Monthly Data'!$F$13:$F$9627)*('Monthly Data'!$C$13:$C$9627=J$26)*('Monthly Data'!$D$13:$D$9627=$B91))</f>
        <v>2093384</v>
      </c>
      <c r="K91" s="80">
        <f>SUMPRODUCT(('Monthly Data'!$E$13:$E$9627=$B$90)*('Monthly Data'!$F$13:$F$9627)*('Monthly Data'!$C$13:$C$9627=K$26)*('Monthly Data'!$D$13:$D$9627=$B91))</f>
        <v>2198905</v>
      </c>
      <c r="L91" s="80">
        <f>SUMPRODUCT(('Monthly Data'!$E$13:$E$9627=$B$90)*('Monthly Data'!$F$13:$F$9627)*('Monthly Data'!$C$13:$C$9627=L$26)*('Monthly Data'!$D$13:$D$9627=$B91))</f>
        <v>2217245</v>
      </c>
      <c r="M91" s="80">
        <f>SUMPRODUCT(('Monthly Data'!$E$13:$E$9627=$B$90)*('Monthly Data'!$F$13:$F$9627)*('Monthly Data'!$C$13:$C$9627=M$26)*('Monthly Data'!$D$13:$D$9627=$B91))</f>
        <v>1978862</v>
      </c>
      <c r="N91" s="80">
        <f>SUMPRODUCT(('Monthly Data'!$E$13:$E$9627=$B$90)*('Monthly Data'!$F$13:$F$9627)*('Monthly Data'!$C$13:$C$9627=N$26)*('Monthly Data'!$D$13:$D$9627=$B91))</f>
        <v>1873688</v>
      </c>
      <c r="O91" s="80">
        <f>SUMPRODUCT(('Monthly Data'!$E$13:$E$9627=$B$90)*('Monthly Data'!$F$13:$F$9627)*('Monthly Data'!$C$13:$C$9627=O$26)*('Monthly Data'!$D$13:$D$9627=$B91))</f>
        <v>2093939</v>
      </c>
      <c r="P91" s="80">
        <v>2110500</v>
      </c>
      <c r="Q91" s="80">
        <v>2110500</v>
      </c>
      <c r="S91" s="89">
        <f>SUM(C91:O91)</f>
        <v>25496070</v>
      </c>
      <c r="U91" s="30">
        <v>1</v>
      </c>
      <c r="V91" s="95">
        <f>SUMPRODUCT(('Monthly Data'!$E$13:$E$9627=$U$90)*('Monthly Data'!$G$13:$G$9627)*('Monthly Data'!$C$13:$C$9627=V$26)*('Monthly Data'!$D$13:$D$9627=$U91))</f>
        <v>18848</v>
      </c>
      <c r="W91" s="95">
        <f>SUMPRODUCT(('Monthly Data'!$E$13:$E$9627=$U$90)*('Monthly Data'!$G$13:$G$9627)*('Monthly Data'!$C$13:$C$9627=W$26)*('Monthly Data'!$D$13:$D$9627=$U91))</f>
        <v>18631</v>
      </c>
      <c r="X91" s="80">
        <f>SUMPRODUCT(('Monthly Data'!$E$13:$E$9627=$U$90)*('Monthly Data'!$G$13:$G$9627)*('Monthly Data'!$C$13:$C$9627=X$26)*('Monthly Data'!$D$13:$D$9627=$U91))</f>
        <v>18988</v>
      </c>
      <c r="Y91" s="80">
        <f>SUMPRODUCT(('Monthly Data'!$E$13:$E$9627=$U$90)*('Monthly Data'!$G$13:$G$9627)*('Monthly Data'!$C$13:$C$9627=Y$26)*('Monthly Data'!$D$13:$D$9627=$U91))</f>
        <v>15906</v>
      </c>
      <c r="Z91" s="80">
        <f>SUMPRODUCT(('Monthly Data'!$E$13:$E$9627=$U$90)*('Monthly Data'!$G$13:$G$9627)*('Monthly Data'!$C$13:$C$9627=Z$26)*('Monthly Data'!$D$13:$D$9627=$U91))</f>
        <v>17532</v>
      </c>
      <c r="AA91" s="80">
        <f>SUMPRODUCT(('Monthly Data'!$E$13:$E$9627=$U$90)*('Monthly Data'!$G$13:$G$9627)*('Monthly Data'!$C$13:$C$9627=AA$26)*('Monthly Data'!$D$13:$D$9627=$U91))</f>
        <v>17135</v>
      </c>
      <c r="AB91" s="80">
        <f>SUMPRODUCT(('Monthly Data'!$E$13:$E$9627=$U$90)*('Monthly Data'!$G$13:$G$9627)*('Monthly Data'!$C$13:$C$9627=AB$26)*('Monthly Data'!$D$13:$D$9627=$U91))</f>
        <v>18324</v>
      </c>
      <c r="AC91" s="80">
        <f>SUMPRODUCT(('Monthly Data'!$E$13:$E$9627=$U$90)*('Monthly Data'!$G$13:$G$9627)*('Monthly Data'!$C$13:$C$9627=AC$26)*('Monthly Data'!$D$13:$D$9627=$U91))</f>
        <v>19231</v>
      </c>
      <c r="AD91" s="80">
        <f>SUMPRODUCT(('Monthly Data'!$E$13:$E$9627=$U$90)*('Monthly Data'!$G$13:$G$9627)*('Monthly Data'!$C$13:$C$9627=AD$26)*('Monthly Data'!$D$13:$D$9627=$U91))</f>
        <v>19102</v>
      </c>
      <c r="AE91" s="80">
        <f>SUMPRODUCT(('Monthly Data'!$E$13:$E$9627=$U$90)*('Monthly Data'!$G$13:$G$9627)*('Monthly Data'!$C$13:$C$9627=AE$26)*('Monthly Data'!$D$13:$D$9627=$U91))</f>
        <v>19387</v>
      </c>
      <c r="AF91" s="80">
        <f>SUMPRODUCT(('Monthly Data'!$E$13:$E$9627=$U$90)*('Monthly Data'!$G$13:$G$9627)*('Monthly Data'!$C$13:$C$9627=AF$26)*('Monthly Data'!$D$13:$D$9627=$U91))</f>
        <v>17496</v>
      </c>
      <c r="AG91" s="80">
        <f>SUMPRODUCT(('Monthly Data'!$E$13:$E$9627=$U$90)*('Monthly Data'!$G$13:$G$9627)*('Monthly Data'!$C$13:$C$9627=AG$26)*('Monthly Data'!$D$13:$D$9627=$U91))</f>
        <v>16286</v>
      </c>
      <c r="AH91" s="80">
        <v>17945</v>
      </c>
      <c r="AI91" s="80">
        <v>16863</v>
      </c>
      <c r="AJ91" s="80"/>
      <c r="AL91" s="89">
        <f>SUM(V91:AH91)</f>
        <v>234811</v>
      </c>
    </row>
    <row r="92" spans="2:38">
      <c r="B92" s="30">
        <v>2</v>
      </c>
      <c r="C92" s="95">
        <f>SUMPRODUCT(('Monthly Data'!$E$13:$E$9627=$B$90)*('Monthly Data'!$F$13:$F$9627)*('Monthly Data'!$C$13:$C$9627=C$26)*('Monthly Data'!$D$13:$D$9627=$B92))</f>
        <v>1829262</v>
      </c>
      <c r="D92" s="95">
        <f>SUMPRODUCT(('Monthly Data'!$E$13:$E$9627=$B$90)*('Monthly Data'!$F$13:$F$9627)*('Monthly Data'!$C$13:$C$9627=D$26)*('Monthly Data'!$D$13:$D$9627=$B92))</f>
        <v>1926423</v>
      </c>
      <c r="E92" s="80">
        <f>SUMPRODUCT(('Monthly Data'!$E$13:$E$9627=$B$90)*('Monthly Data'!$F$13:$F$9627)*('Monthly Data'!$C$13:$C$9627=E$26)*('Monthly Data'!$D$13:$D$9627=$B92))</f>
        <v>1926061</v>
      </c>
      <c r="F92" s="80">
        <f>SUMPRODUCT(('Monthly Data'!$E$13:$E$9627=$B$90)*('Monthly Data'!$F$13:$F$9627)*('Monthly Data'!$C$13:$C$9627=F$26)*('Monthly Data'!$D$13:$D$9627=$B92))</f>
        <v>1717928</v>
      </c>
      <c r="G92" s="80">
        <f>SUMPRODUCT(('Monthly Data'!$E$13:$E$9627=$B$90)*('Monthly Data'!$F$13:$F$9627)*('Monthly Data'!$C$13:$C$9627=G$26)*('Monthly Data'!$D$13:$D$9627=$B92))</f>
        <v>1819496</v>
      </c>
      <c r="H92" s="80">
        <f>SUMPRODUCT(('Monthly Data'!$E$13:$E$9627=$B$90)*('Monthly Data'!$F$13:$F$9627)*('Monthly Data'!$C$13:$C$9627=H$26)*('Monthly Data'!$D$13:$D$9627=$B92))</f>
        <v>1914294</v>
      </c>
      <c r="I92" s="80">
        <f>SUMPRODUCT(('Monthly Data'!$E$13:$E$9627=$B$90)*('Monthly Data'!$F$13:$F$9627)*('Monthly Data'!$C$13:$C$9627=I$26)*('Monthly Data'!$D$13:$D$9627=$B92))</f>
        <v>2003699</v>
      </c>
      <c r="J92" s="80">
        <f>SUMPRODUCT(('Monthly Data'!$E$13:$E$9627=$B$90)*('Monthly Data'!$F$13:$F$9627)*('Monthly Data'!$C$13:$C$9627=J$26)*('Monthly Data'!$D$13:$D$9627=$B92))</f>
        <v>2102778</v>
      </c>
      <c r="K92" s="80">
        <f>SUMPRODUCT(('Monthly Data'!$E$13:$E$9627=$B$90)*('Monthly Data'!$F$13:$F$9627)*('Monthly Data'!$C$13:$C$9627=K$26)*('Monthly Data'!$D$13:$D$9627=$B92))</f>
        <v>2162837</v>
      </c>
      <c r="L92" s="80">
        <f>SUMPRODUCT(('Monthly Data'!$E$13:$E$9627=$B$90)*('Monthly Data'!$F$13:$F$9627)*('Monthly Data'!$C$13:$C$9627=L$26)*('Monthly Data'!$D$13:$D$9627=$B92))</f>
        <v>2322344</v>
      </c>
      <c r="M92" s="80">
        <f>SUMPRODUCT(('Monthly Data'!$E$13:$E$9627=$B$90)*('Monthly Data'!$F$13:$F$9627)*('Monthly Data'!$C$13:$C$9627=M$26)*('Monthly Data'!$D$13:$D$9627=$B92))</f>
        <v>1988857</v>
      </c>
      <c r="N92" s="80">
        <f>SUMPRODUCT(('Monthly Data'!$E$13:$E$9627=$B$90)*('Monthly Data'!$F$13:$F$9627)*('Monthly Data'!$C$13:$C$9627=N$26)*('Monthly Data'!$D$13:$D$9627=$B92))</f>
        <v>2052625</v>
      </c>
      <c r="O92" s="80">
        <f>SUMPRODUCT(('Monthly Data'!$E$13:$E$9627=$B$90)*('Monthly Data'!$F$13:$F$9627)*('Monthly Data'!$C$13:$C$9627=O$26)*('Monthly Data'!$D$13:$D$9627=$B92))</f>
        <v>2099082</v>
      </c>
      <c r="P92" s="80">
        <v>2154200</v>
      </c>
      <c r="Q92" s="80">
        <v>2154200</v>
      </c>
      <c r="S92" s="89">
        <f t="shared" ref="S92:S102" si="16">SUM(C92:O92)</f>
        <v>25865686</v>
      </c>
      <c r="U92" s="30">
        <v>2</v>
      </c>
      <c r="V92" s="95">
        <f>SUMPRODUCT(('Monthly Data'!$E$13:$E$9627=$U$90)*('Monthly Data'!$G$13:$G$9627)*('Monthly Data'!$C$13:$C$9627=V$26)*('Monthly Data'!$D$13:$D$9627=$U92))</f>
        <v>17107</v>
      </c>
      <c r="W92" s="95">
        <f>SUMPRODUCT(('Monthly Data'!$E$13:$E$9627=$U$90)*('Monthly Data'!$G$13:$G$9627)*('Monthly Data'!$C$13:$C$9627=W$26)*('Monthly Data'!$D$13:$D$9627=$U92))</f>
        <v>18104</v>
      </c>
      <c r="X92" s="80">
        <f>SUMPRODUCT(('Monthly Data'!$E$13:$E$9627=$U$90)*('Monthly Data'!$G$13:$G$9627)*('Monthly Data'!$C$13:$C$9627=X$26)*('Monthly Data'!$D$13:$D$9627=$U92))</f>
        <v>17204</v>
      </c>
      <c r="Y92" s="80">
        <f>SUMPRODUCT(('Monthly Data'!$E$13:$E$9627=$U$90)*('Monthly Data'!$G$13:$G$9627)*('Monthly Data'!$C$13:$C$9627=Y$26)*('Monthly Data'!$D$13:$D$9627=$U92))</f>
        <v>15197</v>
      </c>
      <c r="Z92" s="80">
        <f>SUMPRODUCT(('Monthly Data'!$E$13:$E$9627=$U$90)*('Monthly Data'!$G$13:$G$9627)*('Monthly Data'!$C$13:$C$9627=Z$26)*('Monthly Data'!$D$13:$D$9627=$U92))</f>
        <v>16221</v>
      </c>
      <c r="AA92" s="80">
        <f>SUMPRODUCT(('Monthly Data'!$E$13:$E$9627=$U$90)*('Monthly Data'!$G$13:$G$9627)*('Monthly Data'!$C$13:$C$9627=AA$26)*('Monthly Data'!$D$13:$D$9627=$U92))</f>
        <v>16468</v>
      </c>
      <c r="AB92" s="80">
        <f>SUMPRODUCT(('Monthly Data'!$E$13:$E$9627=$U$90)*('Monthly Data'!$G$13:$G$9627)*('Monthly Data'!$C$13:$C$9627=AB$26)*('Monthly Data'!$D$13:$D$9627=$U92))</f>
        <v>17103</v>
      </c>
      <c r="AC92" s="80">
        <f>SUMPRODUCT(('Monthly Data'!$E$13:$E$9627=$U$90)*('Monthly Data'!$G$13:$G$9627)*('Monthly Data'!$C$13:$C$9627=AC$26)*('Monthly Data'!$D$13:$D$9627=$U92))</f>
        <v>17774</v>
      </c>
      <c r="AD92" s="80">
        <f>SUMPRODUCT(('Monthly Data'!$E$13:$E$9627=$U$90)*('Monthly Data'!$G$13:$G$9627)*('Monthly Data'!$C$13:$C$9627=AD$26)*('Monthly Data'!$D$13:$D$9627=$U92))</f>
        <v>17621</v>
      </c>
      <c r="AE92" s="80">
        <f>SUMPRODUCT(('Monthly Data'!$E$13:$E$9627=$U$90)*('Monthly Data'!$G$13:$G$9627)*('Monthly Data'!$C$13:$C$9627=AE$26)*('Monthly Data'!$D$13:$D$9627=$U92))</f>
        <v>18391</v>
      </c>
      <c r="AF92" s="80">
        <f>SUMPRODUCT(('Monthly Data'!$E$13:$E$9627=$U$90)*('Monthly Data'!$G$13:$G$9627)*('Monthly Data'!$C$13:$C$9627=AF$26)*('Monthly Data'!$D$13:$D$9627=$U92))</f>
        <v>16206</v>
      </c>
      <c r="AG92" s="80">
        <f>SUMPRODUCT(('Monthly Data'!$E$13:$E$9627=$U$90)*('Monthly Data'!$G$13:$G$9627)*('Monthly Data'!$C$13:$C$9627=AG$26)*('Monthly Data'!$D$13:$D$9627=$U92))</f>
        <v>16770</v>
      </c>
      <c r="AH92" s="80">
        <v>16790</v>
      </c>
      <c r="AI92" s="80">
        <v>16295</v>
      </c>
      <c r="AJ92" s="80"/>
      <c r="AL92" s="89">
        <f t="shared" ref="AL92:AL102" si="17">SUM(W92:AH92)</f>
        <v>203849</v>
      </c>
    </row>
    <row r="93" spans="2:38">
      <c r="B93" s="30">
        <v>3</v>
      </c>
      <c r="C93" s="95">
        <f>SUMPRODUCT(('Monthly Data'!$E$13:$E$9627=$B$90)*('Monthly Data'!$F$13:$F$9627)*('Monthly Data'!$C$13:$C$9627=C$26)*('Monthly Data'!$D$13:$D$9627=$B93))</f>
        <v>2288684</v>
      </c>
      <c r="D93" s="95">
        <f>SUMPRODUCT(('Monthly Data'!$E$13:$E$9627=$B$90)*('Monthly Data'!$F$13:$F$9627)*('Monthly Data'!$C$13:$C$9627=D$26)*('Monthly Data'!$D$13:$D$9627=$B93))</f>
        <v>2295411</v>
      </c>
      <c r="E93" s="80">
        <f>SUMPRODUCT(('Monthly Data'!$E$13:$E$9627=$B$90)*('Monthly Data'!$F$13:$F$9627)*('Monthly Data'!$C$13:$C$9627=E$26)*('Monthly Data'!$D$13:$D$9627=$B93))</f>
        <v>2356951</v>
      </c>
      <c r="F93" s="80">
        <f>SUMPRODUCT(('Monthly Data'!$E$13:$E$9627=$B$90)*('Monthly Data'!$F$13:$F$9627)*('Monthly Data'!$C$13:$C$9627=F$26)*('Monthly Data'!$D$13:$D$9627=$B93))</f>
        <v>2277099</v>
      </c>
      <c r="G93" s="80">
        <f>SUMPRODUCT(('Monthly Data'!$E$13:$E$9627=$B$90)*('Monthly Data'!$F$13:$F$9627)*('Monthly Data'!$C$13:$C$9627=G$26)*('Monthly Data'!$D$13:$D$9627=$B93))</f>
        <v>2135592</v>
      </c>
      <c r="H93" s="80">
        <f>SUMPRODUCT(('Monthly Data'!$E$13:$E$9627=$B$90)*('Monthly Data'!$F$13:$F$9627)*('Monthly Data'!$C$13:$C$9627=H$26)*('Monthly Data'!$D$13:$D$9627=$B93))</f>
        <v>2146281</v>
      </c>
      <c r="I93" s="80">
        <f>SUMPRODUCT(('Monthly Data'!$E$13:$E$9627=$B$90)*('Monthly Data'!$F$13:$F$9627)*('Monthly Data'!$C$13:$C$9627=I$26)*('Monthly Data'!$D$13:$D$9627=$B93))</f>
        <v>2478817</v>
      </c>
      <c r="J93" s="80">
        <f>SUMPRODUCT(('Monthly Data'!$E$13:$E$9627=$B$90)*('Monthly Data'!$F$13:$F$9627)*('Monthly Data'!$C$13:$C$9627=J$26)*('Monthly Data'!$D$13:$D$9627=$B93))</f>
        <v>2474928</v>
      </c>
      <c r="K93" s="80">
        <f>SUMPRODUCT(('Monthly Data'!$E$13:$E$9627=$B$90)*('Monthly Data'!$F$13:$F$9627)*('Monthly Data'!$C$13:$C$9627=K$26)*('Monthly Data'!$D$13:$D$9627=$B93))</f>
        <v>2603921</v>
      </c>
      <c r="L93" s="80">
        <f>SUMPRODUCT(('Monthly Data'!$E$13:$E$9627=$B$90)*('Monthly Data'!$F$13:$F$9627)*('Monthly Data'!$C$13:$C$9627=L$26)*('Monthly Data'!$D$13:$D$9627=$B93))</f>
        <v>2813984</v>
      </c>
      <c r="M93" s="80">
        <f>SUMPRODUCT(('Monthly Data'!$E$13:$E$9627=$B$90)*('Monthly Data'!$F$13:$F$9627)*('Monthly Data'!$C$13:$C$9627=M$26)*('Monthly Data'!$D$13:$D$9627=$B93))</f>
        <v>2317331</v>
      </c>
      <c r="N93" s="80">
        <f>SUMPRODUCT(('Monthly Data'!$E$13:$E$9627=$B$90)*('Monthly Data'!$F$13:$F$9627)*('Monthly Data'!$C$13:$C$9627=N$26)*('Monthly Data'!$D$13:$D$9627=$B93))</f>
        <v>2387891</v>
      </c>
      <c r="O93" s="80">
        <f>SUMPRODUCT(('Monthly Data'!$E$13:$E$9627=$B$90)*('Monthly Data'!$F$13:$F$9627)*('Monthly Data'!$C$13:$C$9627=O$26)*('Monthly Data'!$D$13:$D$9627=$B93))</f>
        <v>2419232</v>
      </c>
      <c r="P93" s="80">
        <v>2513900</v>
      </c>
      <c r="Q93" s="80">
        <v>2513900</v>
      </c>
      <c r="S93" s="89">
        <f t="shared" si="16"/>
        <v>30996122</v>
      </c>
      <c r="U93" s="30">
        <v>3</v>
      </c>
      <c r="V93" s="95">
        <f>SUMPRODUCT(('Monthly Data'!$E$13:$E$9627=$U$90)*('Monthly Data'!$G$13:$G$9627)*('Monthly Data'!$C$13:$C$9627=V$26)*('Monthly Data'!$D$13:$D$9627=$U93))</f>
        <v>19382</v>
      </c>
      <c r="W93" s="95">
        <f>SUMPRODUCT(('Monthly Data'!$E$13:$E$9627=$U$90)*('Monthly Data'!$G$13:$G$9627)*('Monthly Data'!$C$13:$C$9627=W$26)*('Monthly Data'!$D$13:$D$9627=$U93))</f>
        <v>19571</v>
      </c>
      <c r="X93" s="80">
        <f>SUMPRODUCT(('Monthly Data'!$E$13:$E$9627=$U$90)*('Monthly Data'!$G$13:$G$9627)*('Monthly Data'!$C$13:$C$9627=X$26)*('Monthly Data'!$D$13:$D$9627=$U93))</f>
        <v>19528</v>
      </c>
      <c r="Y93" s="80">
        <f>SUMPRODUCT(('Monthly Data'!$E$13:$E$9627=$U$90)*('Monthly Data'!$G$13:$G$9627)*('Monthly Data'!$C$13:$C$9627=Y$26)*('Monthly Data'!$D$13:$D$9627=$U93))</f>
        <v>18179</v>
      </c>
      <c r="Z93" s="80">
        <f>SUMPRODUCT(('Monthly Data'!$E$13:$E$9627=$U$90)*('Monthly Data'!$G$13:$G$9627)*('Monthly Data'!$C$13:$C$9627=Z$26)*('Monthly Data'!$D$13:$D$9627=$U93))</f>
        <v>18385</v>
      </c>
      <c r="AA93" s="80">
        <f>SUMPRODUCT(('Monthly Data'!$E$13:$E$9627=$U$90)*('Monthly Data'!$G$13:$G$9627)*('Monthly Data'!$C$13:$C$9627=AA$26)*('Monthly Data'!$D$13:$D$9627=$U93))</f>
        <v>17694</v>
      </c>
      <c r="AB93" s="80">
        <f>SUMPRODUCT(('Monthly Data'!$E$13:$E$9627=$U$90)*('Monthly Data'!$G$13:$G$9627)*('Monthly Data'!$C$13:$C$9627=AB$26)*('Monthly Data'!$D$13:$D$9627=$U93))</f>
        <v>19637</v>
      </c>
      <c r="AC93" s="80">
        <f>SUMPRODUCT(('Monthly Data'!$E$13:$E$9627=$U$90)*('Monthly Data'!$G$13:$G$9627)*('Monthly Data'!$C$13:$C$9627=AC$26)*('Monthly Data'!$D$13:$D$9627=$U93))</f>
        <v>19895</v>
      </c>
      <c r="AD93" s="80">
        <f>SUMPRODUCT(('Monthly Data'!$E$13:$E$9627=$U$90)*('Monthly Data'!$G$13:$G$9627)*('Monthly Data'!$C$13:$C$9627=AD$26)*('Monthly Data'!$D$13:$D$9627=$U93))</f>
        <v>19981</v>
      </c>
      <c r="AE93" s="80">
        <f>SUMPRODUCT(('Monthly Data'!$E$13:$E$9627=$U$90)*('Monthly Data'!$G$13:$G$9627)*('Monthly Data'!$C$13:$C$9627=AE$26)*('Monthly Data'!$D$13:$D$9627=$U93))</f>
        <v>20681</v>
      </c>
      <c r="AF93" s="80">
        <f>SUMPRODUCT(('Monthly Data'!$E$13:$E$9627=$U$90)*('Monthly Data'!$G$13:$G$9627)*('Monthly Data'!$C$13:$C$9627=AF$26)*('Monthly Data'!$D$13:$D$9627=$U93))</f>
        <v>18854</v>
      </c>
      <c r="AG93" s="80">
        <f>SUMPRODUCT(('Monthly Data'!$E$13:$E$9627=$U$90)*('Monthly Data'!$G$13:$G$9627)*('Monthly Data'!$C$13:$C$9627=AG$26)*('Monthly Data'!$D$13:$D$9627=$U93))</f>
        <v>18694</v>
      </c>
      <c r="AH93" s="80">
        <v>19087</v>
      </c>
      <c r="AI93" s="80">
        <v>18406</v>
      </c>
      <c r="AJ93" s="80"/>
      <c r="AL93" s="89">
        <f t="shared" si="17"/>
        <v>230186</v>
      </c>
    </row>
    <row r="94" spans="2:38">
      <c r="B94" s="30">
        <v>4</v>
      </c>
      <c r="C94" s="95">
        <f>SUMPRODUCT(('Monthly Data'!$E$13:$E$9627=$B$90)*('Monthly Data'!$F$13:$F$9627)*('Monthly Data'!$C$13:$C$9627=C$26)*('Monthly Data'!$D$13:$D$9627=$B94))</f>
        <v>2306774</v>
      </c>
      <c r="D94" s="95">
        <f>SUMPRODUCT(('Monthly Data'!$E$13:$E$9627=$B$90)*('Monthly Data'!$F$13:$F$9627)*('Monthly Data'!$C$13:$C$9627=D$26)*('Monthly Data'!$D$13:$D$9627=$B94))</f>
        <v>2521670</v>
      </c>
      <c r="E94" s="80">
        <f>SUMPRODUCT(('Monthly Data'!$E$13:$E$9627=$B$90)*('Monthly Data'!$F$13:$F$9627)*('Monthly Data'!$C$13:$C$9627=E$26)*('Monthly Data'!$D$13:$D$9627=$B94))</f>
        <v>2538475</v>
      </c>
      <c r="F94" s="80">
        <f>SUMPRODUCT(('Monthly Data'!$E$13:$E$9627=$B$90)*('Monthly Data'!$F$13:$F$9627)*('Monthly Data'!$C$13:$C$9627=F$26)*('Monthly Data'!$D$13:$D$9627=$B94))</f>
        <v>2074840</v>
      </c>
      <c r="G94" s="80">
        <f>SUMPRODUCT(('Monthly Data'!$E$13:$E$9627=$B$90)*('Monthly Data'!$F$13:$F$9627)*('Monthly Data'!$C$13:$C$9627=G$26)*('Monthly Data'!$D$13:$D$9627=$B94))</f>
        <v>2239752</v>
      </c>
      <c r="H94" s="80">
        <f>SUMPRODUCT(('Monthly Data'!$E$13:$E$9627=$B$90)*('Monthly Data'!$F$13:$F$9627)*('Monthly Data'!$C$13:$C$9627=H$26)*('Monthly Data'!$D$13:$D$9627=$B94))</f>
        <v>2426394</v>
      </c>
      <c r="I94" s="80">
        <f>SUMPRODUCT(('Monthly Data'!$E$13:$E$9627=$B$90)*('Monthly Data'!$F$13:$F$9627)*('Monthly Data'!$C$13:$C$9627=I$26)*('Monthly Data'!$D$13:$D$9627=$B94))</f>
        <v>2437319</v>
      </c>
      <c r="J94" s="80">
        <f>SUMPRODUCT(('Monthly Data'!$E$13:$E$9627=$B$90)*('Monthly Data'!$F$13:$F$9627)*('Monthly Data'!$C$13:$C$9627=J$26)*('Monthly Data'!$D$13:$D$9627=$B94))</f>
        <v>2743103</v>
      </c>
      <c r="K94" s="80">
        <f>SUMPRODUCT(('Monthly Data'!$E$13:$E$9627=$B$90)*('Monthly Data'!$F$13:$F$9627)*('Monthly Data'!$C$13:$C$9627=K$26)*('Monthly Data'!$D$13:$D$9627=$B94))</f>
        <v>2722411</v>
      </c>
      <c r="L94" s="80">
        <f>SUMPRODUCT(('Monthly Data'!$E$13:$E$9627=$B$90)*('Monthly Data'!$F$13:$F$9627)*('Monthly Data'!$C$13:$C$9627=L$26)*('Monthly Data'!$D$13:$D$9627=$B94))</f>
        <v>2656333</v>
      </c>
      <c r="M94" s="80">
        <f>SUMPRODUCT(('Monthly Data'!$E$13:$E$9627=$B$90)*('Monthly Data'!$F$13:$F$9627)*('Monthly Data'!$C$13:$C$9627=M$26)*('Monthly Data'!$D$13:$D$9627=$B94))</f>
        <v>2576789</v>
      </c>
      <c r="N94" s="80">
        <f>SUMPRODUCT(('Monthly Data'!$E$13:$E$9627=$B$90)*('Monthly Data'!$F$13:$F$9627)*('Monthly Data'!$C$13:$C$9627=N$26)*('Monthly Data'!$D$13:$D$9627=$B94))</f>
        <v>2055052</v>
      </c>
      <c r="O94" s="80">
        <f>SUMPRODUCT(('Monthly Data'!$E$13:$E$9627=$B$90)*('Monthly Data'!$F$13:$F$9627)*('Monthly Data'!$C$13:$C$9627=O$26)*('Monthly Data'!$D$13:$D$9627=$B94))</f>
        <v>2758617</v>
      </c>
      <c r="P94" s="80">
        <v>2722500</v>
      </c>
      <c r="Q94" s="80">
        <v>2722500</v>
      </c>
      <c r="S94" s="89">
        <f t="shared" si="16"/>
        <v>32057529</v>
      </c>
      <c r="U94" s="30">
        <v>4</v>
      </c>
      <c r="V94" s="95">
        <f>SUMPRODUCT(('Monthly Data'!$E$13:$E$9627=$U$90)*('Monthly Data'!$G$13:$G$9627)*('Monthly Data'!$C$13:$C$9627=V$26)*('Monthly Data'!$D$13:$D$9627=$U94))</f>
        <v>19262</v>
      </c>
      <c r="W94" s="95">
        <f>SUMPRODUCT(('Monthly Data'!$E$13:$E$9627=$U$90)*('Monthly Data'!$G$13:$G$9627)*('Monthly Data'!$C$13:$C$9627=W$26)*('Monthly Data'!$D$13:$D$9627=$U94))</f>
        <v>19711</v>
      </c>
      <c r="X94" s="80">
        <f>SUMPRODUCT(('Monthly Data'!$E$13:$E$9627=$U$90)*('Monthly Data'!$G$13:$G$9627)*('Monthly Data'!$C$13:$C$9627=X$26)*('Monthly Data'!$D$13:$D$9627=$U94))</f>
        <v>19880</v>
      </c>
      <c r="Y94" s="80">
        <f>SUMPRODUCT(('Monthly Data'!$E$13:$E$9627=$U$90)*('Monthly Data'!$G$13:$G$9627)*('Monthly Data'!$C$13:$C$9627=Y$26)*('Monthly Data'!$D$13:$D$9627=$U94))</f>
        <v>17874</v>
      </c>
      <c r="Z94" s="80">
        <f>SUMPRODUCT(('Monthly Data'!$E$13:$E$9627=$U$90)*('Monthly Data'!$G$13:$G$9627)*('Monthly Data'!$C$13:$C$9627=Z$26)*('Monthly Data'!$D$13:$D$9627=$U94))</f>
        <v>17977</v>
      </c>
      <c r="AA94" s="80">
        <f>SUMPRODUCT(('Monthly Data'!$E$13:$E$9627=$U$90)*('Monthly Data'!$G$13:$G$9627)*('Monthly Data'!$C$13:$C$9627=AA$26)*('Monthly Data'!$D$13:$D$9627=$U94))</f>
        <v>18814</v>
      </c>
      <c r="AB94" s="80">
        <f>SUMPRODUCT(('Monthly Data'!$E$13:$E$9627=$U$90)*('Monthly Data'!$G$13:$G$9627)*('Monthly Data'!$C$13:$C$9627=AB$26)*('Monthly Data'!$D$13:$D$9627=$U94))</f>
        <v>19685</v>
      </c>
      <c r="AC94" s="80">
        <f>SUMPRODUCT(('Monthly Data'!$E$13:$E$9627=$U$90)*('Monthly Data'!$G$13:$G$9627)*('Monthly Data'!$C$13:$C$9627=AC$26)*('Monthly Data'!$D$13:$D$9627=$U94))</f>
        <v>20119</v>
      </c>
      <c r="AD94" s="80">
        <f>SUMPRODUCT(('Monthly Data'!$E$13:$E$9627=$U$90)*('Monthly Data'!$G$13:$G$9627)*('Monthly Data'!$C$13:$C$9627=AD$26)*('Monthly Data'!$D$13:$D$9627=$U94))</f>
        <v>20566</v>
      </c>
      <c r="AE94" s="80">
        <f>SUMPRODUCT(('Monthly Data'!$E$13:$E$9627=$U$90)*('Monthly Data'!$G$13:$G$9627)*('Monthly Data'!$C$13:$C$9627=AE$26)*('Monthly Data'!$D$13:$D$9627=$U94))</f>
        <v>20635</v>
      </c>
      <c r="AF94" s="80">
        <f>SUMPRODUCT(('Monthly Data'!$E$13:$E$9627=$U$90)*('Monthly Data'!$G$13:$G$9627)*('Monthly Data'!$C$13:$C$9627=AF$26)*('Monthly Data'!$D$13:$D$9627=$U94))</f>
        <v>19593</v>
      </c>
      <c r="AG94" s="80">
        <f>SUMPRODUCT(('Monthly Data'!$E$13:$E$9627=$U$90)*('Monthly Data'!$G$13:$G$9627)*('Monthly Data'!$C$13:$C$9627=AG$26)*('Monthly Data'!$D$13:$D$9627=$U94))</f>
        <v>15885</v>
      </c>
      <c r="AH94" s="80">
        <v>20241</v>
      </c>
      <c r="AI94" s="80">
        <v>19688</v>
      </c>
      <c r="AJ94" s="80"/>
      <c r="AL94" s="89">
        <f t="shared" si="17"/>
        <v>230980</v>
      </c>
    </row>
    <row r="95" spans="2:38">
      <c r="B95" s="30">
        <v>5</v>
      </c>
      <c r="C95" s="95">
        <f>SUMPRODUCT(('Monthly Data'!$E$13:$E$9627=$B$90)*('Monthly Data'!$F$13:$F$9627)*('Monthly Data'!$C$13:$C$9627=C$26)*('Monthly Data'!$D$13:$D$9627=$B95))</f>
        <v>2626712</v>
      </c>
      <c r="D95" s="95">
        <f>SUMPRODUCT(('Monthly Data'!$E$13:$E$9627=$B$90)*('Monthly Data'!$F$13:$F$9627)*('Monthly Data'!$C$13:$C$9627=D$26)*('Monthly Data'!$D$13:$D$9627=$B95))</f>
        <v>2796222</v>
      </c>
      <c r="E95" s="80">
        <f>SUMPRODUCT(('Monthly Data'!$E$13:$E$9627=$B$90)*('Monthly Data'!$F$13:$F$9627)*('Monthly Data'!$C$13:$C$9627=E$26)*('Monthly Data'!$D$13:$D$9627=$B95))</f>
        <v>2843150</v>
      </c>
      <c r="F95" s="80">
        <f>SUMPRODUCT(('Monthly Data'!$E$13:$E$9627=$B$90)*('Monthly Data'!$F$13:$F$9627)*('Monthly Data'!$C$13:$C$9627=F$26)*('Monthly Data'!$D$13:$D$9627=$B95))</f>
        <v>2510163</v>
      </c>
      <c r="G95" s="80">
        <f>SUMPRODUCT(('Monthly Data'!$E$13:$E$9627=$B$90)*('Monthly Data'!$F$13:$F$9627)*('Monthly Data'!$C$13:$C$9627=G$26)*('Monthly Data'!$D$13:$D$9627=$B95))</f>
        <v>2617826</v>
      </c>
      <c r="H95" s="80">
        <f>SUMPRODUCT(('Monthly Data'!$E$13:$E$9627=$B$90)*('Monthly Data'!$F$13:$F$9627)*('Monthly Data'!$C$13:$C$9627=H$26)*('Monthly Data'!$D$13:$D$9627=$B95))</f>
        <v>2693048</v>
      </c>
      <c r="I95" s="80">
        <f>SUMPRODUCT(('Monthly Data'!$E$13:$E$9627=$B$90)*('Monthly Data'!$F$13:$F$9627)*('Monthly Data'!$C$13:$C$9627=I$26)*('Monthly Data'!$D$13:$D$9627=$B95))</f>
        <v>2824186</v>
      </c>
      <c r="J95" s="80">
        <f>SUMPRODUCT(('Monthly Data'!$E$13:$E$9627=$B$90)*('Monthly Data'!$F$13:$F$9627)*('Monthly Data'!$C$13:$C$9627=J$26)*('Monthly Data'!$D$13:$D$9627=$B95))</f>
        <v>2945386</v>
      </c>
      <c r="K95" s="80">
        <f>SUMPRODUCT(('Monthly Data'!$E$13:$E$9627=$B$90)*('Monthly Data'!$F$13:$F$9627)*('Monthly Data'!$C$13:$C$9627=K$26)*('Monthly Data'!$D$13:$D$9627=$B95))</f>
        <v>3012457</v>
      </c>
      <c r="L95" s="80">
        <f>SUMPRODUCT(('Monthly Data'!$E$13:$E$9627=$B$90)*('Monthly Data'!$F$13:$F$9627)*('Monthly Data'!$C$13:$C$9627=L$26)*('Monthly Data'!$D$13:$D$9627=$B95))</f>
        <v>3045503</v>
      </c>
      <c r="M95" s="80">
        <f>SUMPRODUCT(('Monthly Data'!$E$13:$E$9627=$B$90)*('Monthly Data'!$F$13:$F$9627)*('Monthly Data'!$C$13:$C$9627=M$26)*('Monthly Data'!$D$13:$D$9627=$B95))</f>
        <v>2846084</v>
      </c>
      <c r="N95" s="80">
        <f>SUMPRODUCT(('Monthly Data'!$E$13:$E$9627=$B$90)*('Monthly Data'!$F$13:$F$9627)*('Monthly Data'!$C$13:$C$9627=N$26)*('Monthly Data'!$D$13:$D$9627=$B95))</f>
        <v>2730572</v>
      </c>
      <c r="O95" s="80">
        <f>SUMPRODUCT(('Monthly Data'!$E$13:$E$9627=$B$90)*('Monthly Data'!$F$13:$F$9627)*('Monthly Data'!$C$13:$C$9627=O$26)*('Monthly Data'!$D$13:$D$9627=$B95))</f>
        <v>2916126</v>
      </c>
      <c r="P95" s="80">
        <v>2973500</v>
      </c>
      <c r="Q95" s="80">
        <v>2973500</v>
      </c>
      <c r="S95" s="89">
        <f t="shared" si="16"/>
        <v>36407435</v>
      </c>
      <c r="U95" s="30">
        <v>5</v>
      </c>
      <c r="V95" s="95">
        <f>SUMPRODUCT(('Monthly Data'!$E$13:$E$9627=$U$90)*('Monthly Data'!$G$13:$G$9627)*('Monthly Data'!$C$13:$C$9627=V$26)*('Monthly Data'!$D$13:$D$9627=$U95))</f>
        <v>21463</v>
      </c>
      <c r="W95" s="95">
        <f>SUMPRODUCT(('Monthly Data'!$E$13:$E$9627=$U$90)*('Monthly Data'!$G$13:$G$9627)*('Monthly Data'!$C$13:$C$9627=W$26)*('Monthly Data'!$D$13:$D$9627=$U95))</f>
        <v>22233</v>
      </c>
      <c r="X95" s="80">
        <f>SUMPRODUCT(('Monthly Data'!$E$13:$E$9627=$U$90)*('Monthly Data'!$G$13:$G$9627)*('Monthly Data'!$C$13:$C$9627=X$26)*('Monthly Data'!$D$13:$D$9627=$U95))</f>
        <v>22159</v>
      </c>
      <c r="Y95" s="80">
        <f>SUMPRODUCT(('Monthly Data'!$E$13:$E$9627=$U$90)*('Monthly Data'!$G$13:$G$9627)*('Monthly Data'!$C$13:$C$9627=Y$26)*('Monthly Data'!$D$13:$D$9627=$U95))</f>
        <v>20621</v>
      </c>
      <c r="Z95" s="80">
        <f>SUMPRODUCT(('Monthly Data'!$E$13:$E$9627=$U$90)*('Monthly Data'!$G$13:$G$9627)*('Monthly Data'!$C$13:$C$9627=Z$26)*('Monthly Data'!$D$13:$D$9627=$U95))</f>
        <v>20593</v>
      </c>
      <c r="AA95" s="80">
        <f>SUMPRODUCT(('Monthly Data'!$E$13:$E$9627=$U$90)*('Monthly Data'!$G$13:$G$9627)*('Monthly Data'!$C$13:$C$9627=AA$26)*('Monthly Data'!$D$13:$D$9627=$U95))</f>
        <v>21424</v>
      </c>
      <c r="AB95" s="80">
        <f>SUMPRODUCT(('Monthly Data'!$E$13:$E$9627=$U$90)*('Monthly Data'!$G$13:$G$9627)*('Monthly Data'!$C$13:$C$9627=AB$26)*('Monthly Data'!$D$13:$D$9627=$U95))</f>
        <v>22367</v>
      </c>
      <c r="AC95" s="80">
        <f>SUMPRODUCT(('Monthly Data'!$E$13:$E$9627=$U$90)*('Monthly Data'!$G$13:$G$9627)*('Monthly Data'!$C$13:$C$9627=AC$26)*('Monthly Data'!$D$13:$D$9627=$U95))</f>
        <v>22363</v>
      </c>
      <c r="AD95" s="80">
        <f>SUMPRODUCT(('Monthly Data'!$E$13:$E$9627=$U$90)*('Monthly Data'!$G$13:$G$9627)*('Monthly Data'!$C$13:$C$9627=AD$26)*('Monthly Data'!$D$13:$D$9627=$U95))</f>
        <v>22821</v>
      </c>
      <c r="AE95" s="80">
        <f>SUMPRODUCT(('Monthly Data'!$E$13:$E$9627=$U$90)*('Monthly Data'!$G$13:$G$9627)*('Monthly Data'!$C$13:$C$9627=AE$26)*('Monthly Data'!$D$13:$D$9627=$U95))</f>
        <v>23071</v>
      </c>
      <c r="AF95" s="80">
        <f>SUMPRODUCT(('Monthly Data'!$E$13:$E$9627=$U$90)*('Monthly Data'!$G$13:$G$9627)*('Monthly Data'!$C$13:$C$9627=AF$26)*('Monthly Data'!$D$13:$D$9627=$U95))</f>
        <v>21783</v>
      </c>
      <c r="AG95" s="80">
        <f>SUMPRODUCT(('Monthly Data'!$E$13:$E$9627=$U$90)*('Monthly Data'!$G$13:$G$9627)*('Monthly Data'!$C$13:$C$9627=AG$26)*('Monthly Data'!$D$13:$D$9627=$U95))</f>
        <v>20839</v>
      </c>
      <c r="AH95" s="80">
        <v>21889</v>
      </c>
      <c r="AI95" s="80">
        <v>21617</v>
      </c>
      <c r="AJ95" s="80"/>
      <c r="AL95" s="89">
        <f t="shared" si="17"/>
        <v>262163</v>
      </c>
    </row>
    <row r="96" spans="2:38">
      <c r="B96" s="30">
        <v>6</v>
      </c>
      <c r="C96" s="95">
        <f>SUMPRODUCT(('Monthly Data'!$E$13:$E$9627=$B$90)*('Monthly Data'!$F$13:$F$9627)*('Monthly Data'!$C$13:$C$9627=C$26)*('Monthly Data'!$D$13:$D$9627=$B96))</f>
        <v>2980195</v>
      </c>
      <c r="D96" s="95">
        <f>SUMPRODUCT(('Monthly Data'!$E$13:$E$9627=$B$90)*('Monthly Data'!$F$13:$F$9627)*('Monthly Data'!$C$13:$C$9627=D$26)*('Monthly Data'!$D$13:$D$9627=$B96))</f>
        <v>3116566</v>
      </c>
      <c r="E96" s="80">
        <f>SUMPRODUCT(('Monthly Data'!$E$13:$E$9627=$B$90)*('Monthly Data'!$F$13:$F$9627)*('Monthly Data'!$C$13:$C$9627=E$26)*('Monthly Data'!$D$13:$D$9627=$B96))</f>
        <v>3258155</v>
      </c>
      <c r="F96" s="80">
        <f>SUMPRODUCT(('Monthly Data'!$E$13:$E$9627=$B$90)*('Monthly Data'!$F$13:$F$9627)*('Monthly Data'!$C$13:$C$9627=F$26)*('Monthly Data'!$D$13:$D$9627=$B96))</f>
        <v>2976918</v>
      </c>
      <c r="G96" s="80">
        <f>SUMPRODUCT(('Monthly Data'!$E$13:$E$9627=$B$90)*('Monthly Data'!$F$13:$F$9627)*('Monthly Data'!$C$13:$C$9627=G$26)*('Monthly Data'!$D$13:$D$9627=$B96))</f>
        <v>2929130</v>
      </c>
      <c r="H96" s="80">
        <f>SUMPRODUCT(('Monthly Data'!$E$13:$E$9627=$B$90)*('Monthly Data'!$F$13:$F$9627)*('Monthly Data'!$C$13:$C$9627=H$26)*('Monthly Data'!$D$13:$D$9627=$B96))</f>
        <v>3091972</v>
      </c>
      <c r="I96" s="80">
        <f>SUMPRODUCT(('Monthly Data'!$E$13:$E$9627=$B$90)*('Monthly Data'!$F$13:$F$9627)*('Monthly Data'!$C$13:$C$9627=I$26)*('Monthly Data'!$D$13:$D$9627=$B96))</f>
        <v>3219576</v>
      </c>
      <c r="J96" s="80">
        <f>SUMPRODUCT(('Monthly Data'!$E$13:$E$9627=$B$90)*('Monthly Data'!$F$13:$F$9627)*('Monthly Data'!$C$13:$C$9627=J$26)*('Monthly Data'!$D$13:$D$9627=$B96))</f>
        <v>3315622</v>
      </c>
      <c r="K96" s="80">
        <f>SUMPRODUCT(('Monthly Data'!$E$13:$E$9627=$B$90)*('Monthly Data'!$F$13:$F$9627)*('Monthly Data'!$C$13:$C$9627=K$26)*('Monthly Data'!$D$13:$D$9627=$B96))</f>
        <v>3359169</v>
      </c>
      <c r="L96" s="80">
        <f>SUMPRODUCT(('Monthly Data'!$E$13:$E$9627=$B$90)*('Monthly Data'!$F$13:$F$9627)*('Monthly Data'!$C$13:$C$9627=L$26)*('Monthly Data'!$D$13:$D$9627=$B96))</f>
        <v>3320772</v>
      </c>
      <c r="M96" s="80">
        <f>SUMPRODUCT(('Monthly Data'!$E$13:$E$9627=$B$90)*('Monthly Data'!$F$13:$F$9627)*('Monthly Data'!$C$13:$C$9627=M$26)*('Monthly Data'!$D$13:$D$9627=$B96))</f>
        <v>3068898</v>
      </c>
      <c r="N96" s="80">
        <f>SUMPRODUCT(('Monthly Data'!$E$13:$E$9627=$B$90)*('Monthly Data'!$F$13:$F$9627)*('Monthly Data'!$C$13:$C$9627=N$26)*('Monthly Data'!$D$13:$D$9627=$B96))</f>
        <v>3046400</v>
      </c>
      <c r="O96" s="80">
        <f>SUMPRODUCT(('Monthly Data'!$E$13:$E$9627=$B$90)*('Monthly Data'!$F$13:$F$9627)*('Monthly Data'!$C$13:$C$9627=O$26)*('Monthly Data'!$D$13:$D$9627=$B96))</f>
        <v>3204766</v>
      </c>
      <c r="P96" s="80">
        <v>3334500</v>
      </c>
      <c r="Q96" s="80">
        <v>3334500</v>
      </c>
      <c r="S96" s="89">
        <f t="shared" si="16"/>
        <v>40888139</v>
      </c>
      <c r="U96" s="30">
        <v>6</v>
      </c>
      <c r="V96" s="95">
        <f>SUMPRODUCT(('Monthly Data'!$E$13:$E$9627=$U$90)*('Monthly Data'!$G$13:$G$9627)*('Monthly Data'!$C$13:$C$9627=V$26)*('Monthly Data'!$D$13:$D$9627=$U96))</f>
        <v>21594</v>
      </c>
      <c r="W96" s="95">
        <f>SUMPRODUCT(('Monthly Data'!$E$13:$E$9627=$U$90)*('Monthly Data'!$G$13:$G$9627)*('Monthly Data'!$C$13:$C$9627=W$26)*('Monthly Data'!$D$13:$D$9627=$U96))</f>
        <v>22179</v>
      </c>
      <c r="X96" s="80">
        <f>SUMPRODUCT(('Monthly Data'!$E$13:$E$9627=$U$90)*('Monthly Data'!$G$13:$G$9627)*('Monthly Data'!$C$13:$C$9627=X$26)*('Monthly Data'!$D$13:$D$9627=$U96))</f>
        <v>22434</v>
      </c>
      <c r="Y96" s="80">
        <f>SUMPRODUCT(('Monthly Data'!$E$13:$E$9627=$U$90)*('Monthly Data'!$G$13:$G$9627)*('Monthly Data'!$C$13:$C$9627=Y$26)*('Monthly Data'!$D$13:$D$9627=$U96))</f>
        <v>21082</v>
      </c>
      <c r="Z96" s="80">
        <f>SUMPRODUCT(('Monthly Data'!$E$13:$E$9627=$U$90)*('Monthly Data'!$G$13:$G$9627)*('Monthly Data'!$C$13:$C$9627=Z$26)*('Monthly Data'!$D$13:$D$9627=$U96))</f>
        <v>21081</v>
      </c>
      <c r="AA96" s="80">
        <f>SUMPRODUCT(('Monthly Data'!$E$13:$E$9627=$U$90)*('Monthly Data'!$G$13:$G$9627)*('Monthly Data'!$C$13:$C$9627=AA$26)*('Monthly Data'!$D$13:$D$9627=$U96))</f>
        <v>22137</v>
      </c>
      <c r="AB96" s="80">
        <f>SUMPRODUCT(('Monthly Data'!$E$13:$E$9627=$U$90)*('Monthly Data'!$G$13:$G$9627)*('Monthly Data'!$C$13:$C$9627=AB$26)*('Monthly Data'!$D$13:$D$9627=$U96))</f>
        <v>23065</v>
      </c>
      <c r="AC96" s="80">
        <f>SUMPRODUCT(('Monthly Data'!$E$13:$E$9627=$U$90)*('Monthly Data'!$G$13:$G$9627)*('Monthly Data'!$C$13:$C$9627=AC$26)*('Monthly Data'!$D$13:$D$9627=$U96))</f>
        <v>23017</v>
      </c>
      <c r="AD96" s="80">
        <f>SUMPRODUCT(('Monthly Data'!$E$13:$E$9627=$U$90)*('Monthly Data'!$G$13:$G$9627)*('Monthly Data'!$C$13:$C$9627=AD$26)*('Monthly Data'!$D$13:$D$9627=$U96))</f>
        <v>23561</v>
      </c>
      <c r="AE96" s="80">
        <f>SUMPRODUCT(('Monthly Data'!$E$13:$E$9627=$U$90)*('Monthly Data'!$G$13:$G$9627)*('Monthly Data'!$C$13:$C$9627=AE$26)*('Monthly Data'!$D$13:$D$9627=$U96))</f>
        <v>23916</v>
      </c>
      <c r="AF96" s="80">
        <f>SUMPRODUCT(('Monthly Data'!$E$13:$E$9627=$U$90)*('Monthly Data'!$G$13:$G$9627)*('Monthly Data'!$C$13:$C$9627=AF$26)*('Monthly Data'!$D$13:$D$9627=$U96))</f>
        <v>22348</v>
      </c>
      <c r="AG96" s="80">
        <f>SUMPRODUCT(('Monthly Data'!$E$13:$E$9627=$U$90)*('Monthly Data'!$G$13:$G$9627)*('Monthly Data'!$C$13:$C$9627=AG$26)*('Monthly Data'!$D$13:$D$9627=$U96))</f>
        <v>21854</v>
      </c>
      <c r="AH96" s="80">
        <v>22380</v>
      </c>
      <c r="AI96" s="80">
        <v>22513</v>
      </c>
      <c r="AJ96" s="80"/>
      <c r="AL96" s="89">
        <f t="shared" si="17"/>
        <v>269054</v>
      </c>
    </row>
    <row r="97" spans="2:38">
      <c r="B97" s="30">
        <v>7</v>
      </c>
      <c r="C97" s="95">
        <f>SUMPRODUCT(('Monthly Data'!$E$13:$E$9627=$B$90)*('Monthly Data'!$F$13:$F$9627)*('Monthly Data'!$C$13:$C$9627=C$26)*('Monthly Data'!$D$13:$D$9627=$B97))</f>
        <v>3279799</v>
      </c>
      <c r="D97" s="95">
        <f>SUMPRODUCT(('Monthly Data'!$E$13:$E$9627=$B$90)*('Monthly Data'!$F$13:$F$9627)*('Monthly Data'!$C$13:$C$9627=D$26)*('Monthly Data'!$D$13:$D$9627=$B97))</f>
        <v>3475498</v>
      </c>
      <c r="E97" s="80">
        <f>SUMPRODUCT(('Monthly Data'!$E$13:$E$9627=$B$90)*('Monthly Data'!$F$13:$F$9627)*('Monthly Data'!$C$13:$C$9627=E$26)*('Monthly Data'!$D$13:$D$9627=$B97))</f>
        <v>3524845</v>
      </c>
      <c r="F97" s="80">
        <f>SUMPRODUCT(('Monthly Data'!$E$13:$E$9627=$B$90)*('Monthly Data'!$F$13:$F$9627)*('Monthly Data'!$C$13:$C$9627=F$26)*('Monthly Data'!$D$13:$D$9627=$B97))</f>
        <v>3254423</v>
      </c>
      <c r="G97" s="80">
        <f>SUMPRODUCT(('Monthly Data'!$E$13:$E$9627=$B$90)*('Monthly Data'!$F$13:$F$9627)*('Monthly Data'!$C$13:$C$9627=G$26)*('Monthly Data'!$D$13:$D$9627=$B97))</f>
        <v>3257284</v>
      </c>
      <c r="H97" s="80">
        <f>SUMPRODUCT(('Monthly Data'!$E$13:$E$9627=$B$90)*('Monthly Data'!$F$13:$F$9627)*('Monthly Data'!$C$13:$C$9627=H$26)*('Monthly Data'!$D$13:$D$9627=$B97))</f>
        <v>3456578</v>
      </c>
      <c r="I97" s="80">
        <f>SUMPRODUCT(('Monthly Data'!$E$13:$E$9627=$B$90)*('Monthly Data'!$F$13:$F$9627)*('Monthly Data'!$C$13:$C$9627=I$26)*('Monthly Data'!$D$13:$D$9627=$B97))</f>
        <v>3571169</v>
      </c>
      <c r="J97" s="80">
        <f>SUMPRODUCT(('Monthly Data'!$E$13:$E$9627=$B$90)*('Monthly Data'!$F$13:$F$9627)*('Monthly Data'!$C$13:$C$9627=J$26)*('Monthly Data'!$D$13:$D$9627=$B97))</f>
        <v>3718335</v>
      </c>
      <c r="K97" s="80">
        <f>SUMPRODUCT(('Monthly Data'!$E$13:$E$9627=$B$90)*('Monthly Data'!$F$13:$F$9627)*('Monthly Data'!$C$13:$C$9627=K$26)*('Monthly Data'!$D$13:$D$9627=$B97))</f>
        <v>3786597</v>
      </c>
      <c r="L97" s="80">
        <f>SUMPRODUCT(('Monthly Data'!$E$13:$E$9627=$B$90)*('Monthly Data'!$F$13:$F$9627)*('Monthly Data'!$C$13:$C$9627=L$26)*('Monthly Data'!$D$13:$D$9627=$B97))</f>
        <v>3717506</v>
      </c>
      <c r="M97" s="80">
        <f>SUMPRODUCT(('Monthly Data'!$E$13:$E$9627=$B$90)*('Monthly Data'!$F$13:$F$9627)*('Monthly Data'!$C$13:$C$9627=M$26)*('Monthly Data'!$D$13:$D$9627=$B97))</f>
        <v>3540198</v>
      </c>
      <c r="N97" s="80">
        <f>SUMPRODUCT(('Monthly Data'!$E$13:$E$9627=$B$90)*('Monthly Data'!$F$13:$F$9627)*('Monthly Data'!$C$13:$C$9627=N$26)*('Monthly Data'!$D$13:$D$9627=$B97))</f>
        <v>3429761</v>
      </c>
      <c r="O97" s="80">
        <f>SUMPRODUCT(('Monthly Data'!$E$13:$E$9627=$B$90)*('Monthly Data'!$F$13:$F$9627)*('Monthly Data'!$C$13:$C$9627=O$26)*('Monthly Data'!$D$13:$D$9627=$B97))</f>
        <v>3631994</v>
      </c>
      <c r="P97" s="80">
        <v>3628200</v>
      </c>
      <c r="Q97" s="80">
        <v>3628200</v>
      </c>
      <c r="S97" s="89">
        <f t="shared" si="16"/>
        <v>45643987</v>
      </c>
      <c r="U97" s="30">
        <v>7</v>
      </c>
      <c r="V97" s="95">
        <f>SUMPRODUCT(('Monthly Data'!$E$13:$E$9627=$U$90)*('Monthly Data'!$G$13:$G$9627)*('Monthly Data'!$C$13:$C$9627=V$26)*('Monthly Data'!$D$13:$D$9627=$U97))</f>
        <v>22992</v>
      </c>
      <c r="W97" s="95">
        <f>SUMPRODUCT(('Monthly Data'!$E$13:$E$9627=$U$90)*('Monthly Data'!$G$13:$G$9627)*('Monthly Data'!$C$13:$C$9627=W$26)*('Monthly Data'!$D$13:$D$9627=$U97))</f>
        <v>23822</v>
      </c>
      <c r="X97" s="80">
        <f>SUMPRODUCT(('Monthly Data'!$E$13:$E$9627=$U$90)*('Monthly Data'!$G$13:$G$9627)*('Monthly Data'!$C$13:$C$9627=X$26)*('Monthly Data'!$D$13:$D$9627=$U97))</f>
        <v>23922</v>
      </c>
      <c r="Y97" s="80">
        <f>SUMPRODUCT(('Monthly Data'!$E$13:$E$9627=$U$90)*('Monthly Data'!$G$13:$G$9627)*('Monthly Data'!$C$13:$C$9627=Y$26)*('Monthly Data'!$D$13:$D$9627=$U97))</f>
        <v>22852</v>
      </c>
      <c r="Z97" s="80">
        <f>SUMPRODUCT(('Monthly Data'!$E$13:$E$9627=$U$90)*('Monthly Data'!$G$13:$G$9627)*('Monthly Data'!$C$13:$C$9627=Z$26)*('Monthly Data'!$D$13:$D$9627=$U97))</f>
        <v>22739</v>
      </c>
      <c r="AA97" s="80">
        <f>SUMPRODUCT(('Monthly Data'!$E$13:$E$9627=$U$90)*('Monthly Data'!$G$13:$G$9627)*('Monthly Data'!$C$13:$C$9627=AA$26)*('Monthly Data'!$D$13:$D$9627=$U97))</f>
        <v>23533</v>
      </c>
      <c r="AB97" s="80">
        <f>SUMPRODUCT(('Monthly Data'!$E$13:$E$9627=$U$90)*('Monthly Data'!$G$13:$G$9627)*('Monthly Data'!$C$13:$C$9627=AB$26)*('Monthly Data'!$D$13:$D$9627=$U97))</f>
        <v>24566</v>
      </c>
      <c r="AC97" s="80">
        <f>SUMPRODUCT(('Monthly Data'!$E$13:$E$9627=$U$90)*('Monthly Data'!$G$13:$G$9627)*('Monthly Data'!$C$13:$C$9627=AC$26)*('Monthly Data'!$D$13:$D$9627=$U97))</f>
        <v>24646</v>
      </c>
      <c r="AD97" s="80">
        <f>SUMPRODUCT(('Monthly Data'!$E$13:$E$9627=$U$90)*('Monthly Data'!$G$13:$G$9627)*('Monthly Data'!$C$13:$C$9627=AD$26)*('Monthly Data'!$D$13:$D$9627=$U97))</f>
        <v>25138</v>
      </c>
      <c r="AE97" s="80">
        <f>SUMPRODUCT(('Monthly Data'!$E$13:$E$9627=$U$90)*('Monthly Data'!$G$13:$G$9627)*('Monthly Data'!$C$13:$C$9627=AE$26)*('Monthly Data'!$D$13:$D$9627=$U97))</f>
        <v>25535</v>
      </c>
      <c r="AF97" s="80">
        <f>SUMPRODUCT(('Monthly Data'!$E$13:$E$9627=$U$90)*('Monthly Data'!$G$13:$G$9627)*('Monthly Data'!$C$13:$C$9627=AF$26)*('Monthly Data'!$D$13:$D$9627=$U97))</f>
        <v>24582</v>
      </c>
      <c r="AG97" s="80">
        <f>SUMPRODUCT(('Monthly Data'!$E$13:$E$9627=$U$90)*('Monthly Data'!$G$13:$G$9627)*('Monthly Data'!$C$13:$C$9627=AG$26)*('Monthly Data'!$D$13:$D$9627=$U97))</f>
        <v>23309</v>
      </c>
      <c r="AH97" s="80">
        <v>23933</v>
      </c>
      <c r="AI97" s="80">
        <v>23896</v>
      </c>
      <c r="AJ97" s="80"/>
      <c r="AL97" s="89">
        <f t="shared" si="17"/>
        <v>288577</v>
      </c>
    </row>
    <row r="98" spans="2:38">
      <c r="B98" s="30">
        <v>8</v>
      </c>
      <c r="C98" s="95">
        <f>SUMPRODUCT(('Monthly Data'!$E$13:$E$9627=$B$90)*('Monthly Data'!$F$13:$F$9627)*('Monthly Data'!$C$13:$C$9627=C$26)*('Monthly Data'!$D$13:$D$9627=$B98))</f>
        <v>3472217</v>
      </c>
      <c r="D98" s="95">
        <f>SUMPRODUCT(('Monthly Data'!$E$13:$E$9627=$B$90)*('Monthly Data'!$F$13:$F$9627)*('Monthly Data'!$C$13:$C$9627=D$26)*('Monthly Data'!$D$13:$D$9627=$B98))</f>
        <v>3618382</v>
      </c>
      <c r="E98" s="80">
        <f>SUMPRODUCT(('Monthly Data'!$E$13:$E$9627=$B$90)*('Monthly Data'!$F$13:$F$9627)*('Monthly Data'!$C$13:$C$9627=E$26)*('Monthly Data'!$D$13:$D$9627=$B98))</f>
        <v>3647465</v>
      </c>
      <c r="F98" s="80">
        <f>SUMPRODUCT(('Monthly Data'!$E$13:$E$9627=$B$90)*('Monthly Data'!$F$13:$F$9627)*('Monthly Data'!$C$13:$C$9627=F$26)*('Monthly Data'!$D$13:$D$9627=$B98))</f>
        <v>3550508</v>
      </c>
      <c r="G98" s="80">
        <f>SUMPRODUCT(('Monthly Data'!$E$13:$E$9627=$B$90)*('Monthly Data'!$F$13:$F$9627)*('Monthly Data'!$C$13:$C$9627=G$26)*('Monthly Data'!$D$13:$D$9627=$B98))</f>
        <v>3619939</v>
      </c>
      <c r="H98" s="80">
        <f>SUMPRODUCT(('Monthly Data'!$E$13:$E$9627=$B$90)*('Monthly Data'!$F$13:$F$9627)*('Monthly Data'!$C$13:$C$9627=H$26)*('Monthly Data'!$D$13:$D$9627=$B98))</f>
        <v>3696067</v>
      </c>
      <c r="I98" s="80">
        <f>SUMPRODUCT(('Monthly Data'!$E$13:$E$9627=$B$90)*('Monthly Data'!$F$13:$F$9627)*('Monthly Data'!$C$13:$C$9627=I$26)*('Monthly Data'!$D$13:$D$9627=$B98))</f>
        <v>3736447</v>
      </c>
      <c r="J98" s="80">
        <f>SUMPRODUCT(('Monthly Data'!$E$13:$E$9627=$B$90)*('Monthly Data'!$F$13:$F$9627)*('Monthly Data'!$C$13:$C$9627=J$26)*('Monthly Data'!$D$13:$D$9627=$B98))</f>
        <v>3812736</v>
      </c>
      <c r="K98" s="80">
        <f>SUMPRODUCT(('Monthly Data'!$E$13:$E$9627=$B$90)*('Monthly Data'!$F$13:$F$9627)*('Monthly Data'!$C$13:$C$9627=K$26)*('Monthly Data'!$D$13:$D$9627=$B98))</f>
        <v>3969483</v>
      </c>
      <c r="L98" s="80">
        <f>SUMPRODUCT(('Monthly Data'!$E$13:$E$9627=$B$90)*('Monthly Data'!$F$13:$F$9627)*('Monthly Data'!$C$13:$C$9627=L$26)*('Monthly Data'!$D$13:$D$9627=$B98))</f>
        <v>3920435</v>
      </c>
      <c r="M98" s="80">
        <f>SUMPRODUCT(('Monthly Data'!$E$13:$E$9627=$B$90)*('Monthly Data'!$F$13:$F$9627)*('Monthly Data'!$C$13:$C$9627=M$26)*('Monthly Data'!$D$13:$D$9627=$B98))</f>
        <v>3739956</v>
      </c>
      <c r="N98" s="80">
        <f>SUMPRODUCT(('Monthly Data'!$E$13:$E$9627=$B$90)*('Monthly Data'!$F$13:$F$9627)*('Monthly Data'!$C$13:$C$9627=N$26)*('Monthly Data'!$D$13:$D$9627=$B98))</f>
        <v>3692929</v>
      </c>
      <c r="O98" s="80">
        <f>SUMPRODUCT(('Monthly Data'!$E$13:$E$9627=$B$90)*('Monthly Data'!$F$13:$F$9627)*('Monthly Data'!$C$13:$C$9627=O$26)*('Monthly Data'!$D$13:$D$9627=$B98))</f>
        <v>3825576</v>
      </c>
      <c r="P98" s="80">
        <v>3883200</v>
      </c>
      <c r="Q98" s="80">
        <v>3883200</v>
      </c>
      <c r="S98" s="89">
        <f t="shared" si="16"/>
        <v>48302140</v>
      </c>
      <c r="U98" s="30">
        <v>8</v>
      </c>
      <c r="V98" s="95">
        <f>SUMPRODUCT(('Monthly Data'!$E$13:$E$9627=$U$90)*('Monthly Data'!$G$13:$G$9627)*('Monthly Data'!$C$13:$C$9627=V$26)*('Monthly Data'!$D$13:$D$9627=$U98))</f>
        <v>23748</v>
      </c>
      <c r="W98" s="95">
        <f>SUMPRODUCT(('Monthly Data'!$E$13:$E$9627=$U$90)*('Monthly Data'!$G$13:$G$9627)*('Monthly Data'!$C$13:$C$9627=W$26)*('Monthly Data'!$D$13:$D$9627=$U98))</f>
        <v>24393</v>
      </c>
      <c r="X98" s="80">
        <f>SUMPRODUCT(('Monthly Data'!$E$13:$E$9627=$U$90)*('Monthly Data'!$G$13:$G$9627)*('Monthly Data'!$C$13:$C$9627=X$26)*('Monthly Data'!$D$13:$D$9627=$U98))</f>
        <v>24593</v>
      </c>
      <c r="Y98" s="80">
        <f>SUMPRODUCT(('Monthly Data'!$E$13:$E$9627=$U$90)*('Monthly Data'!$G$13:$G$9627)*('Monthly Data'!$C$13:$C$9627=Y$26)*('Monthly Data'!$D$13:$D$9627=$U98))</f>
        <v>23760</v>
      </c>
      <c r="Z98" s="80">
        <f>SUMPRODUCT(('Monthly Data'!$E$13:$E$9627=$U$90)*('Monthly Data'!$G$13:$G$9627)*('Monthly Data'!$C$13:$C$9627=Z$26)*('Monthly Data'!$D$13:$D$9627=$U98))</f>
        <v>23865</v>
      </c>
      <c r="AA98" s="80">
        <f>SUMPRODUCT(('Monthly Data'!$E$13:$E$9627=$U$90)*('Monthly Data'!$G$13:$G$9627)*('Monthly Data'!$C$13:$C$9627=AA$26)*('Monthly Data'!$D$13:$D$9627=$U98))</f>
        <v>24204</v>
      </c>
      <c r="AB98" s="80">
        <f>SUMPRODUCT(('Monthly Data'!$E$13:$E$9627=$U$90)*('Monthly Data'!$G$13:$G$9627)*('Monthly Data'!$C$13:$C$9627=AB$26)*('Monthly Data'!$D$13:$D$9627=$U98))</f>
        <v>25109</v>
      </c>
      <c r="AC98" s="80">
        <f>SUMPRODUCT(('Monthly Data'!$E$13:$E$9627=$U$90)*('Monthly Data'!$G$13:$G$9627)*('Monthly Data'!$C$13:$C$9627=AC$26)*('Monthly Data'!$D$13:$D$9627=$U98))</f>
        <v>24946</v>
      </c>
      <c r="AD98" s="80">
        <f>SUMPRODUCT(('Monthly Data'!$E$13:$E$9627=$U$90)*('Monthly Data'!$G$13:$G$9627)*('Monthly Data'!$C$13:$C$9627=AD$26)*('Monthly Data'!$D$13:$D$9627=$U98))</f>
        <v>25662</v>
      </c>
      <c r="AE98" s="80">
        <f>SUMPRODUCT(('Monthly Data'!$E$13:$E$9627=$U$90)*('Monthly Data'!$G$13:$G$9627)*('Monthly Data'!$C$13:$C$9627=AE$26)*('Monthly Data'!$D$13:$D$9627=$U98))</f>
        <v>25922</v>
      </c>
      <c r="AF98" s="80">
        <f>SUMPRODUCT(('Monthly Data'!$E$13:$E$9627=$U$90)*('Monthly Data'!$G$13:$G$9627)*('Monthly Data'!$C$13:$C$9627=AF$26)*('Monthly Data'!$D$13:$D$9627=$U98))</f>
        <v>25046</v>
      </c>
      <c r="AG98" s="80">
        <f>SUMPRODUCT(('Monthly Data'!$E$13:$E$9627=$U$90)*('Monthly Data'!$G$13:$G$9627)*('Monthly Data'!$C$13:$C$9627=AG$26)*('Monthly Data'!$D$13:$D$9627=$U98))</f>
        <v>24100</v>
      </c>
      <c r="AH98" s="80">
        <v>24610</v>
      </c>
      <c r="AI98" s="80">
        <v>24627</v>
      </c>
      <c r="AJ98" s="80"/>
      <c r="AL98" s="89">
        <f t="shared" si="17"/>
        <v>296210</v>
      </c>
    </row>
    <row r="99" spans="2:38">
      <c r="B99" s="30">
        <v>9</v>
      </c>
      <c r="C99" s="95">
        <f>SUMPRODUCT(('Monthly Data'!$E$13:$E$9627=$B$90)*('Monthly Data'!$F$13:$F$9627)*('Monthly Data'!$C$13:$C$9627=C$26)*('Monthly Data'!$D$13:$D$9627=$B99))</f>
        <v>3131881</v>
      </c>
      <c r="D99" s="95">
        <f>SUMPRODUCT(('Monthly Data'!$E$13:$E$9627=$B$90)*('Monthly Data'!$F$13:$F$9627)*('Monthly Data'!$C$13:$C$9627=D$26)*('Monthly Data'!$D$13:$D$9627=$B99))</f>
        <v>3366835</v>
      </c>
      <c r="E99" s="80">
        <f>SUMPRODUCT(('Monthly Data'!$E$13:$E$9627=$B$90)*('Monthly Data'!$F$13:$F$9627)*('Monthly Data'!$C$13:$C$9627=E$26)*('Monthly Data'!$D$13:$D$9627=$B99))</f>
        <v>3159815</v>
      </c>
      <c r="F99" s="80">
        <f>SUMPRODUCT(('Monthly Data'!$E$13:$E$9627=$B$90)*('Monthly Data'!$F$13:$F$9627)*('Monthly Data'!$C$13:$C$9627=F$26)*('Monthly Data'!$D$13:$D$9627=$B99))</f>
        <v>3171630</v>
      </c>
      <c r="G99" s="80">
        <f>SUMPRODUCT(('Monthly Data'!$E$13:$E$9627=$B$90)*('Monthly Data'!$F$13:$F$9627)*('Monthly Data'!$C$13:$C$9627=G$26)*('Monthly Data'!$D$13:$D$9627=$B99))</f>
        <v>3044806</v>
      </c>
      <c r="H99" s="80">
        <f>SUMPRODUCT(('Monthly Data'!$E$13:$E$9627=$B$90)*('Monthly Data'!$F$13:$F$9627)*('Monthly Data'!$C$13:$C$9627=H$26)*('Monthly Data'!$D$13:$D$9627=$B99))</f>
        <v>3230730</v>
      </c>
      <c r="I99" s="80">
        <f>SUMPRODUCT(('Monthly Data'!$E$13:$E$9627=$B$90)*('Monthly Data'!$F$13:$F$9627)*('Monthly Data'!$C$13:$C$9627=I$26)*('Monthly Data'!$D$13:$D$9627=$B99))</f>
        <v>3324301</v>
      </c>
      <c r="J99" s="80">
        <f>SUMPRODUCT(('Monthly Data'!$E$13:$E$9627=$B$90)*('Monthly Data'!$F$13:$F$9627)*('Monthly Data'!$C$13:$C$9627=J$26)*('Monthly Data'!$D$13:$D$9627=$B99))</f>
        <v>3415394</v>
      </c>
      <c r="K99" s="80">
        <f>SUMPRODUCT(('Monthly Data'!$E$13:$E$9627=$B$90)*('Monthly Data'!$F$13:$F$9627)*('Monthly Data'!$C$13:$C$9627=K$26)*('Monthly Data'!$D$13:$D$9627=$B99))</f>
        <v>3549887</v>
      </c>
      <c r="L99" s="80">
        <f>SUMPRODUCT(('Monthly Data'!$E$13:$E$9627=$B$90)*('Monthly Data'!$F$13:$F$9627)*('Monthly Data'!$C$13:$C$9627=L$26)*('Monthly Data'!$D$13:$D$9627=$B99))</f>
        <v>3308261</v>
      </c>
      <c r="M99" s="80">
        <f>SUMPRODUCT(('Monthly Data'!$E$13:$E$9627=$B$90)*('Monthly Data'!$F$13:$F$9627)*('Monthly Data'!$C$13:$C$9627=M$26)*('Monthly Data'!$D$13:$D$9627=$B99))</f>
        <v>3291749</v>
      </c>
      <c r="N99" s="80">
        <f>SUMPRODUCT(('Monthly Data'!$E$13:$E$9627=$B$90)*('Monthly Data'!$F$13:$F$9627)*('Monthly Data'!$C$13:$C$9627=N$26)*('Monthly Data'!$D$13:$D$9627=$B99))</f>
        <v>3206967</v>
      </c>
      <c r="O99" s="80">
        <f>SUMPRODUCT(('Monthly Data'!$E$13:$E$9627=$B$90)*('Monthly Data'!$F$13:$F$9627)*('Monthly Data'!$C$13:$C$9627=O$26)*('Monthly Data'!$D$13:$D$9627=$B99))</f>
        <v>3362749</v>
      </c>
      <c r="P99" s="80">
        <f>SUMPRODUCT(('Monthly Data'!$E$13:$E$9627=$B$90)*('Monthly Data'!$F$13:$F$9627)*('Monthly Data'!$C$13:$C$9627=P$26)*('Monthly Data'!$D$13:$D$9627=$B99))</f>
        <v>3444367</v>
      </c>
      <c r="Q99" s="80">
        <f>SUMPRODUCT(('Monthly Data'!$E$13:$E$9627=$B$90)*('Monthly Data'!$F$13:$F$9627)*('Monthly Data'!$C$13:$C$9627=Q$26)*('Monthly Data'!$D$13:$D$9627=$B99))</f>
        <v>0</v>
      </c>
      <c r="S99" s="89">
        <f t="shared" si="16"/>
        <v>42565005</v>
      </c>
      <c r="U99" s="30">
        <v>9</v>
      </c>
      <c r="V99" s="95">
        <f>SUMPRODUCT(('Monthly Data'!$E$13:$E$9627=$U$90)*('Monthly Data'!$G$13:$G$9627)*('Monthly Data'!$C$13:$C$9627=V$26)*('Monthly Data'!$D$13:$D$9627=$U99))</f>
        <v>22543</v>
      </c>
      <c r="W99" s="95">
        <f>SUMPRODUCT(('Monthly Data'!$E$13:$E$9627=$U$90)*('Monthly Data'!$G$13:$G$9627)*('Monthly Data'!$C$13:$C$9627=W$26)*('Monthly Data'!$D$13:$D$9627=$U99))</f>
        <v>23443</v>
      </c>
      <c r="X99" s="80">
        <f>SUMPRODUCT(('Monthly Data'!$E$13:$E$9627=$U$90)*('Monthly Data'!$G$13:$G$9627)*('Monthly Data'!$C$13:$C$9627=X$26)*('Monthly Data'!$D$13:$D$9627=$U99))</f>
        <v>23062</v>
      </c>
      <c r="Y99" s="80">
        <f>SUMPRODUCT(('Monthly Data'!$E$13:$E$9627=$U$90)*('Monthly Data'!$G$13:$G$9627)*('Monthly Data'!$C$13:$C$9627=Y$26)*('Monthly Data'!$D$13:$D$9627=$U99))</f>
        <v>22591</v>
      </c>
      <c r="Z99" s="80">
        <f>SUMPRODUCT(('Monthly Data'!$E$13:$E$9627=$U$90)*('Monthly Data'!$G$13:$G$9627)*('Monthly Data'!$C$13:$C$9627=Z$26)*('Monthly Data'!$D$13:$D$9627=$U99))</f>
        <v>22057</v>
      </c>
      <c r="AA99" s="80">
        <f>SUMPRODUCT(('Monthly Data'!$E$13:$E$9627=$U$90)*('Monthly Data'!$G$13:$G$9627)*('Monthly Data'!$C$13:$C$9627=AA$26)*('Monthly Data'!$D$13:$D$9627=$U99))</f>
        <v>22835</v>
      </c>
      <c r="AB99" s="80">
        <f>SUMPRODUCT(('Monthly Data'!$E$13:$E$9627=$U$90)*('Monthly Data'!$G$13:$G$9627)*('Monthly Data'!$C$13:$C$9627=AB$26)*('Monthly Data'!$D$13:$D$9627=$U99))</f>
        <v>23546</v>
      </c>
      <c r="AC99" s="80">
        <f>SUMPRODUCT(('Monthly Data'!$E$13:$E$9627=$U$90)*('Monthly Data'!$G$13:$G$9627)*('Monthly Data'!$C$13:$C$9627=AC$26)*('Monthly Data'!$D$13:$D$9627=$U99))</f>
        <v>23750</v>
      </c>
      <c r="AD99" s="80">
        <f>SUMPRODUCT(('Monthly Data'!$E$13:$E$9627=$U$90)*('Monthly Data'!$G$13:$G$9627)*('Monthly Data'!$C$13:$C$9627=AD$26)*('Monthly Data'!$D$13:$D$9627=$U99))</f>
        <v>24182</v>
      </c>
      <c r="AE99" s="80">
        <f>SUMPRODUCT(('Monthly Data'!$E$13:$E$9627=$U$90)*('Monthly Data'!$G$13:$G$9627)*('Monthly Data'!$C$13:$C$9627=AE$26)*('Monthly Data'!$D$13:$D$9627=$U99))</f>
        <v>23668</v>
      </c>
      <c r="AF99" s="80">
        <f>SUMPRODUCT(('Monthly Data'!$E$13:$E$9627=$U$90)*('Monthly Data'!$G$13:$G$9627)*('Monthly Data'!$C$13:$C$9627=AF$26)*('Monthly Data'!$D$13:$D$9627=$U99))</f>
        <v>23573</v>
      </c>
      <c r="AG99" s="80">
        <f>SUMPRODUCT(('Monthly Data'!$E$13:$E$9627=$U$90)*('Monthly Data'!$G$13:$G$9627)*('Monthly Data'!$C$13:$C$9627=AG$26)*('Monthly Data'!$D$13:$D$9627=$U99))</f>
        <v>22413</v>
      </c>
      <c r="AH99" s="80">
        <v>22852</v>
      </c>
      <c r="AI99" s="80">
        <v>22869</v>
      </c>
      <c r="AJ99" s="80"/>
      <c r="AL99" s="89">
        <f t="shared" si="17"/>
        <v>277972</v>
      </c>
    </row>
    <row r="100" spans="2:38">
      <c r="B100" s="30">
        <v>10</v>
      </c>
      <c r="C100" s="95">
        <f>SUMPRODUCT(('Monthly Data'!$E$13:$E$9627=$B$90)*('Monthly Data'!$F$13:$F$9627)*('Monthly Data'!$C$13:$C$9627=C$26)*('Monthly Data'!$D$13:$D$9627=$B100))</f>
        <v>2794385</v>
      </c>
      <c r="D100" s="95">
        <f>SUMPRODUCT(('Monthly Data'!$E$13:$E$9627=$B$90)*('Monthly Data'!$F$13:$F$9627)*('Monthly Data'!$C$13:$C$9627=D$26)*('Monthly Data'!$D$13:$D$9627=$B100))</f>
        <v>2899690</v>
      </c>
      <c r="E100" s="80">
        <f>SUMPRODUCT(('Monthly Data'!$E$13:$E$9627=$B$90)*('Monthly Data'!$F$13:$F$9627)*('Monthly Data'!$C$13:$C$9627=E$26)*('Monthly Data'!$D$13:$D$9627=$B100))</f>
        <v>2529325</v>
      </c>
      <c r="F100" s="80">
        <f>SUMPRODUCT(('Monthly Data'!$E$13:$E$9627=$B$90)*('Monthly Data'!$F$13:$F$9627)*('Monthly Data'!$C$13:$C$9627=F$26)*('Monthly Data'!$D$13:$D$9627=$B100))</f>
        <v>2668832</v>
      </c>
      <c r="G100" s="80">
        <f>SUMPRODUCT(('Monthly Data'!$E$13:$E$9627=$B$90)*('Monthly Data'!$F$13:$F$9627)*('Monthly Data'!$C$13:$C$9627=G$26)*('Monthly Data'!$D$13:$D$9627=$B100))</f>
        <v>2605373</v>
      </c>
      <c r="H100" s="80">
        <f>SUMPRODUCT(('Monthly Data'!$E$13:$E$9627=$B$90)*('Monthly Data'!$F$13:$F$9627)*('Monthly Data'!$C$13:$C$9627=H$26)*('Monthly Data'!$D$13:$D$9627=$B100))</f>
        <v>2816223</v>
      </c>
      <c r="I100" s="80">
        <f>SUMPRODUCT(('Monthly Data'!$E$13:$E$9627=$B$90)*('Monthly Data'!$F$13:$F$9627)*('Monthly Data'!$C$13:$C$9627=I$26)*('Monthly Data'!$D$13:$D$9627=$B100))</f>
        <v>2886053</v>
      </c>
      <c r="J100" s="80">
        <f>SUMPRODUCT(('Monthly Data'!$E$13:$E$9627=$B$90)*('Monthly Data'!$F$13:$F$9627)*('Monthly Data'!$C$13:$C$9627=J$26)*('Monthly Data'!$D$13:$D$9627=$B100))</f>
        <v>2947276</v>
      </c>
      <c r="K100" s="80">
        <f>SUMPRODUCT(('Monthly Data'!$E$13:$E$9627=$B$90)*('Monthly Data'!$F$13:$F$9627)*('Monthly Data'!$C$13:$C$9627=K$26)*('Monthly Data'!$D$13:$D$9627=$B100))</f>
        <v>3092036</v>
      </c>
      <c r="L100" s="80">
        <f>SUMPRODUCT(('Monthly Data'!$E$13:$E$9627=$B$90)*('Monthly Data'!$F$13:$F$9627)*('Monthly Data'!$C$13:$C$9627=L$26)*('Monthly Data'!$D$13:$D$9627=$B100))</f>
        <v>2775061</v>
      </c>
      <c r="M100" s="80">
        <f>SUMPRODUCT(('Monthly Data'!$E$13:$E$9627=$B$90)*('Monthly Data'!$F$13:$F$9627)*('Monthly Data'!$C$13:$C$9627=M$26)*('Monthly Data'!$D$13:$D$9627=$B100))</f>
        <v>2826923</v>
      </c>
      <c r="N100" s="80">
        <f>SUMPRODUCT(('Monthly Data'!$E$13:$E$9627=$B$90)*('Monthly Data'!$F$13:$F$9627)*('Monthly Data'!$C$13:$C$9627=N$26)*('Monthly Data'!$D$13:$D$9627=$B100))</f>
        <v>2849873</v>
      </c>
      <c r="O100" s="80">
        <f>SUMPRODUCT(('Monthly Data'!$E$13:$E$9627=$B$90)*('Monthly Data'!$F$13:$F$9627)*('Monthly Data'!$C$13:$C$9627=O$26)*('Monthly Data'!$D$13:$D$9627=$B100))</f>
        <v>2921756</v>
      </c>
      <c r="P100" s="80">
        <f>SUMPRODUCT(('Monthly Data'!$E$13:$E$9627=$B$90)*('Monthly Data'!$F$13:$F$9627)*('Monthly Data'!$C$13:$C$9627=P$26)*('Monthly Data'!$D$13:$D$9627=$B100))</f>
        <v>2984093</v>
      </c>
      <c r="Q100" s="80">
        <f>SUMPRODUCT(('Monthly Data'!$E$13:$E$9627=$B$90)*('Monthly Data'!$F$13:$F$9627)*('Monthly Data'!$C$13:$C$9627=Q$26)*('Monthly Data'!$D$13:$D$9627=$B100))</f>
        <v>0</v>
      </c>
      <c r="S100" s="89">
        <f t="shared" si="16"/>
        <v>36612806</v>
      </c>
      <c r="U100" s="30">
        <v>10</v>
      </c>
      <c r="V100" s="95">
        <f>SUMPRODUCT(('Monthly Data'!$E$13:$E$9627=$U$90)*('Monthly Data'!$G$13:$G$9627)*('Monthly Data'!$C$13:$C$9627=V$26)*('Monthly Data'!$D$13:$D$9627=$U100))</f>
        <v>21791</v>
      </c>
      <c r="W100" s="95">
        <f>SUMPRODUCT(('Monthly Data'!$E$13:$E$9627=$U$90)*('Monthly Data'!$G$13:$G$9627)*('Monthly Data'!$C$13:$C$9627=W$26)*('Monthly Data'!$D$13:$D$9627=$U100))</f>
        <v>22382</v>
      </c>
      <c r="X100" s="80">
        <f>SUMPRODUCT(('Monthly Data'!$E$13:$E$9627=$U$90)*('Monthly Data'!$G$13:$G$9627)*('Monthly Data'!$C$13:$C$9627=X$26)*('Monthly Data'!$D$13:$D$9627=$U100))</f>
        <v>21335</v>
      </c>
      <c r="Y100" s="80">
        <f>SUMPRODUCT(('Monthly Data'!$E$13:$E$9627=$U$90)*('Monthly Data'!$G$13:$G$9627)*('Monthly Data'!$C$13:$C$9627=Y$26)*('Monthly Data'!$D$13:$D$9627=$U100))</f>
        <v>21271</v>
      </c>
      <c r="Z100" s="80">
        <f>SUMPRODUCT(('Monthly Data'!$E$13:$E$9627=$U$90)*('Monthly Data'!$G$13:$G$9627)*('Monthly Data'!$C$13:$C$9627=Z$26)*('Monthly Data'!$D$13:$D$9627=$U100))</f>
        <v>20452</v>
      </c>
      <c r="AA100" s="80">
        <f>SUMPRODUCT(('Monthly Data'!$E$13:$E$9627=$U$90)*('Monthly Data'!$G$13:$G$9627)*('Monthly Data'!$C$13:$C$9627=AA$26)*('Monthly Data'!$D$13:$D$9627=$U100))</f>
        <v>21558</v>
      </c>
      <c r="AB100" s="80">
        <f>SUMPRODUCT(('Monthly Data'!$E$13:$E$9627=$U$90)*('Monthly Data'!$G$13:$G$9627)*('Monthly Data'!$C$13:$C$9627=AB$26)*('Monthly Data'!$D$13:$D$9627=$U100))</f>
        <v>22230</v>
      </c>
      <c r="AC100" s="80">
        <f>SUMPRODUCT(('Monthly Data'!$E$13:$E$9627=$U$90)*('Monthly Data'!$G$13:$G$9627)*('Monthly Data'!$C$13:$C$9627=AC$26)*('Monthly Data'!$D$13:$D$9627=$U100))</f>
        <v>22293</v>
      </c>
      <c r="AD100" s="80">
        <f>SUMPRODUCT(('Monthly Data'!$E$13:$E$9627=$U$90)*('Monthly Data'!$G$13:$G$9627)*('Monthly Data'!$C$13:$C$9627=AD$26)*('Monthly Data'!$D$13:$D$9627=$U100))</f>
        <v>22754</v>
      </c>
      <c r="AE100" s="80">
        <f>SUMPRODUCT(('Monthly Data'!$E$13:$E$9627=$U$90)*('Monthly Data'!$G$13:$G$9627)*('Monthly Data'!$C$13:$C$9627=AE$26)*('Monthly Data'!$D$13:$D$9627=$U100))</f>
        <v>21606</v>
      </c>
      <c r="AF100" s="80">
        <f>SUMPRODUCT(('Monthly Data'!$E$13:$E$9627=$U$90)*('Monthly Data'!$G$13:$G$9627)*('Monthly Data'!$C$13:$C$9627=AF$26)*('Monthly Data'!$D$13:$D$9627=$U100))</f>
        <v>21564</v>
      </c>
      <c r="AG100" s="80">
        <f>SUMPRODUCT(('Monthly Data'!$E$13:$E$9627=$U$90)*('Monthly Data'!$G$13:$G$9627)*('Monthly Data'!$C$13:$C$9627=AG$26)*('Monthly Data'!$D$13:$D$9627=$U100))</f>
        <v>21199</v>
      </c>
      <c r="AH100" s="80">
        <v>21191</v>
      </c>
      <c r="AI100" s="80">
        <v>0</v>
      </c>
      <c r="AJ100" s="80">
        <v>0</v>
      </c>
      <c r="AL100" s="89">
        <f t="shared" si="17"/>
        <v>259835</v>
      </c>
    </row>
    <row r="101" spans="2:38">
      <c r="B101" s="30">
        <v>11</v>
      </c>
      <c r="C101" s="95">
        <f>SUMPRODUCT(('Monthly Data'!$E$13:$E$9627=$B$90)*('Monthly Data'!$F$13:$F$9627)*('Monthly Data'!$C$13:$C$9627=C$26)*('Monthly Data'!$D$13:$D$9627=$B101))</f>
        <v>1955256</v>
      </c>
      <c r="D101" s="95">
        <f>SUMPRODUCT(('Monthly Data'!$E$13:$E$9627=$B$90)*('Monthly Data'!$F$13:$F$9627)*('Monthly Data'!$C$13:$C$9627=D$26)*('Monthly Data'!$D$13:$D$9627=$B101))</f>
        <v>2040350</v>
      </c>
      <c r="E101" s="80">
        <f>SUMPRODUCT(('Monthly Data'!$E$13:$E$9627=$B$90)*('Monthly Data'!$F$13:$F$9627)*('Monthly Data'!$C$13:$C$9627=E$26)*('Monthly Data'!$D$13:$D$9627=$B101))</f>
        <v>1636048</v>
      </c>
      <c r="F101" s="80">
        <f>SUMPRODUCT(('Monthly Data'!$E$13:$E$9627=$B$90)*('Monthly Data'!$F$13:$F$9627)*('Monthly Data'!$C$13:$C$9627=F$26)*('Monthly Data'!$D$13:$D$9627=$B101))</f>
        <v>1795991</v>
      </c>
      <c r="G101" s="80">
        <f>SUMPRODUCT(('Monthly Data'!$E$13:$E$9627=$B$90)*('Monthly Data'!$F$13:$F$9627)*('Monthly Data'!$C$13:$C$9627=G$26)*('Monthly Data'!$D$13:$D$9627=$B101))</f>
        <v>1870160</v>
      </c>
      <c r="H101" s="80">
        <f>SUMPRODUCT(('Monthly Data'!$E$13:$E$9627=$B$90)*('Monthly Data'!$F$13:$F$9627)*('Monthly Data'!$C$13:$C$9627=H$26)*('Monthly Data'!$D$13:$D$9627=$B101))</f>
        <v>1955699</v>
      </c>
      <c r="I101" s="80">
        <f>SUMPRODUCT(('Monthly Data'!$E$13:$E$9627=$B$90)*('Monthly Data'!$F$13:$F$9627)*('Monthly Data'!$C$13:$C$9627=I$26)*('Monthly Data'!$D$13:$D$9627=$B101))</f>
        <v>1992303</v>
      </c>
      <c r="J101" s="80">
        <f>SUMPRODUCT(('Monthly Data'!$E$13:$E$9627=$B$90)*('Monthly Data'!$F$13:$F$9627)*('Monthly Data'!$C$13:$C$9627=J$26)*('Monthly Data'!$D$13:$D$9627=$B101))</f>
        <v>2151248</v>
      </c>
      <c r="K101" s="80">
        <f>SUMPRODUCT(('Monthly Data'!$E$13:$E$9627=$B$90)*('Monthly Data'!$F$13:$F$9627)*('Monthly Data'!$C$13:$C$9627=K$26)*('Monthly Data'!$D$13:$D$9627=$B101))</f>
        <v>2284674</v>
      </c>
      <c r="L101" s="80">
        <f>SUMPRODUCT(('Monthly Data'!$E$13:$E$9627=$B$90)*('Monthly Data'!$F$13:$F$9627)*('Monthly Data'!$C$13:$C$9627=L$26)*('Monthly Data'!$D$13:$D$9627=$B101))</f>
        <v>1976712</v>
      </c>
      <c r="M101" s="80">
        <f>SUMPRODUCT(('Monthly Data'!$E$13:$E$9627=$B$90)*('Monthly Data'!$F$13:$F$9627)*('Monthly Data'!$C$13:$C$9627=M$26)*('Monthly Data'!$D$13:$D$9627=$B101))</f>
        <v>2064415</v>
      </c>
      <c r="N101" s="80">
        <f>SUMPRODUCT(('Monthly Data'!$E$13:$E$9627=$B$90)*('Monthly Data'!$F$13:$F$9627)*('Monthly Data'!$C$13:$C$9627=N$26)*('Monthly Data'!$D$13:$D$9627=$B101))</f>
        <v>2122284</v>
      </c>
      <c r="O101" s="80">
        <f>SUMPRODUCT(('Monthly Data'!$E$13:$E$9627=$B$90)*('Monthly Data'!$F$13:$F$9627)*('Monthly Data'!$C$13:$C$9627=O$26)*('Monthly Data'!$D$13:$D$9627=$B101))</f>
        <v>2136674</v>
      </c>
      <c r="P101" s="80">
        <f>SUMPRODUCT(('Monthly Data'!$E$13:$E$9627=$B$90)*('Monthly Data'!$F$13:$F$9627)*('Monthly Data'!$C$13:$C$9627=P$26)*('Monthly Data'!$D$13:$D$9627=$B101))</f>
        <v>2225419</v>
      </c>
      <c r="Q101" s="80">
        <f>SUMPRODUCT(('Monthly Data'!$E$13:$E$9627=$B$90)*('Monthly Data'!$F$13:$F$9627)*('Monthly Data'!$C$13:$C$9627=Q$26)*('Monthly Data'!$D$13:$D$9627=$B101))</f>
        <v>0</v>
      </c>
      <c r="S101" s="89">
        <f t="shared" si="16"/>
        <v>25981814</v>
      </c>
      <c r="U101" s="30">
        <v>11</v>
      </c>
      <c r="V101" s="95">
        <f>SUMPRODUCT(('Monthly Data'!$E$13:$E$9627=$U$90)*('Monthly Data'!$G$13:$G$9627)*('Monthly Data'!$C$13:$C$9627=V$26)*('Monthly Data'!$D$13:$D$9627=$U101))</f>
        <v>17995</v>
      </c>
      <c r="W101" s="95">
        <f>SUMPRODUCT(('Monthly Data'!$E$13:$E$9627=$U$90)*('Monthly Data'!$G$13:$G$9627)*('Monthly Data'!$C$13:$C$9627=W$26)*('Monthly Data'!$D$13:$D$9627=$U101))</f>
        <v>18490</v>
      </c>
      <c r="X101" s="80">
        <f>SUMPRODUCT(('Monthly Data'!$E$13:$E$9627=$U$90)*('Monthly Data'!$G$13:$G$9627)*('Monthly Data'!$C$13:$C$9627=X$26)*('Monthly Data'!$D$13:$D$9627=$U101))</f>
        <v>15557</v>
      </c>
      <c r="Y101" s="80">
        <f>SUMPRODUCT(('Monthly Data'!$E$13:$E$9627=$U$90)*('Monthly Data'!$G$13:$G$9627)*('Monthly Data'!$C$13:$C$9627=Y$26)*('Monthly Data'!$D$13:$D$9627=$U101))</f>
        <v>17104</v>
      </c>
      <c r="Z101" s="80">
        <f>SUMPRODUCT(('Monthly Data'!$E$13:$E$9627=$U$90)*('Monthly Data'!$G$13:$G$9627)*('Monthly Data'!$C$13:$C$9627=Z$26)*('Monthly Data'!$D$13:$D$9627=$U101))</f>
        <v>16650</v>
      </c>
      <c r="AA101" s="80">
        <f>SUMPRODUCT(('Monthly Data'!$E$13:$E$9627=$U$90)*('Monthly Data'!$G$13:$G$9627)*('Monthly Data'!$C$13:$C$9627=AA$26)*('Monthly Data'!$D$13:$D$9627=$U101))</f>
        <v>17328</v>
      </c>
      <c r="AB101" s="80">
        <f>SUMPRODUCT(('Monthly Data'!$E$13:$E$9627=$U$90)*('Monthly Data'!$G$13:$G$9627)*('Monthly Data'!$C$13:$C$9627=AB$26)*('Monthly Data'!$D$13:$D$9627=$U101))</f>
        <v>17663</v>
      </c>
      <c r="AC101" s="80">
        <f>SUMPRODUCT(('Monthly Data'!$E$13:$E$9627=$U$90)*('Monthly Data'!$G$13:$G$9627)*('Monthly Data'!$C$13:$C$9627=AC$26)*('Monthly Data'!$D$13:$D$9627=$U101))</f>
        <v>17869</v>
      </c>
      <c r="AD101" s="80">
        <f>SUMPRODUCT(('Monthly Data'!$E$13:$E$9627=$U$90)*('Monthly Data'!$G$13:$G$9627)*('Monthly Data'!$C$13:$C$9627=AD$26)*('Monthly Data'!$D$13:$D$9627=$U101))</f>
        <v>18456</v>
      </c>
      <c r="AE101" s="80">
        <f>SUMPRODUCT(('Monthly Data'!$E$13:$E$9627=$U$90)*('Monthly Data'!$G$13:$G$9627)*('Monthly Data'!$C$13:$C$9627=AE$26)*('Monthly Data'!$D$13:$D$9627=$U101))</f>
        <v>16312</v>
      </c>
      <c r="AF101" s="80">
        <f>SUMPRODUCT(('Monthly Data'!$E$13:$E$9627=$U$90)*('Monthly Data'!$G$13:$G$9627)*('Monthly Data'!$C$13:$C$9627=AF$26)*('Monthly Data'!$D$13:$D$9627=$U101))</f>
        <v>17096</v>
      </c>
      <c r="AG101" s="80">
        <f>SUMPRODUCT(('Monthly Data'!$E$13:$E$9627=$U$90)*('Monthly Data'!$G$13:$G$9627)*('Monthly Data'!$C$13:$C$9627=AG$26)*('Monthly Data'!$D$13:$D$9627=$U101))</f>
        <v>17011</v>
      </c>
      <c r="AH101" s="80">
        <v>16202</v>
      </c>
      <c r="AI101" s="80">
        <v>0</v>
      </c>
      <c r="AJ101" s="80">
        <v>0</v>
      </c>
      <c r="AL101" s="89">
        <f t="shared" si="17"/>
        <v>205738</v>
      </c>
    </row>
    <row r="102" spans="2:38">
      <c r="B102" s="30">
        <v>12</v>
      </c>
      <c r="C102" s="95">
        <f>SUMPRODUCT(('Monthly Data'!$E$13:$E$9627=$B$90)*('Monthly Data'!$F$13:$F$9627)*('Monthly Data'!$C$13:$C$9627=C$26)*('Monthly Data'!$D$13:$D$9627=$B102))</f>
        <v>1823993</v>
      </c>
      <c r="D102" s="95">
        <f>SUMPRODUCT(('Monthly Data'!$E$13:$E$9627=$B$90)*('Monthly Data'!$F$13:$F$9627)*('Monthly Data'!$C$13:$C$9627=D$26)*('Monthly Data'!$D$13:$D$9627=$B102))</f>
        <v>2056497</v>
      </c>
      <c r="E102" s="80">
        <f>SUMPRODUCT(('Monthly Data'!$E$13:$E$9627=$B$90)*('Monthly Data'!$F$13:$F$9627)*('Monthly Data'!$C$13:$C$9627=E$26)*('Monthly Data'!$D$13:$D$9627=$B102))</f>
        <v>1720352</v>
      </c>
      <c r="F102" s="80">
        <f>SUMPRODUCT(('Monthly Data'!$E$13:$E$9627=$B$90)*('Monthly Data'!$F$13:$F$9627)*('Monthly Data'!$C$13:$C$9627=F$26)*('Monthly Data'!$D$13:$D$9627=$B102))</f>
        <v>1884718</v>
      </c>
      <c r="G102" s="80">
        <f>SUMPRODUCT(('Monthly Data'!$E$13:$E$9627=$B$90)*('Monthly Data'!$F$13:$F$9627)*('Monthly Data'!$C$13:$C$9627=G$26)*('Monthly Data'!$D$13:$D$9627=$B102))</f>
        <v>1957212</v>
      </c>
      <c r="H102" s="80">
        <f>SUMPRODUCT(('Monthly Data'!$E$13:$E$9627=$B$90)*('Monthly Data'!$F$13:$F$9627)*('Monthly Data'!$C$13:$C$9627=H$26)*('Monthly Data'!$D$13:$D$9627=$B102))</f>
        <v>2114540</v>
      </c>
      <c r="I102" s="80">
        <f>SUMPRODUCT(('Monthly Data'!$E$13:$E$9627=$B$90)*('Monthly Data'!$F$13:$F$9627)*('Monthly Data'!$C$13:$C$9627=I$26)*('Monthly Data'!$D$13:$D$9627=$B102))</f>
        <v>2169070</v>
      </c>
      <c r="J102" s="80">
        <f>SUMPRODUCT(('Monthly Data'!$E$13:$E$9627=$B$90)*('Monthly Data'!$F$13:$F$9627)*('Monthly Data'!$C$13:$C$9627=J$26)*('Monthly Data'!$D$13:$D$9627=$B102))</f>
        <v>2360155</v>
      </c>
      <c r="K102" s="80">
        <f>SUMPRODUCT(('Monthly Data'!$E$13:$E$9627=$B$90)*('Monthly Data'!$F$13:$F$9627)*('Monthly Data'!$C$13:$C$9627=K$26)*('Monthly Data'!$D$13:$D$9627=$B102))</f>
        <v>2423153</v>
      </c>
      <c r="L102" s="80">
        <f>SUMPRODUCT(('Monthly Data'!$E$13:$E$9627=$B$90)*('Monthly Data'!$F$13:$F$9627)*('Monthly Data'!$C$13:$C$9627=L$26)*('Monthly Data'!$D$13:$D$9627=$B102))</f>
        <v>2087858</v>
      </c>
      <c r="M102" s="80">
        <f>SUMPRODUCT(('Monthly Data'!$E$13:$E$9627=$B$90)*('Monthly Data'!$F$13:$F$9627)*('Monthly Data'!$C$13:$C$9627=M$26)*('Monthly Data'!$D$13:$D$9627=$B102))</f>
        <v>2120711</v>
      </c>
      <c r="N102" s="80">
        <f>SUMPRODUCT(('Monthly Data'!$E$13:$E$9627=$B$90)*('Monthly Data'!$F$13:$F$9627)*('Monthly Data'!$C$13:$C$9627=N$26)*('Monthly Data'!$D$13:$D$9627=$B102))</f>
        <v>1894221</v>
      </c>
      <c r="O102" s="80">
        <v>2269600</v>
      </c>
      <c r="P102" s="80">
        <f>SUMPRODUCT(('Monthly Data'!$E$13:$E$9627=$B$90)*('Monthly Data'!$F$13:$F$9627)*('Monthly Data'!$C$13:$C$9627=P$26)*('Monthly Data'!$D$13:$D$9627=$B102))</f>
        <v>2282391</v>
      </c>
      <c r="Q102" s="80">
        <f>SUMPRODUCT(('Monthly Data'!$E$13:$E$9627=$B$90)*('Monthly Data'!$F$13:$F$9627)*('Monthly Data'!$C$13:$C$9627=Q$26)*('Monthly Data'!$D$13:$D$9627=$B102))</f>
        <v>0</v>
      </c>
      <c r="S102" s="89">
        <f t="shared" si="16"/>
        <v>26882080</v>
      </c>
      <c r="U102" s="30">
        <v>12</v>
      </c>
      <c r="V102" s="95">
        <f>SUMPRODUCT(('Monthly Data'!$E$13:$E$9627=$U$90)*('Monthly Data'!$G$13:$G$9627)*('Monthly Data'!$C$13:$C$9627=V$26)*('Monthly Data'!$D$13:$D$9627=$U102))</f>
        <v>18015</v>
      </c>
      <c r="W102" s="95">
        <f>SUMPRODUCT(('Monthly Data'!$E$13:$E$9627=$U$90)*('Monthly Data'!$G$13:$G$9627)*('Monthly Data'!$C$13:$C$9627=W$26)*('Monthly Data'!$D$13:$D$9627=$U102))</f>
        <v>18248</v>
      </c>
      <c r="X102" s="80">
        <f>SUMPRODUCT(('Monthly Data'!$E$13:$E$9627=$U$90)*('Monthly Data'!$G$13:$G$9627)*('Monthly Data'!$C$13:$C$9627=X$26)*('Monthly Data'!$D$13:$D$9627=$U102))</f>
        <v>15319</v>
      </c>
      <c r="Y102" s="80">
        <f>SUMPRODUCT(('Monthly Data'!$E$13:$E$9627=$U$90)*('Monthly Data'!$G$13:$G$9627)*('Monthly Data'!$C$13:$C$9627=Y$26)*('Monthly Data'!$D$13:$D$9627=$U102))</f>
        <v>17206</v>
      </c>
      <c r="Z102" s="80">
        <f>SUMPRODUCT(('Monthly Data'!$E$13:$E$9627=$U$90)*('Monthly Data'!$G$13:$G$9627)*('Monthly Data'!$C$13:$C$9627=Z$26)*('Monthly Data'!$D$13:$D$9627=$U102))</f>
        <v>16903</v>
      </c>
      <c r="AA102" s="80">
        <f>SUMPRODUCT(('Monthly Data'!$E$13:$E$9627=$U$90)*('Monthly Data'!$G$13:$G$9627)*('Monthly Data'!$C$13:$C$9627=AA$26)*('Monthly Data'!$D$13:$D$9627=$U102))</f>
        <v>18044</v>
      </c>
      <c r="AB102" s="80">
        <f>SUMPRODUCT(('Monthly Data'!$E$13:$E$9627=$U$90)*('Monthly Data'!$G$13:$G$9627)*('Monthly Data'!$C$13:$C$9627=AB$26)*('Monthly Data'!$D$13:$D$9627=$U102))</f>
        <v>18658</v>
      </c>
      <c r="AC102" s="80">
        <f>SUMPRODUCT(('Monthly Data'!$E$13:$E$9627=$U$90)*('Monthly Data'!$G$13:$G$9627)*('Monthly Data'!$C$13:$C$9627=AC$26)*('Monthly Data'!$D$13:$D$9627=$U102))</f>
        <v>18511</v>
      </c>
      <c r="AD102" s="80">
        <f>SUMPRODUCT(('Monthly Data'!$E$13:$E$9627=$U$90)*('Monthly Data'!$G$13:$G$9627)*('Monthly Data'!$C$13:$C$9627=AD$26)*('Monthly Data'!$D$13:$D$9627=$U102))</f>
        <v>19077</v>
      </c>
      <c r="AE102" s="80">
        <f>SUMPRODUCT(('Monthly Data'!$E$13:$E$9627=$U$90)*('Monthly Data'!$G$13:$G$9627)*('Monthly Data'!$C$13:$C$9627=AE$26)*('Monthly Data'!$D$13:$D$9627=$U102))</f>
        <v>17228</v>
      </c>
      <c r="AF102" s="80">
        <f>SUMPRODUCT(('Monthly Data'!$E$13:$E$9627=$U$90)*('Monthly Data'!$G$13:$G$9627)*('Monthly Data'!$C$13:$C$9627=AF$26)*('Monthly Data'!$D$13:$D$9627=$U102))</f>
        <v>17236</v>
      </c>
      <c r="AG102" s="80">
        <f>SUMPRODUCT(('Monthly Data'!$E$13:$E$9627=$U$90)*('Monthly Data'!$G$13:$G$9627)*('Monthly Data'!$C$13:$C$9627=AG$26)*('Monthly Data'!$D$13:$D$9627=$U102))</f>
        <v>15193</v>
      </c>
      <c r="AH102" s="80">
        <v>17450</v>
      </c>
      <c r="AI102" s="80">
        <v>0</v>
      </c>
      <c r="AJ102" s="80">
        <v>0</v>
      </c>
      <c r="AL102" s="89">
        <f t="shared" si="17"/>
        <v>209073</v>
      </c>
    </row>
    <row r="103" spans="2:38">
      <c r="D103" s="90"/>
      <c r="S103" s="83"/>
      <c r="W103" s="90"/>
      <c r="AL103" s="83"/>
    </row>
    <row r="104" spans="2:38">
      <c r="B104" s="30" t="s">
        <v>106</v>
      </c>
      <c r="C104" s="97">
        <f>SUM(C91:C102)</f>
        <v>30407786</v>
      </c>
      <c r="D104" s="97">
        <f t="shared" ref="D104:O104" si="18">SUM(D91:D102)</f>
        <v>31947524</v>
      </c>
      <c r="E104" s="89">
        <f t="shared" si="18"/>
        <v>31096563</v>
      </c>
      <c r="F104" s="89">
        <f t="shared" si="18"/>
        <v>29517894</v>
      </c>
      <c r="G104" s="89">
        <f t="shared" si="18"/>
        <v>29893286</v>
      </c>
      <c r="H104" s="89">
        <f t="shared" si="18"/>
        <v>31391719</v>
      </c>
      <c r="I104" s="89">
        <f t="shared" si="18"/>
        <v>32693005</v>
      </c>
      <c r="J104" s="89">
        <f t="shared" si="18"/>
        <v>34080345</v>
      </c>
      <c r="K104" s="89">
        <f t="shared" si="18"/>
        <v>35165530</v>
      </c>
      <c r="L104" s="89">
        <f t="shared" si="18"/>
        <v>34162014</v>
      </c>
      <c r="M104" s="89">
        <f t="shared" si="18"/>
        <v>32360773</v>
      </c>
      <c r="N104" s="89">
        <f t="shared" si="18"/>
        <v>31342263</v>
      </c>
      <c r="O104" s="89">
        <f t="shared" si="18"/>
        <v>33640111</v>
      </c>
      <c r="P104" s="89">
        <f>SUM(P91:P102)</f>
        <v>34256770</v>
      </c>
      <c r="Q104" s="89">
        <f>SUM(Q91:Q102)</f>
        <v>23320500</v>
      </c>
      <c r="S104" s="89">
        <f>SUM(D91:P102)</f>
        <v>421547797</v>
      </c>
      <c r="U104" s="30" t="s">
        <v>106</v>
      </c>
      <c r="V104" s="97">
        <f>SUM(V91:V102)</f>
        <v>244740</v>
      </c>
      <c r="W104" s="97">
        <f t="shared" ref="W104:AH104" si="19">SUM(W91:W102)</f>
        <v>251207</v>
      </c>
      <c r="X104" s="89">
        <f t="shared" si="19"/>
        <v>243981</v>
      </c>
      <c r="Y104" s="89">
        <f t="shared" si="19"/>
        <v>233643</v>
      </c>
      <c r="Z104" s="89">
        <f t="shared" si="19"/>
        <v>234455</v>
      </c>
      <c r="AA104" s="89">
        <f t="shared" si="19"/>
        <v>241174</v>
      </c>
      <c r="AB104" s="89">
        <f t="shared" si="19"/>
        <v>251953</v>
      </c>
      <c r="AC104" s="89">
        <f t="shared" si="19"/>
        <v>254414</v>
      </c>
      <c r="AD104" s="89">
        <f t="shared" si="19"/>
        <v>258921</v>
      </c>
      <c r="AE104" s="89">
        <f t="shared" si="19"/>
        <v>256352</v>
      </c>
      <c r="AF104" s="89">
        <f t="shared" si="19"/>
        <v>245377</v>
      </c>
      <c r="AG104" s="89">
        <f t="shared" si="19"/>
        <v>233553</v>
      </c>
      <c r="AH104" s="89">
        <f t="shared" si="19"/>
        <v>244570</v>
      </c>
      <c r="AI104" s="89">
        <f>SUM(AI91:AI102)</f>
        <v>186774</v>
      </c>
      <c r="AJ104" s="89">
        <f>SUM(AJ91:AJ102)</f>
        <v>0</v>
      </c>
      <c r="AL104" s="89">
        <f>SUM(V91:AH102)</f>
        <v>3194340</v>
      </c>
    </row>
    <row r="105" spans="2:38">
      <c r="D105" s="90"/>
      <c r="W105" s="90"/>
    </row>
    <row r="106" spans="2:38" ht="15">
      <c r="B106" s="88" t="s">
        <v>117</v>
      </c>
      <c r="C106" s="69">
        <v>1999</v>
      </c>
      <c r="D106" s="96">
        <v>2000</v>
      </c>
      <c r="E106" s="69">
        <v>2001</v>
      </c>
      <c r="F106" s="69">
        <v>2002</v>
      </c>
      <c r="G106" s="69">
        <v>2003</v>
      </c>
      <c r="H106" s="69">
        <v>2004</v>
      </c>
      <c r="I106" s="69">
        <v>2005</v>
      </c>
      <c r="J106" s="69">
        <v>2006</v>
      </c>
      <c r="K106" s="69">
        <v>2007</v>
      </c>
      <c r="L106" s="69">
        <v>2008</v>
      </c>
      <c r="M106" s="69">
        <v>2009</v>
      </c>
      <c r="N106" s="69">
        <v>2010</v>
      </c>
      <c r="O106" s="69">
        <v>2011</v>
      </c>
      <c r="P106" s="69">
        <v>2012</v>
      </c>
      <c r="Q106" s="69">
        <v>2012</v>
      </c>
      <c r="S106" s="69" t="s">
        <v>106</v>
      </c>
      <c r="U106" s="88" t="s">
        <v>117</v>
      </c>
      <c r="V106" s="69">
        <v>1999</v>
      </c>
      <c r="W106" s="96">
        <v>2000</v>
      </c>
      <c r="X106" s="69">
        <v>2001</v>
      </c>
      <c r="Y106" s="69">
        <v>2002</v>
      </c>
      <c r="Z106" s="69">
        <v>2003</v>
      </c>
      <c r="AA106" s="69">
        <v>2004</v>
      </c>
      <c r="AB106" s="69">
        <v>2005</v>
      </c>
      <c r="AC106" s="69">
        <v>2006</v>
      </c>
      <c r="AD106" s="69">
        <v>2007</v>
      </c>
      <c r="AE106" s="69">
        <v>2008</v>
      </c>
      <c r="AF106" s="69">
        <v>2009</v>
      </c>
      <c r="AG106" s="69">
        <v>2010</v>
      </c>
      <c r="AH106" s="69">
        <v>2011</v>
      </c>
      <c r="AI106" s="69">
        <v>2012</v>
      </c>
      <c r="AJ106" s="69">
        <v>2013</v>
      </c>
      <c r="AL106" s="69" t="s">
        <v>106</v>
      </c>
    </row>
    <row r="107" spans="2:38">
      <c r="B107" s="30">
        <v>1</v>
      </c>
      <c r="C107" s="95">
        <f>SUMPRODUCT(('Monthly Data'!$E$13:$E$9627=$B$106)*('Monthly Data'!$F$13:$F$9627)*('Monthly Data'!$C$13:$C$9627=C$26)*('Monthly Data'!$D$13:$D$9627=$B107))</f>
        <v>4303537</v>
      </c>
      <c r="D107" s="95">
        <f>SUMPRODUCT(('Monthly Data'!$E$13:$E$9627=$B$106)*('Monthly Data'!$F$13:$F$9627)*('Monthly Data'!$C$13:$C$9627=D$26)*('Monthly Data'!$D$13:$D$9627=$B107))</f>
        <v>4305723</v>
      </c>
      <c r="E107" s="80">
        <f>SUMPRODUCT(('Monthly Data'!$E$13:$E$9627=$B$106)*('Monthly Data'!$F$13:$F$9627)*('Monthly Data'!$C$13:$C$9627=E$26)*('Monthly Data'!$D$13:$D$9627=$B107))</f>
        <v>4559363</v>
      </c>
      <c r="F107" s="80">
        <f>SUMPRODUCT(('Monthly Data'!$E$13:$E$9627=$B$106)*('Monthly Data'!$F$13:$F$9627)*('Monthly Data'!$C$13:$C$9627=F$26)*('Monthly Data'!$D$13:$D$9627=$B107))</f>
        <v>4382919</v>
      </c>
      <c r="G107" s="80">
        <f>SUMPRODUCT(('Monthly Data'!$E$13:$E$9627=$B$106)*('Monthly Data'!$F$13:$F$9627)*('Monthly Data'!$C$13:$C$9627=G$26)*('Monthly Data'!$D$13:$D$9627=$B107))</f>
        <v>4691750</v>
      </c>
      <c r="H107" s="80">
        <f>SUMPRODUCT(('Monthly Data'!$E$13:$E$9627=$B$106)*('Monthly Data'!$F$13:$F$9627)*('Monthly Data'!$C$13:$C$9627=H$26)*('Monthly Data'!$D$13:$D$9627=$B107))</f>
        <v>4847605</v>
      </c>
      <c r="I107" s="80">
        <f>SUMPRODUCT(('Monthly Data'!$E$13:$E$9627=$B$106)*('Monthly Data'!$F$13:$F$9627)*('Monthly Data'!$C$13:$C$9627=I$26)*('Monthly Data'!$D$13:$D$9627=$B107))</f>
        <v>5141164</v>
      </c>
      <c r="J107" s="80">
        <f>SUMPRODUCT(('Monthly Data'!$E$13:$E$9627=$B$106)*('Monthly Data'!$F$13:$F$9627)*('Monthly Data'!$C$13:$C$9627=J$26)*('Monthly Data'!$D$13:$D$9627=$B107))</f>
        <v>5112743</v>
      </c>
      <c r="K107" s="80">
        <f>SUMPRODUCT(('Monthly Data'!$E$13:$E$9627=$B$106)*('Monthly Data'!$F$13:$F$9627)*('Monthly Data'!$C$13:$C$9627=K$26)*('Monthly Data'!$D$13:$D$9627=$B107))</f>
        <v>5013097</v>
      </c>
      <c r="L107" s="80">
        <f>SUMPRODUCT(('Monthly Data'!$E$13:$E$9627=$B$106)*('Monthly Data'!$F$13:$F$9627)*('Monthly Data'!$C$13:$C$9627=L$26)*('Monthly Data'!$D$13:$D$9627=$B107))</f>
        <v>4958007</v>
      </c>
      <c r="M107" s="80">
        <f>SUMPRODUCT(('Monthly Data'!$E$13:$E$9627=$B$106)*('Monthly Data'!$F$13:$F$9627)*('Monthly Data'!$C$13:$C$9627=M$26)*('Monthly Data'!$D$13:$D$9627=$B107))</f>
        <v>4853245</v>
      </c>
      <c r="N107" s="80">
        <f>SUMPRODUCT(('Monthly Data'!$E$13:$E$9627=$B$106)*('Monthly Data'!$F$13:$F$9627)*('Monthly Data'!$C$13:$C$9627=N$26)*('Monthly Data'!$D$13:$D$9627=$B107))</f>
        <v>4829615</v>
      </c>
      <c r="O107" s="80">
        <f>SUMPRODUCT(('Monthly Data'!$E$13:$E$9627=$B$106)*('Monthly Data'!$F$13:$F$9627)*('Monthly Data'!$C$13:$C$9627=O$26)*('Monthly Data'!$D$13:$D$9627=$B107))</f>
        <v>5052763</v>
      </c>
      <c r="P107" s="80">
        <f>SUMPRODUCT(('Monthly Data'!$E$13:$E$9627=$B$106)*('Monthly Data'!$F$13:$F$9627)*('Monthly Data'!$C$13:$C$9627=P$26)*('Monthly Data'!$D$13:$D$9627=$B107))</f>
        <v>5169144</v>
      </c>
      <c r="Q107" s="80">
        <f>SUMPRODUCT(('Monthly Data'!$E$13:$E$9627=$B$106)*('Monthly Data'!$F$13:$F$9627)*('Monthly Data'!$C$13:$C$9627=Q$26)*('Monthly Data'!$D$13:$D$9627=$B107))</f>
        <v>5184958</v>
      </c>
      <c r="S107" s="89">
        <f>SUM(C107:O107)</f>
        <v>62051531</v>
      </c>
      <c r="U107" s="30">
        <v>1</v>
      </c>
      <c r="V107" s="95">
        <f>SUMPRODUCT(('Monthly Data'!$E$13:$E$9627=$U$106)*('Monthly Data'!$G$13:$G$9627)*('Monthly Data'!$C$13:$C$9627=V$26)*('Monthly Data'!$D$13:$D$9627=$U107))</f>
        <v>36375</v>
      </c>
      <c r="W107" s="95">
        <f>SUMPRODUCT(('Monthly Data'!$E$13:$E$9627=$U$106)*('Monthly Data'!$G$13:$G$9627)*('Monthly Data'!$C$13:$C$9627=W$26)*('Monthly Data'!$D$13:$D$9627=$U107))</f>
        <v>37496</v>
      </c>
      <c r="X107" s="80">
        <f>SUMPRODUCT(('Monthly Data'!$E$13:$E$9627=$U$106)*('Monthly Data'!$G$13:$G$9627)*('Monthly Data'!$C$13:$C$9627=X$26)*('Monthly Data'!$D$13:$D$9627=$U107))</f>
        <v>38297</v>
      </c>
      <c r="Y107" s="80">
        <f>SUMPRODUCT(('Monthly Data'!$E$13:$E$9627=$U$106)*('Monthly Data'!$G$13:$G$9627)*('Monthly Data'!$C$13:$C$9627=Y$26)*('Monthly Data'!$D$13:$D$9627=$U107))</f>
        <v>37480</v>
      </c>
      <c r="Z107" s="80">
        <f>SUMPRODUCT(('Monthly Data'!$E$13:$E$9627=$U$106)*('Monthly Data'!$G$13:$G$9627)*('Monthly Data'!$C$13:$C$9627=Z$26)*('Monthly Data'!$D$13:$D$9627=$U107))</f>
        <v>37728</v>
      </c>
      <c r="AA107" s="80">
        <f>SUMPRODUCT(('Monthly Data'!$E$13:$E$9627=$U$106)*('Monthly Data'!$G$13:$G$9627)*('Monthly Data'!$C$13:$C$9627=AA$26)*('Monthly Data'!$D$13:$D$9627=$U107))</f>
        <v>38266</v>
      </c>
      <c r="AB107" s="80">
        <f>SUMPRODUCT(('Monthly Data'!$E$13:$E$9627=$U$106)*('Monthly Data'!$G$13:$G$9627)*('Monthly Data'!$C$13:$C$9627=AB$26)*('Monthly Data'!$D$13:$D$9627=$U107))</f>
        <v>39151</v>
      </c>
      <c r="AC107" s="80">
        <f>SUMPRODUCT(('Monthly Data'!$E$13:$E$9627=$U$106)*('Monthly Data'!$G$13:$G$9627)*('Monthly Data'!$C$13:$C$9627=AC$26)*('Monthly Data'!$D$13:$D$9627=$U107))</f>
        <v>39444</v>
      </c>
      <c r="AD107" s="80">
        <f>SUMPRODUCT(('Monthly Data'!$E$13:$E$9627=$U$106)*('Monthly Data'!$G$13:$G$9627)*('Monthly Data'!$C$13:$C$9627=AD$26)*('Monthly Data'!$D$13:$D$9627=$U107))</f>
        <v>39145</v>
      </c>
      <c r="AE107" s="80">
        <f>SUMPRODUCT(('Monthly Data'!$E$13:$E$9627=$U$106)*('Monthly Data'!$G$13:$G$9627)*('Monthly Data'!$C$13:$C$9627=AE$26)*('Monthly Data'!$D$13:$D$9627=$U107))</f>
        <v>38747</v>
      </c>
      <c r="AF107" s="80">
        <f>SUMPRODUCT(('Monthly Data'!$E$13:$E$9627=$U$106)*('Monthly Data'!$G$13:$G$9627)*('Monthly Data'!$C$13:$C$9627=AF$26)*('Monthly Data'!$D$13:$D$9627=$U107))</f>
        <v>37943</v>
      </c>
      <c r="AG107" s="80">
        <f>SUMPRODUCT(('Monthly Data'!$E$13:$E$9627=$U$106)*('Monthly Data'!$G$13:$G$9627)*('Monthly Data'!$C$13:$C$9627=AG$26)*('Monthly Data'!$D$13:$D$9627=$U107))</f>
        <v>36133</v>
      </c>
      <c r="AH107" s="80">
        <f>SUMPRODUCT(('Monthly Data'!$E$13:$E$9627=$U$106)*('Monthly Data'!$G$13:$G$9627)*('Monthly Data'!$C$13:$C$9627=AH$26)*('Monthly Data'!$D$13:$D$9627=$U107))</f>
        <v>39353</v>
      </c>
      <c r="AI107" s="80">
        <f>SUMPRODUCT(('Monthly Data'!$E$13:$E$9627=$U$106)*('Monthly Data'!$G$13:$G$9627)*('Monthly Data'!$C$13:$C$9627=AI$26)*('Monthly Data'!$D$13:$D$9627=$U107))</f>
        <v>39135</v>
      </c>
      <c r="AJ107" s="80">
        <f>SUMPRODUCT(('Monthly Data'!$E$13:$E$9627=$U$106)*('Monthly Data'!$G$13:$G$9627)*('Monthly Data'!$C$13:$C$9627=AJ$26)*('Monthly Data'!$D$13:$D$9627=$U107))</f>
        <v>36877</v>
      </c>
      <c r="AL107" s="89">
        <f>SUM(V107:AH107)</f>
        <v>495558</v>
      </c>
    </row>
    <row r="108" spans="2:38">
      <c r="B108" s="30">
        <v>2</v>
      </c>
      <c r="C108" s="95">
        <f>SUMPRODUCT(('Monthly Data'!$E$13:$E$9627=$B$106)*('Monthly Data'!$F$13:$F$9627)*('Monthly Data'!$C$13:$C$9627=C$26)*('Monthly Data'!$D$13:$D$9627=$B108))</f>
        <v>4209887</v>
      </c>
      <c r="D108" s="95">
        <f>SUMPRODUCT(('Monthly Data'!$E$13:$E$9627=$B$106)*('Monthly Data'!$F$13:$F$9627)*('Monthly Data'!$C$13:$C$9627=D$26)*('Monthly Data'!$D$13:$D$9627=$B108))</f>
        <v>4477640</v>
      </c>
      <c r="E108" s="80">
        <f>SUMPRODUCT(('Monthly Data'!$E$13:$E$9627=$B$106)*('Monthly Data'!$F$13:$F$9627)*('Monthly Data'!$C$13:$C$9627=E$26)*('Monthly Data'!$D$13:$D$9627=$B108))</f>
        <v>4394531</v>
      </c>
      <c r="F108" s="80">
        <f>SUMPRODUCT(('Monthly Data'!$E$13:$E$9627=$B$106)*('Monthly Data'!$F$13:$F$9627)*('Monthly Data'!$C$13:$C$9627=F$26)*('Monthly Data'!$D$13:$D$9627=$B108))</f>
        <v>4389223</v>
      </c>
      <c r="G108" s="80">
        <f>SUMPRODUCT(('Monthly Data'!$E$13:$E$9627=$B$106)*('Monthly Data'!$F$13:$F$9627)*('Monthly Data'!$C$13:$C$9627=G$26)*('Monthly Data'!$D$13:$D$9627=$B108))</f>
        <v>4451326</v>
      </c>
      <c r="H108" s="80">
        <f>SUMPRODUCT(('Monthly Data'!$E$13:$E$9627=$B$106)*('Monthly Data'!$F$13:$F$9627)*('Monthly Data'!$C$13:$C$9627=H$26)*('Monthly Data'!$D$13:$D$9627=$B108))</f>
        <v>4784869</v>
      </c>
      <c r="I108" s="80">
        <f>SUMPRODUCT(('Monthly Data'!$E$13:$E$9627=$B$106)*('Monthly Data'!$F$13:$F$9627)*('Monthly Data'!$C$13:$C$9627=I$26)*('Monthly Data'!$D$13:$D$9627=$B108))</f>
        <v>4753297</v>
      </c>
      <c r="J108" s="80">
        <f>SUMPRODUCT(('Monthly Data'!$E$13:$E$9627=$B$106)*('Monthly Data'!$F$13:$F$9627)*('Monthly Data'!$C$13:$C$9627=J$26)*('Monthly Data'!$D$13:$D$9627=$B108))</f>
        <v>4734533</v>
      </c>
      <c r="K108" s="80">
        <f>SUMPRODUCT(('Monthly Data'!$E$13:$E$9627=$B$106)*('Monthly Data'!$F$13:$F$9627)*('Monthly Data'!$C$13:$C$9627=K$26)*('Monthly Data'!$D$13:$D$9627=$B108))</f>
        <v>4641214</v>
      </c>
      <c r="L108" s="80">
        <f>SUMPRODUCT(('Monthly Data'!$E$13:$E$9627=$B$106)*('Monthly Data'!$F$13:$F$9627)*('Monthly Data'!$C$13:$C$9627=L$26)*('Monthly Data'!$D$13:$D$9627=$B108))</f>
        <v>4827163</v>
      </c>
      <c r="M108" s="80">
        <f>SUMPRODUCT(('Monthly Data'!$E$13:$E$9627=$B$106)*('Monthly Data'!$F$13:$F$9627)*('Monthly Data'!$C$13:$C$9627=M$26)*('Monthly Data'!$D$13:$D$9627=$B108))</f>
        <v>4370726</v>
      </c>
      <c r="N108" s="80">
        <f>SUMPRODUCT(('Monthly Data'!$E$13:$E$9627=$B$106)*('Monthly Data'!$F$13:$F$9627)*('Monthly Data'!$C$13:$C$9627=N$26)*('Monthly Data'!$D$13:$D$9627=$B108))</f>
        <v>4599808</v>
      </c>
      <c r="O108" s="80">
        <f>SUMPRODUCT(('Monthly Data'!$E$13:$E$9627=$B$106)*('Monthly Data'!$F$13:$F$9627)*('Monthly Data'!$C$13:$C$9627=O$26)*('Monthly Data'!$D$13:$D$9627=$B108))</f>
        <v>4621777</v>
      </c>
      <c r="P108" s="80">
        <f>SUMPRODUCT(('Monthly Data'!$E$13:$E$9627=$B$106)*('Monthly Data'!$F$13:$F$9627)*('Monthly Data'!$C$13:$C$9627=P$26)*('Monthly Data'!$D$13:$D$9627=$B108))</f>
        <v>4798541</v>
      </c>
      <c r="Q108" s="80">
        <f>SUMPRODUCT(('Monthly Data'!$E$13:$E$9627=$B$106)*('Monthly Data'!$F$13:$F$9627)*('Monthly Data'!$C$13:$C$9627=Q$26)*('Monthly Data'!$D$13:$D$9627=$B108))</f>
        <v>4848324</v>
      </c>
      <c r="S108" s="89">
        <f t="shared" ref="S108:S118" si="20">SUM(C108:O108)</f>
        <v>59255994</v>
      </c>
      <c r="U108" s="30">
        <v>2</v>
      </c>
      <c r="V108" s="95">
        <f>SUMPRODUCT(('Monthly Data'!$E$13:$E$9627=$U$106)*('Monthly Data'!$G$13:$G$9627)*('Monthly Data'!$C$13:$C$9627=V$26)*('Monthly Data'!$D$13:$D$9627=$U108))</f>
        <v>33390</v>
      </c>
      <c r="W108" s="95">
        <f>SUMPRODUCT(('Monthly Data'!$E$13:$E$9627=$U$106)*('Monthly Data'!$G$13:$G$9627)*('Monthly Data'!$C$13:$C$9627=W$26)*('Monthly Data'!$D$13:$D$9627=$U108))</f>
        <v>36021</v>
      </c>
      <c r="X108" s="80">
        <f>SUMPRODUCT(('Monthly Data'!$E$13:$E$9627=$U$106)*('Monthly Data'!$G$13:$G$9627)*('Monthly Data'!$C$13:$C$9627=X$26)*('Monthly Data'!$D$13:$D$9627=$U108))</f>
        <v>34683</v>
      </c>
      <c r="Y108" s="80">
        <f>SUMPRODUCT(('Monthly Data'!$E$13:$E$9627=$U$106)*('Monthly Data'!$G$13:$G$9627)*('Monthly Data'!$C$13:$C$9627=Y$26)*('Monthly Data'!$D$13:$D$9627=$U108))</f>
        <v>34404</v>
      </c>
      <c r="Z108" s="80">
        <f>SUMPRODUCT(('Monthly Data'!$E$13:$E$9627=$U$106)*('Monthly Data'!$G$13:$G$9627)*('Monthly Data'!$C$13:$C$9627=Z$26)*('Monthly Data'!$D$13:$D$9627=$U108))</f>
        <v>34984</v>
      </c>
      <c r="AA108" s="80">
        <f>SUMPRODUCT(('Monthly Data'!$E$13:$E$9627=$U$106)*('Monthly Data'!$G$13:$G$9627)*('Monthly Data'!$C$13:$C$9627=AA$26)*('Monthly Data'!$D$13:$D$9627=$U108))</f>
        <v>36810</v>
      </c>
      <c r="AB108" s="80">
        <f>SUMPRODUCT(('Monthly Data'!$E$13:$E$9627=$U$106)*('Monthly Data'!$G$13:$G$9627)*('Monthly Data'!$C$13:$C$9627=AB$26)*('Monthly Data'!$D$13:$D$9627=$U108))</f>
        <v>35724</v>
      </c>
      <c r="AC108" s="80">
        <f>SUMPRODUCT(('Monthly Data'!$E$13:$E$9627=$U$106)*('Monthly Data'!$G$13:$G$9627)*('Monthly Data'!$C$13:$C$9627=AC$26)*('Monthly Data'!$D$13:$D$9627=$U108))</f>
        <v>36116</v>
      </c>
      <c r="AD108" s="80">
        <f>SUMPRODUCT(('Monthly Data'!$E$13:$E$9627=$U$106)*('Monthly Data'!$G$13:$G$9627)*('Monthly Data'!$C$13:$C$9627=AD$26)*('Monthly Data'!$D$13:$D$9627=$U108))</f>
        <v>36069</v>
      </c>
      <c r="AE108" s="80">
        <f>SUMPRODUCT(('Monthly Data'!$E$13:$E$9627=$U$106)*('Monthly Data'!$G$13:$G$9627)*('Monthly Data'!$C$13:$C$9627=AE$26)*('Monthly Data'!$D$13:$D$9627=$U108))</f>
        <v>37310</v>
      </c>
      <c r="AF108" s="80">
        <f>SUMPRODUCT(('Monthly Data'!$E$13:$E$9627=$U$106)*('Monthly Data'!$G$13:$G$9627)*('Monthly Data'!$C$13:$C$9627=AF$26)*('Monthly Data'!$D$13:$D$9627=$U108))</f>
        <v>34364</v>
      </c>
      <c r="AG108" s="80">
        <f>SUMPRODUCT(('Monthly Data'!$E$13:$E$9627=$U$106)*('Monthly Data'!$G$13:$G$9627)*('Monthly Data'!$C$13:$C$9627=AG$26)*('Monthly Data'!$D$13:$D$9627=$U108))</f>
        <v>35056</v>
      </c>
      <c r="AH108" s="80">
        <f>SUMPRODUCT(('Monthly Data'!$E$13:$E$9627=$U$106)*('Monthly Data'!$G$13:$G$9627)*('Monthly Data'!$C$13:$C$9627=AH$26)*('Monthly Data'!$D$13:$D$9627=$U108))</f>
        <v>36246</v>
      </c>
      <c r="AI108" s="80">
        <f>SUMPRODUCT(('Monthly Data'!$E$13:$E$9627=$U$106)*('Monthly Data'!$G$13:$G$9627)*('Monthly Data'!$C$13:$C$9627=AI$26)*('Monthly Data'!$D$13:$D$9627=$U108))</f>
        <v>36866</v>
      </c>
      <c r="AJ108" s="80">
        <f>SUMPRODUCT(('Monthly Data'!$E$13:$E$9627=$U$106)*('Monthly Data'!$G$13:$G$9627)*('Monthly Data'!$C$13:$C$9627=AJ$26)*('Monthly Data'!$D$13:$D$9627=$U108))</f>
        <v>35280</v>
      </c>
      <c r="AL108" s="89">
        <f t="shared" ref="AL108:AL118" si="21">SUM(V108:AH108)</f>
        <v>461177</v>
      </c>
    </row>
    <row r="109" spans="2:38">
      <c r="B109" s="30">
        <v>3</v>
      </c>
      <c r="C109" s="95">
        <f>SUMPRODUCT(('Monthly Data'!$E$13:$E$9627=$B$106)*('Monthly Data'!$F$13:$F$9627)*('Monthly Data'!$C$13:$C$9627=C$26)*('Monthly Data'!$D$13:$D$9627=$B109))</f>
        <v>5269473</v>
      </c>
      <c r="D109" s="95">
        <f>SUMPRODUCT(('Monthly Data'!$E$13:$E$9627=$B$106)*('Monthly Data'!$F$13:$F$9627)*('Monthly Data'!$C$13:$C$9627=D$26)*('Monthly Data'!$D$13:$D$9627=$B109))</f>
        <v>5298265</v>
      </c>
      <c r="E109" s="80">
        <f>SUMPRODUCT(('Monthly Data'!$E$13:$E$9627=$B$106)*('Monthly Data'!$F$13:$F$9627)*('Monthly Data'!$C$13:$C$9627=E$26)*('Monthly Data'!$D$13:$D$9627=$B109))</f>
        <v>5177992</v>
      </c>
      <c r="F109" s="80">
        <f>SUMPRODUCT(('Monthly Data'!$E$13:$E$9627=$B$106)*('Monthly Data'!$F$13:$F$9627)*('Monthly Data'!$C$13:$C$9627=F$26)*('Monthly Data'!$D$13:$D$9627=$B109))</f>
        <v>5291500</v>
      </c>
      <c r="G109" s="80">
        <f>SUMPRODUCT(('Monthly Data'!$E$13:$E$9627=$B$106)*('Monthly Data'!$F$13:$F$9627)*('Monthly Data'!$C$13:$C$9627=G$26)*('Monthly Data'!$D$13:$D$9627=$B109))</f>
        <v>4864414</v>
      </c>
      <c r="H109" s="80">
        <f>SUMPRODUCT(('Monthly Data'!$E$13:$E$9627=$B$106)*('Monthly Data'!$F$13:$F$9627)*('Monthly Data'!$C$13:$C$9627=H$26)*('Monthly Data'!$D$13:$D$9627=$B109))</f>
        <v>5427369</v>
      </c>
      <c r="I109" s="80">
        <f>SUMPRODUCT(('Monthly Data'!$E$13:$E$9627=$B$106)*('Monthly Data'!$F$13:$F$9627)*('Monthly Data'!$C$13:$C$9627=I$26)*('Monthly Data'!$D$13:$D$9627=$B109))</f>
        <v>5707771</v>
      </c>
      <c r="J109" s="80">
        <f>SUMPRODUCT(('Monthly Data'!$E$13:$E$9627=$B$106)*('Monthly Data'!$F$13:$F$9627)*('Monthly Data'!$C$13:$C$9627=J$26)*('Monthly Data'!$D$13:$D$9627=$B109))</f>
        <v>5491029</v>
      </c>
      <c r="K109" s="80">
        <f>SUMPRODUCT(('Monthly Data'!$E$13:$E$9627=$B$106)*('Monthly Data'!$F$13:$F$9627)*('Monthly Data'!$C$13:$C$9627=K$26)*('Monthly Data'!$D$13:$D$9627=$B109))</f>
        <v>5646897</v>
      </c>
      <c r="L109" s="80">
        <f>SUMPRODUCT(('Monthly Data'!$E$13:$E$9627=$B$106)*('Monthly Data'!$F$13:$F$9627)*('Monthly Data'!$C$13:$C$9627=L$26)*('Monthly Data'!$D$13:$D$9627=$B109))</f>
        <v>5611875</v>
      </c>
      <c r="M109" s="80">
        <f>SUMPRODUCT(('Monthly Data'!$E$13:$E$9627=$B$106)*('Monthly Data'!$F$13:$F$9627)*('Monthly Data'!$C$13:$C$9627=M$26)*('Monthly Data'!$D$13:$D$9627=$B109))</f>
        <v>5193458</v>
      </c>
      <c r="N109" s="80">
        <f>SUMPRODUCT(('Monthly Data'!$E$13:$E$9627=$B$106)*('Monthly Data'!$F$13:$F$9627)*('Monthly Data'!$C$13:$C$9627=N$26)*('Monthly Data'!$D$13:$D$9627=$B109))</f>
        <v>5211263</v>
      </c>
      <c r="O109" s="80">
        <f>SUMPRODUCT(('Monthly Data'!$E$13:$E$9627=$B$106)*('Monthly Data'!$F$13:$F$9627)*('Monthly Data'!$C$13:$C$9627=O$26)*('Monthly Data'!$D$13:$D$9627=$B109))</f>
        <v>5331598</v>
      </c>
      <c r="P109" s="80">
        <f>SUMPRODUCT(('Monthly Data'!$E$13:$E$9627=$B$106)*('Monthly Data'!$F$13:$F$9627)*('Monthly Data'!$C$13:$C$9627=P$26)*('Monthly Data'!$D$13:$D$9627=$B109))</f>
        <v>5697172</v>
      </c>
      <c r="Q109" s="80">
        <f>SUMPRODUCT(('Monthly Data'!$E$13:$E$9627=$B$106)*('Monthly Data'!$F$13:$F$9627)*('Monthly Data'!$C$13:$C$9627=Q$26)*('Monthly Data'!$D$13:$D$9627=$B109))</f>
        <v>5920967</v>
      </c>
      <c r="S109" s="89">
        <f t="shared" si="20"/>
        <v>69522904</v>
      </c>
      <c r="U109" s="30">
        <v>3</v>
      </c>
      <c r="V109" s="95">
        <f>SUMPRODUCT(('Monthly Data'!$E$13:$E$9627=$U$106)*('Monthly Data'!$G$13:$G$9627)*('Monthly Data'!$C$13:$C$9627=V$26)*('Monthly Data'!$D$13:$D$9627=$U109))</f>
        <v>37624</v>
      </c>
      <c r="W109" s="95">
        <f>SUMPRODUCT(('Monthly Data'!$E$13:$E$9627=$U$106)*('Monthly Data'!$G$13:$G$9627)*('Monthly Data'!$C$13:$C$9627=W$26)*('Monthly Data'!$D$13:$D$9627=$U109))</f>
        <v>38639</v>
      </c>
      <c r="X109" s="80">
        <f>SUMPRODUCT(('Monthly Data'!$E$13:$E$9627=$U$106)*('Monthly Data'!$G$13:$G$9627)*('Monthly Data'!$C$13:$C$9627=X$26)*('Monthly Data'!$D$13:$D$9627=$U109))</f>
        <v>38943</v>
      </c>
      <c r="Y109" s="80">
        <f>SUMPRODUCT(('Monthly Data'!$E$13:$E$9627=$U$106)*('Monthly Data'!$G$13:$G$9627)*('Monthly Data'!$C$13:$C$9627=Y$26)*('Monthly Data'!$D$13:$D$9627=$U109))</f>
        <v>38271</v>
      </c>
      <c r="Z109" s="80">
        <f>SUMPRODUCT(('Monthly Data'!$E$13:$E$9627=$U$106)*('Monthly Data'!$G$13:$G$9627)*('Monthly Data'!$C$13:$C$9627=Z$26)*('Monthly Data'!$D$13:$D$9627=$U109))</f>
        <v>38269</v>
      </c>
      <c r="AA109" s="80">
        <f>SUMPRODUCT(('Monthly Data'!$E$13:$E$9627=$U$106)*('Monthly Data'!$G$13:$G$9627)*('Monthly Data'!$C$13:$C$9627=AA$26)*('Monthly Data'!$D$13:$D$9627=$U109))</f>
        <v>39615</v>
      </c>
      <c r="AB109" s="80">
        <f>SUMPRODUCT(('Monthly Data'!$E$13:$E$9627=$U$106)*('Monthly Data'!$G$13:$G$9627)*('Monthly Data'!$C$13:$C$9627=AB$26)*('Monthly Data'!$D$13:$D$9627=$U109))</f>
        <v>39637</v>
      </c>
      <c r="AC109" s="80">
        <f>SUMPRODUCT(('Monthly Data'!$E$13:$E$9627=$U$106)*('Monthly Data'!$G$13:$G$9627)*('Monthly Data'!$C$13:$C$9627=AC$26)*('Monthly Data'!$D$13:$D$9627=$U109))</f>
        <v>39930</v>
      </c>
      <c r="AD109" s="80">
        <f>SUMPRODUCT(('Monthly Data'!$E$13:$E$9627=$U$106)*('Monthly Data'!$G$13:$G$9627)*('Monthly Data'!$C$13:$C$9627=AD$26)*('Monthly Data'!$D$13:$D$9627=$U109))</f>
        <v>40191</v>
      </c>
      <c r="AE109" s="80">
        <f>SUMPRODUCT(('Monthly Data'!$E$13:$E$9627=$U$106)*('Monthly Data'!$G$13:$G$9627)*('Monthly Data'!$C$13:$C$9627=AE$26)*('Monthly Data'!$D$13:$D$9627=$U109))</f>
        <v>39316</v>
      </c>
      <c r="AF109" s="80">
        <f>SUMPRODUCT(('Monthly Data'!$E$13:$E$9627=$U$106)*('Monthly Data'!$G$13:$G$9627)*('Monthly Data'!$C$13:$C$9627=AF$26)*('Monthly Data'!$D$13:$D$9627=$U109))</f>
        <v>39975</v>
      </c>
      <c r="AG109" s="80">
        <f>SUMPRODUCT(('Monthly Data'!$E$13:$E$9627=$U$106)*('Monthly Data'!$G$13:$G$9627)*('Monthly Data'!$C$13:$C$9627=AG$26)*('Monthly Data'!$D$13:$D$9627=$U109))</f>
        <v>37368</v>
      </c>
      <c r="AH109" s="80">
        <f>SUMPRODUCT(('Monthly Data'!$E$13:$E$9627=$U$106)*('Monthly Data'!$G$13:$G$9627)*('Monthly Data'!$C$13:$C$9627=AH$26)*('Monthly Data'!$D$13:$D$9627=$U109))</f>
        <v>40181</v>
      </c>
      <c r="AI109" s="80">
        <f>SUMPRODUCT(('Monthly Data'!$E$13:$E$9627=$U$106)*('Monthly Data'!$G$13:$G$9627)*('Monthly Data'!$C$13:$C$9627=AI$26)*('Monthly Data'!$D$13:$D$9627=$U109))</f>
        <v>39946</v>
      </c>
      <c r="AJ109" s="80">
        <f>SUMPRODUCT(('Monthly Data'!$E$13:$E$9627=$U$106)*('Monthly Data'!$G$13:$G$9627)*('Monthly Data'!$C$13:$C$9627=AJ$26)*('Monthly Data'!$D$13:$D$9627=$U109))</f>
        <v>39413</v>
      </c>
      <c r="AL109" s="89">
        <f t="shared" si="21"/>
        <v>507959</v>
      </c>
    </row>
    <row r="110" spans="2:38">
      <c r="B110" s="30">
        <v>4</v>
      </c>
      <c r="C110" s="95">
        <f>SUMPRODUCT(('Monthly Data'!$E$13:$E$9627=$B$106)*('Monthly Data'!$F$13:$F$9627)*('Monthly Data'!$C$13:$C$9627=C$26)*('Monthly Data'!$D$13:$D$9627=$B110))</f>
        <v>5061666</v>
      </c>
      <c r="D110" s="95">
        <f>SUMPRODUCT(('Monthly Data'!$E$13:$E$9627=$B$106)*('Monthly Data'!$F$13:$F$9627)*('Monthly Data'!$C$13:$C$9627=D$26)*('Monthly Data'!$D$13:$D$9627=$B110))</f>
        <v>5450925</v>
      </c>
      <c r="E110" s="80">
        <f>SUMPRODUCT(('Monthly Data'!$E$13:$E$9627=$B$106)*('Monthly Data'!$F$13:$F$9627)*('Monthly Data'!$C$13:$C$9627=E$26)*('Monthly Data'!$D$13:$D$9627=$B110))</f>
        <v>5257341</v>
      </c>
      <c r="F110" s="80">
        <f>SUMPRODUCT(('Monthly Data'!$E$13:$E$9627=$B$106)*('Monthly Data'!$F$13:$F$9627)*('Monthly Data'!$C$13:$C$9627=F$26)*('Monthly Data'!$D$13:$D$9627=$B110))</f>
        <v>5076050</v>
      </c>
      <c r="G110" s="80">
        <f>SUMPRODUCT(('Monthly Data'!$E$13:$E$9627=$B$106)*('Monthly Data'!$F$13:$F$9627)*('Monthly Data'!$C$13:$C$9627=G$26)*('Monthly Data'!$D$13:$D$9627=$B110))</f>
        <v>4889357</v>
      </c>
      <c r="H110" s="80">
        <f>SUMPRODUCT(('Monthly Data'!$E$13:$E$9627=$B$106)*('Monthly Data'!$F$13:$F$9627)*('Monthly Data'!$C$13:$C$9627=H$26)*('Monthly Data'!$D$13:$D$9627=$B110))</f>
        <v>5616804</v>
      </c>
      <c r="I110" s="80">
        <f>SUMPRODUCT(('Monthly Data'!$E$13:$E$9627=$B$106)*('Monthly Data'!$F$13:$F$9627)*('Monthly Data'!$C$13:$C$9627=I$26)*('Monthly Data'!$D$13:$D$9627=$B110))</f>
        <v>5573003</v>
      </c>
      <c r="J110" s="80">
        <f>SUMPRODUCT(('Monthly Data'!$E$13:$E$9627=$B$106)*('Monthly Data'!$F$13:$F$9627)*('Monthly Data'!$C$13:$C$9627=J$26)*('Monthly Data'!$D$13:$D$9627=$B110))</f>
        <v>5812029</v>
      </c>
      <c r="K110" s="80">
        <f>SUMPRODUCT(('Monthly Data'!$E$13:$E$9627=$B$106)*('Monthly Data'!$F$13:$F$9627)*('Monthly Data'!$C$13:$C$9627=K$26)*('Monthly Data'!$D$13:$D$9627=$B110))</f>
        <v>5667140</v>
      </c>
      <c r="L110" s="80">
        <f>SUMPRODUCT(('Monthly Data'!$E$13:$E$9627=$B$106)*('Monthly Data'!$F$13:$F$9627)*('Monthly Data'!$C$13:$C$9627=L$26)*('Monthly Data'!$D$13:$D$9627=$B110))</f>
        <v>5467953</v>
      </c>
      <c r="M110" s="80">
        <f>SUMPRODUCT(('Monthly Data'!$E$13:$E$9627=$B$106)*('Monthly Data'!$F$13:$F$9627)*('Monthly Data'!$C$13:$C$9627=M$26)*('Monthly Data'!$D$13:$D$9627=$B110))</f>
        <v>5612579</v>
      </c>
      <c r="N110" s="80">
        <f>SUMPRODUCT(('Monthly Data'!$E$13:$E$9627=$B$106)*('Monthly Data'!$F$13:$F$9627)*('Monthly Data'!$C$13:$C$9627=N$26)*('Monthly Data'!$D$13:$D$9627=$B110))</f>
        <v>4446573</v>
      </c>
      <c r="O110" s="80">
        <f>SUMPRODUCT(('Monthly Data'!$E$13:$E$9627=$B$106)*('Monthly Data'!$F$13:$F$9627)*('Monthly Data'!$C$13:$C$9627=O$26)*('Monthly Data'!$D$13:$D$9627=$B110))</f>
        <v>5848331</v>
      </c>
      <c r="P110" s="80">
        <f>SUMPRODUCT(('Monthly Data'!$E$13:$E$9627=$B$106)*('Monthly Data'!$F$13:$F$9627)*('Monthly Data'!$C$13:$C$9627=P$26)*('Monthly Data'!$D$13:$D$9627=$B110))</f>
        <v>5848455</v>
      </c>
      <c r="Q110" s="80">
        <f>SUMPRODUCT(('Monthly Data'!$E$13:$E$9627=$B$106)*('Monthly Data'!$F$13:$F$9627)*('Monthly Data'!$C$13:$C$9627=Q$26)*('Monthly Data'!$D$13:$D$9627=$B110))</f>
        <v>5806842</v>
      </c>
      <c r="S110" s="89">
        <f t="shared" si="20"/>
        <v>69779751</v>
      </c>
      <c r="U110" s="30">
        <v>4</v>
      </c>
      <c r="V110" s="95">
        <f>SUMPRODUCT(('Monthly Data'!$E$13:$E$9627=$U$106)*('Monthly Data'!$G$13:$G$9627)*('Monthly Data'!$C$13:$C$9627=V$26)*('Monthly Data'!$D$13:$D$9627=$U110))</f>
        <v>36975</v>
      </c>
      <c r="W110" s="95">
        <f>SUMPRODUCT(('Monthly Data'!$E$13:$E$9627=$U$106)*('Monthly Data'!$G$13:$G$9627)*('Monthly Data'!$C$13:$C$9627=W$26)*('Monthly Data'!$D$13:$D$9627=$U110))</f>
        <v>37862</v>
      </c>
      <c r="X110" s="80">
        <f>SUMPRODUCT(('Monthly Data'!$E$13:$E$9627=$U$106)*('Monthly Data'!$G$13:$G$9627)*('Monthly Data'!$C$13:$C$9627=X$26)*('Monthly Data'!$D$13:$D$9627=$U110))</f>
        <v>38209</v>
      </c>
      <c r="Y110" s="80">
        <f>SUMPRODUCT(('Monthly Data'!$E$13:$E$9627=$U$106)*('Monthly Data'!$G$13:$G$9627)*('Monthly Data'!$C$13:$C$9627=Y$26)*('Monthly Data'!$D$13:$D$9627=$U110))</f>
        <v>38297</v>
      </c>
      <c r="Z110" s="80">
        <f>SUMPRODUCT(('Monthly Data'!$E$13:$E$9627=$U$106)*('Monthly Data'!$G$13:$G$9627)*('Monthly Data'!$C$13:$C$9627=Z$26)*('Monthly Data'!$D$13:$D$9627=$U110))</f>
        <v>36730</v>
      </c>
      <c r="AA110" s="80">
        <f>SUMPRODUCT(('Monthly Data'!$E$13:$E$9627=$U$106)*('Monthly Data'!$G$13:$G$9627)*('Monthly Data'!$C$13:$C$9627=AA$26)*('Monthly Data'!$D$13:$D$9627=$U110))</f>
        <v>38564</v>
      </c>
      <c r="AB110" s="80">
        <f>SUMPRODUCT(('Monthly Data'!$E$13:$E$9627=$U$106)*('Monthly Data'!$G$13:$G$9627)*('Monthly Data'!$C$13:$C$9627=AB$26)*('Monthly Data'!$D$13:$D$9627=$U110))</f>
        <v>39119</v>
      </c>
      <c r="AC110" s="80">
        <f>SUMPRODUCT(('Monthly Data'!$E$13:$E$9627=$U$106)*('Monthly Data'!$G$13:$G$9627)*('Monthly Data'!$C$13:$C$9627=AC$26)*('Monthly Data'!$D$13:$D$9627=$U110))</f>
        <v>38724</v>
      </c>
      <c r="AD110" s="80">
        <f>SUMPRODUCT(('Monthly Data'!$E$13:$E$9627=$U$106)*('Monthly Data'!$G$13:$G$9627)*('Monthly Data'!$C$13:$C$9627=AD$26)*('Monthly Data'!$D$13:$D$9627=$U110))</f>
        <v>39219</v>
      </c>
      <c r="AE110" s="80">
        <f>SUMPRODUCT(('Monthly Data'!$E$13:$E$9627=$U$106)*('Monthly Data'!$G$13:$G$9627)*('Monthly Data'!$C$13:$C$9627=AE$26)*('Monthly Data'!$D$13:$D$9627=$U110))</f>
        <v>39317</v>
      </c>
      <c r="AF110" s="80">
        <f>SUMPRODUCT(('Monthly Data'!$E$13:$E$9627=$U$106)*('Monthly Data'!$G$13:$G$9627)*('Monthly Data'!$C$13:$C$9627=AF$26)*('Monthly Data'!$D$13:$D$9627=$U110))</f>
        <v>38733</v>
      </c>
      <c r="AG110" s="80">
        <f>SUMPRODUCT(('Monthly Data'!$E$13:$E$9627=$U$106)*('Monthly Data'!$G$13:$G$9627)*('Monthly Data'!$C$13:$C$9627=AG$26)*('Monthly Data'!$D$13:$D$9627=$U110))</f>
        <v>31102</v>
      </c>
      <c r="AH110" s="80">
        <f>SUMPRODUCT(('Monthly Data'!$E$13:$E$9627=$U$106)*('Monthly Data'!$G$13:$G$9627)*('Monthly Data'!$C$13:$C$9627=AH$26)*('Monthly Data'!$D$13:$D$9627=$U110))</f>
        <v>39412</v>
      </c>
      <c r="AI110" s="80">
        <f>SUMPRODUCT(('Monthly Data'!$E$13:$E$9627=$U$106)*('Monthly Data'!$G$13:$G$9627)*('Monthly Data'!$C$13:$C$9627=AI$26)*('Monthly Data'!$D$13:$D$9627=$U110))</f>
        <v>38995</v>
      </c>
      <c r="AJ110" s="80">
        <f>SUMPRODUCT(('Monthly Data'!$E$13:$E$9627=$U$106)*('Monthly Data'!$G$13:$G$9627)*('Monthly Data'!$C$13:$C$9627=AJ$26)*('Monthly Data'!$D$13:$D$9627=$U110))</f>
        <v>38685</v>
      </c>
      <c r="AL110" s="89">
        <f t="shared" si="21"/>
        <v>492263</v>
      </c>
    </row>
    <row r="111" spans="2:38">
      <c r="B111" s="30">
        <v>5</v>
      </c>
      <c r="C111" s="95">
        <f>SUMPRODUCT(('Monthly Data'!$E$13:$E$9627=$B$106)*('Monthly Data'!$F$13:$F$9627)*('Monthly Data'!$C$13:$C$9627=C$26)*('Monthly Data'!$D$13:$D$9627=$B111))</f>
        <v>5066962</v>
      </c>
      <c r="D111" s="95">
        <f>SUMPRODUCT(('Monthly Data'!$E$13:$E$9627=$B$106)*('Monthly Data'!$F$13:$F$9627)*('Monthly Data'!$C$13:$C$9627=D$26)*('Monthly Data'!$D$13:$D$9627=$B111))</f>
        <v>5461966</v>
      </c>
      <c r="E111" s="80">
        <f>SUMPRODUCT(('Monthly Data'!$E$13:$E$9627=$B$106)*('Monthly Data'!$F$13:$F$9627)*('Monthly Data'!$C$13:$C$9627=E$26)*('Monthly Data'!$D$13:$D$9627=$B111))</f>
        <v>5064233</v>
      </c>
      <c r="F111" s="80">
        <f>SUMPRODUCT(('Monthly Data'!$E$13:$E$9627=$B$106)*('Monthly Data'!$F$13:$F$9627)*('Monthly Data'!$C$13:$C$9627=F$26)*('Monthly Data'!$D$13:$D$9627=$B111))</f>
        <v>5135779</v>
      </c>
      <c r="G111" s="80">
        <f>SUMPRODUCT(('Monthly Data'!$E$13:$E$9627=$B$106)*('Monthly Data'!$F$13:$F$9627)*('Monthly Data'!$C$13:$C$9627=G$26)*('Monthly Data'!$D$13:$D$9627=$B111))</f>
        <v>4917022</v>
      </c>
      <c r="H111" s="80">
        <f>SUMPRODUCT(('Monthly Data'!$E$13:$E$9627=$B$106)*('Monthly Data'!$F$13:$F$9627)*('Monthly Data'!$C$13:$C$9627=H$26)*('Monthly Data'!$D$13:$D$9627=$B111))</f>
        <v>5526620</v>
      </c>
      <c r="I111" s="80">
        <f>SUMPRODUCT(('Monthly Data'!$E$13:$E$9627=$B$106)*('Monthly Data'!$F$13:$F$9627)*('Monthly Data'!$C$13:$C$9627=I$26)*('Monthly Data'!$D$13:$D$9627=$B111))</f>
        <v>5636710</v>
      </c>
      <c r="J111" s="80">
        <f>SUMPRODUCT(('Monthly Data'!$E$13:$E$9627=$B$106)*('Monthly Data'!$F$13:$F$9627)*('Monthly Data'!$C$13:$C$9627=J$26)*('Monthly Data'!$D$13:$D$9627=$B111))</f>
        <v>5716552</v>
      </c>
      <c r="K111" s="80">
        <f>SUMPRODUCT(('Monthly Data'!$E$13:$E$9627=$B$106)*('Monthly Data'!$F$13:$F$9627)*('Monthly Data'!$C$13:$C$9627=K$26)*('Monthly Data'!$D$13:$D$9627=$B111))</f>
        <v>5610669</v>
      </c>
      <c r="L111" s="80">
        <f>SUMPRODUCT(('Monthly Data'!$E$13:$E$9627=$B$106)*('Monthly Data'!$F$13:$F$9627)*('Monthly Data'!$C$13:$C$9627=L$26)*('Monthly Data'!$D$13:$D$9627=$B111))</f>
        <v>5644899</v>
      </c>
      <c r="M111" s="80">
        <f>SUMPRODUCT(('Monthly Data'!$E$13:$E$9627=$B$106)*('Monthly Data'!$F$13:$F$9627)*('Monthly Data'!$C$13:$C$9627=M$26)*('Monthly Data'!$D$13:$D$9627=$B111))</f>
        <v>5424869</v>
      </c>
      <c r="N111" s="80">
        <f>SUMPRODUCT(('Monthly Data'!$E$13:$E$9627=$B$106)*('Monthly Data'!$F$13:$F$9627)*('Monthly Data'!$C$13:$C$9627=N$26)*('Monthly Data'!$D$13:$D$9627=$B111))</f>
        <v>5256035</v>
      </c>
      <c r="O111" s="80">
        <f>SUMPRODUCT(('Monthly Data'!$E$13:$E$9627=$B$106)*('Monthly Data'!$F$13:$F$9627)*('Monthly Data'!$C$13:$C$9627=O$26)*('Monthly Data'!$D$13:$D$9627=$B111))</f>
        <v>5865560</v>
      </c>
      <c r="P111" s="80">
        <f>SUMPRODUCT(('Monthly Data'!$E$13:$E$9627=$B$106)*('Monthly Data'!$F$13:$F$9627)*('Monthly Data'!$C$13:$C$9627=P$26)*('Monthly Data'!$D$13:$D$9627=$B111))</f>
        <v>5831703</v>
      </c>
      <c r="Q111" s="80">
        <f>SUMPRODUCT(('Monthly Data'!$E$13:$E$9627=$B$106)*('Monthly Data'!$F$13:$F$9627)*('Monthly Data'!$C$13:$C$9627=Q$26)*('Monthly Data'!$D$13:$D$9627=$B111))</f>
        <v>0</v>
      </c>
      <c r="S111" s="89">
        <f t="shared" si="20"/>
        <v>70327876</v>
      </c>
      <c r="U111" s="30">
        <v>5</v>
      </c>
      <c r="V111" s="95">
        <f>SUMPRODUCT(('Monthly Data'!$E$13:$E$9627=$U$106)*('Monthly Data'!$G$13:$G$9627)*('Monthly Data'!$C$13:$C$9627=V$26)*('Monthly Data'!$D$13:$D$9627=$U111))</f>
        <v>38254</v>
      </c>
      <c r="W111" s="95">
        <f>SUMPRODUCT(('Monthly Data'!$E$13:$E$9627=$U$106)*('Monthly Data'!$G$13:$G$9627)*('Monthly Data'!$C$13:$C$9627=W$26)*('Monthly Data'!$D$13:$D$9627=$U111))</f>
        <v>39590</v>
      </c>
      <c r="X111" s="80">
        <f>SUMPRODUCT(('Monthly Data'!$E$13:$E$9627=$U$106)*('Monthly Data'!$G$13:$G$9627)*('Monthly Data'!$C$13:$C$9627=X$26)*('Monthly Data'!$D$13:$D$9627=$U111))</f>
        <v>39679</v>
      </c>
      <c r="Y111" s="80">
        <f>SUMPRODUCT(('Monthly Data'!$E$13:$E$9627=$U$106)*('Monthly Data'!$G$13:$G$9627)*('Monthly Data'!$C$13:$C$9627=Y$26)*('Monthly Data'!$D$13:$D$9627=$U111))</f>
        <v>39163</v>
      </c>
      <c r="Z111" s="80">
        <f>SUMPRODUCT(('Monthly Data'!$E$13:$E$9627=$U$106)*('Monthly Data'!$G$13:$G$9627)*('Monthly Data'!$C$13:$C$9627=Z$26)*('Monthly Data'!$D$13:$D$9627=$U111))</f>
        <v>37681</v>
      </c>
      <c r="AA111" s="80">
        <f>SUMPRODUCT(('Monthly Data'!$E$13:$E$9627=$U$106)*('Monthly Data'!$G$13:$G$9627)*('Monthly Data'!$C$13:$C$9627=AA$26)*('Monthly Data'!$D$13:$D$9627=$U111))</f>
        <v>40011</v>
      </c>
      <c r="AB111" s="80">
        <f>SUMPRODUCT(('Monthly Data'!$E$13:$E$9627=$U$106)*('Monthly Data'!$G$13:$G$9627)*('Monthly Data'!$C$13:$C$9627=AB$26)*('Monthly Data'!$D$13:$D$9627=$U111))</f>
        <v>40441</v>
      </c>
      <c r="AC111" s="80">
        <f>SUMPRODUCT(('Monthly Data'!$E$13:$E$9627=$U$106)*('Monthly Data'!$G$13:$G$9627)*('Monthly Data'!$C$13:$C$9627=AC$26)*('Monthly Data'!$D$13:$D$9627=$U111))</f>
        <v>40630</v>
      </c>
      <c r="AD111" s="80">
        <f>SUMPRODUCT(('Monthly Data'!$E$13:$E$9627=$U$106)*('Monthly Data'!$G$13:$G$9627)*('Monthly Data'!$C$13:$C$9627=AD$26)*('Monthly Data'!$D$13:$D$9627=$U111))</f>
        <v>40633</v>
      </c>
      <c r="AE111" s="80">
        <f>SUMPRODUCT(('Monthly Data'!$E$13:$E$9627=$U$106)*('Monthly Data'!$G$13:$G$9627)*('Monthly Data'!$C$13:$C$9627=AE$26)*('Monthly Data'!$D$13:$D$9627=$U111))</f>
        <v>40828</v>
      </c>
      <c r="AF111" s="80">
        <f>SUMPRODUCT(('Monthly Data'!$E$13:$E$9627=$U$106)*('Monthly Data'!$G$13:$G$9627)*('Monthly Data'!$C$13:$C$9627=AF$26)*('Monthly Data'!$D$13:$D$9627=$U111))</f>
        <v>39661</v>
      </c>
      <c r="AG111" s="80">
        <f>SUMPRODUCT(('Monthly Data'!$E$13:$E$9627=$U$106)*('Monthly Data'!$G$13:$G$9627)*('Monthly Data'!$C$13:$C$9627=AG$26)*('Monthly Data'!$D$13:$D$9627=$U111))</f>
        <v>37903</v>
      </c>
      <c r="AH111" s="80">
        <f>SUMPRODUCT(('Monthly Data'!$E$13:$E$9627=$U$106)*('Monthly Data'!$G$13:$G$9627)*('Monthly Data'!$C$13:$C$9627=AH$26)*('Monthly Data'!$D$13:$D$9627=$U111))</f>
        <v>40777</v>
      </c>
      <c r="AI111" s="80">
        <f>SUMPRODUCT(('Monthly Data'!$E$13:$E$9627=$U$106)*('Monthly Data'!$G$13:$G$9627)*('Monthly Data'!$C$13:$C$9627=AI$26)*('Monthly Data'!$D$13:$D$9627=$U111))</f>
        <v>40785</v>
      </c>
      <c r="AJ111" s="80">
        <f>SUMPRODUCT(('Monthly Data'!$E$13:$E$9627=$U$106)*('Monthly Data'!$G$13:$G$9627)*('Monthly Data'!$C$13:$C$9627=AJ$26)*('Monthly Data'!$D$13:$D$9627=$U111))</f>
        <v>0</v>
      </c>
      <c r="AL111" s="89">
        <f t="shared" si="21"/>
        <v>515251</v>
      </c>
    </row>
    <row r="112" spans="2:38">
      <c r="B112" s="30">
        <v>6</v>
      </c>
      <c r="C112" s="95">
        <f>SUMPRODUCT(('Monthly Data'!$E$13:$E$9627=$B$106)*('Monthly Data'!$F$13:$F$9627)*('Monthly Data'!$C$13:$C$9627=C$26)*('Monthly Data'!$D$13:$D$9627=$B112))</f>
        <v>5576825</v>
      </c>
      <c r="D112" s="95">
        <f>SUMPRODUCT(('Monthly Data'!$E$13:$E$9627=$B$106)*('Monthly Data'!$F$13:$F$9627)*('Monthly Data'!$C$13:$C$9627=D$26)*('Monthly Data'!$D$13:$D$9627=$B112))</f>
        <v>5678087</v>
      </c>
      <c r="E112" s="80">
        <f>SUMPRODUCT(('Monthly Data'!$E$13:$E$9627=$B$106)*('Monthly Data'!$F$13:$F$9627)*('Monthly Data'!$C$13:$C$9627=E$26)*('Monthly Data'!$D$13:$D$9627=$B112))</f>
        <v>5599296</v>
      </c>
      <c r="F112" s="80">
        <f>SUMPRODUCT(('Monthly Data'!$E$13:$E$9627=$B$106)*('Monthly Data'!$F$13:$F$9627)*('Monthly Data'!$C$13:$C$9627=F$26)*('Monthly Data'!$D$13:$D$9627=$B112))</f>
        <v>5495965</v>
      </c>
      <c r="G112" s="80">
        <f>SUMPRODUCT(('Monthly Data'!$E$13:$E$9627=$B$106)*('Monthly Data'!$F$13:$F$9627)*('Monthly Data'!$C$13:$C$9627=G$26)*('Monthly Data'!$D$13:$D$9627=$B112))</f>
        <v>5543635</v>
      </c>
      <c r="H112" s="80">
        <f>SUMPRODUCT(('Monthly Data'!$E$13:$E$9627=$B$106)*('Monthly Data'!$F$13:$F$9627)*('Monthly Data'!$C$13:$C$9627=H$26)*('Monthly Data'!$D$13:$D$9627=$B112))</f>
        <v>5933968</v>
      </c>
      <c r="I112" s="80">
        <f>SUMPRODUCT(('Monthly Data'!$E$13:$E$9627=$B$106)*('Monthly Data'!$F$13:$F$9627)*('Monthly Data'!$C$13:$C$9627=I$26)*('Monthly Data'!$D$13:$D$9627=$B112))</f>
        <v>6000287</v>
      </c>
      <c r="J112" s="80">
        <f>SUMPRODUCT(('Monthly Data'!$E$13:$E$9627=$B$106)*('Monthly Data'!$F$13:$F$9627)*('Monthly Data'!$C$13:$C$9627=J$26)*('Monthly Data'!$D$13:$D$9627=$B112))</f>
        <v>6121053</v>
      </c>
      <c r="K112" s="80">
        <f>SUMPRODUCT(('Monthly Data'!$E$13:$E$9627=$B$106)*('Monthly Data'!$F$13:$F$9627)*('Monthly Data'!$C$13:$C$9627=K$26)*('Monthly Data'!$D$13:$D$9627=$B112))</f>
        <v>6014347</v>
      </c>
      <c r="L112" s="80">
        <f>SUMPRODUCT(('Monthly Data'!$E$13:$E$9627=$B$106)*('Monthly Data'!$F$13:$F$9627)*('Monthly Data'!$C$13:$C$9627=L$26)*('Monthly Data'!$D$13:$D$9627=$B112))</f>
        <v>5958083</v>
      </c>
      <c r="M112" s="80">
        <f>SUMPRODUCT(('Monthly Data'!$E$13:$E$9627=$B$106)*('Monthly Data'!$F$13:$F$9627)*('Monthly Data'!$C$13:$C$9627=M$26)*('Monthly Data'!$D$13:$D$9627=$B112))</f>
        <v>5774889</v>
      </c>
      <c r="N112" s="80">
        <f>SUMPRODUCT(('Monthly Data'!$E$13:$E$9627=$B$106)*('Monthly Data'!$F$13:$F$9627)*('Monthly Data'!$C$13:$C$9627=N$26)*('Monthly Data'!$D$13:$D$9627=$B112))</f>
        <v>5782844</v>
      </c>
      <c r="O112" s="80">
        <f>SUMPRODUCT(('Monthly Data'!$E$13:$E$9627=$B$106)*('Monthly Data'!$F$13:$F$9627)*('Monthly Data'!$C$13:$C$9627=O$26)*('Monthly Data'!$D$13:$D$9627=$B112))</f>
        <v>6146930</v>
      </c>
      <c r="P112" s="80">
        <f>SUMPRODUCT(('Monthly Data'!$E$13:$E$9627=$B$106)*('Monthly Data'!$F$13:$F$9627)*('Monthly Data'!$C$13:$C$9627=P$26)*('Monthly Data'!$D$13:$D$9627=$B112))</f>
        <v>6245594</v>
      </c>
      <c r="Q112" s="80">
        <f>SUMPRODUCT(('Monthly Data'!$E$13:$E$9627=$B$106)*('Monthly Data'!$F$13:$F$9627)*('Monthly Data'!$C$13:$C$9627=Q$26)*('Monthly Data'!$D$13:$D$9627=$B112))</f>
        <v>0</v>
      </c>
      <c r="S112" s="89">
        <f t="shared" si="20"/>
        <v>75626209</v>
      </c>
      <c r="U112" s="30">
        <v>6</v>
      </c>
      <c r="V112" s="95">
        <f>SUMPRODUCT(('Monthly Data'!$E$13:$E$9627=$U$106)*('Monthly Data'!$G$13:$G$9627)*('Monthly Data'!$C$13:$C$9627=V$26)*('Monthly Data'!$D$13:$D$9627=$U112))</f>
        <v>37962</v>
      </c>
      <c r="W112" s="95">
        <f>SUMPRODUCT(('Monthly Data'!$E$13:$E$9627=$U$106)*('Monthly Data'!$G$13:$G$9627)*('Monthly Data'!$C$13:$C$9627=W$26)*('Monthly Data'!$D$13:$D$9627=$U112))</f>
        <v>38040</v>
      </c>
      <c r="X112" s="80">
        <f>SUMPRODUCT(('Monthly Data'!$E$13:$E$9627=$U$106)*('Monthly Data'!$G$13:$G$9627)*('Monthly Data'!$C$13:$C$9627=X$26)*('Monthly Data'!$D$13:$D$9627=$U112))</f>
        <v>38962</v>
      </c>
      <c r="Y112" s="80">
        <f>SUMPRODUCT(('Monthly Data'!$E$13:$E$9627=$U$106)*('Monthly Data'!$G$13:$G$9627)*('Monthly Data'!$C$13:$C$9627=Y$26)*('Monthly Data'!$D$13:$D$9627=$U112))</f>
        <v>38379</v>
      </c>
      <c r="Z112" s="80">
        <f>SUMPRODUCT(('Monthly Data'!$E$13:$E$9627=$U$106)*('Monthly Data'!$G$13:$G$9627)*('Monthly Data'!$C$13:$C$9627=Z$26)*('Monthly Data'!$D$13:$D$9627=$U112))</f>
        <v>38182</v>
      </c>
      <c r="AA112" s="80">
        <f>SUMPRODUCT(('Monthly Data'!$E$13:$E$9627=$U$106)*('Monthly Data'!$G$13:$G$9627)*('Monthly Data'!$C$13:$C$9627=AA$26)*('Monthly Data'!$D$13:$D$9627=$U112))</f>
        <v>39507</v>
      </c>
      <c r="AB112" s="80">
        <f>SUMPRODUCT(('Monthly Data'!$E$13:$E$9627=$U$106)*('Monthly Data'!$G$13:$G$9627)*('Monthly Data'!$C$13:$C$9627=AB$26)*('Monthly Data'!$D$13:$D$9627=$U112))</f>
        <v>39633</v>
      </c>
      <c r="AC112" s="80">
        <f>SUMPRODUCT(('Monthly Data'!$E$13:$E$9627=$U$106)*('Monthly Data'!$G$13:$G$9627)*('Monthly Data'!$C$13:$C$9627=AC$26)*('Monthly Data'!$D$13:$D$9627=$U112))</f>
        <v>39812</v>
      </c>
      <c r="AD112" s="80">
        <f>SUMPRODUCT(('Monthly Data'!$E$13:$E$9627=$U$106)*('Monthly Data'!$G$13:$G$9627)*('Monthly Data'!$C$13:$C$9627=AD$26)*('Monthly Data'!$D$13:$D$9627=$U112))</f>
        <v>39965</v>
      </c>
      <c r="AE112" s="80">
        <f>SUMPRODUCT(('Monthly Data'!$E$13:$E$9627=$U$106)*('Monthly Data'!$G$13:$G$9627)*('Monthly Data'!$C$13:$C$9627=AE$26)*('Monthly Data'!$D$13:$D$9627=$U112))</f>
        <v>40200</v>
      </c>
      <c r="AF112" s="80">
        <f>SUMPRODUCT(('Monthly Data'!$E$13:$E$9627=$U$106)*('Monthly Data'!$G$13:$G$9627)*('Monthly Data'!$C$13:$C$9627=AF$26)*('Monthly Data'!$D$13:$D$9627=$U112))</f>
        <v>39257</v>
      </c>
      <c r="AG112" s="80">
        <f>SUMPRODUCT(('Monthly Data'!$E$13:$E$9627=$U$106)*('Monthly Data'!$G$13:$G$9627)*('Monthly Data'!$C$13:$C$9627=AG$26)*('Monthly Data'!$D$13:$D$9627=$U112))</f>
        <v>37987</v>
      </c>
      <c r="AH112" s="80">
        <f>SUMPRODUCT(('Monthly Data'!$E$13:$E$9627=$U$106)*('Monthly Data'!$G$13:$G$9627)*('Monthly Data'!$C$13:$C$9627=AH$26)*('Monthly Data'!$D$13:$D$9627=$U112))</f>
        <v>39970</v>
      </c>
      <c r="AI112" s="80">
        <f>SUMPRODUCT(('Monthly Data'!$E$13:$E$9627=$U$106)*('Monthly Data'!$G$13:$G$9627)*('Monthly Data'!$C$13:$C$9627=AI$26)*('Monthly Data'!$D$13:$D$9627=$U112))</f>
        <v>39740</v>
      </c>
      <c r="AJ112" s="80">
        <f>SUMPRODUCT(('Monthly Data'!$E$13:$E$9627=$U$106)*('Monthly Data'!$G$13:$G$9627)*('Monthly Data'!$C$13:$C$9627=AJ$26)*('Monthly Data'!$D$13:$D$9627=$U112))</f>
        <v>0</v>
      </c>
      <c r="AL112" s="89">
        <f t="shared" si="21"/>
        <v>507856</v>
      </c>
    </row>
    <row r="113" spans="2:38">
      <c r="B113" s="30">
        <v>7</v>
      </c>
      <c r="C113" s="95">
        <f>SUMPRODUCT(('Monthly Data'!$E$13:$E$9627=$B$106)*('Monthly Data'!$F$13:$F$9627)*('Monthly Data'!$C$13:$C$9627=C$26)*('Monthly Data'!$D$13:$D$9627=$B113))</f>
        <v>5985565</v>
      </c>
      <c r="D113" s="95">
        <f>SUMPRODUCT(('Monthly Data'!$E$13:$E$9627=$B$106)*('Monthly Data'!$F$13:$F$9627)*('Monthly Data'!$C$13:$C$9627=D$26)*('Monthly Data'!$D$13:$D$9627=$B113))</f>
        <v>6288211</v>
      </c>
      <c r="E113" s="80">
        <f>SUMPRODUCT(('Monthly Data'!$E$13:$E$9627=$B$106)*('Monthly Data'!$F$13:$F$9627)*('Monthly Data'!$C$13:$C$9627=E$26)*('Monthly Data'!$D$13:$D$9627=$B113))</f>
        <v>6068941</v>
      </c>
      <c r="F113" s="80">
        <f>SUMPRODUCT(('Monthly Data'!$E$13:$E$9627=$B$106)*('Monthly Data'!$F$13:$F$9627)*('Monthly Data'!$C$13:$C$9627=F$26)*('Monthly Data'!$D$13:$D$9627=$B113))</f>
        <v>6063253</v>
      </c>
      <c r="G113" s="80">
        <f>SUMPRODUCT(('Monthly Data'!$E$13:$E$9627=$B$106)*('Monthly Data'!$F$13:$F$9627)*('Monthly Data'!$C$13:$C$9627=G$26)*('Monthly Data'!$D$13:$D$9627=$B113))</f>
        <v>6021666</v>
      </c>
      <c r="H113" s="80">
        <f>SUMPRODUCT(('Monthly Data'!$E$13:$E$9627=$B$106)*('Monthly Data'!$F$13:$F$9627)*('Monthly Data'!$C$13:$C$9627=H$26)*('Monthly Data'!$D$13:$D$9627=$B113))</f>
        <v>6496665</v>
      </c>
      <c r="I113" s="80">
        <f>SUMPRODUCT(('Monthly Data'!$E$13:$E$9627=$B$106)*('Monthly Data'!$F$13:$F$9627)*('Monthly Data'!$C$13:$C$9627=I$26)*('Monthly Data'!$D$13:$D$9627=$B113))</f>
        <v>6456692</v>
      </c>
      <c r="J113" s="80">
        <f>SUMPRODUCT(('Monthly Data'!$E$13:$E$9627=$B$106)*('Monthly Data'!$F$13:$F$9627)*('Monthly Data'!$C$13:$C$9627=J$26)*('Monthly Data'!$D$13:$D$9627=$B113))</f>
        <v>6533042</v>
      </c>
      <c r="K113" s="80">
        <f>SUMPRODUCT(('Monthly Data'!$E$13:$E$9627=$B$106)*('Monthly Data'!$F$13:$F$9627)*('Monthly Data'!$C$13:$C$9627=K$26)*('Monthly Data'!$D$13:$D$9627=$B113))</f>
        <v>6419152</v>
      </c>
      <c r="L113" s="80">
        <f>SUMPRODUCT(('Monthly Data'!$E$13:$E$9627=$B$106)*('Monthly Data'!$F$13:$F$9627)*('Monthly Data'!$C$13:$C$9627=L$26)*('Monthly Data'!$D$13:$D$9627=$B113))</f>
        <v>6417672</v>
      </c>
      <c r="M113" s="80">
        <f>SUMPRODUCT(('Monthly Data'!$E$13:$E$9627=$B$106)*('Monthly Data'!$F$13:$F$9627)*('Monthly Data'!$C$13:$C$9627=M$26)*('Monthly Data'!$D$13:$D$9627=$B113))</f>
        <v>6477537</v>
      </c>
      <c r="N113" s="80">
        <f>SUMPRODUCT(('Monthly Data'!$E$13:$E$9627=$B$106)*('Monthly Data'!$F$13:$F$9627)*('Monthly Data'!$C$13:$C$9627=N$26)*('Monthly Data'!$D$13:$D$9627=$B113))</f>
        <v>6706016</v>
      </c>
      <c r="O113" s="80">
        <f>SUMPRODUCT(('Monthly Data'!$E$13:$E$9627=$B$106)*('Monthly Data'!$F$13:$F$9627)*('Monthly Data'!$C$13:$C$9627=O$26)*('Monthly Data'!$D$13:$D$9627=$B113))</f>
        <v>6872393</v>
      </c>
      <c r="P113" s="80">
        <f>SUMPRODUCT(('Monthly Data'!$E$13:$E$9627=$B$106)*('Monthly Data'!$F$13:$F$9627)*('Monthly Data'!$C$13:$C$9627=P$26)*('Monthly Data'!$D$13:$D$9627=$B113))</f>
        <v>6569652</v>
      </c>
      <c r="Q113" s="80">
        <f>SUMPRODUCT(('Monthly Data'!$E$13:$E$9627=$B$106)*('Monthly Data'!$F$13:$F$9627)*('Monthly Data'!$C$13:$C$9627=Q$26)*('Monthly Data'!$D$13:$D$9627=$B113))</f>
        <v>0</v>
      </c>
      <c r="S113" s="89">
        <f t="shared" si="20"/>
        <v>82806805</v>
      </c>
      <c r="U113" s="30">
        <v>7</v>
      </c>
      <c r="V113" s="95">
        <f>SUMPRODUCT(('Monthly Data'!$E$13:$E$9627=$U$106)*('Monthly Data'!$G$13:$G$9627)*('Monthly Data'!$C$13:$C$9627=V$26)*('Monthly Data'!$D$13:$D$9627=$U113))</f>
        <v>39501</v>
      </c>
      <c r="W113" s="95">
        <f>SUMPRODUCT(('Monthly Data'!$E$13:$E$9627=$U$106)*('Monthly Data'!$G$13:$G$9627)*('Monthly Data'!$C$13:$C$9627=W$26)*('Monthly Data'!$D$13:$D$9627=$U113))</f>
        <v>40115</v>
      </c>
      <c r="X113" s="80">
        <f>SUMPRODUCT(('Monthly Data'!$E$13:$E$9627=$U$106)*('Monthly Data'!$G$13:$G$9627)*('Monthly Data'!$C$13:$C$9627=X$26)*('Monthly Data'!$D$13:$D$9627=$U113))</f>
        <v>40474</v>
      </c>
      <c r="Y113" s="80">
        <f>SUMPRODUCT(('Monthly Data'!$E$13:$E$9627=$U$106)*('Monthly Data'!$G$13:$G$9627)*('Monthly Data'!$C$13:$C$9627=Y$26)*('Monthly Data'!$D$13:$D$9627=$U113))</f>
        <v>40707</v>
      </c>
      <c r="Z113" s="80">
        <f>SUMPRODUCT(('Monthly Data'!$E$13:$E$9627=$U$106)*('Monthly Data'!$G$13:$G$9627)*('Monthly Data'!$C$13:$C$9627=Z$26)*('Monthly Data'!$D$13:$D$9627=$U113))</f>
        <v>39824</v>
      </c>
      <c r="AA113" s="80">
        <f>SUMPRODUCT(('Monthly Data'!$E$13:$E$9627=$U$106)*('Monthly Data'!$G$13:$G$9627)*('Monthly Data'!$C$13:$C$9627=AA$26)*('Monthly Data'!$D$13:$D$9627=$U113))</f>
        <v>41125</v>
      </c>
      <c r="AB113" s="80">
        <f>SUMPRODUCT(('Monthly Data'!$E$13:$E$9627=$U$106)*('Monthly Data'!$G$13:$G$9627)*('Monthly Data'!$C$13:$C$9627=AB$26)*('Monthly Data'!$D$13:$D$9627=$U113))</f>
        <v>41044</v>
      </c>
      <c r="AC113" s="80">
        <f>SUMPRODUCT(('Monthly Data'!$E$13:$E$9627=$U$106)*('Monthly Data'!$G$13:$G$9627)*('Monthly Data'!$C$13:$C$9627=AC$26)*('Monthly Data'!$D$13:$D$9627=$U113))</f>
        <v>41002</v>
      </c>
      <c r="AD113" s="80">
        <f>SUMPRODUCT(('Monthly Data'!$E$13:$E$9627=$U$106)*('Monthly Data'!$G$13:$G$9627)*('Monthly Data'!$C$13:$C$9627=AD$26)*('Monthly Data'!$D$13:$D$9627=$U113))</f>
        <v>41082</v>
      </c>
      <c r="AE113" s="80">
        <f>SUMPRODUCT(('Monthly Data'!$E$13:$E$9627=$U$106)*('Monthly Data'!$G$13:$G$9627)*('Monthly Data'!$C$13:$C$9627=AE$26)*('Monthly Data'!$D$13:$D$9627=$U113))</f>
        <v>41500</v>
      </c>
      <c r="AF113" s="80">
        <f>SUMPRODUCT(('Monthly Data'!$E$13:$E$9627=$U$106)*('Monthly Data'!$G$13:$G$9627)*('Monthly Data'!$C$13:$C$9627=AF$26)*('Monthly Data'!$D$13:$D$9627=$U113))</f>
        <v>40265</v>
      </c>
      <c r="AG113" s="80">
        <f>SUMPRODUCT(('Monthly Data'!$E$13:$E$9627=$U$106)*('Monthly Data'!$G$13:$G$9627)*('Monthly Data'!$C$13:$C$9627=AG$26)*('Monthly Data'!$D$13:$D$9627=$U113))</f>
        <v>41436</v>
      </c>
      <c r="AH113" s="80">
        <f>SUMPRODUCT(('Monthly Data'!$E$13:$E$9627=$U$106)*('Monthly Data'!$G$13:$G$9627)*('Monthly Data'!$C$13:$C$9627=AH$26)*('Monthly Data'!$D$13:$D$9627=$U113))</f>
        <v>41607</v>
      </c>
      <c r="AI113" s="80">
        <f>SUMPRODUCT(('Monthly Data'!$E$13:$E$9627=$U$106)*('Monthly Data'!$G$13:$G$9627)*('Monthly Data'!$C$13:$C$9627=AI$26)*('Monthly Data'!$D$13:$D$9627=$U113))</f>
        <v>41125</v>
      </c>
      <c r="AJ113" s="80">
        <f>SUMPRODUCT(('Monthly Data'!$E$13:$E$9627=$U$106)*('Monthly Data'!$G$13:$G$9627)*('Monthly Data'!$C$13:$C$9627=AJ$26)*('Monthly Data'!$D$13:$D$9627=$U113))</f>
        <v>0</v>
      </c>
      <c r="AL113" s="89">
        <f t="shared" si="21"/>
        <v>529682</v>
      </c>
    </row>
    <row r="114" spans="2:38">
      <c r="B114" s="30">
        <v>8</v>
      </c>
      <c r="C114" s="95">
        <f>SUMPRODUCT(('Monthly Data'!$E$13:$E$9627=$B$106)*('Monthly Data'!$F$13:$F$9627)*('Monthly Data'!$C$13:$C$9627=C$26)*('Monthly Data'!$D$13:$D$9627=$B114))</f>
        <v>5988166</v>
      </c>
      <c r="D114" s="95">
        <f>SUMPRODUCT(('Monthly Data'!$E$13:$E$9627=$B$106)*('Monthly Data'!$F$13:$F$9627)*('Monthly Data'!$C$13:$C$9627=D$26)*('Monthly Data'!$D$13:$D$9627=$B114))</f>
        <v>6151788</v>
      </c>
      <c r="E114" s="80">
        <f>SUMPRODUCT(('Monthly Data'!$E$13:$E$9627=$B$106)*('Monthly Data'!$F$13:$F$9627)*('Monthly Data'!$C$13:$C$9627=E$26)*('Monthly Data'!$D$13:$D$9627=$B114))</f>
        <v>6044141</v>
      </c>
      <c r="F114" s="80">
        <f>SUMPRODUCT(('Monthly Data'!$E$13:$E$9627=$B$106)*('Monthly Data'!$F$13:$F$9627)*('Monthly Data'!$C$13:$C$9627=F$26)*('Monthly Data'!$D$13:$D$9627=$B114))</f>
        <v>6101711</v>
      </c>
      <c r="G114" s="80">
        <f>SUMPRODUCT(('Monthly Data'!$E$13:$E$9627=$B$106)*('Monthly Data'!$F$13:$F$9627)*('Monthly Data'!$C$13:$C$9627=G$26)*('Monthly Data'!$D$13:$D$9627=$B114))</f>
        <v>6185621</v>
      </c>
      <c r="H114" s="80">
        <f>SUMPRODUCT(('Monthly Data'!$E$13:$E$9627=$B$106)*('Monthly Data'!$F$13:$F$9627)*('Monthly Data'!$C$13:$C$9627=H$26)*('Monthly Data'!$D$13:$D$9627=$B114))</f>
        <v>6310601</v>
      </c>
      <c r="I114" s="80">
        <f>SUMPRODUCT(('Monthly Data'!$E$13:$E$9627=$B$106)*('Monthly Data'!$F$13:$F$9627)*('Monthly Data'!$C$13:$C$9627=I$26)*('Monthly Data'!$D$13:$D$9627=$B114))</f>
        <v>6118950</v>
      </c>
      <c r="J114" s="80">
        <f>SUMPRODUCT(('Monthly Data'!$E$13:$E$9627=$B$106)*('Monthly Data'!$F$13:$F$9627)*('Monthly Data'!$C$13:$C$9627=J$26)*('Monthly Data'!$D$13:$D$9627=$B114))</f>
        <v>5987419</v>
      </c>
      <c r="K114" s="80">
        <f>SUMPRODUCT(('Monthly Data'!$E$13:$E$9627=$B$106)*('Monthly Data'!$F$13:$F$9627)*('Monthly Data'!$C$13:$C$9627=K$26)*('Monthly Data'!$D$13:$D$9627=$B114))</f>
        <v>6377830</v>
      </c>
      <c r="L114" s="80">
        <f>SUMPRODUCT(('Monthly Data'!$E$13:$E$9627=$B$106)*('Monthly Data'!$F$13:$F$9627)*('Monthly Data'!$C$13:$C$9627=L$26)*('Monthly Data'!$D$13:$D$9627=$B114))</f>
        <v>6365472</v>
      </c>
      <c r="M114" s="80">
        <f>SUMPRODUCT(('Monthly Data'!$E$13:$E$9627=$B$106)*('Monthly Data'!$F$13:$F$9627)*('Monthly Data'!$C$13:$C$9627=M$26)*('Monthly Data'!$D$13:$D$9627=$B114))</f>
        <v>6383569</v>
      </c>
      <c r="N114" s="80">
        <f>SUMPRODUCT(('Monthly Data'!$E$13:$E$9627=$B$106)*('Monthly Data'!$F$13:$F$9627)*('Monthly Data'!$C$13:$C$9627=N$26)*('Monthly Data'!$D$13:$D$9627=$B114))</f>
        <v>6542220</v>
      </c>
      <c r="O114" s="80">
        <f>SUMPRODUCT(('Monthly Data'!$E$13:$E$9627=$B$106)*('Monthly Data'!$F$13:$F$9627)*('Monthly Data'!$C$13:$C$9627=O$26)*('Monthly Data'!$D$13:$D$9627=$B114))</f>
        <v>6584888</v>
      </c>
      <c r="P114" s="80">
        <f>SUMPRODUCT(('Monthly Data'!$E$13:$E$9627=$B$106)*('Monthly Data'!$F$13:$F$9627)*('Monthly Data'!$C$13:$C$9627=P$26)*('Monthly Data'!$D$13:$D$9627=$B114))</f>
        <v>6459119</v>
      </c>
      <c r="Q114" s="80">
        <f>SUMPRODUCT(('Monthly Data'!$E$13:$E$9627=$B$106)*('Monthly Data'!$F$13:$F$9627)*('Monthly Data'!$C$13:$C$9627=Q$26)*('Monthly Data'!$D$13:$D$9627=$B114))</f>
        <v>0</v>
      </c>
      <c r="S114" s="89">
        <f t="shared" si="20"/>
        <v>81142376</v>
      </c>
      <c r="U114" s="30">
        <v>8</v>
      </c>
      <c r="V114" s="95">
        <f>SUMPRODUCT(('Monthly Data'!$E$13:$E$9627=$U$106)*('Monthly Data'!$G$13:$G$9627)*('Monthly Data'!$C$13:$C$9627=V$26)*('Monthly Data'!$D$13:$D$9627=$U114))</f>
        <v>39377</v>
      </c>
      <c r="W114" s="95">
        <f>SUMPRODUCT(('Monthly Data'!$E$13:$E$9627=$U$106)*('Monthly Data'!$G$13:$G$9627)*('Monthly Data'!$C$13:$C$9627=W$26)*('Monthly Data'!$D$13:$D$9627=$U114))</f>
        <v>40197</v>
      </c>
      <c r="X114" s="80">
        <f>SUMPRODUCT(('Monthly Data'!$E$13:$E$9627=$U$106)*('Monthly Data'!$G$13:$G$9627)*('Monthly Data'!$C$13:$C$9627=X$26)*('Monthly Data'!$D$13:$D$9627=$U114))</f>
        <v>40494</v>
      </c>
      <c r="Y114" s="80">
        <f>SUMPRODUCT(('Monthly Data'!$E$13:$E$9627=$U$106)*('Monthly Data'!$G$13:$G$9627)*('Monthly Data'!$C$13:$C$9627=Y$26)*('Monthly Data'!$D$13:$D$9627=$U114))</f>
        <v>40417</v>
      </c>
      <c r="Z114" s="80">
        <f>SUMPRODUCT(('Monthly Data'!$E$13:$E$9627=$U$106)*('Monthly Data'!$G$13:$G$9627)*('Monthly Data'!$C$13:$C$9627=Z$26)*('Monthly Data'!$D$13:$D$9627=$U114))</f>
        <v>40035</v>
      </c>
      <c r="AA114" s="80">
        <f>SUMPRODUCT(('Monthly Data'!$E$13:$E$9627=$U$106)*('Monthly Data'!$G$13:$G$9627)*('Monthly Data'!$C$13:$C$9627=AA$26)*('Monthly Data'!$D$13:$D$9627=$U114))</f>
        <v>40567</v>
      </c>
      <c r="AB114" s="80">
        <f>SUMPRODUCT(('Monthly Data'!$E$13:$E$9627=$U$106)*('Monthly Data'!$G$13:$G$9627)*('Monthly Data'!$C$13:$C$9627=AB$26)*('Monthly Data'!$D$13:$D$9627=$U114))</f>
        <v>40258</v>
      </c>
      <c r="AC114" s="80">
        <f>SUMPRODUCT(('Monthly Data'!$E$13:$E$9627=$U$106)*('Monthly Data'!$G$13:$G$9627)*('Monthly Data'!$C$13:$C$9627=AC$26)*('Monthly Data'!$D$13:$D$9627=$U114))</f>
        <v>39618</v>
      </c>
      <c r="AD114" s="80">
        <f>SUMPRODUCT(('Monthly Data'!$E$13:$E$9627=$U$106)*('Monthly Data'!$G$13:$G$9627)*('Monthly Data'!$C$13:$C$9627=AD$26)*('Monthly Data'!$D$13:$D$9627=$U114))</f>
        <v>41529</v>
      </c>
      <c r="AE114" s="80">
        <f>SUMPRODUCT(('Monthly Data'!$E$13:$E$9627=$U$106)*('Monthly Data'!$G$13:$G$9627)*('Monthly Data'!$C$13:$C$9627=AE$26)*('Monthly Data'!$D$13:$D$9627=$U114))</f>
        <v>40857</v>
      </c>
      <c r="AF114" s="80">
        <f>SUMPRODUCT(('Monthly Data'!$E$13:$E$9627=$U$106)*('Monthly Data'!$G$13:$G$9627)*('Monthly Data'!$C$13:$C$9627=AF$26)*('Monthly Data'!$D$13:$D$9627=$U114))</f>
        <v>39630</v>
      </c>
      <c r="AG114" s="80">
        <f>SUMPRODUCT(('Monthly Data'!$E$13:$E$9627=$U$106)*('Monthly Data'!$G$13:$G$9627)*('Monthly Data'!$C$13:$C$9627=AG$26)*('Monthly Data'!$D$13:$D$9627=$U114))</f>
        <v>41021</v>
      </c>
      <c r="AH114" s="80">
        <f>SUMPRODUCT(('Monthly Data'!$E$13:$E$9627=$U$106)*('Monthly Data'!$G$13:$G$9627)*('Monthly Data'!$C$13:$C$9627=AH$26)*('Monthly Data'!$D$13:$D$9627=$U114))</f>
        <v>41166</v>
      </c>
      <c r="AI114" s="80">
        <f>SUMPRODUCT(('Monthly Data'!$E$13:$E$9627=$U$106)*('Monthly Data'!$G$13:$G$9627)*('Monthly Data'!$C$13:$C$9627=AI$26)*('Monthly Data'!$D$13:$D$9627=$U114))</f>
        <v>41044</v>
      </c>
      <c r="AJ114" s="80">
        <f>SUMPRODUCT(('Monthly Data'!$E$13:$E$9627=$U$106)*('Monthly Data'!$G$13:$G$9627)*('Monthly Data'!$C$13:$C$9627=AJ$26)*('Monthly Data'!$D$13:$D$9627=$U114))</f>
        <v>0</v>
      </c>
      <c r="AL114" s="89">
        <f t="shared" si="21"/>
        <v>525166</v>
      </c>
    </row>
    <row r="115" spans="2:38">
      <c r="B115" s="30">
        <v>9</v>
      </c>
      <c r="C115" s="95">
        <f>SUMPRODUCT(('Monthly Data'!$E$13:$E$9627=$B$106)*('Monthly Data'!$F$13:$F$9627)*('Monthly Data'!$C$13:$C$9627=C$26)*('Monthly Data'!$D$13:$D$9627=$B115))</f>
        <v>5663053</v>
      </c>
      <c r="D115" s="95">
        <f>SUMPRODUCT(('Monthly Data'!$E$13:$E$9627=$B$106)*('Monthly Data'!$F$13:$F$9627)*('Monthly Data'!$C$13:$C$9627=D$26)*('Monthly Data'!$D$13:$D$9627=$B115))</f>
        <v>5872729</v>
      </c>
      <c r="E115" s="80">
        <f>SUMPRODUCT(('Monthly Data'!$E$13:$E$9627=$B$106)*('Monthly Data'!$F$13:$F$9627)*('Monthly Data'!$C$13:$C$9627=E$26)*('Monthly Data'!$D$13:$D$9627=$B115))</f>
        <v>5108882</v>
      </c>
      <c r="F115" s="80">
        <f>SUMPRODUCT(('Monthly Data'!$E$13:$E$9627=$B$106)*('Monthly Data'!$F$13:$F$9627)*('Monthly Data'!$C$13:$C$9627=F$26)*('Monthly Data'!$D$13:$D$9627=$B115))</f>
        <v>5723602</v>
      </c>
      <c r="G115" s="80">
        <f>SUMPRODUCT(('Monthly Data'!$E$13:$E$9627=$B$106)*('Monthly Data'!$F$13:$F$9627)*('Monthly Data'!$C$13:$C$9627=G$26)*('Monthly Data'!$D$13:$D$9627=$B115))</f>
        <v>5747998</v>
      </c>
      <c r="H115" s="80">
        <f>SUMPRODUCT(('Monthly Data'!$E$13:$E$9627=$B$106)*('Monthly Data'!$F$13:$F$9627)*('Monthly Data'!$C$13:$C$9627=H$26)*('Monthly Data'!$D$13:$D$9627=$B115))</f>
        <v>5958372</v>
      </c>
      <c r="I115" s="80">
        <f>SUMPRODUCT(('Monthly Data'!$E$13:$E$9627=$B$106)*('Monthly Data'!$F$13:$F$9627)*('Monthly Data'!$C$13:$C$9627=I$26)*('Monthly Data'!$D$13:$D$9627=$B115))</f>
        <v>6041231</v>
      </c>
      <c r="J115" s="80">
        <f>SUMPRODUCT(('Monthly Data'!$E$13:$E$9627=$B$106)*('Monthly Data'!$F$13:$F$9627)*('Monthly Data'!$C$13:$C$9627=J$26)*('Monthly Data'!$D$13:$D$9627=$B115))</f>
        <v>5896114</v>
      </c>
      <c r="K115" s="80">
        <f>SUMPRODUCT(('Monthly Data'!$E$13:$E$9627=$B$106)*('Monthly Data'!$F$13:$F$9627)*('Monthly Data'!$C$13:$C$9627=K$26)*('Monthly Data'!$D$13:$D$9627=$B115))</f>
        <v>6022166</v>
      </c>
      <c r="L115" s="80">
        <f>SUMPRODUCT(('Monthly Data'!$E$13:$E$9627=$B$106)*('Monthly Data'!$F$13:$F$9627)*('Monthly Data'!$C$13:$C$9627=L$26)*('Monthly Data'!$D$13:$D$9627=$B115))</f>
        <v>5802248</v>
      </c>
      <c r="M115" s="80">
        <f>SUMPRODUCT(('Monthly Data'!$E$13:$E$9627=$B$106)*('Monthly Data'!$F$13:$F$9627)*('Monthly Data'!$C$13:$C$9627=M$26)*('Monthly Data'!$D$13:$D$9627=$B115))</f>
        <v>5783721</v>
      </c>
      <c r="N115" s="80">
        <f>SUMPRODUCT(('Monthly Data'!$E$13:$E$9627=$B$106)*('Monthly Data'!$F$13:$F$9627)*('Monthly Data'!$C$13:$C$9627=N$26)*('Monthly Data'!$D$13:$D$9627=$B115))</f>
        <v>6221390</v>
      </c>
      <c r="O115" s="80">
        <f>SUMPRODUCT(('Monthly Data'!$E$13:$E$9627=$B$106)*('Monthly Data'!$F$13:$F$9627)*('Monthly Data'!$C$13:$C$9627=O$26)*('Monthly Data'!$D$13:$D$9627=$B115))</f>
        <v>6310495</v>
      </c>
      <c r="P115" s="80">
        <f>SUMPRODUCT(('Monthly Data'!$E$13:$E$9627=$B$106)*('Monthly Data'!$F$13:$F$9627)*('Monthly Data'!$C$13:$C$9627=P$26)*('Monthly Data'!$D$13:$D$9627=$B115))</f>
        <v>6345968</v>
      </c>
      <c r="Q115" s="80">
        <f>SUMPRODUCT(('Monthly Data'!$E$13:$E$9627=$B$106)*('Monthly Data'!$F$13:$F$9627)*('Monthly Data'!$C$13:$C$9627=Q$26)*('Monthly Data'!$D$13:$D$9627=$B115))</f>
        <v>0</v>
      </c>
      <c r="S115" s="89">
        <f t="shared" si="20"/>
        <v>76152001</v>
      </c>
      <c r="U115" s="30">
        <v>9</v>
      </c>
      <c r="V115" s="95">
        <f>SUMPRODUCT(('Monthly Data'!$E$13:$E$9627=$U$106)*('Monthly Data'!$G$13:$G$9627)*('Monthly Data'!$C$13:$C$9627=V$26)*('Monthly Data'!$D$13:$D$9627=$U115))</f>
        <v>38174</v>
      </c>
      <c r="W115" s="95">
        <f>SUMPRODUCT(('Monthly Data'!$E$13:$E$9627=$U$106)*('Monthly Data'!$G$13:$G$9627)*('Monthly Data'!$C$13:$C$9627=W$26)*('Monthly Data'!$D$13:$D$9627=$U115))</f>
        <v>38766</v>
      </c>
      <c r="X115" s="80">
        <f>SUMPRODUCT(('Monthly Data'!$E$13:$E$9627=$U$106)*('Monthly Data'!$G$13:$G$9627)*('Monthly Data'!$C$13:$C$9627=X$26)*('Monthly Data'!$D$13:$D$9627=$U115))</f>
        <v>37924</v>
      </c>
      <c r="Y115" s="80">
        <f>SUMPRODUCT(('Monthly Data'!$E$13:$E$9627=$U$106)*('Monthly Data'!$G$13:$G$9627)*('Monthly Data'!$C$13:$C$9627=Y$26)*('Monthly Data'!$D$13:$D$9627=$U115))</f>
        <v>39120</v>
      </c>
      <c r="Z115" s="80">
        <f>SUMPRODUCT(('Monthly Data'!$E$13:$E$9627=$U$106)*('Monthly Data'!$G$13:$G$9627)*('Monthly Data'!$C$13:$C$9627=Z$26)*('Monthly Data'!$D$13:$D$9627=$U115))</f>
        <v>38802</v>
      </c>
      <c r="AA115" s="80">
        <f>SUMPRODUCT(('Monthly Data'!$E$13:$E$9627=$U$106)*('Monthly Data'!$G$13:$G$9627)*('Monthly Data'!$C$13:$C$9627=AA$26)*('Monthly Data'!$D$13:$D$9627=$U115))</f>
        <v>39339</v>
      </c>
      <c r="AB115" s="80">
        <f>SUMPRODUCT(('Monthly Data'!$E$13:$E$9627=$U$106)*('Monthly Data'!$G$13:$G$9627)*('Monthly Data'!$C$13:$C$9627=AB$26)*('Monthly Data'!$D$13:$D$9627=$U115))</f>
        <v>39933</v>
      </c>
      <c r="AC115" s="80">
        <f>SUMPRODUCT(('Monthly Data'!$E$13:$E$9627=$U$106)*('Monthly Data'!$G$13:$G$9627)*('Monthly Data'!$C$13:$C$9627=AC$26)*('Monthly Data'!$D$13:$D$9627=$U115))</f>
        <v>39785</v>
      </c>
      <c r="AD115" s="80">
        <f>SUMPRODUCT(('Monthly Data'!$E$13:$E$9627=$U$106)*('Monthly Data'!$G$13:$G$9627)*('Monthly Data'!$C$13:$C$9627=AD$26)*('Monthly Data'!$D$13:$D$9627=$U115))</f>
        <v>40118</v>
      </c>
      <c r="AE115" s="80">
        <f>SUMPRODUCT(('Monthly Data'!$E$13:$E$9627=$U$106)*('Monthly Data'!$G$13:$G$9627)*('Monthly Data'!$C$13:$C$9627=AE$26)*('Monthly Data'!$D$13:$D$9627=$U115))</f>
        <v>39847</v>
      </c>
      <c r="AF115" s="80">
        <f>SUMPRODUCT(('Monthly Data'!$E$13:$E$9627=$U$106)*('Monthly Data'!$G$13:$G$9627)*('Monthly Data'!$C$13:$C$9627=AF$26)*('Monthly Data'!$D$13:$D$9627=$U115))</f>
        <v>37881</v>
      </c>
      <c r="AG115" s="80">
        <f>SUMPRODUCT(('Monthly Data'!$E$13:$E$9627=$U$106)*('Monthly Data'!$G$13:$G$9627)*('Monthly Data'!$C$13:$C$9627=AG$26)*('Monthly Data'!$D$13:$D$9627=$U115))</f>
        <v>40011</v>
      </c>
      <c r="AH115" s="80">
        <f>SUMPRODUCT(('Monthly Data'!$E$13:$E$9627=$U$106)*('Monthly Data'!$G$13:$G$9627)*('Monthly Data'!$C$13:$C$9627=AH$26)*('Monthly Data'!$D$13:$D$9627=$U115))</f>
        <v>40529</v>
      </c>
      <c r="AI115" s="80">
        <f>SUMPRODUCT(('Monthly Data'!$E$13:$E$9627=$U$106)*('Monthly Data'!$G$13:$G$9627)*('Monthly Data'!$C$13:$C$9627=AI$26)*('Monthly Data'!$D$13:$D$9627=$U115))</f>
        <v>39624</v>
      </c>
      <c r="AJ115" s="80">
        <f>SUMPRODUCT(('Monthly Data'!$E$13:$E$9627=$U$106)*('Monthly Data'!$G$13:$G$9627)*('Monthly Data'!$C$13:$C$9627=AJ$26)*('Monthly Data'!$D$13:$D$9627=$U115))</f>
        <v>0</v>
      </c>
      <c r="AL115" s="89">
        <f t="shared" si="21"/>
        <v>510229</v>
      </c>
    </row>
    <row r="116" spans="2:38">
      <c r="B116" s="30">
        <v>10</v>
      </c>
      <c r="C116" s="95">
        <f>SUMPRODUCT(('Monthly Data'!$E$13:$E$9627=$B$106)*('Monthly Data'!$F$13:$F$9627)*('Monthly Data'!$C$13:$C$9627=C$26)*('Monthly Data'!$D$13:$D$9627=$B116))</f>
        <v>5602666</v>
      </c>
      <c r="D116" s="95">
        <f>SUMPRODUCT(('Monthly Data'!$E$13:$E$9627=$B$106)*('Monthly Data'!$F$13:$F$9627)*('Monthly Data'!$C$13:$C$9627=D$26)*('Monthly Data'!$D$13:$D$9627=$B116))</f>
        <v>5613172</v>
      </c>
      <c r="E116" s="80">
        <f>SUMPRODUCT(('Monthly Data'!$E$13:$E$9627=$B$106)*('Monthly Data'!$F$13:$F$9627)*('Monthly Data'!$C$13:$C$9627=E$26)*('Monthly Data'!$D$13:$D$9627=$B116))</f>
        <v>4486927</v>
      </c>
      <c r="F116" s="80">
        <f>SUMPRODUCT(('Monthly Data'!$E$13:$E$9627=$B$106)*('Monthly Data'!$F$13:$F$9627)*('Monthly Data'!$C$13:$C$9627=F$26)*('Monthly Data'!$D$13:$D$9627=$B116))</f>
        <v>5494334</v>
      </c>
      <c r="G116" s="80">
        <f>SUMPRODUCT(('Monthly Data'!$E$13:$E$9627=$B$106)*('Monthly Data'!$F$13:$F$9627)*('Monthly Data'!$C$13:$C$9627=G$26)*('Monthly Data'!$D$13:$D$9627=$B116))</f>
        <v>5636240</v>
      </c>
      <c r="H116" s="80">
        <f>SUMPRODUCT(('Monthly Data'!$E$13:$E$9627=$B$106)*('Monthly Data'!$F$13:$F$9627)*('Monthly Data'!$C$13:$C$9627=H$26)*('Monthly Data'!$D$13:$D$9627=$B116))</f>
        <v>5756329</v>
      </c>
      <c r="I116" s="80">
        <f>SUMPRODUCT(('Monthly Data'!$E$13:$E$9627=$B$106)*('Monthly Data'!$F$13:$F$9627)*('Monthly Data'!$C$13:$C$9627=I$26)*('Monthly Data'!$D$13:$D$9627=$B116))</f>
        <v>5713129</v>
      </c>
      <c r="J116" s="80">
        <f>SUMPRODUCT(('Monthly Data'!$E$13:$E$9627=$B$106)*('Monthly Data'!$F$13:$F$9627)*('Monthly Data'!$C$13:$C$9627=J$26)*('Monthly Data'!$D$13:$D$9627=$B116))</f>
        <v>5630001</v>
      </c>
      <c r="K116" s="80">
        <f>SUMPRODUCT(('Monthly Data'!$E$13:$E$9627=$B$106)*('Monthly Data'!$F$13:$F$9627)*('Monthly Data'!$C$13:$C$9627=K$26)*('Monthly Data'!$D$13:$D$9627=$B116))</f>
        <v>5843827</v>
      </c>
      <c r="L116" s="80">
        <f>SUMPRODUCT(('Monthly Data'!$E$13:$E$9627=$B$106)*('Monthly Data'!$F$13:$F$9627)*('Monthly Data'!$C$13:$C$9627=L$26)*('Monthly Data'!$D$13:$D$9627=$B116))</f>
        <v>5630466</v>
      </c>
      <c r="M116" s="80">
        <f>SUMPRODUCT(('Monthly Data'!$E$13:$E$9627=$B$106)*('Monthly Data'!$F$13:$F$9627)*('Monthly Data'!$C$13:$C$9627=M$26)*('Monthly Data'!$D$13:$D$9627=$B116))</f>
        <v>5687474</v>
      </c>
      <c r="N116" s="80">
        <f>SUMPRODUCT(('Monthly Data'!$E$13:$E$9627=$B$106)*('Monthly Data'!$F$13:$F$9627)*('Monthly Data'!$C$13:$C$9627=N$26)*('Monthly Data'!$D$13:$D$9627=$B116))</f>
        <v>6097524</v>
      </c>
      <c r="O116" s="80">
        <f>SUMPRODUCT(('Monthly Data'!$E$13:$E$9627=$B$106)*('Monthly Data'!$F$13:$F$9627)*('Monthly Data'!$C$13:$C$9627=O$26)*('Monthly Data'!$D$13:$D$9627=$B116))</f>
        <v>6019556</v>
      </c>
      <c r="P116" s="80">
        <f>SUMPRODUCT(('Monthly Data'!$E$13:$E$9627=$B$106)*('Monthly Data'!$F$13:$F$9627)*('Monthly Data'!$C$13:$C$9627=P$26)*('Monthly Data'!$D$13:$D$9627=$B116))</f>
        <v>6011784</v>
      </c>
      <c r="Q116" s="80">
        <f>SUMPRODUCT(('Monthly Data'!$E$13:$E$9627=$B$106)*('Monthly Data'!$F$13:$F$9627)*('Monthly Data'!$C$13:$C$9627=Q$26)*('Monthly Data'!$D$13:$D$9627=$B116))</f>
        <v>0</v>
      </c>
      <c r="S116" s="89">
        <f t="shared" si="20"/>
        <v>73211645</v>
      </c>
      <c r="U116" s="30">
        <v>10</v>
      </c>
      <c r="V116" s="95">
        <f>SUMPRODUCT(('Monthly Data'!$E$13:$E$9627=$U$106)*('Monthly Data'!$G$13:$G$9627)*('Monthly Data'!$C$13:$C$9627=V$26)*('Monthly Data'!$D$13:$D$9627=$U116))</f>
        <v>38936</v>
      </c>
      <c r="W116" s="95">
        <f>SUMPRODUCT(('Monthly Data'!$E$13:$E$9627=$U$106)*('Monthly Data'!$G$13:$G$9627)*('Monthly Data'!$C$13:$C$9627=W$26)*('Monthly Data'!$D$13:$D$9627=$U116))</f>
        <v>39264</v>
      </c>
      <c r="X116" s="80">
        <f>SUMPRODUCT(('Monthly Data'!$E$13:$E$9627=$U$106)*('Monthly Data'!$G$13:$G$9627)*('Monthly Data'!$C$13:$C$9627=X$26)*('Monthly Data'!$D$13:$D$9627=$U116))</f>
        <v>37879</v>
      </c>
      <c r="Y116" s="80">
        <f>SUMPRODUCT(('Monthly Data'!$E$13:$E$9627=$U$106)*('Monthly Data'!$G$13:$G$9627)*('Monthly Data'!$C$13:$C$9627=Y$26)*('Monthly Data'!$D$13:$D$9627=$U116))</f>
        <v>39804</v>
      </c>
      <c r="Z116" s="80">
        <f>SUMPRODUCT(('Monthly Data'!$E$13:$E$9627=$U$106)*('Monthly Data'!$G$13:$G$9627)*('Monthly Data'!$C$13:$C$9627=Z$26)*('Monthly Data'!$D$13:$D$9627=$U116))</f>
        <v>39738</v>
      </c>
      <c r="AA116" s="80">
        <f>SUMPRODUCT(('Monthly Data'!$E$13:$E$9627=$U$106)*('Monthly Data'!$G$13:$G$9627)*('Monthly Data'!$C$13:$C$9627=AA$26)*('Monthly Data'!$D$13:$D$9627=$U116))</f>
        <v>40229</v>
      </c>
      <c r="AB116" s="80">
        <f>SUMPRODUCT(('Monthly Data'!$E$13:$E$9627=$U$106)*('Monthly Data'!$G$13:$G$9627)*('Monthly Data'!$C$13:$C$9627=AB$26)*('Monthly Data'!$D$13:$D$9627=$U116))</f>
        <v>40608</v>
      </c>
      <c r="AC116" s="80">
        <f>SUMPRODUCT(('Monthly Data'!$E$13:$E$9627=$U$106)*('Monthly Data'!$G$13:$G$9627)*('Monthly Data'!$C$13:$C$9627=AC$26)*('Monthly Data'!$D$13:$D$9627=$U116))</f>
        <v>40446</v>
      </c>
      <c r="AD116" s="80">
        <f>SUMPRODUCT(('Monthly Data'!$E$13:$E$9627=$U$106)*('Monthly Data'!$G$13:$G$9627)*('Monthly Data'!$C$13:$C$9627=AD$26)*('Monthly Data'!$D$13:$D$9627=$U116))</f>
        <v>40895</v>
      </c>
      <c r="AE116" s="80">
        <f>SUMPRODUCT(('Monthly Data'!$E$13:$E$9627=$U$106)*('Monthly Data'!$G$13:$G$9627)*('Monthly Data'!$C$13:$C$9627=AE$26)*('Monthly Data'!$D$13:$D$9627=$U116))</f>
        <v>40423</v>
      </c>
      <c r="AF116" s="80">
        <f>SUMPRODUCT(('Monthly Data'!$E$13:$E$9627=$U$106)*('Monthly Data'!$G$13:$G$9627)*('Monthly Data'!$C$13:$C$9627=AF$26)*('Monthly Data'!$D$13:$D$9627=$U116))</f>
        <v>38467</v>
      </c>
      <c r="AG116" s="80">
        <f>SUMPRODUCT(('Monthly Data'!$E$13:$E$9627=$U$106)*('Monthly Data'!$G$13:$G$9627)*('Monthly Data'!$C$13:$C$9627=AG$26)*('Monthly Data'!$D$13:$D$9627=$U116))</f>
        <v>40759</v>
      </c>
      <c r="AH116" s="80">
        <f>SUMPRODUCT(('Monthly Data'!$E$13:$E$9627=$U$106)*('Monthly Data'!$G$13:$G$9627)*('Monthly Data'!$C$13:$C$9627=AH$26)*('Monthly Data'!$D$13:$D$9627=$U116))</f>
        <v>40966</v>
      </c>
      <c r="AI116" s="80">
        <f>SUMPRODUCT(('Monthly Data'!$E$13:$E$9627=$U$106)*('Monthly Data'!$G$13:$G$9627)*('Monthly Data'!$C$13:$C$9627=AI$26)*('Monthly Data'!$D$13:$D$9627=$U116))</f>
        <v>39639</v>
      </c>
      <c r="AJ116" s="80">
        <f>SUMPRODUCT(('Monthly Data'!$E$13:$E$9627=$U$106)*('Monthly Data'!$G$13:$G$9627)*('Monthly Data'!$C$13:$C$9627=AJ$26)*('Monthly Data'!$D$13:$D$9627=$U116))</f>
        <v>0</v>
      </c>
      <c r="AL116" s="89">
        <f t="shared" si="21"/>
        <v>518414</v>
      </c>
    </row>
    <row r="117" spans="2:38">
      <c r="B117" s="30">
        <v>11</v>
      </c>
      <c r="C117" s="95">
        <f>SUMPRODUCT(('Monthly Data'!$E$13:$E$9627=$B$106)*('Monthly Data'!$F$13:$F$9627)*('Monthly Data'!$C$13:$C$9627=C$26)*('Monthly Data'!$D$13:$D$9627=$B117))</f>
        <v>4825282</v>
      </c>
      <c r="D117" s="95">
        <f>SUMPRODUCT(('Monthly Data'!$E$13:$E$9627=$B$106)*('Monthly Data'!$F$13:$F$9627)*('Monthly Data'!$C$13:$C$9627=D$26)*('Monthly Data'!$D$13:$D$9627=$B117))</f>
        <v>4920489</v>
      </c>
      <c r="E117" s="80">
        <f>SUMPRODUCT(('Monthly Data'!$E$13:$E$9627=$B$106)*('Monthly Data'!$F$13:$F$9627)*('Monthly Data'!$C$13:$C$9627=E$26)*('Monthly Data'!$D$13:$D$9627=$B117))</f>
        <v>4258104</v>
      </c>
      <c r="F117" s="80">
        <f>SUMPRODUCT(('Monthly Data'!$E$13:$E$9627=$B$106)*('Monthly Data'!$F$13:$F$9627)*('Monthly Data'!$C$13:$C$9627=F$26)*('Monthly Data'!$D$13:$D$9627=$B117))</f>
        <v>4849900</v>
      </c>
      <c r="G117" s="80">
        <f>SUMPRODUCT(('Monthly Data'!$E$13:$E$9627=$B$106)*('Monthly Data'!$F$13:$F$9627)*('Monthly Data'!$C$13:$C$9627=G$26)*('Monthly Data'!$D$13:$D$9627=$B117))</f>
        <v>5058679</v>
      </c>
      <c r="H117" s="80">
        <f>SUMPRODUCT(('Monthly Data'!$E$13:$E$9627=$B$106)*('Monthly Data'!$F$13:$F$9627)*('Monthly Data'!$C$13:$C$9627=H$26)*('Monthly Data'!$D$13:$D$9627=$B117))</f>
        <v>5119221</v>
      </c>
      <c r="I117" s="80">
        <f>SUMPRODUCT(('Monthly Data'!$E$13:$E$9627=$B$106)*('Monthly Data'!$F$13:$F$9627)*('Monthly Data'!$C$13:$C$9627=I$26)*('Monthly Data'!$D$13:$D$9627=$B117))</f>
        <v>5208161</v>
      </c>
      <c r="J117" s="80">
        <f>SUMPRODUCT(('Monthly Data'!$E$13:$E$9627=$B$106)*('Monthly Data'!$F$13:$F$9627)*('Monthly Data'!$C$13:$C$9627=J$26)*('Monthly Data'!$D$13:$D$9627=$B117))</f>
        <v>5099392</v>
      </c>
      <c r="K117" s="80">
        <f>SUMPRODUCT(('Monthly Data'!$E$13:$E$9627=$B$106)*('Monthly Data'!$F$13:$F$9627)*('Monthly Data'!$C$13:$C$9627=K$26)*('Monthly Data'!$D$13:$D$9627=$B117))</f>
        <v>5221779</v>
      </c>
      <c r="L117" s="80">
        <f>SUMPRODUCT(('Monthly Data'!$E$13:$E$9627=$B$106)*('Monthly Data'!$F$13:$F$9627)*('Monthly Data'!$C$13:$C$9627=L$26)*('Monthly Data'!$D$13:$D$9627=$B117))</f>
        <v>4971820</v>
      </c>
      <c r="M117" s="80">
        <f>SUMPRODUCT(('Monthly Data'!$E$13:$E$9627=$B$106)*('Monthly Data'!$F$13:$F$9627)*('Monthly Data'!$C$13:$C$9627=M$26)*('Monthly Data'!$D$13:$D$9627=$B117))</f>
        <v>5028749</v>
      </c>
      <c r="N117" s="80">
        <f>SUMPRODUCT(('Monthly Data'!$E$13:$E$9627=$B$106)*('Monthly Data'!$F$13:$F$9627)*('Monthly Data'!$C$13:$C$9627=N$26)*('Monthly Data'!$D$13:$D$9627=$B117))</f>
        <v>5242891</v>
      </c>
      <c r="O117" s="80">
        <f>SUMPRODUCT(('Monthly Data'!$E$13:$E$9627=$B$106)*('Monthly Data'!$F$13:$F$9627)*('Monthly Data'!$C$13:$C$9627=O$26)*('Monthly Data'!$D$13:$D$9627=$B117))</f>
        <v>5218960</v>
      </c>
      <c r="P117" s="80">
        <f>SUMPRODUCT(('Monthly Data'!$E$13:$E$9627=$B$106)*('Monthly Data'!$F$13:$F$9627)*('Monthly Data'!$C$13:$C$9627=P$26)*('Monthly Data'!$D$13:$D$9627=$B117))</f>
        <v>5381067</v>
      </c>
      <c r="Q117" s="80">
        <f>SUMPRODUCT(('Monthly Data'!$E$13:$E$9627=$B$106)*('Monthly Data'!$F$13:$F$9627)*('Monthly Data'!$C$13:$C$9627=Q$26)*('Monthly Data'!$D$13:$D$9627=$B117))</f>
        <v>0</v>
      </c>
      <c r="S117" s="89">
        <f t="shared" si="20"/>
        <v>65023427</v>
      </c>
      <c r="U117" s="30">
        <v>11</v>
      </c>
      <c r="V117" s="95">
        <f>SUMPRODUCT(('Monthly Data'!$E$13:$E$9627=$U$106)*('Monthly Data'!$G$13:$G$9627)*('Monthly Data'!$C$13:$C$9627=V$26)*('Monthly Data'!$D$13:$D$9627=$U117))</f>
        <v>37146</v>
      </c>
      <c r="W117" s="95">
        <f>SUMPRODUCT(('Monthly Data'!$E$13:$E$9627=$U$106)*('Monthly Data'!$G$13:$G$9627)*('Monthly Data'!$C$13:$C$9627=W$26)*('Monthly Data'!$D$13:$D$9627=$U117))</f>
        <v>37630</v>
      </c>
      <c r="X117" s="80">
        <f>SUMPRODUCT(('Monthly Data'!$E$13:$E$9627=$U$106)*('Monthly Data'!$G$13:$G$9627)*('Monthly Data'!$C$13:$C$9627=X$26)*('Monthly Data'!$D$13:$D$9627=$U117))</f>
        <v>36817</v>
      </c>
      <c r="Y117" s="80">
        <f>SUMPRODUCT(('Monthly Data'!$E$13:$E$9627=$U$106)*('Monthly Data'!$G$13:$G$9627)*('Monthly Data'!$C$13:$C$9627=Y$26)*('Monthly Data'!$D$13:$D$9627=$U117))</f>
        <v>37502</v>
      </c>
      <c r="Z117" s="80">
        <f>SUMPRODUCT(('Monthly Data'!$E$13:$E$9627=$U$106)*('Monthly Data'!$G$13:$G$9627)*('Monthly Data'!$C$13:$C$9627=Z$26)*('Monthly Data'!$D$13:$D$9627=$U117))</f>
        <v>37943</v>
      </c>
      <c r="AA117" s="80">
        <f>SUMPRODUCT(('Monthly Data'!$E$13:$E$9627=$U$106)*('Monthly Data'!$G$13:$G$9627)*('Monthly Data'!$C$13:$C$9627=AA$26)*('Monthly Data'!$D$13:$D$9627=$U117))</f>
        <v>38026</v>
      </c>
      <c r="AB117" s="80">
        <f>SUMPRODUCT(('Monthly Data'!$E$13:$E$9627=$U$106)*('Monthly Data'!$G$13:$G$9627)*('Monthly Data'!$C$13:$C$9627=AB$26)*('Monthly Data'!$D$13:$D$9627=$U117))</f>
        <v>38469</v>
      </c>
      <c r="AC117" s="80">
        <f>SUMPRODUCT(('Monthly Data'!$E$13:$E$9627=$U$106)*('Monthly Data'!$G$13:$G$9627)*('Monthly Data'!$C$13:$C$9627=AC$26)*('Monthly Data'!$D$13:$D$9627=$U117))</f>
        <v>38560</v>
      </c>
      <c r="AD117" s="80">
        <f>SUMPRODUCT(('Monthly Data'!$E$13:$E$9627=$U$106)*('Monthly Data'!$G$13:$G$9627)*('Monthly Data'!$C$13:$C$9627=AD$26)*('Monthly Data'!$D$13:$D$9627=$U117))</f>
        <v>38987</v>
      </c>
      <c r="AE117" s="80">
        <f>SUMPRODUCT(('Monthly Data'!$E$13:$E$9627=$U$106)*('Monthly Data'!$G$13:$G$9627)*('Monthly Data'!$C$13:$C$9627=AE$26)*('Monthly Data'!$D$13:$D$9627=$U117))</f>
        <v>37756</v>
      </c>
      <c r="AF117" s="80">
        <f>SUMPRODUCT(('Monthly Data'!$E$13:$E$9627=$U$106)*('Monthly Data'!$G$13:$G$9627)*('Monthly Data'!$C$13:$C$9627=AF$26)*('Monthly Data'!$D$13:$D$9627=$U117))</f>
        <v>37055</v>
      </c>
      <c r="AG117" s="80">
        <f>SUMPRODUCT(('Monthly Data'!$E$13:$E$9627=$U$106)*('Monthly Data'!$G$13:$G$9627)*('Monthly Data'!$C$13:$C$9627=AG$26)*('Monthly Data'!$D$13:$D$9627=$U117))</f>
        <v>38010</v>
      </c>
      <c r="AH117" s="80">
        <f>SUMPRODUCT(('Monthly Data'!$E$13:$E$9627=$U$106)*('Monthly Data'!$G$13:$G$9627)*('Monthly Data'!$C$13:$C$9627=AH$26)*('Monthly Data'!$D$13:$D$9627=$U117))</f>
        <v>37956</v>
      </c>
      <c r="AI117" s="80">
        <f>SUMPRODUCT(('Monthly Data'!$E$13:$E$9627=$U$106)*('Monthly Data'!$G$13:$G$9627)*('Monthly Data'!$C$13:$C$9627=AI$26)*('Monthly Data'!$D$13:$D$9627=$U117))</f>
        <v>37310</v>
      </c>
      <c r="AJ117" s="80">
        <f>SUMPRODUCT(('Monthly Data'!$E$13:$E$9627=$U$106)*('Monthly Data'!$G$13:$G$9627)*('Monthly Data'!$C$13:$C$9627=AJ$26)*('Monthly Data'!$D$13:$D$9627=$U117))</f>
        <v>0</v>
      </c>
      <c r="AL117" s="89">
        <f t="shared" si="21"/>
        <v>491857</v>
      </c>
    </row>
    <row r="118" spans="2:38">
      <c r="B118" s="30">
        <v>12</v>
      </c>
      <c r="C118" s="95">
        <f>SUMPRODUCT(('Monthly Data'!$E$13:$E$9627=$B$106)*('Monthly Data'!$F$13:$F$9627)*('Monthly Data'!$C$13:$C$9627=C$26)*('Monthly Data'!$D$13:$D$9627=$B118))</f>
        <v>4421946</v>
      </c>
      <c r="D118" s="95">
        <f>SUMPRODUCT(('Monthly Data'!$E$13:$E$9627=$B$106)*('Monthly Data'!$F$13:$F$9627)*('Monthly Data'!$C$13:$C$9627=D$26)*('Monthly Data'!$D$13:$D$9627=$B118))</f>
        <v>4758050</v>
      </c>
      <c r="E118" s="80">
        <f>SUMPRODUCT(('Monthly Data'!$E$13:$E$9627=$B$106)*('Monthly Data'!$F$13:$F$9627)*('Monthly Data'!$C$13:$C$9627=E$26)*('Monthly Data'!$D$13:$D$9627=$B118))</f>
        <v>4433579</v>
      </c>
      <c r="F118" s="80">
        <f>SUMPRODUCT(('Monthly Data'!$E$13:$E$9627=$B$106)*('Monthly Data'!$F$13:$F$9627)*('Monthly Data'!$C$13:$C$9627=F$26)*('Monthly Data'!$D$13:$D$9627=$B118))</f>
        <v>5031253</v>
      </c>
      <c r="G118" s="80">
        <f>SUMPRODUCT(('Monthly Data'!$E$13:$E$9627=$B$106)*('Monthly Data'!$F$13:$F$9627)*('Monthly Data'!$C$13:$C$9627=G$26)*('Monthly Data'!$D$13:$D$9627=$B118))</f>
        <v>5200334</v>
      </c>
      <c r="H118" s="80">
        <f>SUMPRODUCT(('Monthly Data'!$E$13:$E$9627=$B$106)*('Monthly Data'!$F$13:$F$9627)*('Monthly Data'!$C$13:$C$9627=H$26)*('Monthly Data'!$D$13:$D$9627=$B118))</f>
        <v>5330751</v>
      </c>
      <c r="I118" s="80">
        <f>SUMPRODUCT(('Monthly Data'!$E$13:$E$9627=$B$106)*('Monthly Data'!$F$13:$F$9627)*('Monthly Data'!$C$13:$C$9627=I$26)*('Monthly Data'!$D$13:$D$9627=$B118))</f>
        <v>5332922</v>
      </c>
      <c r="J118" s="80">
        <f>SUMPRODUCT(('Monthly Data'!$E$13:$E$9627=$B$106)*('Monthly Data'!$F$13:$F$9627)*('Monthly Data'!$C$13:$C$9627=J$26)*('Monthly Data'!$D$13:$D$9627=$B118))</f>
        <v>5205320</v>
      </c>
      <c r="K118" s="80">
        <f>SUMPRODUCT(('Monthly Data'!$E$13:$E$9627=$B$106)*('Monthly Data'!$F$13:$F$9627)*('Monthly Data'!$C$13:$C$9627=K$26)*('Monthly Data'!$D$13:$D$9627=$B118))</f>
        <v>5374269</v>
      </c>
      <c r="L118" s="80">
        <f>SUMPRODUCT(('Monthly Data'!$E$13:$E$9627=$B$106)*('Monthly Data'!$F$13:$F$9627)*('Monthly Data'!$C$13:$C$9627=L$26)*('Monthly Data'!$D$13:$D$9627=$B118))</f>
        <v>5251296</v>
      </c>
      <c r="M118" s="80">
        <f>SUMPRODUCT(('Monthly Data'!$E$13:$E$9627=$B$106)*('Monthly Data'!$F$13:$F$9627)*('Monthly Data'!$C$13:$C$9627=M$26)*('Monthly Data'!$D$13:$D$9627=$B118))</f>
        <v>5315827</v>
      </c>
      <c r="N118" s="80">
        <f>SUMPRODUCT(('Monthly Data'!$E$13:$E$9627=$B$106)*('Monthly Data'!$F$13:$F$9627)*('Monthly Data'!$C$13:$C$9627=N$26)*('Monthly Data'!$D$13:$D$9627=$B118))</f>
        <v>4809071</v>
      </c>
      <c r="O118" s="80">
        <f>SUMPRODUCT(('Monthly Data'!$E$13:$E$9627=$B$106)*('Monthly Data'!$F$13:$F$9627)*('Monthly Data'!$C$13:$C$9627=O$26)*('Monthly Data'!$D$13:$D$9627=$B118))</f>
        <v>5517340</v>
      </c>
      <c r="P118" s="80">
        <f>SUMPRODUCT(('Monthly Data'!$E$13:$E$9627=$B$106)*('Monthly Data'!$F$13:$F$9627)*('Monthly Data'!$C$13:$C$9627=P$26)*('Monthly Data'!$D$13:$D$9627=$B118))</f>
        <v>5625332</v>
      </c>
      <c r="Q118" s="80">
        <f>SUMPRODUCT(('Monthly Data'!$E$13:$E$9627=$B$106)*('Monthly Data'!$F$13:$F$9627)*('Monthly Data'!$C$13:$C$9627=Q$26)*('Monthly Data'!$D$13:$D$9627=$B118))</f>
        <v>0</v>
      </c>
      <c r="S118" s="89">
        <f t="shared" si="20"/>
        <v>65981958</v>
      </c>
      <c r="U118" s="30">
        <v>12</v>
      </c>
      <c r="V118" s="95">
        <f>SUMPRODUCT(('Monthly Data'!$E$13:$E$9627=$U$106)*('Monthly Data'!$G$13:$G$9627)*('Monthly Data'!$C$13:$C$9627=V$26)*('Monthly Data'!$D$13:$D$9627=$U118))</f>
        <v>35739</v>
      </c>
      <c r="W118" s="95">
        <f>SUMPRODUCT(('Monthly Data'!$E$13:$E$9627=$U$106)*('Monthly Data'!$G$13:$G$9627)*('Monthly Data'!$C$13:$C$9627=W$26)*('Monthly Data'!$D$13:$D$9627=$U118))</f>
        <v>36103</v>
      </c>
      <c r="X118" s="80">
        <f>SUMPRODUCT(('Monthly Data'!$E$13:$E$9627=$U$106)*('Monthly Data'!$G$13:$G$9627)*('Monthly Data'!$C$13:$C$9627=X$26)*('Monthly Data'!$D$13:$D$9627=$U118))</f>
        <v>35278</v>
      </c>
      <c r="Y118" s="80">
        <f>SUMPRODUCT(('Monthly Data'!$E$13:$E$9627=$U$106)*('Monthly Data'!$G$13:$G$9627)*('Monthly Data'!$C$13:$C$9627=Y$26)*('Monthly Data'!$D$13:$D$9627=$U118))</f>
        <v>36748</v>
      </c>
      <c r="Z118" s="80">
        <f>SUMPRODUCT(('Monthly Data'!$E$13:$E$9627=$U$106)*('Monthly Data'!$G$13:$G$9627)*('Monthly Data'!$C$13:$C$9627=Z$26)*('Monthly Data'!$D$13:$D$9627=$U118))</f>
        <v>37161</v>
      </c>
      <c r="AA118" s="80">
        <f>SUMPRODUCT(('Monthly Data'!$E$13:$E$9627=$U$106)*('Monthly Data'!$G$13:$G$9627)*('Monthly Data'!$C$13:$C$9627=AA$26)*('Monthly Data'!$D$13:$D$9627=$U118))</f>
        <v>37727</v>
      </c>
      <c r="AB118" s="80">
        <f>SUMPRODUCT(('Monthly Data'!$E$13:$E$9627=$U$106)*('Monthly Data'!$G$13:$G$9627)*('Monthly Data'!$C$13:$C$9627=AB$26)*('Monthly Data'!$D$13:$D$9627=$U118))</f>
        <v>38024</v>
      </c>
      <c r="AC118" s="80">
        <f>SUMPRODUCT(('Monthly Data'!$E$13:$E$9627=$U$106)*('Monthly Data'!$G$13:$G$9627)*('Monthly Data'!$C$13:$C$9627=AC$26)*('Monthly Data'!$D$13:$D$9627=$U118))</f>
        <v>36824</v>
      </c>
      <c r="AD118" s="80">
        <f>SUMPRODUCT(('Monthly Data'!$E$13:$E$9627=$U$106)*('Monthly Data'!$G$13:$G$9627)*('Monthly Data'!$C$13:$C$9627=AD$26)*('Monthly Data'!$D$13:$D$9627=$U118))</f>
        <v>37956</v>
      </c>
      <c r="AE118" s="80">
        <f>SUMPRODUCT(('Monthly Data'!$E$13:$E$9627=$U$106)*('Monthly Data'!$G$13:$G$9627)*('Monthly Data'!$C$13:$C$9627=AE$26)*('Monthly Data'!$D$13:$D$9627=$U118))</f>
        <v>37106</v>
      </c>
      <c r="AF118" s="80">
        <f>SUMPRODUCT(('Monthly Data'!$E$13:$E$9627=$U$106)*('Monthly Data'!$G$13:$G$9627)*('Monthly Data'!$C$13:$C$9627=AF$26)*('Monthly Data'!$D$13:$D$9627=$U118))</f>
        <v>36947</v>
      </c>
      <c r="AG118" s="80">
        <f>SUMPRODUCT(('Monthly Data'!$E$13:$E$9627=$U$106)*('Monthly Data'!$G$13:$G$9627)*('Monthly Data'!$C$13:$C$9627=AG$26)*('Monthly Data'!$D$13:$D$9627=$U118))</f>
        <v>32485</v>
      </c>
      <c r="AH118" s="80">
        <f>SUMPRODUCT(('Monthly Data'!$E$13:$E$9627=$U$106)*('Monthly Data'!$G$13:$G$9627)*('Monthly Data'!$C$13:$C$9627=AH$26)*('Monthly Data'!$D$13:$D$9627=$U118))</f>
        <v>38179</v>
      </c>
      <c r="AI118" s="80">
        <f>SUMPRODUCT(('Monthly Data'!$E$13:$E$9627=$U$106)*('Monthly Data'!$G$13:$G$9627)*('Monthly Data'!$C$13:$C$9627=AI$26)*('Monthly Data'!$D$13:$D$9627=$U118))</f>
        <v>37454</v>
      </c>
      <c r="AJ118" s="80">
        <f>SUMPRODUCT(('Monthly Data'!$E$13:$E$9627=$U$106)*('Monthly Data'!$G$13:$G$9627)*('Monthly Data'!$C$13:$C$9627=AJ$26)*('Monthly Data'!$D$13:$D$9627=$U118))</f>
        <v>0</v>
      </c>
      <c r="AL118" s="89">
        <f t="shared" si="21"/>
        <v>476277</v>
      </c>
    </row>
    <row r="119" spans="2:38">
      <c r="D119" s="90"/>
      <c r="S119" s="83"/>
      <c r="W119" s="90"/>
      <c r="AL119" s="83"/>
    </row>
    <row r="120" spans="2:38">
      <c r="B120" s="30" t="s">
        <v>106</v>
      </c>
      <c r="C120" s="97">
        <f>SUM(C107:C118)</f>
        <v>61975028</v>
      </c>
      <c r="D120" s="97">
        <f t="shared" ref="D120:O120" si="22">SUM(D107:D118)</f>
        <v>64277045</v>
      </c>
      <c r="E120" s="89">
        <f t="shared" si="22"/>
        <v>60453330</v>
      </c>
      <c r="F120" s="89">
        <f t="shared" si="22"/>
        <v>63035489</v>
      </c>
      <c r="G120" s="89">
        <f t="shared" si="22"/>
        <v>63208042</v>
      </c>
      <c r="H120" s="89">
        <f t="shared" si="22"/>
        <v>67109174</v>
      </c>
      <c r="I120" s="89">
        <f t="shared" si="22"/>
        <v>67683317</v>
      </c>
      <c r="J120" s="89">
        <f t="shared" si="22"/>
        <v>67339227</v>
      </c>
      <c r="K120" s="89">
        <f t="shared" si="22"/>
        <v>67852387</v>
      </c>
      <c r="L120" s="89">
        <f t="shared" si="22"/>
        <v>66906954</v>
      </c>
      <c r="M120" s="89">
        <f t="shared" si="22"/>
        <v>65906643</v>
      </c>
      <c r="N120" s="89">
        <f t="shared" si="22"/>
        <v>65745250</v>
      </c>
      <c r="O120" s="89">
        <f t="shared" si="22"/>
        <v>69390591</v>
      </c>
      <c r="P120" s="89">
        <f>SUM(P107:P118)</f>
        <v>69983531</v>
      </c>
      <c r="Q120" s="89">
        <f>SUM(Q107:Q118)</f>
        <v>21761091</v>
      </c>
      <c r="S120" s="89">
        <f>SUM(D107:P118)</f>
        <v>858890980</v>
      </c>
      <c r="U120" s="30" t="s">
        <v>106</v>
      </c>
      <c r="V120" s="97">
        <f>SUM(V107:V118)</f>
        <v>449453</v>
      </c>
      <c r="W120" s="97">
        <f t="shared" ref="W120:AH120" si="23">SUM(W107:W118)</f>
        <v>459723</v>
      </c>
      <c r="X120" s="89">
        <f t="shared" si="23"/>
        <v>457639</v>
      </c>
      <c r="Y120" s="89">
        <f t="shared" si="23"/>
        <v>460292</v>
      </c>
      <c r="Z120" s="89">
        <f t="shared" si="23"/>
        <v>457077</v>
      </c>
      <c r="AA120" s="89">
        <f t="shared" si="23"/>
        <v>469786</v>
      </c>
      <c r="AB120" s="89">
        <f t="shared" si="23"/>
        <v>472041</v>
      </c>
      <c r="AC120" s="89">
        <f t="shared" si="23"/>
        <v>470891</v>
      </c>
      <c r="AD120" s="89">
        <f t="shared" si="23"/>
        <v>475789</v>
      </c>
      <c r="AE120" s="89">
        <f t="shared" si="23"/>
        <v>473207</v>
      </c>
      <c r="AF120" s="89">
        <f t="shared" si="23"/>
        <v>460178</v>
      </c>
      <c r="AG120" s="89">
        <f t="shared" si="23"/>
        <v>449271</v>
      </c>
      <c r="AH120" s="89">
        <f t="shared" si="23"/>
        <v>476342</v>
      </c>
      <c r="AI120" s="89">
        <f>SUM(AI107:AI118)</f>
        <v>471663</v>
      </c>
      <c r="AJ120" s="89">
        <f>SUM(AJ107:AJ118)</f>
        <v>150255</v>
      </c>
      <c r="AL120" s="89">
        <f>SUM(V107:AH118)</f>
        <v>6031689</v>
      </c>
    </row>
    <row r="121" spans="2:38">
      <c r="D121" s="90"/>
      <c r="W121" s="90"/>
    </row>
    <row r="122" spans="2:38" ht="15">
      <c r="B122" s="88" t="s">
        <v>104</v>
      </c>
      <c r="C122" s="69">
        <v>1999</v>
      </c>
      <c r="D122" s="96">
        <v>2000</v>
      </c>
      <c r="E122" s="69">
        <v>2001</v>
      </c>
      <c r="F122" s="69">
        <v>2002</v>
      </c>
      <c r="G122" s="69">
        <v>2003</v>
      </c>
      <c r="H122" s="69">
        <v>2004</v>
      </c>
      <c r="I122" s="69">
        <v>2005</v>
      </c>
      <c r="J122" s="69">
        <v>2006</v>
      </c>
      <c r="K122" s="69">
        <v>2007</v>
      </c>
      <c r="L122" s="69">
        <v>2008</v>
      </c>
      <c r="M122" s="69">
        <v>2009</v>
      </c>
      <c r="N122" s="69">
        <v>2010</v>
      </c>
      <c r="O122" s="69">
        <v>2011</v>
      </c>
      <c r="P122" s="69">
        <v>2012</v>
      </c>
      <c r="Q122" s="69">
        <v>2013</v>
      </c>
      <c r="S122" s="69" t="s">
        <v>106</v>
      </c>
      <c r="U122" s="88" t="s">
        <v>104</v>
      </c>
      <c r="V122" s="69">
        <v>1999</v>
      </c>
      <c r="W122" s="96">
        <v>2000</v>
      </c>
      <c r="X122" s="69">
        <v>2001</v>
      </c>
      <c r="Y122" s="69">
        <v>2002</v>
      </c>
      <c r="Z122" s="69">
        <v>2003</v>
      </c>
      <c r="AA122" s="69">
        <v>2004</v>
      </c>
      <c r="AB122" s="69">
        <v>2005</v>
      </c>
      <c r="AC122" s="69">
        <v>2006</v>
      </c>
      <c r="AD122" s="69">
        <v>2007</v>
      </c>
      <c r="AE122" s="69">
        <v>2008</v>
      </c>
      <c r="AF122" s="69">
        <v>2009</v>
      </c>
      <c r="AG122" s="69">
        <v>2010</v>
      </c>
      <c r="AH122" s="69">
        <v>2011</v>
      </c>
      <c r="AI122" s="69">
        <v>2012</v>
      </c>
      <c r="AJ122" s="69">
        <v>2013</v>
      </c>
      <c r="AL122" s="69" t="s">
        <v>106</v>
      </c>
    </row>
    <row r="123" spans="2:38">
      <c r="B123" s="30">
        <v>1</v>
      </c>
      <c r="C123" s="95">
        <f>SUMPRODUCT(('Monthly Data'!$E$13:$E$9627=$B$122)*('Monthly Data'!$F$13:$F$9627)*('Monthly Data'!$C$13:$C$9627=C$26)*('Monthly Data'!$D$13:$D$9627=$B123))</f>
        <v>291679</v>
      </c>
      <c r="D123" s="95">
        <f>SUMPRODUCT(('Monthly Data'!$E$13:$E$9627=$B$122)*('Monthly Data'!$F$13:$F$9627)*('Monthly Data'!$C$13:$C$9627=D$26)*('Monthly Data'!$D$13:$D$9627=$B123))</f>
        <v>360527</v>
      </c>
      <c r="E123" s="80">
        <f>SUMPRODUCT(('Monthly Data'!$E$13:$E$9627=$B$122)*('Monthly Data'!$F$13:$F$9627)*('Monthly Data'!$C$13:$C$9627=E$26)*('Monthly Data'!$D$13:$D$9627=$B123))</f>
        <v>416198</v>
      </c>
      <c r="F123" s="80">
        <f>SUMPRODUCT(('Monthly Data'!$E$13:$E$9627=$B$122)*('Monthly Data'!$F$13:$F$9627)*('Monthly Data'!$C$13:$C$9627=F$26)*('Monthly Data'!$D$13:$D$9627=$B123))</f>
        <v>432348</v>
      </c>
      <c r="G123" s="80">
        <f>SUMPRODUCT(('Monthly Data'!$E$13:$E$9627=$B$122)*('Monthly Data'!$F$13:$F$9627)*('Monthly Data'!$C$13:$C$9627=G$26)*('Monthly Data'!$D$13:$D$9627=$B123))</f>
        <v>443957</v>
      </c>
      <c r="H123" s="80">
        <f>SUMPRODUCT(('Monthly Data'!$E$13:$E$9627=$B$122)*('Monthly Data'!$F$13:$F$9627)*('Monthly Data'!$C$13:$C$9627=H$26)*('Monthly Data'!$D$13:$D$9627=$B123))</f>
        <v>447545</v>
      </c>
      <c r="I123" s="80">
        <f>SUMPRODUCT(('Monthly Data'!$E$13:$E$9627=$B$122)*('Monthly Data'!$F$13:$F$9627)*('Monthly Data'!$C$13:$C$9627=I$26)*('Monthly Data'!$D$13:$D$9627=$B123))</f>
        <v>577536</v>
      </c>
      <c r="J123" s="80">
        <f>SUMPRODUCT(('Monthly Data'!$E$13:$E$9627=$B$122)*('Monthly Data'!$F$13:$F$9627)*('Monthly Data'!$C$13:$C$9627=J$26)*('Monthly Data'!$D$13:$D$9627=$B123))</f>
        <v>622256</v>
      </c>
      <c r="K123" s="80">
        <f>SUMPRODUCT(('Monthly Data'!$E$13:$E$9627=$B$122)*('Monthly Data'!$F$13:$F$9627)*('Monthly Data'!$C$13:$C$9627=K$26)*('Monthly Data'!$D$13:$D$9627=$B123))</f>
        <v>614083</v>
      </c>
      <c r="L123" s="80">
        <f>SUMPRODUCT(('Monthly Data'!$E$13:$E$9627=$B$122)*('Monthly Data'!$F$13:$F$9627)*('Monthly Data'!$C$13:$C$9627=L$26)*('Monthly Data'!$D$13:$D$9627=$B123))</f>
        <v>647226</v>
      </c>
      <c r="M123" s="80">
        <f>SUMPRODUCT(('Monthly Data'!$E$13:$E$9627=$B$122)*('Monthly Data'!$F$13:$F$9627)*('Monthly Data'!$C$13:$C$9627=M$26)*('Monthly Data'!$D$13:$D$9627=$B123))</f>
        <v>576002</v>
      </c>
      <c r="N123" s="80">
        <f>SUMPRODUCT(('Monthly Data'!$E$13:$E$9627=$B$122)*('Monthly Data'!$F$13:$F$9627)*('Monthly Data'!$C$13:$C$9627=N$26)*('Monthly Data'!$D$13:$D$9627=$B123))</f>
        <v>528599</v>
      </c>
      <c r="O123" s="80">
        <f>SUMPRODUCT(('Monthly Data'!$E$13:$E$9627=$B$122)*('Monthly Data'!$F$13:$F$9627)*('Monthly Data'!$C$13:$C$9627=O$26)*('Monthly Data'!$D$13:$D$9627=$B123))</f>
        <v>578744</v>
      </c>
      <c r="P123" s="80">
        <f>SUMPRODUCT(('Monthly Data'!$E$13:$E$9627=$B$122)*('Monthly Data'!$F$13:$F$9627)*('Monthly Data'!$C$13:$C$9627=P$26)*('Monthly Data'!$D$13:$D$9627=$B123))</f>
        <v>584446</v>
      </c>
      <c r="Q123" s="80">
        <f>SUMPRODUCT(('Monthly Data'!$E$13:$E$9627=$B$122)*('Monthly Data'!$F$13:$F$9627)*('Monthly Data'!$C$13:$C$9627=Q$26)*('Monthly Data'!$D$13:$D$9627=$B123))</f>
        <v>572970</v>
      </c>
      <c r="S123" s="89">
        <f>SUM(C123:O123)</f>
        <v>6536700</v>
      </c>
      <c r="U123" s="30">
        <v>1</v>
      </c>
      <c r="V123" s="95">
        <f>SUMPRODUCT(('Monthly Data'!$E$13:$E$9627=$U$122)*('Monthly Data'!$G$13:$G$9627)*('Monthly Data'!$C$13:$C$9627=V$26)*('Monthly Data'!$D$13:$D$9627=$U123))</f>
        <v>3713</v>
      </c>
      <c r="W123" s="95">
        <f>SUMPRODUCT(('Monthly Data'!$E$13:$E$9627=$U$122)*('Monthly Data'!$G$13:$G$9627)*('Monthly Data'!$C$13:$C$9627=W$26)*('Monthly Data'!$D$13:$D$9627=$U123))</f>
        <v>3878</v>
      </c>
      <c r="X123" s="80">
        <f>SUMPRODUCT(('Monthly Data'!$E$13:$E$9627=$U$122)*('Monthly Data'!$G$13:$G$9627)*('Monthly Data'!$C$13:$C$9627=X$26)*('Monthly Data'!$D$13:$D$9627=$U123))</f>
        <v>4321</v>
      </c>
      <c r="Y123" s="80">
        <f>SUMPRODUCT(('Monthly Data'!$E$13:$E$9627=$U$122)*('Monthly Data'!$G$13:$G$9627)*('Monthly Data'!$C$13:$C$9627=Y$26)*('Monthly Data'!$D$13:$D$9627=$U123))</f>
        <v>3951</v>
      </c>
      <c r="Z123" s="80">
        <f>SUMPRODUCT(('Monthly Data'!$E$13:$E$9627=$U$122)*('Monthly Data'!$G$13:$G$9627)*('Monthly Data'!$C$13:$C$9627=Z$26)*('Monthly Data'!$D$13:$D$9627=$U123))</f>
        <v>4430</v>
      </c>
      <c r="AA123" s="80">
        <f>SUMPRODUCT(('Monthly Data'!$E$13:$E$9627=$U$122)*('Monthly Data'!$G$13:$G$9627)*('Monthly Data'!$C$13:$C$9627=AA$26)*('Monthly Data'!$D$13:$D$9627=$U123))</f>
        <v>4553</v>
      </c>
      <c r="AB123" s="80">
        <f>SUMPRODUCT(('Monthly Data'!$E$13:$E$9627=$U$122)*('Monthly Data'!$G$13:$G$9627)*('Monthly Data'!$C$13:$C$9627=AB$26)*('Monthly Data'!$D$13:$D$9627=$U123))</f>
        <v>5446</v>
      </c>
      <c r="AC123" s="80">
        <f>SUMPRODUCT(('Monthly Data'!$E$13:$E$9627=$U$122)*('Monthly Data'!$G$13:$G$9627)*('Monthly Data'!$C$13:$C$9627=AC$26)*('Monthly Data'!$D$13:$D$9627=$U123))</f>
        <v>6148</v>
      </c>
      <c r="AD123" s="80">
        <f>SUMPRODUCT(('Monthly Data'!$E$13:$E$9627=$U$122)*('Monthly Data'!$G$13:$G$9627)*('Monthly Data'!$C$13:$C$9627=AD$26)*('Monthly Data'!$D$13:$D$9627=$U123))</f>
        <v>6059</v>
      </c>
      <c r="AE123" s="80">
        <f>SUMPRODUCT(('Monthly Data'!$E$13:$E$9627=$U$122)*('Monthly Data'!$G$13:$G$9627)*('Monthly Data'!$C$13:$C$9627=AE$26)*('Monthly Data'!$D$13:$D$9627=$U123))</f>
        <v>6575</v>
      </c>
      <c r="AF123" s="80">
        <f>SUMPRODUCT(('Monthly Data'!$E$13:$E$9627=$U$122)*('Monthly Data'!$G$13:$G$9627)*('Monthly Data'!$C$13:$C$9627=AF$26)*('Monthly Data'!$D$13:$D$9627=$U123))</f>
        <v>5594</v>
      </c>
      <c r="AG123" s="80">
        <f>SUMPRODUCT(('Monthly Data'!$E$13:$E$9627=$U$122)*('Monthly Data'!$G$13:$G$9627)*('Monthly Data'!$C$13:$C$9627=AG$26)*('Monthly Data'!$D$13:$D$9627=$U123))</f>
        <v>4845</v>
      </c>
      <c r="AH123" s="80">
        <f>SUMPRODUCT(('Monthly Data'!$E$13:$E$9627=$U$122)*('Monthly Data'!$G$13:$G$9627)*('Monthly Data'!$C$13:$C$9627=AH$26)*('Monthly Data'!$D$13:$D$9627=$U123))</f>
        <v>5239</v>
      </c>
      <c r="AI123" s="80">
        <f>SUMPRODUCT(('Monthly Data'!$E$13:$E$9627=$U$122)*('Monthly Data'!$G$13:$G$9627)*('Monthly Data'!$C$13:$C$9627=AI$26)*('Monthly Data'!$D$13:$D$9627=$U123))</f>
        <v>5154</v>
      </c>
      <c r="AJ123" s="80">
        <f>SUMPRODUCT(('Monthly Data'!$E$13:$E$9627=$U$122)*('Monthly Data'!$G$13:$G$9627)*('Monthly Data'!$C$13:$C$9627=AJ$26)*('Monthly Data'!$D$13:$D$9627=$U123))</f>
        <v>4712</v>
      </c>
      <c r="AL123" s="89">
        <f>SUM(V123:AH123)</f>
        <v>64752</v>
      </c>
    </row>
    <row r="124" spans="2:38">
      <c r="B124" s="30">
        <v>2</v>
      </c>
      <c r="C124" s="95">
        <f>SUMPRODUCT(('Monthly Data'!$E$13:$E$9627=$B$122)*('Monthly Data'!$F$13:$F$9627)*('Monthly Data'!$C$13:$C$9627=C$26)*('Monthly Data'!$D$13:$D$9627=$B124))</f>
        <v>317537</v>
      </c>
      <c r="D124" s="95">
        <f>SUMPRODUCT(('Monthly Data'!$E$13:$E$9627=$B$122)*('Monthly Data'!$F$13:$F$9627)*('Monthly Data'!$C$13:$C$9627=D$26)*('Monthly Data'!$D$13:$D$9627=$B124))</f>
        <v>385929</v>
      </c>
      <c r="E124" s="80">
        <f>SUMPRODUCT(('Monthly Data'!$E$13:$E$9627=$B$122)*('Monthly Data'!$F$13:$F$9627)*('Monthly Data'!$C$13:$C$9627=E$26)*('Monthly Data'!$D$13:$D$9627=$B124))</f>
        <v>423221</v>
      </c>
      <c r="F124" s="80">
        <f>SUMPRODUCT(('Monthly Data'!$E$13:$E$9627=$B$122)*('Monthly Data'!$F$13:$F$9627)*('Monthly Data'!$C$13:$C$9627=F$26)*('Monthly Data'!$D$13:$D$9627=$B124))</f>
        <v>425376</v>
      </c>
      <c r="G124" s="80">
        <f>SUMPRODUCT(('Monthly Data'!$E$13:$E$9627=$B$122)*('Monthly Data'!$F$13:$F$9627)*('Monthly Data'!$C$13:$C$9627=G$26)*('Monthly Data'!$D$13:$D$9627=$B124))</f>
        <v>468853</v>
      </c>
      <c r="H124" s="80">
        <f>SUMPRODUCT(('Monthly Data'!$E$13:$E$9627=$B$122)*('Monthly Data'!$F$13:$F$9627)*('Monthly Data'!$C$13:$C$9627=H$26)*('Monthly Data'!$D$13:$D$9627=$B124))</f>
        <v>506411</v>
      </c>
      <c r="I124" s="80">
        <f>SUMPRODUCT(('Monthly Data'!$E$13:$E$9627=$B$122)*('Monthly Data'!$F$13:$F$9627)*('Monthly Data'!$C$13:$C$9627=I$26)*('Monthly Data'!$D$13:$D$9627=$B124))</f>
        <v>621325</v>
      </c>
      <c r="J124" s="80">
        <f>SUMPRODUCT(('Monthly Data'!$E$13:$E$9627=$B$122)*('Monthly Data'!$F$13:$F$9627)*('Monthly Data'!$C$13:$C$9627=J$26)*('Monthly Data'!$D$13:$D$9627=$B124))</f>
        <v>633020</v>
      </c>
      <c r="K124" s="80">
        <f>SUMPRODUCT(('Monthly Data'!$E$13:$E$9627=$B$122)*('Monthly Data'!$F$13:$F$9627)*('Monthly Data'!$C$13:$C$9627=K$26)*('Monthly Data'!$D$13:$D$9627=$B124))</f>
        <v>641145</v>
      </c>
      <c r="L124" s="80">
        <f>SUMPRODUCT(('Monthly Data'!$E$13:$E$9627=$B$122)*('Monthly Data'!$F$13:$F$9627)*('Monthly Data'!$C$13:$C$9627=L$26)*('Monthly Data'!$D$13:$D$9627=$B124))</f>
        <v>715071</v>
      </c>
      <c r="M124" s="80">
        <f>SUMPRODUCT(('Monthly Data'!$E$13:$E$9627=$B$122)*('Monthly Data'!$F$13:$F$9627)*('Monthly Data'!$C$13:$C$9627=M$26)*('Monthly Data'!$D$13:$D$9627=$B124))</f>
        <v>544590</v>
      </c>
      <c r="N124" s="80">
        <f>SUMPRODUCT(('Monthly Data'!$E$13:$E$9627=$B$122)*('Monthly Data'!$F$13:$F$9627)*('Monthly Data'!$C$13:$C$9627=N$26)*('Monthly Data'!$D$13:$D$9627=$B124))</f>
        <v>554740</v>
      </c>
      <c r="O124" s="80">
        <f>SUMPRODUCT(('Monthly Data'!$E$13:$E$9627=$B$122)*('Monthly Data'!$F$13:$F$9627)*('Monthly Data'!$C$13:$C$9627=O$26)*('Monthly Data'!$D$13:$D$9627=$B124))</f>
        <v>574205</v>
      </c>
      <c r="P124" s="80">
        <f>SUMPRODUCT(('Monthly Data'!$E$13:$E$9627=$B$122)*('Monthly Data'!$F$13:$F$9627)*('Monthly Data'!$C$13:$C$9627=P$26)*('Monthly Data'!$D$13:$D$9627=$B124))</f>
        <v>581601</v>
      </c>
      <c r="Q124" s="80">
        <f>SUMPRODUCT(('Monthly Data'!$E$13:$E$9627=$B$122)*('Monthly Data'!$F$13:$F$9627)*('Monthly Data'!$C$13:$C$9627=Q$26)*('Monthly Data'!$D$13:$D$9627=$B124))</f>
        <v>578411</v>
      </c>
      <c r="S124" s="89">
        <f t="shared" ref="S124:S134" si="24">SUM(C124:O124)</f>
        <v>6811423</v>
      </c>
      <c r="U124" s="30">
        <v>2</v>
      </c>
      <c r="V124" s="95">
        <f>SUMPRODUCT(('Monthly Data'!$E$13:$E$9627=$U$122)*('Monthly Data'!$G$13:$G$9627)*('Monthly Data'!$C$13:$C$9627=V$26)*('Monthly Data'!$D$13:$D$9627=$U124))</f>
        <v>3477</v>
      </c>
      <c r="W124" s="95">
        <f>SUMPRODUCT(('Monthly Data'!$E$13:$E$9627=$U$122)*('Monthly Data'!$G$13:$G$9627)*('Monthly Data'!$C$13:$C$9627=W$26)*('Monthly Data'!$D$13:$D$9627=$U124))</f>
        <v>3803</v>
      </c>
      <c r="X124" s="80">
        <f>SUMPRODUCT(('Monthly Data'!$E$13:$E$9627=$U$122)*('Monthly Data'!$G$13:$G$9627)*('Monthly Data'!$C$13:$C$9627=X$26)*('Monthly Data'!$D$13:$D$9627=$U124))</f>
        <v>3914</v>
      </c>
      <c r="Y124" s="80">
        <f>SUMPRODUCT(('Monthly Data'!$E$13:$E$9627=$U$122)*('Monthly Data'!$G$13:$G$9627)*('Monthly Data'!$C$13:$C$9627=Y$26)*('Monthly Data'!$D$13:$D$9627=$U124))</f>
        <v>3640</v>
      </c>
      <c r="Z124" s="80">
        <f>SUMPRODUCT(('Monthly Data'!$E$13:$E$9627=$U$122)*('Monthly Data'!$G$13:$G$9627)*('Monthly Data'!$C$13:$C$9627=Z$26)*('Monthly Data'!$D$13:$D$9627=$U124))</f>
        <v>4138</v>
      </c>
      <c r="AA124" s="80">
        <f>SUMPRODUCT(('Monthly Data'!$E$13:$E$9627=$U$122)*('Monthly Data'!$G$13:$G$9627)*('Monthly Data'!$C$13:$C$9627=AA$26)*('Monthly Data'!$D$13:$D$9627=$U124))</f>
        <v>4445</v>
      </c>
      <c r="AB124" s="80">
        <f>SUMPRODUCT(('Monthly Data'!$E$13:$E$9627=$U$122)*('Monthly Data'!$G$13:$G$9627)*('Monthly Data'!$C$13:$C$9627=AB$26)*('Monthly Data'!$D$13:$D$9627=$U124))</f>
        <v>5291</v>
      </c>
      <c r="AC124" s="80">
        <f>SUMPRODUCT(('Monthly Data'!$E$13:$E$9627=$U$122)*('Monthly Data'!$G$13:$G$9627)*('Monthly Data'!$C$13:$C$9627=AC$26)*('Monthly Data'!$D$13:$D$9627=$U124))</f>
        <v>5609</v>
      </c>
      <c r="AD124" s="80">
        <f>SUMPRODUCT(('Monthly Data'!$E$13:$E$9627=$U$122)*('Monthly Data'!$G$13:$G$9627)*('Monthly Data'!$C$13:$C$9627=AD$26)*('Monthly Data'!$D$13:$D$9627=$U124))</f>
        <v>5721</v>
      </c>
      <c r="AE124" s="80">
        <f>SUMPRODUCT(('Monthly Data'!$E$13:$E$9627=$U$122)*('Monthly Data'!$G$13:$G$9627)*('Monthly Data'!$C$13:$C$9627=AE$26)*('Monthly Data'!$D$13:$D$9627=$U124))</f>
        <v>6271</v>
      </c>
      <c r="AF124" s="80">
        <f>SUMPRODUCT(('Monthly Data'!$E$13:$E$9627=$U$122)*('Monthly Data'!$G$13:$G$9627)*('Monthly Data'!$C$13:$C$9627=AF$26)*('Monthly Data'!$D$13:$D$9627=$U124))</f>
        <v>4661</v>
      </c>
      <c r="AG124" s="80">
        <f>SUMPRODUCT(('Monthly Data'!$E$13:$E$9627=$U$122)*('Monthly Data'!$G$13:$G$9627)*('Monthly Data'!$C$13:$C$9627=AG$26)*('Monthly Data'!$D$13:$D$9627=$U124))</f>
        <v>4652</v>
      </c>
      <c r="AH124" s="80">
        <f>SUMPRODUCT(('Monthly Data'!$E$13:$E$9627=$U$122)*('Monthly Data'!$G$13:$G$9627)*('Monthly Data'!$C$13:$C$9627=AH$26)*('Monthly Data'!$D$13:$D$9627=$U124))</f>
        <v>4796</v>
      </c>
      <c r="AI124" s="80">
        <f>SUMPRODUCT(('Monthly Data'!$E$13:$E$9627=$U$122)*('Monthly Data'!$G$13:$G$9627)*('Monthly Data'!$C$13:$C$9627=AI$26)*('Monthly Data'!$D$13:$D$9627=$U124))</f>
        <v>4973</v>
      </c>
      <c r="AJ124" s="80">
        <f>SUMPRODUCT(('Monthly Data'!$E$13:$E$9627=$U$122)*('Monthly Data'!$G$13:$G$9627)*('Monthly Data'!$C$13:$C$9627=AJ$26)*('Monthly Data'!$D$13:$D$9627=$U124))</f>
        <v>4440</v>
      </c>
      <c r="AL124" s="89">
        <f t="shared" ref="AL124:AL134" si="25">SUM(V124:AH124)</f>
        <v>60418</v>
      </c>
    </row>
    <row r="125" spans="2:38">
      <c r="B125" s="30">
        <v>3</v>
      </c>
      <c r="C125" s="95">
        <f>SUMPRODUCT(('Monthly Data'!$E$13:$E$9627=$B$122)*('Monthly Data'!$F$13:$F$9627)*('Monthly Data'!$C$13:$C$9627=C$26)*('Monthly Data'!$D$13:$D$9627=$B125))</f>
        <v>370881</v>
      </c>
      <c r="D125" s="95">
        <f>SUMPRODUCT(('Monthly Data'!$E$13:$E$9627=$B$122)*('Monthly Data'!$F$13:$F$9627)*('Monthly Data'!$C$13:$C$9627=D$26)*('Monthly Data'!$D$13:$D$9627=$B125))</f>
        <v>429980</v>
      </c>
      <c r="E125" s="80">
        <f>SUMPRODUCT(('Monthly Data'!$E$13:$E$9627=$B$122)*('Monthly Data'!$F$13:$F$9627)*('Monthly Data'!$C$13:$C$9627=E$26)*('Monthly Data'!$D$13:$D$9627=$B125))</f>
        <v>496501</v>
      </c>
      <c r="F125" s="80">
        <f>SUMPRODUCT(('Monthly Data'!$E$13:$E$9627=$B$122)*('Monthly Data'!$F$13:$F$9627)*('Monthly Data'!$C$13:$C$9627=F$26)*('Monthly Data'!$D$13:$D$9627=$B125))</f>
        <v>472165</v>
      </c>
      <c r="G125" s="80">
        <f>SUMPRODUCT(('Monthly Data'!$E$13:$E$9627=$B$122)*('Monthly Data'!$F$13:$F$9627)*('Monthly Data'!$C$13:$C$9627=G$26)*('Monthly Data'!$D$13:$D$9627=$B125))</f>
        <v>509174</v>
      </c>
      <c r="H125" s="80">
        <f>SUMPRODUCT(('Monthly Data'!$E$13:$E$9627=$B$122)*('Monthly Data'!$F$13:$F$9627)*('Monthly Data'!$C$13:$C$9627=H$26)*('Monthly Data'!$D$13:$D$9627=$B125))</f>
        <v>554166</v>
      </c>
      <c r="I125" s="80">
        <f>SUMPRODUCT(('Monthly Data'!$E$13:$E$9627=$B$122)*('Monthly Data'!$F$13:$F$9627)*('Monthly Data'!$C$13:$C$9627=I$26)*('Monthly Data'!$D$13:$D$9627=$B125))</f>
        <v>739958</v>
      </c>
      <c r="J125" s="80">
        <f>SUMPRODUCT(('Monthly Data'!$E$13:$E$9627=$B$122)*('Monthly Data'!$F$13:$F$9627)*('Monthly Data'!$C$13:$C$9627=J$26)*('Monthly Data'!$D$13:$D$9627=$B125))</f>
        <v>731951</v>
      </c>
      <c r="K125" s="80">
        <f>SUMPRODUCT(('Monthly Data'!$E$13:$E$9627=$B$122)*('Monthly Data'!$F$13:$F$9627)*('Monthly Data'!$C$13:$C$9627=K$26)*('Monthly Data'!$D$13:$D$9627=$B125))</f>
        <v>760143</v>
      </c>
      <c r="L125" s="80">
        <f>SUMPRODUCT(('Monthly Data'!$E$13:$E$9627=$B$122)*('Monthly Data'!$F$13:$F$9627)*('Monthly Data'!$C$13:$C$9627=L$26)*('Monthly Data'!$D$13:$D$9627=$B125))</f>
        <v>838582</v>
      </c>
      <c r="M125" s="80">
        <f>SUMPRODUCT(('Monthly Data'!$E$13:$E$9627=$B$122)*('Monthly Data'!$F$13:$F$9627)*('Monthly Data'!$C$13:$C$9627=M$26)*('Monthly Data'!$D$13:$D$9627=$B125))</f>
        <v>672414</v>
      </c>
      <c r="N125" s="80">
        <f>SUMPRODUCT(('Monthly Data'!$E$13:$E$9627=$B$122)*('Monthly Data'!$F$13:$F$9627)*('Monthly Data'!$C$13:$C$9627=N$26)*('Monthly Data'!$D$13:$D$9627=$B125))</f>
        <v>662982</v>
      </c>
      <c r="O125" s="80">
        <f>SUMPRODUCT(('Monthly Data'!$E$13:$E$9627=$B$122)*('Monthly Data'!$F$13:$F$9627)*('Monthly Data'!$C$13:$C$9627=O$26)*('Monthly Data'!$D$13:$D$9627=$B125))</f>
        <v>671310</v>
      </c>
      <c r="P125" s="80">
        <f>SUMPRODUCT(('Monthly Data'!$E$13:$E$9627=$B$122)*('Monthly Data'!$F$13:$F$9627)*('Monthly Data'!$C$13:$C$9627=P$26)*('Monthly Data'!$D$13:$D$9627=$B125))</f>
        <v>677675</v>
      </c>
      <c r="Q125" s="80">
        <f>SUMPRODUCT(('Monthly Data'!$E$13:$E$9627=$B$122)*('Monthly Data'!$F$13:$F$9627)*('Monthly Data'!$C$13:$C$9627=Q$26)*('Monthly Data'!$D$13:$D$9627=$B125))</f>
        <v>715038</v>
      </c>
      <c r="S125" s="89">
        <f t="shared" si="24"/>
        <v>7910207</v>
      </c>
      <c r="U125" s="30">
        <v>3</v>
      </c>
      <c r="V125" s="95">
        <f>SUMPRODUCT(('Monthly Data'!$E$13:$E$9627=$U$122)*('Monthly Data'!$G$13:$G$9627)*('Monthly Data'!$C$13:$C$9627=V$26)*('Monthly Data'!$D$13:$D$9627=$U125))</f>
        <v>3952</v>
      </c>
      <c r="W125" s="95">
        <f>SUMPRODUCT(('Monthly Data'!$E$13:$E$9627=$U$122)*('Monthly Data'!$G$13:$G$9627)*('Monthly Data'!$C$13:$C$9627=W$26)*('Monthly Data'!$D$13:$D$9627=$U125))</f>
        <v>4118</v>
      </c>
      <c r="X125" s="80">
        <f>SUMPRODUCT(('Monthly Data'!$E$13:$E$9627=$U$122)*('Monthly Data'!$G$13:$G$9627)*('Monthly Data'!$C$13:$C$9627=X$26)*('Monthly Data'!$D$13:$D$9627=$U125))</f>
        <v>4499</v>
      </c>
      <c r="Y125" s="80">
        <f>SUMPRODUCT(('Monthly Data'!$E$13:$E$9627=$U$122)*('Monthly Data'!$G$13:$G$9627)*('Monthly Data'!$C$13:$C$9627=Y$26)*('Monthly Data'!$D$13:$D$9627=$U125))</f>
        <v>4064</v>
      </c>
      <c r="Z125" s="80">
        <f>SUMPRODUCT(('Monthly Data'!$E$13:$E$9627=$U$122)*('Monthly Data'!$G$13:$G$9627)*('Monthly Data'!$C$13:$C$9627=Z$26)*('Monthly Data'!$D$13:$D$9627=$U125))</f>
        <v>4577</v>
      </c>
      <c r="AA125" s="80">
        <f>SUMPRODUCT(('Monthly Data'!$E$13:$E$9627=$U$122)*('Monthly Data'!$G$13:$G$9627)*('Monthly Data'!$C$13:$C$9627=AA$26)*('Monthly Data'!$D$13:$D$9627=$U125))</f>
        <v>4848</v>
      </c>
      <c r="AB125" s="80">
        <f>SUMPRODUCT(('Monthly Data'!$E$13:$E$9627=$U$122)*('Monthly Data'!$G$13:$G$9627)*('Monthly Data'!$C$13:$C$9627=AB$26)*('Monthly Data'!$D$13:$D$9627=$U125))</f>
        <v>5928</v>
      </c>
      <c r="AC125" s="80">
        <f>SUMPRODUCT(('Monthly Data'!$E$13:$E$9627=$U$122)*('Monthly Data'!$G$13:$G$9627)*('Monthly Data'!$C$13:$C$9627=AC$26)*('Monthly Data'!$D$13:$D$9627=$U125))</f>
        <v>6291</v>
      </c>
      <c r="AD125" s="80">
        <f>SUMPRODUCT(('Monthly Data'!$E$13:$E$9627=$U$122)*('Monthly Data'!$G$13:$G$9627)*('Monthly Data'!$C$13:$C$9627=AD$26)*('Monthly Data'!$D$13:$D$9627=$U125))</f>
        <v>6632</v>
      </c>
      <c r="AE125" s="80">
        <f>SUMPRODUCT(('Monthly Data'!$E$13:$E$9627=$U$122)*('Monthly Data'!$G$13:$G$9627)*('Monthly Data'!$C$13:$C$9627=AE$26)*('Monthly Data'!$D$13:$D$9627=$U125))</f>
        <v>6964</v>
      </c>
      <c r="AF125" s="80">
        <f>SUMPRODUCT(('Monthly Data'!$E$13:$E$9627=$U$122)*('Monthly Data'!$G$13:$G$9627)*('Monthly Data'!$C$13:$C$9627=AF$26)*('Monthly Data'!$D$13:$D$9627=$U125))</f>
        <v>5926</v>
      </c>
      <c r="AG125" s="80">
        <f>SUMPRODUCT(('Monthly Data'!$E$13:$E$9627=$U$122)*('Monthly Data'!$G$13:$G$9627)*('Monthly Data'!$C$13:$C$9627=AG$26)*('Monthly Data'!$D$13:$D$9627=$U125))</f>
        <v>5307</v>
      </c>
      <c r="AH125" s="80">
        <f>SUMPRODUCT(('Monthly Data'!$E$13:$E$9627=$U$122)*('Monthly Data'!$G$13:$G$9627)*('Monthly Data'!$C$13:$C$9627=AH$26)*('Monthly Data'!$D$13:$D$9627=$U125))</f>
        <v>5532</v>
      </c>
      <c r="AI125" s="80">
        <f>SUMPRODUCT(('Monthly Data'!$E$13:$E$9627=$U$122)*('Monthly Data'!$G$13:$G$9627)*('Monthly Data'!$C$13:$C$9627=AI$26)*('Monthly Data'!$D$13:$D$9627=$U125))</f>
        <v>5631</v>
      </c>
      <c r="AJ125" s="80">
        <f>SUMPRODUCT(('Monthly Data'!$E$13:$E$9627=$U$122)*('Monthly Data'!$G$13:$G$9627)*('Monthly Data'!$C$13:$C$9627=AJ$26)*('Monthly Data'!$D$13:$D$9627=$U125))</f>
        <v>5385</v>
      </c>
      <c r="AL125" s="89">
        <f t="shared" si="25"/>
        <v>68638</v>
      </c>
    </row>
    <row r="126" spans="2:38">
      <c r="B126" s="30">
        <v>4</v>
      </c>
      <c r="C126" s="95">
        <f>SUMPRODUCT(('Monthly Data'!$E$13:$E$9627=$B$122)*('Monthly Data'!$F$13:$F$9627)*('Monthly Data'!$C$13:$C$9627=C$26)*('Monthly Data'!$D$13:$D$9627=$B126))</f>
        <v>369256</v>
      </c>
      <c r="D126" s="95">
        <f>SUMPRODUCT(('Monthly Data'!$E$13:$E$9627=$B$122)*('Monthly Data'!$F$13:$F$9627)*('Monthly Data'!$C$13:$C$9627=D$26)*('Monthly Data'!$D$13:$D$9627=$B126))</f>
        <v>461453</v>
      </c>
      <c r="E126" s="80">
        <f>SUMPRODUCT(('Monthly Data'!$E$13:$E$9627=$B$122)*('Monthly Data'!$F$13:$F$9627)*('Monthly Data'!$C$13:$C$9627=E$26)*('Monthly Data'!$D$13:$D$9627=$B126))</f>
        <v>511950</v>
      </c>
      <c r="F126" s="80">
        <f>SUMPRODUCT(('Monthly Data'!$E$13:$E$9627=$B$122)*('Monthly Data'!$F$13:$F$9627)*('Monthly Data'!$C$13:$C$9627=F$26)*('Monthly Data'!$D$13:$D$9627=$B126))</f>
        <v>455941</v>
      </c>
      <c r="G126" s="80">
        <f>SUMPRODUCT(('Monthly Data'!$E$13:$E$9627=$B$122)*('Monthly Data'!$F$13:$F$9627)*('Monthly Data'!$C$13:$C$9627=G$26)*('Monthly Data'!$D$13:$D$9627=$B126))</f>
        <v>539955</v>
      </c>
      <c r="H126" s="80">
        <f>SUMPRODUCT(('Monthly Data'!$E$13:$E$9627=$B$122)*('Monthly Data'!$F$13:$F$9627)*('Monthly Data'!$C$13:$C$9627=H$26)*('Monthly Data'!$D$13:$D$9627=$B126))</f>
        <v>559375</v>
      </c>
      <c r="I126" s="80">
        <f>SUMPRODUCT(('Monthly Data'!$E$13:$E$9627=$B$122)*('Monthly Data'!$F$13:$F$9627)*('Monthly Data'!$C$13:$C$9627=I$26)*('Monthly Data'!$D$13:$D$9627=$B126))</f>
        <v>717453</v>
      </c>
      <c r="J126" s="80">
        <f>SUMPRODUCT(('Monthly Data'!$E$13:$E$9627=$B$122)*('Monthly Data'!$F$13:$F$9627)*('Monthly Data'!$C$13:$C$9627=J$26)*('Monthly Data'!$D$13:$D$9627=$B126))</f>
        <v>778725</v>
      </c>
      <c r="K126" s="80">
        <f>SUMPRODUCT(('Monthly Data'!$E$13:$E$9627=$B$122)*('Monthly Data'!$F$13:$F$9627)*('Monthly Data'!$C$13:$C$9627=K$26)*('Monthly Data'!$D$13:$D$9627=$B126))</f>
        <v>789964</v>
      </c>
      <c r="L126" s="80">
        <f>SUMPRODUCT(('Monthly Data'!$E$13:$E$9627=$B$122)*('Monthly Data'!$F$13:$F$9627)*('Monthly Data'!$C$13:$C$9627=L$26)*('Monthly Data'!$D$13:$D$9627=$B126))</f>
        <v>820668</v>
      </c>
      <c r="M126" s="80">
        <f>SUMPRODUCT(('Monthly Data'!$E$13:$E$9627=$B$122)*('Monthly Data'!$F$13:$F$9627)*('Monthly Data'!$C$13:$C$9627=M$26)*('Monthly Data'!$D$13:$D$9627=$B126))</f>
        <v>787305</v>
      </c>
      <c r="N126" s="80">
        <f>SUMPRODUCT(('Monthly Data'!$E$13:$E$9627=$B$122)*('Monthly Data'!$F$13:$F$9627)*('Monthly Data'!$C$13:$C$9627=N$26)*('Monthly Data'!$D$13:$D$9627=$B126))</f>
        <v>589360</v>
      </c>
      <c r="O126" s="80">
        <f>SUMPRODUCT(('Monthly Data'!$E$13:$E$9627=$B$122)*('Monthly Data'!$F$13:$F$9627)*('Monthly Data'!$C$13:$C$9627=O$26)*('Monthly Data'!$D$13:$D$9627=$B126))</f>
        <v>800317</v>
      </c>
      <c r="P126" s="80">
        <f>SUMPRODUCT(('Monthly Data'!$E$13:$E$9627=$B$122)*('Monthly Data'!$F$13:$F$9627)*('Monthly Data'!$C$13:$C$9627=P$26)*('Monthly Data'!$D$13:$D$9627=$B126))</f>
        <v>832104</v>
      </c>
      <c r="Q126" s="80">
        <f>SUMPRODUCT(('Monthly Data'!$E$13:$E$9627=$B$122)*('Monthly Data'!$F$13:$F$9627)*('Monthly Data'!$C$13:$C$9627=Q$26)*('Monthly Data'!$D$13:$D$9627=$B126))</f>
        <v>803549</v>
      </c>
      <c r="S126" s="89">
        <f t="shared" si="24"/>
        <v>8181722</v>
      </c>
      <c r="U126" s="30">
        <v>4</v>
      </c>
      <c r="V126" s="95">
        <f>SUMPRODUCT(('Monthly Data'!$E$13:$E$9627=$U$122)*('Monthly Data'!$G$13:$G$9627)*('Monthly Data'!$C$13:$C$9627=V$26)*('Monthly Data'!$D$13:$D$9627=$U126))</f>
        <v>3785</v>
      </c>
      <c r="W126" s="95">
        <f>SUMPRODUCT(('Monthly Data'!$E$13:$E$9627=$U$122)*('Monthly Data'!$G$13:$G$9627)*('Monthly Data'!$C$13:$C$9627=W$26)*('Monthly Data'!$D$13:$D$9627=$U126))</f>
        <v>4238</v>
      </c>
      <c r="X126" s="80">
        <f>SUMPRODUCT(('Monthly Data'!$E$13:$E$9627=$U$122)*('Monthly Data'!$G$13:$G$9627)*('Monthly Data'!$C$13:$C$9627=X$26)*('Monthly Data'!$D$13:$D$9627=$U126))</f>
        <v>4364</v>
      </c>
      <c r="Y126" s="80">
        <f>SUMPRODUCT(('Monthly Data'!$E$13:$E$9627=$U$122)*('Monthly Data'!$G$13:$G$9627)*('Monthly Data'!$C$13:$C$9627=Y$26)*('Monthly Data'!$D$13:$D$9627=$U126))</f>
        <v>4169</v>
      </c>
      <c r="Z126" s="80">
        <f>SUMPRODUCT(('Monthly Data'!$E$13:$E$9627=$U$122)*('Monthly Data'!$G$13:$G$9627)*('Monthly Data'!$C$13:$C$9627=Z$26)*('Monthly Data'!$D$13:$D$9627=$U126))</f>
        <v>4637</v>
      </c>
      <c r="AA126" s="80">
        <f>SUMPRODUCT(('Monthly Data'!$E$13:$E$9627=$U$122)*('Monthly Data'!$G$13:$G$9627)*('Monthly Data'!$C$13:$C$9627=AA$26)*('Monthly Data'!$D$13:$D$9627=$U126))</f>
        <v>4945</v>
      </c>
      <c r="AB126" s="80">
        <f>SUMPRODUCT(('Monthly Data'!$E$13:$E$9627=$U$122)*('Monthly Data'!$G$13:$G$9627)*('Monthly Data'!$C$13:$C$9627=AB$26)*('Monthly Data'!$D$13:$D$9627=$U126))</f>
        <v>5924</v>
      </c>
      <c r="AC126" s="80">
        <f>SUMPRODUCT(('Monthly Data'!$E$13:$E$9627=$U$122)*('Monthly Data'!$G$13:$G$9627)*('Monthly Data'!$C$13:$C$9627=AC$26)*('Monthly Data'!$D$13:$D$9627=$U126))</f>
        <v>6387</v>
      </c>
      <c r="AD126" s="80">
        <f>SUMPRODUCT(('Monthly Data'!$E$13:$E$9627=$U$122)*('Monthly Data'!$G$13:$G$9627)*('Monthly Data'!$C$13:$C$9627=AD$26)*('Monthly Data'!$D$13:$D$9627=$U126))</f>
        <v>6638</v>
      </c>
      <c r="AE126" s="80">
        <f>SUMPRODUCT(('Monthly Data'!$E$13:$E$9627=$U$122)*('Monthly Data'!$G$13:$G$9627)*('Monthly Data'!$C$13:$C$9627=AE$26)*('Monthly Data'!$D$13:$D$9627=$U126))</f>
        <v>7330</v>
      </c>
      <c r="AF126" s="80">
        <f>SUMPRODUCT(('Monthly Data'!$E$13:$E$9627=$U$122)*('Monthly Data'!$G$13:$G$9627)*('Monthly Data'!$C$13:$C$9627=AF$26)*('Monthly Data'!$D$13:$D$9627=$U126))</f>
        <v>6546</v>
      </c>
      <c r="AG126" s="80">
        <f>SUMPRODUCT(('Monthly Data'!$E$13:$E$9627=$U$122)*('Monthly Data'!$G$13:$G$9627)*('Monthly Data'!$C$13:$C$9627=AG$26)*('Monthly Data'!$D$13:$D$9627=$U126))</f>
        <v>4788</v>
      </c>
      <c r="AH126" s="80">
        <f>SUMPRODUCT(('Monthly Data'!$E$13:$E$9627=$U$122)*('Monthly Data'!$G$13:$G$9627)*('Monthly Data'!$C$13:$C$9627=AH$26)*('Monthly Data'!$D$13:$D$9627=$U126))</f>
        <v>5999</v>
      </c>
      <c r="AI126" s="80">
        <f>SUMPRODUCT(('Monthly Data'!$E$13:$E$9627=$U$122)*('Monthly Data'!$G$13:$G$9627)*('Monthly Data'!$C$13:$C$9627=AI$26)*('Monthly Data'!$D$13:$D$9627=$U126))</f>
        <v>6572</v>
      </c>
      <c r="AJ126" s="80">
        <f>SUMPRODUCT(('Monthly Data'!$E$13:$E$9627=$U$122)*('Monthly Data'!$G$13:$G$9627)*('Monthly Data'!$C$13:$C$9627=AJ$26)*('Monthly Data'!$D$13:$D$9627=$U126))</f>
        <v>6069</v>
      </c>
      <c r="AL126" s="89">
        <f t="shared" si="25"/>
        <v>69750</v>
      </c>
    </row>
    <row r="127" spans="2:38">
      <c r="B127" s="30">
        <v>5</v>
      </c>
      <c r="C127" s="95">
        <f>SUMPRODUCT(('Monthly Data'!$E$13:$E$9627=$B$122)*('Monthly Data'!$F$13:$F$9627)*('Monthly Data'!$C$13:$C$9627=C$26)*('Monthly Data'!$D$13:$D$9627=$B127))</f>
        <v>451924</v>
      </c>
      <c r="D127" s="95">
        <f>SUMPRODUCT(('Monthly Data'!$E$13:$E$9627=$B$122)*('Monthly Data'!$F$13:$F$9627)*('Monthly Data'!$C$13:$C$9627=D$26)*('Monthly Data'!$D$13:$D$9627=$B127))</f>
        <v>558565</v>
      </c>
      <c r="E127" s="80">
        <f>SUMPRODUCT(('Monthly Data'!$E$13:$E$9627=$B$122)*('Monthly Data'!$F$13:$F$9627)*('Monthly Data'!$C$13:$C$9627=E$26)*('Monthly Data'!$D$13:$D$9627=$B127))</f>
        <v>608303</v>
      </c>
      <c r="F127" s="80">
        <f>SUMPRODUCT(('Monthly Data'!$E$13:$E$9627=$B$122)*('Monthly Data'!$F$13:$F$9627)*('Monthly Data'!$C$13:$C$9627=F$26)*('Monthly Data'!$D$13:$D$9627=$B127))</f>
        <v>548042</v>
      </c>
      <c r="G127" s="80">
        <f>SUMPRODUCT(('Monthly Data'!$E$13:$E$9627=$B$122)*('Monthly Data'!$F$13:$F$9627)*('Monthly Data'!$C$13:$C$9627=G$26)*('Monthly Data'!$D$13:$D$9627=$B127))</f>
        <v>617454</v>
      </c>
      <c r="H127" s="80">
        <f>SUMPRODUCT(('Monthly Data'!$E$13:$E$9627=$B$122)*('Monthly Data'!$F$13:$F$9627)*('Monthly Data'!$C$13:$C$9627=H$26)*('Monthly Data'!$D$13:$D$9627=$B127))</f>
        <v>620617</v>
      </c>
      <c r="I127" s="80">
        <f>SUMPRODUCT(('Monthly Data'!$E$13:$E$9627=$B$122)*('Monthly Data'!$F$13:$F$9627)*('Monthly Data'!$C$13:$C$9627=I$26)*('Monthly Data'!$D$13:$D$9627=$B127))</f>
        <v>801231</v>
      </c>
      <c r="J127" s="80">
        <f>SUMPRODUCT(('Monthly Data'!$E$13:$E$9627=$B$122)*('Monthly Data'!$F$13:$F$9627)*('Monthly Data'!$C$13:$C$9627=J$26)*('Monthly Data'!$D$13:$D$9627=$B127))</f>
        <v>825985</v>
      </c>
      <c r="K127" s="80">
        <f>SUMPRODUCT(('Monthly Data'!$E$13:$E$9627=$B$122)*('Monthly Data'!$F$13:$F$9627)*('Monthly Data'!$C$13:$C$9627=K$26)*('Monthly Data'!$D$13:$D$9627=$B127))</f>
        <v>877774</v>
      </c>
      <c r="L127" s="80">
        <f>SUMPRODUCT(('Monthly Data'!$E$13:$E$9627=$B$122)*('Monthly Data'!$F$13:$F$9627)*('Monthly Data'!$C$13:$C$9627=L$26)*('Monthly Data'!$D$13:$D$9627=$B127))</f>
        <v>932559</v>
      </c>
      <c r="M127" s="80">
        <f>SUMPRODUCT(('Monthly Data'!$E$13:$E$9627=$B$122)*('Monthly Data'!$F$13:$F$9627)*('Monthly Data'!$C$13:$C$9627=M$26)*('Monthly Data'!$D$13:$D$9627=$B127))</f>
        <v>841017</v>
      </c>
      <c r="N127" s="80">
        <f>SUMPRODUCT(('Monthly Data'!$E$13:$E$9627=$B$122)*('Monthly Data'!$F$13:$F$9627)*('Monthly Data'!$C$13:$C$9627=N$26)*('Monthly Data'!$D$13:$D$9627=$B127))</f>
        <v>782546</v>
      </c>
      <c r="O127" s="80">
        <f>SUMPRODUCT(('Monthly Data'!$E$13:$E$9627=$B$122)*('Monthly Data'!$F$13:$F$9627)*('Monthly Data'!$C$13:$C$9627=O$26)*('Monthly Data'!$D$13:$D$9627=$B127))</f>
        <v>860821</v>
      </c>
      <c r="P127" s="80">
        <f>SUMPRODUCT(('Monthly Data'!$E$13:$E$9627=$B$122)*('Monthly Data'!$F$13:$F$9627)*('Monthly Data'!$C$13:$C$9627=P$26)*('Monthly Data'!$D$13:$D$9627=$B127))</f>
        <v>879417</v>
      </c>
      <c r="Q127" s="80">
        <f>SUMPRODUCT(('Monthly Data'!$E$13:$E$9627=$B$122)*('Monthly Data'!$F$13:$F$9627)*('Monthly Data'!$C$13:$C$9627=Q$26)*('Monthly Data'!$D$13:$D$9627=$B127))</f>
        <v>0</v>
      </c>
      <c r="S127" s="89">
        <f t="shared" si="24"/>
        <v>9326838</v>
      </c>
      <c r="U127" s="30">
        <v>5</v>
      </c>
      <c r="V127" s="95">
        <f>SUMPRODUCT(('Monthly Data'!$E$13:$E$9627=$U$122)*('Monthly Data'!$G$13:$G$9627)*('Monthly Data'!$C$13:$C$9627=V$26)*('Monthly Data'!$D$13:$D$9627=$U127))</f>
        <v>4407</v>
      </c>
      <c r="W127" s="95">
        <f>SUMPRODUCT(('Monthly Data'!$E$13:$E$9627=$U$122)*('Monthly Data'!$G$13:$G$9627)*('Monthly Data'!$C$13:$C$9627=W$26)*('Monthly Data'!$D$13:$D$9627=$U127))</f>
        <v>5117</v>
      </c>
      <c r="X127" s="80">
        <f>SUMPRODUCT(('Monthly Data'!$E$13:$E$9627=$U$122)*('Monthly Data'!$G$13:$G$9627)*('Monthly Data'!$C$13:$C$9627=X$26)*('Monthly Data'!$D$13:$D$9627=$U127))</f>
        <v>5126</v>
      </c>
      <c r="Y127" s="80">
        <f>SUMPRODUCT(('Monthly Data'!$E$13:$E$9627=$U$122)*('Monthly Data'!$G$13:$G$9627)*('Monthly Data'!$C$13:$C$9627=Y$26)*('Monthly Data'!$D$13:$D$9627=$U127))</f>
        <v>4724</v>
      </c>
      <c r="Z127" s="80">
        <f>SUMPRODUCT(('Monthly Data'!$E$13:$E$9627=$U$122)*('Monthly Data'!$G$13:$G$9627)*('Monthly Data'!$C$13:$C$9627=Z$26)*('Monthly Data'!$D$13:$D$9627=$U127))</f>
        <v>5237</v>
      </c>
      <c r="AA127" s="80">
        <f>SUMPRODUCT(('Monthly Data'!$E$13:$E$9627=$U$122)*('Monthly Data'!$G$13:$G$9627)*('Monthly Data'!$C$13:$C$9627=AA$26)*('Monthly Data'!$D$13:$D$9627=$U127))</f>
        <v>5440</v>
      </c>
      <c r="AB127" s="80">
        <f>SUMPRODUCT(('Monthly Data'!$E$13:$E$9627=$U$122)*('Monthly Data'!$G$13:$G$9627)*('Monthly Data'!$C$13:$C$9627=AB$26)*('Monthly Data'!$D$13:$D$9627=$U127))</f>
        <v>6574</v>
      </c>
      <c r="AC127" s="80">
        <f>SUMPRODUCT(('Monthly Data'!$E$13:$E$9627=$U$122)*('Monthly Data'!$G$13:$G$9627)*('Monthly Data'!$C$13:$C$9627=AC$26)*('Monthly Data'!$D$13:$D$9627=$U127))</f>
        <v>6930</v>
      </c>
      <c r="AD127" s="80">
        <f>SUMPRODUCT(('Monthly Data'!$E$13:$E$9627=$U$122)*('Monthly Data'!$G$13:$G$9627)*('Monthly Data'!$C$13:$C$9627=AD$26)*('Monthly Data'!$D$13:$D$9627=$U127))</f>
        <v>7373</v>
      </c>
      <c r="AE127" s="80">
        <f>SUMPRODUCT(('Monthly Data'!$E$13:$E$9627=$U$122)*('Monthly Data'!$G$13:$G$9627)*('Monthly Data'!$C$13:$C$9627=AE$26)*('Monthly Data'!$D$13:$D$9627=$U127))</f>
        <v>7953</v>
      </c>
      <c r="AF127" s="80">
        <f>SUMPRODUCT(('Monthly Data'!$E$13:$E$9627=$U$122)*('Monthly Data'!$G$13:$G$9627)*('Monthly Data'!$C$13:$C$9627=AF$26)*('Monthly Data'!$D$13:$D$9627=$U127))</f>
        <v>7043</v>
      </c>
      <c r="AG127" s="80">
        <f>SUMPRODUCT(('Monthly Data'!$E$13:$E$9627=$U$122)*('Monthly Data'!$G$13:$G$9627)*('Monthly Data'!$C$13:$C$9627=AG$26)*('Monthly Data'!$D$13:$D$9627=$U127))</f>
        <v>6292</v>
      </c>
      <c r="AH127" s="80">
        <f>SUMPRODUCT(('Monthly Data'!$E$13:$E$9627=$U$122)*('Monthly Data'!$G$13:$G$9627)*('Monthly Data'!$C$13:$C$9627=AH$26)*('Monthly Data'!$D$13:$D$9627=$U127))</f>
        <v>6592</v>
      </c>
      <c r="AI127" s="80">
        <f>SUMPRODUCT(('Monthly Data'!$E$13:$E$9627=$U$122)*('Monthly Data'!$G$13:$G$9627)*('Monthly Data'!$C$13:$C$9627=AI$26)*('Monthly Data'!$D$13:$D$9627=$U127))</f>
        <v>7080</v>
      </c>
      <c r="AJ127" s="80">
        <f>SUMPRODUCT(('Monthly Data'!$E$13:$E$9627=$U$122)*('Monthly Data'!$G$13:$G$9627)*('Monthly Data'!$C$13:$C$9627=AJ$26)*('Monthly Data'!$D$13:$D$9627=$U127))</f>
        <v>0</v>
      </c>
      <c r="AL127" s="89">
        <f t="shared" si="25"/>
        <v>78808</v>
      </c>
    </row>
    <row r="128" spans="2:38">
      <c r="B128" s="30">
        <v>6</v>
      </c>
      <c r="C128" s="95">
        <f>SUMPRODUCT(('Monthly Data'!$E$13:$E$9627=$B$122)*('Monthly Data'!$F$13:$F$9627)*('Monthly Data'!$C$13:$C$9627=C$26)*('Monthly Data'!$D$13:$D$9627=$B128))</f>
        <v>492331</v>
      </c>
      <c r="D128" s="95">
        <f>SUMPRODUCT(('Monthly Data'!$E$13:$E$9627=$B$122)*('Monthly Data'!$F$13:$F$9627)*('Monthly Data'!$C$13:$C$9627=D$26)*('Monthly Data'!$D$13:$D$9627=$B128))</f>
        <v>591035</v>
      </c>
      <c r="E128" s="80">
        <f>SUMPRODUCT(('Monthly Data'!$E$13:$E$9627=$B$122)*('Monthly Data'!$F$13:$F$9627)*('Monthly Data'!$C$13:$C$9627=E$26)*('Monthly Data'!$D$13:$D$9627=$B128))</f>
        <v>628069</v>
      </c>
      <c r="F128" s="80">
        <f>SUMPRODUCT(('Monthly Data'!$E$13:$E$9627=$B$122)*('Monthly Data'!$F$13:$F$9627)*('Monthly Data'!$C$13:$C$9627=F$26)*('Monthly Data'!$D$13:$D$9627=$B128))</f>
        <v>606697</v>
      </c>
      <c r="G128" s="80">
        <f>SUMPRODUCT(('Monthly Data'!$E$13:$E$9627=$B$122)*('Monthly Data'!$F$13:$F$9627)*('Monthly Data'!$C$13:$C$9627=G$26)*('Monthly Data'!$D$13:$D$9627=$B128))</f>
        <v>617876</v>
      </c>
      <c r="H128" s="80">
        <f>SUMPRODUCT(('Monthly Data'!$E$13:$E$9627=$B$122)*('Monthly Data'!$F$13:$F$9627)*('Monthly Data'!$C$13:$C$9627=H$26)*('Monthly Data'!$D$13:$D$9627=$B128))</f>
        <v>678461</v>
      </c>
      <c r="I128" s="80">
        <f>SUMPRODUCT(('Monthly Data'!$E$13:$E$9627=$B$122)*('Monthly Data'!$F$13:$F$9627)*('Monthly Data'!$C$13:$C$9627=I$26)*('Monthly Data'!$D$13:$D$9627=$B128))</f>
        <v>845236</v>
      </c>
      <c r="J128" s="80">
        <f>SUMPRODUCT(('Monthly Data'!$E$13:$E$9627=$B$122)*('Monthly Data'!$F$13:$F$9627)*('Monthly Data'!$C$13:$C$9627=J$26)*('Monthly Data'!$D$13:$D$9627=$B128))</f>
        <v>881456</v>
      </c>
      <c r="K128" s="80">
        <f>SUMPRODUCT(('Monthly Data'!$E$13:$E$9627=$B$122)*('Monthly Data'!$F$13:$F$9627)*('Monthly Data'!$C$13:$C$9627=K$26)*('Monthly Data'!$D$13:$D$9627=$B128))</f>
        <v>934508</v>
      </c>
      <c r="L128" s="80">
        <f>SUMPRODUCT(('Monthly Data'!$E$13:$E$9627=$B$122)*('Monthly Data'!$F$13:$F$9627)*('Monthly Data'!$C$13:$C$9627=L$26)*('Monthly Data'!$D$13:$D$9627=$B128))</f>
        <v>954005</v>
      </c>
      <c r="M128" s="80">
        <f>SUMPRODUCT(('Monthly Data'!$E$13:$E$9627=$B$122)*('Monthly Data'!$F$13:$F$9627)*('Monthly Data'!$C$13:$C$9627=M$26)*('Monthly Data'!$D$13:$D$9627=$B128))</f>
        <v>861135</v>
      </c>
      <c r="N128" s="80">
        <f>SUMPRODUCT(('Monthly Data'!$E$13:$E$9627=$B$122)*('Monthly Data'!$F$13:$F$9627)*('Monthly Data'!$C$13:$C$9627=N$26)*('Monthly Data'!$D$13:$D$9627=$B128))</f>
        <v>835670</v>
      </c>
      <c r="O128" s="80">
        <f>SUMPRODUCT(('Monthly Data'!$E$13:$E$9627=$B$122)*('Monthly Data'!$F$13:$F$9627)*('Monthly Data'!$C$13:$C$9627=O$26)*('Monthly Data'!$D$13:$D$9627=$B128))</f>
        <v>917614</v>
      </c>
      <c r="P128" s="80">
        <f>SUMPRODUCT(('Monthly Data'!$E$13:$E$9627=$B$122)*('Monthly Data'!$F$13:$F$9627)*('Monthly Data'!$C$13:$C$9627=P$26)*('Monthly Data'!$D$13:$D$9627=$B128))</f>
        <v>942803</v>
      </c>
      <c r="Q128" s="80">
        <f>SUMPRODUCT(('Monthly Data'!$E$13:$E$9627=$B$122)*('Monthly Data'!$F$13:$F$9627)*('Monthly Data'!$C$13:$C$9627=Q$26)*('Monthly Data'!$D$13:$D$9627=$B128))</f>
        <v>0</v>
      </c>
      <c r="S128" s="89">
        <f t="shared" si="24"/>
        <v>9844093</v>
      </c>
      <c r="U128" s="30">
        <v>6</v>
      </c>
      <c r="V128" s="95">
        <f>SUMPRODUCT(('Monthly Data'!$E$13:$E$9627=$U$122)*('Monthly Data'!$G$13:$G$9627)*('Monthly Data'!$C$13:$C$9627=V$26)*('Monthly Data'!$D$13:$D$9627=$U128))</f>
        <v>4425</v>
      </c>
      <c r="W128" s="95">
        <f>SUMPRODUCT(('Monthly Data'!$E$13:$E$9627=$U$122)*('Monthly Data'!$G$13:$G$9627)*('Monthly Data'!$C$13:$C$9627=W$26)*('Monthly Data'!$D$13:$D$9627=$U128))</f>
        <v>5010</v>
      </c>
      <c r="X128" s="80">
        <f>SUMPRODUCT(('Monthly Data'!$E$13:$E$9627=$U$122)*('Monthly Data'!$G$13:$G$9627)*('Monthly Data'!$C$13:$C$9627=X$26)*('Monthly Data'!$D$13:$D$9627=$U128))</f>
        <v>5050</v>
      </c>
      <c r="Y128" s="80">
        <f>SUMPRODUCT(('Monthly Data'!$E$13:$E$9627=$U$122)*('Monthly Data'!$G$13:$G$9627)*('Monthly Data'!$C$13:$C$9627=Y$26)*('Monthly Data'!$D$13:$D$9627=$U128))</f>
        <v>4842</v>
      </c>
      <c r="Z128" s="80">
        <f>SUMPRODUCT(('Monthly Data'!$E$13:$E$9627=$U$122)*('Monthly Data'!$G$13:$G$9627)*('Monthly Data'!$C$13:$C$9627=Z$26)*('Monthly Data'!$D$13:$D$9627=$U128))</f>
        <v>5106</v>
      </c>
      <c r="AA128" s="80">
        <f>SUMPRODUCT(('Monthly Data'!$E$13:$E$9627=$U$122)*('Monthly Data'!$G$13:$G$9627)*('Monthly Data'!$C$13:$C$9627=AA$26)*('Monthly Data'!$D$13:$D$9627=$U128))</f>
        <v>5555</v>
      </c>
      <c r="AB128" s="80">
        <f>SUMPRODUCT(('Monthly Data'!$E$13:$E$9627=$U$122)*('Monthly Data'!$G$13:$G$9627)*('Monthly Data'!$C$13:$C$9627=AB$26)*('Monthly Data'!$D$13:$D$9627=$U128))</f>
        <v>6731</v>
      </c>
      <c r="AC128" s="80">
        <f>SUMPRODUCT(('Monthly Data'!$E$13:$E$9627=$U$122)*('Monthly Data'!$G$13:$G$9627)*('Monthly Data'!$C$13:$C$9627=AC$26)*('Monthly Data'!$D$13:$D$9627=$U128))</f>
        <v>7043</v>
      </c>
      <c r="AD128" s="80">
        <f>SUMPRODUCT(('Monthly Data'!$E$13:$E$9627=$U$122)*('Monthly Data'!$G$13:$G$9627)*('Monthly Data'!$C$13:$C$9627=AD$26)*('Monthly Data'!$D$13:$D$9627=$U128))</f>
        <v>7478</v>
      </c>
      <c r="AE128" s="80">
        <f>SUMPRODUCT(('Monthly Data'!$E$13:$E$9627=$U$122)*('Monthly Data'!$G$13:$G$9627)*('Monthly Data'!$C$13:$C$9627=AE$26)*('Monthly Data'!$D$13:$D$9627=$U128))</f>
        <v>7712</v>
      </c>
      <c r="AF128" s="80">
        <f>SUMPRODUCT(('Monthly Data'!$E$13:$E$9627=$U$122)*('Monthly Data'!$G$13:$G$9627)*('Monthly Data'!$C$13:$C$9627=AF$26)*('Monthly Data'!$D$13:$D$9627=$U128))</f>
        <v>6975</v>
      </c>
      <c r="AG128" s="80">
        <f>SUMPRODUCT(('Monthly Data'!$E$13:$E$9627=$U$122)*('Monthly Data'!$G$13:$G$9627)*('Monthly Data'!$C$13:$C$9627=AG$26)*('Monthly Data'!$D$13:$D$9627=$U128))</f>
        <v>6327</v>
      </c>
      <c r="AH128" s="80">
        <f>SUMPRODUCT(('Monthly Data'!$E$13:$E$9627=$U$122)*('Monthly Data'!$G$13:$G$9627)*('Monthly Data'!$C$13:$C$9627=AH$26)*('Monthly Data'!$D$13:$D$9627=$U128))</f>
        <v>6723</v>
      </c>
      <c r="AI128" s="80">
        <f>SUMPRODUCT(('Monthly Data'!$E$13:$E$9627=$U$122)*('Monthly Data'!$G$13:$G$9627)*('Monthly Data'!$C$13:$C$9627=AI$26)*('Monthly Data'!$D$13:$D$9627=$U128))</f>
        <v>7202</v>
      </c>
      <c r="AJ128" s="80">
        <f>SUMPRODUCT(('Monthly Data'!$E$13:$E$9627=$U$122)*('Monthly Data'!$G$13:$G$9627)*('Monthly Data'!$C$13:$C$9627=AJ$26)*('Monthly Data'!$D$13:$D$9627=$U128))</f>
        <v>0</v>
      </c>
      <c r="AL128" s="89">
        <f t="shared" si="25"/>
        <v>78977</v>
      </c>
    </row>
    <row r="129" spans="2:38">
      <c r="B129" s="30">
        <v>7</v>
      </c>
      <c r="C129" s="95">
        <f>SUMPRODUCT(('Monthly Data'!$E$13:$E$9627=$B$122)*('Monthly Data'!$F$13:$F$9627)*('Monthly Data'!$C$13:$C$9627=C$26)*('Monthly Data'!$D$13:$D$9627=$B129))</f>
        <v>539177</v>
      </c>
      <c r="D129" s="95">
        <f>SUMPRODUCT(('Monthly Data'!$E$13:$E$9627=$B$122)*('Monthly Data'!$F$13:$F$9627)*('Monthly Data'!$C$13:$C$9627=D$26)*('Monthly Data'!$D$13:$D$9627=$B129))</f>
        <v>628767</v>
      </c>
      <c r="E129" s="80">
        <f>SUMPRODUCT(('Monthly Data'!$E$13:$E$9627=$B$122)*('Monthly Data'!$F$13:$F$9627)*('Monthly Data'!$C$13:$C$9627=E$26)*('Monthly Data'!$D$13:$D$9627=$B129))</f>
        <v>657013</v>
      </c>
      <c r="F129" s="80">
        <f>SUMPRODUCT(('Monthly Data'!$E$13:$E$9627=$B$122)*('Monthly Data'!$F$13:$F$9627)*('Monthly Data'!$C$13:$C$9627=F$26)*('Monthly Data'!$D$13:$D$9627=$B129))</f>
        <v>677613</v>
      </c>
      <c r="G129" s="80">
        <f>SUMPRODUCT(('Monthly Data'!$E$13:$E$9627=$B$122)*('Monthly Data'!$F$13:$F$9627)*('Monthly Data'!$C$13:$C$9627=G$26)*('Monthly Data'!$D$13:$D$9627=$B129))</f>
        <v>677925</v>
      </c>
      <c r="H129" s="80">
        <f>SUMPRODUCT(('Monthly Data'!$E$13:$E$9627=$B$122)*('Monthly Data'!$F$13:$F$9627)*('Monthly Data'!$C$13:$C$9627=H$26)*('Monthly Data'!$D$13:$D$9627=$B129))</f>
        <v>749133</v>
      </c>
      <c r="I129" s="80">
        <f>SUMPRODUCT(('Monthly Data'!$E$13:$E$9627=$B$122)*('Monthly Data'!$F$13:$F$9627)*('Monthly Data'!$C$13:$C$9627=I$26)*('Monthly Data'!$D$13:$D$9627=$B129))</f>
        <v>911311</v>
      </c>
      <c r="J129" s="80">
        <f>SUMPRODUCT(('Monthly Data'!$E$13:$E$9627=$B$122)*('Monthly Data'!$F$13:$F$9627)*('Monthly Data'!$C$13:$C$9627=J$26)*('Monthly Data'!$D$13:$D$9627=$B129))</f>
        <v>958782</v>
      </c>
      <c r="K129" s="80">
        <f>SUMPRODUCT(('Monthly Data'!$E$13:$E$9627=$B$122)*('Monthly Data'!$F$13:$F$9627)*('Monthly Data'!$C$13:$C$9627=K$26)*('Monthly Data'!$D$13:$D$9627=$B129))</f>
        <v>1030556</v>
      </c>
      <c r="L129" s="80">
        <f>SUMPRODUCT(('Monthly Data'!$E$13:$E$9627=$B$122)*('Monthly Data'!$F$13:$F$9627)*('Monthly Data'!$C$13:$C$9627=L$26)*('Monthly Data'!$D$13:$D$9627=$B129))</f>
        <v>1050940</v>
      </c>
      <c r="M129" s="80">
        <f>SUMPRODUCT(('Monthly Data'!$E$13:$E$9627=$B$122)*('Monthly Data'!$F$13:$F$9627)*('Monthly Data'!$C$13:$C$9627=M$26)*('Monthly Data'!$D$13:$D$9627=$B129))</f>
        <v>978411</v>
      </c>
      <c r="N129" s="80">
        <f>SUMPRODUCT(('Monthly Data'!$E$13:$E$9627=$B$122)*('Monthly Data'!$F$13:$F$9627)*('Monthly Data'!$C$13:$C$9627=N$26)*('Monthly Data'!$D$13:$D$9627=$B129))</f>
        <v>934960</v>
      </c>
      <c r="O129" s="80">
        <f>SUMPRODUCT(('Monthly Data'!$E$13:$E$9627=$B$122)*('Monthly Data'!$F$13:$F$9627)*('Monthly Data'!$C$13:$C$9627=O$26)*('Monthly Data'!$D$13:$D$9627=$B129))</f>
        <v>1019846</v>
      </c>
      <c r="P129" s="80">
        <f>SUMPRODUCT(('Monthly Data'!$E$13:$E$9627=$B$122)*('Monthly Data'!$F$13:$F$9627)*('Monthly Data'!$C$13:$C$9627=P$26)*('Monthly Data'!$D$13:$D$9627=$B129))</f>
        <v>1015109</v>
      </c>
      <c r="Q129" s="80">
        <f>SUMPRODUCT(('Monthly Data'!$E$13:$E$9627=$B$122)*('Monthly Data'!$F$13:$F$9627)*('Monthly Data'!$C$13:$C$9627=Q$26)*('Monthly Data'!$D$13:$D$9627=$B129))</f>
        <v>0</v>
      </c>
      <c r="S129" s="89">
        <f t="shared" si="24"/>
        <v>10814434</v>
      </c>
      <c r="U129" s="30">
        <v>7</v>
      </c>
      <c r="V129" s="95">
        <f>SUMPRODUCT(('Monthly Data'!$E$13:$E$9627=$U$122)*('Monthly Data'!$G$13:$G$9627)*('Monthly Data'!$C$13:$C$9627=V$26)*('Monthly Data'!$D$13:$D$9627=$U129))</f>
        <v>4867</v>
      </c>
      <c r="W129" s="95">
        <f>SUMPRODUCT(('Monthly Data'!$E$13:$E$9627=$U$122)*('Monthly Data'!$G$13:$G$9627)*('Monthly Data'!$C$13:$C$9627=W$26)*('Monthly Data'!$D$13:$D$9627=$U129))</f>
        <v>5219</v>
      </c>
      <c r="X129" s="80">
        <f>SUMPRODUCT(('Monthly Data'!$E$13:$E$9627=$U$122)*('Monthly Data'!$G$13:$G$9627)*('Monthly Data'!$C$13:$C$9627=X$26)*('Monthly Data'!$D$13:$D$9627=$U129))</f>
        <v>5339</v>
      </c>
      <c r="Y129" s="80">
        <f>SUMPRODUCT(('Monthly Data'!$E$13:$E$9627=$U$122)*('Monthly Data'!$G$13:$G$9627)*('Monthly Data'!$C$13:$C$9627=Y$26)*('Monthly Data'!$D$13:$D$9627=$U129))</f>
        <v>5310</v>
      </c>
      <c r="Z129" s="80">
        <f>SUMPRODUCT(('Monthly Data'!$E$13:$E$9627=$U$122)*('Monthly Data'!$G$13:$G$9627)*('Monthly Data'!$C$13:$C$9627=Z$26)*('Monthly Data'!$D$13:$D$9627=$U129))</f>
        <v>5372</v>
      </c>
      <c r="AA129" s="80">
        <f>SUMPRODUCT(('Monthly Data'!$E$13:$E$9627=$U$122)*('Monthly Data'!$G$13:$G$9627)*('Monthly Data'!$C$13:$C$9627=AA$26)*('Monthly Data'!$D$13:$D$9627=$U129))</f>
        <v>5988</v>
      </c>
      <c r="AB129" s="80">
        <f>SUMPRODUCT(('Monthly Data'!$E$13:$E$9627=$U$122)*('Monthly Data'!$G$13:$G$9627)*('Monthly Data'!$C$13:$C$9627=AB$26)*('Monthly Data'!$D$13:$D$9627=$U129))</f>
        <v>7003</v>
      </c>
      <c r="AC129" s="80">
        <f>SUMPRODUCT(('Monthly Data'!$E$13:$E$9627=$U$122)*('Monthly Data'!$G$13:$G$9627)*('Monthly Data'!$C$13:$C$9627=AC$26)*('Monthly Data'!$D$13:$D$9627=$U129))</f>
        <v>7330</v>
      </c>
      <c r="AD129" s="80">
        <f>SUMPRODUCT(('Monthly Data'!$E$13:$E$9627=$U$122)*('Monthly Data'!$G$13:$G$9627)*('Monthly Data'!$C$13:$C$9627=AD$26)*('Monthly Data'!$D$13:$D$9627=$U129))</f>
        <v>7950</v>
      </c>
      <c r="AE129" s="80">
        <f>SUMPRODUCT(('Monthly Data'!$E$13:$E$9627=$U$122)*('Monthly Data'!$G$13:$G$9627)*('Monthly Data'!$C$13:$C$9627=AE$26)*('Monthly Data'!$D$13:$D$9627=$U129))</f>
        <v>8130</v>
      </c>
      <c r="AF129" s="80">
        <f>SUMPRODUCT(('Monthly Data'!$E$13:$E$9627=$U$122)*('Monthly Data'!$G$13:$G$9627)*('Monthly Data'!$C$13:$C$9627=AF$26)*('Monthly Data'!$D$13:$D$9627=$U129))</f>
        <v>7439</v>
      </c>
      <c r="AG129" s="80">
        <f>SUMPRODUCT(('Monthly Data'!$E$13:$E$9627=$U$122)*('Monthly Data'!$G$13:$G$9627)*('Monthly Data'!$C$13:$C$9627=AG$26)*('Monthly Data'!$D$13:$D$9627=$U129))</f>
        <v>6800</v>
      </c>
      <c r="AH129" s="80">
        <f>SUMPRODUCT(('Monthly Data'!$E$13:$E$9627=$U$122)*('Monthly Data'!$G$13:$G$9627)*('Monthly Data'!$C$13:$C$9627=AH$26)*('Monthly Data'!$D$13:$D$9627=$U129))</f>
        <v>7146</v>
      </c>
      <c r="AI129" s="80">
        <f>SUMPRODUCT(('Monthly Data'!$E$13:$E$9627=$U$122)*('Monthly Data'!$G$13:$G$9627)*('Monthly Data'!$C$13:$C$9627=AI$26)*('Monthly Data'!$D$13:$D$9627=$U129))</f>
        <v>7128</v>
      </c>
      <c r="AJ129" s="80">
        <f>SUMPRODUCT(('Monthly Data'!$E$13:$E$9627=$U$122)*('Monthly Data'!$G$13:$G$9627)*('Monthly Data'!$C$13:$C$9627=AJ$26)*('Monthly Data'!$D$13:$D$9627=$U129))</f>
        <v>0</v>
      </c>
      <c r="AL129" s="89">
        <f t="shared" si="25"/>
        <v>83893</v>
      </c>
    </row>
    <row r="130" spans="2:38">
      <c r="B130" s="30">
        <v>8</v>
      </c>
      <c r="C130" s="95">
        <f>SUMPRODUCT(('Monthly Data'!$E$13:$E$9627=$B$122)*('Monthly Data'!$F$13:$F$9627)*('Monthly Data'!$C$13:$C$9627=C$26)*('Monthly Data'!$D$13:$D$9627=$B130))</f>
        <v>603998</v>
      </c>
      <c r="D130" s="95">
        <f>SUMPRODUCT(('Monthly Data'!$E$13:$E$9627=$B$122)*('Monthly Data'!$F$13:$F$9627)*('Monthly Data'!$C$13:$C$9627=D$26)*('Monthly Data'!$D$13:$D$9627=$B130))</f>
        <v>662668</v>
      </c>
      <c r="E130" s="80">
        <f>SUMPRODUCT(('Monthly Data'!$E$13:$E$9627=$B$122)*('Monthly Data'!$F$13:$F$9627)*('Monthly Data'!$C$13:$C$9627=E$26)*('Monthly Data'!$D$13:$D$9627=$B130))</f>
        <v>707063</v>
      </c>
      <c r="F130" s="80">
        <f>SUMPRODUCT(('Monthly Data'!$E$13:$E$9627=$B$122)*('Monthly Data'!$F$13:$F$9627)*('Monthly Data'!$C$13:$C$9627=F$26)*('Monthly Data'!$D$13:$D$9627=$B130))</f>
        <v>703690</v>
      </c>
      <c r="G130" s="80">
        <f>SUMPRODUCT(('Monthly Data'!$E$13:$E$9627=$B$122)*('Monthly Data'!$F$13:$F$9627)*('Monthly Data'!$C$13:$C$9627=G$26)*('Monthly Data'!$D$13:$D$9627=$B130))</f>
        <v>710694</v>
      </c>
      <c r="H130" s="80">
        <f>SUMPRODUCT(('Monthly Data'!$E$13:$E$9627=$B$122)*('Monthly Data'!$F$13:$F$9627)*('Monthly Data'!$C$13:$C$9627=H$26)*('Monthly Data'!$D$13:$D$9627=$B130))</f>
        <v>807695</v>
      </c>
      <c r="I130" s="80">
        <f>SUMPRODUCT(('Monthly Data'!$E$13:$E$9627=$B$122)*('Monthly Data'!$F$13:$F$9627)*('Monthly Data'!$C$13:$C$9627=I$26)*('Monthly Data'!$D$13:$D$9627=$B130))</f>
        <v>933540</v>
      </c>
      <c r="J130" s="80">
        <f>SUMPRODUCT(('Monthly Data'!$E$13:$E$9627=$B$122)*('Monthly Data'!$F$13:$F$9627)*('Monthly Data'!$C$13:$C$9627=J$26)*('Monthly Data'!$D$13:$D$9627=$B130))</f>
        <v>974939</v>
      </c>
      <c r="K130" s="80">
        <f>SUMPRODUCT(('Monthly Data'!$E$13:$E$9627=$B$122)*('Monthly Data'!$F$13:$F$9627)*('Monthly Data'!$C$13:$C$9627=K$26)*('Monthly Data'!$D$13:$D$9627=$B130))</f>
        <v>1066967</v>
      </c>
      <c r="L130" s="80">
        <f>SUMPRODUCT(('Monthly Data'!$E$13:$E$9627=$B$122)*('Monthly Data'!$F$13:$F$9627)*('Monthly Data'!$C$13:$C$9627=L$26)*('Monthly Data'!$D$13:$D$9627=$B130))</f>
        <v>1094962</v>
      </c>
      <c r="M130" s="80">
        <f>SUMPRODUCT(('Monthly Data'!$E$13:$E$9627=$B$122)*('Monthly Data'!$F$13:$F$9627)*('Monthly Data'!$C$13:$C$9627=M$26)*('Monthly Data'!$D$13:$D$9627=$B130))</f>
        <v>1012140</v>
      </c>
      <c r="N130" s="80">
        <f>SUMPRODUCT(('Monthly Data'!$E$13:$E$9627=$B$122)*('Monthly Data'!$F$13:$F$9627)*('Monthly Data'!$C$13:$C$9627=N$26)*('Monthly Data'!$D$13:$D$9627=$B130))</f>
        <v>978694</v>
      </c>
      <c r="O130" s="80">
        <f>SUMPRODUCT(('Monthly Data'!$E$13:$E$9627=$B$122)*('Monthly Data'!$F$13:$F$9627)*('Monthly Data'!$C$13:$C$9627=O$26)*('Monthly Data'!$D$13:$D$9627=$B130))</f>
        <v>1046859</v>
      </c>
      <c r="P130" s="80">
        <f>SUMPRODUCT(('Monthly Data'!$E$13:$E$9627=$B$122)*('Monthly Data'!$F$13:$F$9627)*('Monthly Data'!$C$13:$C$9627=P$26)*('Monthly Data'!$D$13:$D$9627=$B130))</f>
        <v>1042545</v>
      </c>
      <c r="Q130" s="80">
        <f>SUMPRODUCT(('Monthly Data'!$E$13:$E$9627=$B$122)*('Monthly Data'!$F$13:$F$9627)*('Monthly Data'!$C$13:$C$9627=Q$26)*('Monthly Data'!$D$13:$D$9627=$B130))</f>
        <v>0</v>
      </c>
      <c r="S130" s="89">
        <f t="shared" si="24"/>
        <v>11303909</v>
      </c>
      <c r="U130" s="30">
        <v>8</v>
      </c>
      <c r="V130" s="95">
        <f>SUMPRODUCT(('Monthly Data'!$E$13:$E$9627=$U$122)*('Monthly Data'!$G$13:$G$9627)*('Monthly Data'!$C$13:$C$9627=V$26)*('Monthly Data'!$D$13:$D$9627=$U130))</f>
        <v>5088</v>
      </c>
      <c r="W130" s="95">
        <f>SUMPRODUCT(('Monthly Data'!$E$13:$E$9627=$U$122)*('Monthly Data'!$G$13:$G$9627)*('Monthly Data'!$C$13:$C$9627=W$26)*('Monthly Data'!$D$13:$D$9627=$U130))</f>
        <v>5284</v>
      </c>
      <c r="X130" s="80">
        <f>SUMPRODUCT(('Monthly Data'!$E$13:$E$9627=$U$122)*('Monthly Data'!$G$13:$G$9627)*('Monthly Data'!$C$13:$C$9627=X$26)*('Monthly Data'!$D$13:$D$9627=$U130))</f>
        <v>5463</v>
      </c>
      <c r="Y130" s="80">
        <f>SUMPRODUCT(('Monthly Data'!$E$13:$E$9627=$U$122)*('Monthly Data'!$G$13:$G$9627)*('Monthly Data'!$C$13:$C$9627=Y$26)*('Monthly Data'!$D$13:$D$9627=$U130))</f>
        <v>5343</v>
      </c>
      <c r="Z130" s="80">
        <f>SUMPRODUCT(('Monthly Data'!$E$13:$E$9627=$U$122)*('Monthly Data'!$G$13:$G$9627)*('Monthly Data'!$C$13:$C$9627=Z$26)*('Monthly Data'!$D$13:$D$9627=$U130))</f>
        <v>5422</v>
      </c>
      <c r="AA130" s="80">
        <f>SUMPRODUCT(('Monthly Data'!$E$13:$E$9627=$U$122)*('Monthly Data'!$G$13:$G$9627)*('Monthly Data'!$C$13:$C$9627=AA$26)*('Monthly Data'!$D$13:$D$9627=$U130))</f>
        <v>6197</v>
      </c>
      <c r="AB130" s="80">
        <f>SUMPRODUCT(('Monthly Data'!$E$13:$E$9627=$U$122)*('Monthly Data'!$G$13:$G$9627)*('Monthly Data'!$C$13:$C$9627=AB$26)*('Monthly Data'!$D$13:$D$9627=$U130))</f>
        <v>7019</v>
      </c>
      <c r="AC130" s="80">
        <f>SUMPRODUCT(('Monthly Data'!$E$13:$E$9627=$U$122)*('Monthly Data'!$G$13:$G$9627)*('Monthly Data'!$C$13:$C$9627=AC$26)*('Monthly Data'!$D$13:$D$9627=$U130))</f>
        <v>7346</v>
      </c>
      <c r="AD130" s="80">
        <f>SUMPRODUCT(('Monthly Data'!$E$13:$E$9627=$U$122)*('Monthly Data'!$G$13:$G$9627)*('Monthly Data'!$C$13:$C$9627=AD$26)*('Monthly Data'!$D$13:$D$9627=$U130))</f>
        <v>7991</v>
      </c>
      <c r="AE130" s="80">
        <f>SUMPRODUCT(('Monthly Data'!$E$13:$E$9627=$U$122)*('Monthly Data'!$G$13:$G$9627)*('Monthly Data'!$C$13:$C$9627=AE$26)*('Monthly Data'!$D$13:$D$9627=$U130))</f>
        <v>8157</v>
      </c>
      <c r="AF130" s="80">
        <f>SUMPRODUCT(('Monthly Data'!$E$13:$E$9627=$U$122)*('Monthly Data'!$G$13:$G$9627)*('Monthly Data'!$C$13:$C$9627=AF$26)*('Monthly Data'!$D$13:$D$9627=$U130))</f>
        <v>7390</v>
      </c>
      <c r="AG130" s="80">
        <f>SUMPRODUCT(('Monthly Data'!$E$13:$E$9627=$U$122)*('Monthly Data'!$G$13:$G$9627)*('Monthly Data'!$C$13:$C$9627=AG$26)*('Monthly Data'!$D$13:$D$9627=$U130))</f>
        <v>6830</v>
      </c>
      <c r="AH130" s="80">
        <f>SUMPRODUCT(('Monthly Data'!$E$13:$E$9627=$U$122)*('Monthly Data'!$G$13:$G$9627)*('Monthly Data'!$C$13:$C$9627=AH$26)*('Monthly Data'!$D$13:$D$9627=$U130))</f>
        <v>7106</v>
      </c>
      <c r="AI130" s="80">
        <f>SUMPRODUCT(('Monthly Data'!$E$13:$E$9627=$U$122)*('Monthly Data'!$G$13:$G$9627)*('Monthly Data'!$C$13:$C$9627=AI$26)*('Monthly Data'!$D$13:$D$9627=$U130))</f>
        <v>7106</v>
      </c>
      <c r="AJ130" s="80">
        <f>SUMPRODUCT(('Monthly Data'!$E$13:$E$9627=$U$122)*('Monthly Data'!$G$13:$G$9627)*('Monthly Data'!$C$13:$C$9627=AJ$26)*('Monthly Data'!$D$13:$D$9627=$U130))</f>
        <v>0</v>
      </c>
      <c r="AL130" s="89">
        <f t="shared" si="25"/>
        <v>84636</v>
      </c>
    </row>
    <row r="131" spans="2:38">
      <c r="B131" s="30">
        <v>9</v>
      </c>
      <c r="C131" s="95">
        <f>SUMPRODUCT(('Monthly Data'!$E$13:$E$9627=$B$122)*('Monthly Data'!$F$13:$F$9627)*('Monthly Data'!$C$13:$C$9627=C$26)*('Monthly Data'!$D$13:$D$9627=$B131))</f>
        <v>559794</v>
      </c>
      <c r="D131" s="95">
        <f>SUMPRODUCT(('Monthly Data'!$E$13:$E$9627=$B$122)*('Monthly Data'!$F$13:$F$9627)*('Monthly Data'!$C$13:$C$9627=D$26)*('Monthly Data'!$D$13:$D$9627=$B131))</f>
        <v>633553</v>
      </c>
      <c r="E131" s="80">
        <f>SUMPRODUCT(('Monthly Data'!$E$13:$E$9627=$B$122)*('Monthly Data'!$F$13:$F$9627)*('Monthly Data'!$C$13:$C$9627=E$26)*('Monthly Data'!$D$13:$D$9627=$B131))</f>
        <v>638800</v>
      </c>
      <c r="F131" s="80">
        <f>SUMPRODUCT(('Monthly Data'!$E$13:$E$9627=$B$122)*('Monthly Data'!$F$13:$F$9627)*('Monthly Data'!$C$13:$C$9627=F$26)*('Monthly Data'!$D$13:$D$9627=$B131))</f>
        <v>643869</v>
      </c>
      <c r="G131" s="80">
        <f>SUMPRODUCT(('Monthly Data'!$E$13:$E$9627=$B$122)*('Monthly Data'!$F$13:$F$9627)*('Monthly Data'!$C$13:$C$9627=G$26)*('Monthly Data'!$D$13:$D$9627=$B131))</f>
        <v>644515</v>
      </c>
      <c r="H131" s="80">
        <f>SUMPRODUCT(('Monthly Data'!$E$13:$E$9627=$B$122)*('Monthly Data'!$F$13:$F$9627)*('Monthly Data'!$C$13:$C$9627=H$26)*('Monthly Data'!$D$13:$D$9627=$B131))</f>
        <v>739339</v>
      </c>
      <c r="I131" s="80">
        <f>SUMPRODUCT(('Monthly Data'!$E$13:$E$9627=$B$122)*('Monthly Data'!$F$13:$F$9627)*('Monthly Data'!$C$13:$C$9627=I$26)*('Monthly Data'!$D$13:$D$9627=$B131))</f>
        <v>862532</v>
      </c>
      <c r="J131" s="80">
        <f>SUMPRODUCT(('Monthly Data'!$E$13:$E$9627=$B$122)*('Monthly Data'!$F$13:$F$9627)*('Monthly Data'!$C$13:$C$9627=J$26)*('Monthly Data'!$D$13:$D$9627=$B131))</f>
        <v>895812</v>
      </c>
      <c r="K131" s="80">
        <f>SUMPRODUCT(('Monthly Data'!$E$13:$E$9627=$B$122)*('Monthly Data'!$F$13:$F$9627)*('Monthly Data'!$C$13:$C$9627=K$26)*('Monthly Data'!$D$13:$D$9627=$B131))</f>
        <v>946653</v>
      </c>
      <c r="L131" s="80">
        <f>SUMPRODUCT(('Monthly Data'!$E$13:$E$9627=$B$122)*('Monthly Data'!$F$13:$F$9627)*('Monthly Data'!$C$13:$C$9627=L$26)*('Monthly Data'!$D$13:$D$9627=$B131))</f>
        <v>964763</v>
      </c>
      <c r="M131" s="80">
        <f>SUMPRODUCT(('Monthly Data'!$E$13:$E$9627=$B$122)*('Monthly Data'!$F$13:$F$9627)*('Monthly Data'!$C$13:$C$9627=M$26)*('Monthly Data'!$D$13:$D$9627=$B131))</f>
        <v>868432</v>
      </c>
      <c r="N131" s="80">
        <f>SUMPRODUCT(('Monthly Data'!$E$13:$E$9627=$B$122)*('Monthly Data'!$F$13:$F$9627)*('Monthly Data'!$C$13:$C$9627=N$26)*('Monthly Data'!$D$13:$D$9627=$B131))</f>
        <v>868336</v>
      </c>
      <c r="O131" s="80">
        <f>SUMPRODUCT(('Monthly Data'!$E$13:$E$9627=$B$122)*('Monthly Data'!$F$13:$F$9627)*('Monthly Data'!$C$13:$C$9627=O$26)*('Monthly Data'!$D$13:$D$9627=$B131))</f>
        <v>936536</v>
      </c>
      <c r="P131" s="80">
        <f>SUMPRODUCT(('Monthly Data'!$E$13:$E$9627=$B$122)*('Monthly Data'!$F$13:$F$9627)*('Monthly Data'!$C$13:$C$9627=P$26)*('Monthly Data'!$D$13:$D$9627=$B131))</f>
        <v>940570</v>
      </c>
      <c r="Q131" s="80">
        <f>SUMPRODUCT(('Monthly Data'!$E$13:$E$9627=$B$122)*('Monthly Data'!$F$13:$F$9627)*('Monthly Data'!$C$13:$C$9627=Q$26)*('Monthly Data'!$D$13:$D$9627=$B131))</f>
        <v>0</v>
      </c>
      <c r="S131" s="89">
        <f t="shared" si="24"/>
        <v>10202934</v>
      </c>
      <c r="U131" s="30">
        <v>9</v>
      </c>
      <c r="V131" s="95">
        <f>SUMPRODUCT(('Monthly Data'!$E$13:$E$9627=$U$122)*('Monthly Data'!$G$13:$G$9627)*('Monthly Data'!$C$13:$C$9627=V$26)*('Monthly Data'!$D$13:$D$9627=$U131))</f>
        <v>4958</v>
      </c>
      <c r="W131" s="95">
        <f>SUMPRODUCT(('Monthly Data'!$E$13:$E$9627=$U$122)*('Monthly Data'!$G$13:$G$9627)*('Monthly Data'!$C$13:$C$9627=W$26)*('Monthly Data'!$D$13:$D$9627=$U131))</f>
        <v>5287</v>
      </c>
      <c r="X131" s="80">
        <f>SUMPRODUCT(('Monthly Data'!$E$13:$E$9627=$U$122)*('Monthly Data'!$G$13:$G$9627)*('Monthly Data'!$C$13:$C$9627=X$26)*('Monthly Data'!$D$13:$D$9627=$U131))</f>
        <v>5090</v>
      </c>
      <c r="Y131" s="80">
        <f>SUMPRODUCT(('Monthly Data'!$E$13:$E$9627=$U$122)*('Monthly Data'!$G$13:$G$9627)*('Monthly Data'!$C$13:$C$9627=Y$26)*('Monthly Data'!$D$13:$D$9627=$U131))</f>
        <v>5207</v>
      </c>
      <c r="Z131" s="80">
        <f>SUMPRODUCT(('Monthly Data'!$E$13:$E$9627=$U$122)*('Monthly Data'!$G$13:$G$9627)*('Monthly Data'!$C$13:$C$9627=Z$26)*('Monthly Data'!$D$13:$D$9627=$U131))</f>
        <v>5214</v>
      </c>
      <c r="AA131" s="80">
        <f>SUMPRODUCT(('Monthly Data'!$E$13:$E$9627=$U$122)*('Monthly Data'!$G$13:$G$9627)*('Monthly Data'!$C$13:$C$9627=AA$26)*('Monthly Data'!$D$13:$D$9627=$U131))</f>
        <v>6045</v>
      </c>
      <c r="AB131" s="80">
        <f>SUMPRODUCT(('Monthly Data'!$E$13:$E$9627=$U$122)*('Monthly Data'!$G$13:$G$9627)*('Monthly Data'!$C$13:$C$9627=AB$26)*('Monthly Data'!$D$13:$D$9627=$U131))</f>
        <v>6757</v>
      </c>
      <c r="AC131" s="80">
        <f>SUMPRODUCT(('Monthly Data'!$E$13:$E$9627=$U$122)*('Monthly Data'!$G$13:$G$9627)*('Monthly Data'!$C$13:$C$9627=AC$26)*('Monthly Data'!$D$13:$D$9627=$U131))</f>
        <v>7340</v>
      </c>
      <c r="AD131" s="80">
        <f>SUMPRODUCT(('Monthly Data'!$E$13:$E$9627=$U$122)*('Monthly Data'!$G$13:$G$9627)*('Monthly Data'!$C$13:$C$9627=AD$26)*('Monthly Data'!$D$13:$D$9627=$U131))</f>
        <v>7504</v>
      </c>
      <c r="AE131" s="80">
        <f>SUMPRODUCT(('Monthly Data'!$E$13:$E$9627=$U$122)*('Monthly Data'!$G$13:$G$9627)*('Monthly Data'!$C$13:$C$9627=AE$26)*('Monthly Data'!$D$13:$D$9627=$U131))</f>
        <v>7783</v>
      </c>
      <c r="AF131" s="80">
        <f>SUMPRODUCT(('Monthly Data'!$E$13:$E$9627=$U$122)*('Monthly Data'!$G$13:$G$9627)*('Monthly Data'!$C$13:$C$9627=AF$26)*('Monthly Data'!$D$13:$D$9627=$U131))</f>
        <v>6885</v>
      </c>
      <c r="AG131" s="80">
        <f>SUMPRODUCT(('Monthly Data'!$E$13:$E$9627=$U$122)*('Monthly Data'!$G$13:$G$9627)*('Monthly Data'!$C$13:$C$9627=AG$26)*('Monthly Data'!$D$13:$D$9627=$U131))</f>
        <v>6434</v>
      </c>
      <c r="AH131" s="80">
        <f>SUMPRODUCT(('Monthly Data'!$E$13:$E$9627=$U$122)*('Monthly Data'!$G$13:$G$9627)*('Monthly Data'!$C$13:$C$9627=AH$26)*('Monthly Data'!$D$13:$D$9627=$U131))</f>
        <v>6774</v>
      </c>
      <c r="AI131" s="80">
        <f>SUMPRODUCT(('Monthly Data'!$E$13:$E$9627=$U$122)*('Monthly Data'!$G$13:$G$9627)*('Monthly Data'!$C$13:$C$9627=AI$26)*('Monthly Data'!$D$13:$D$9627=$U131))</f>
        <v>6712</v>
      </c>
      <c r="AJ131" s="80">
        <f>SUMPRODUCT(('Monthly Data'!$E$13:$E$9627=$U$122)*('Monthly Data'!$G$13:$G$9627)*('Monthly Data'!$C$13:$C$9627=AJ$26)*('Monthly Data'!$D$13:$D$9627=$U131))</f>
        <v>0</v>
      </c>
      <c r="AL131" s="89">
        <f t="shared" si="25"/>
        <v>81278</v>
      </c>
    </row>
    <row r="132" spans="2:38">
      <c r="B132" s="30">
        <v>10</v>
      </c>
      <c r="C132" s="95">
        <f>SUMPRODUCT(('Monthly Data'!$E$13:$E$9627=$B$122)*('Monthly Data'!$F$13:$F$9627)*('Monthly Data'!$C$13:$C$9627=C$26)*('Monthly Data'!$D$13:$D$9627=$B132))</f>
        <v>513208</v>
      </c>
      <c r="D132" s="95">
        <f>SUMPRODUCT(('Monthly Data'!$E$13:$E$9627=$B$122)*('Monthly Data'!$F$13:$F$9627)*('Monthly Data'!$C$13:$C$9627=D$26)*('Monthly Data'!$D$13:$D$9627=$B132))</f>
        <v>583307</v>
      </c>
      <c r="E132" s="80">
        <f>SUMPRODUCT(('Monthly Data'!$E$13:$E$9627=$B$122)*('Monthly Data'!$F$13:$F$9627)*('Monthly Data'!$C$13:$C$9627=E$26)*('Monthly Data'!$D$13:$D$9627=$B132))</f>
        <v>588782</v>
      </c>
      <c r="F132" s="80">
        <f>SUMPRODUCT(('Monthly Data'!$E$13:$E$9627=$B$122)*('Monthly Data'!$F$13:$F$9627)*('Monthly Data'!$C$13:$C$9627=F$26)*('Monthly Data'!$D$13:$D$9627=$B132))</f>
        <v>599236</v>
      </c>
      <c r="G132" s="80">
        <f>SUMPRODUCT(('Monthly Data'!$E$13:$E$9627=$B$122)*('Monthly Data'!$F$13:$F$9627)*('Monthly Data'!$C$13:$C$9627=G$26)*('Monthly Data'!$D$13:$D$9627=$B132))</f>
        <v>606060</v>
      </c>
      <c r="H132" s="80">
        <f>SUMPRODUCT(('Monthly Data'!$E$13:$E$9627=$B$122)*('Monthly Data'!$F$13:$F$9627)*('Monthly Data'!$C$13:$C$9627=H$26)*('Monthly Data'!$D$13:$D$9627=$B132))</f>
        <v>711652</v>
      </c>
      <c r="I132" s="80">
        <f>SUMPRODUCT(('Monthly Data'!$E$13:$E$9627=$B$122)*('Monthly Data'!$F$13:$F$9627)*('Monthly Data'!$C$13:$C$9627=I$26)*('Monthly Data'!$D$13:$D$9627=$B132))</f>
        <v>817598</v>
      </c>
      <c r="J132" s="80">
        <f>SUMPRODUCT(('Monthly Data'!$E$13:$E$9627=$B$122)*('Monthly Data'!$F$13:$F$9627)*('Monthly Data'!$C$13:$C$9627=J$26)*('Monthly Data'!$D$13:$D$9627=$B132))</f>
        <v>816594</v>
      </c>
      <c r="K132" s="80">
        <f>SUMPRODUCT(('Monthly Data'!$E$13:$E$9627=$B$122)*('Monthly Data'!$F$13:$F$9627)*('Monthly Data'!$C$13:$C$9627=K$26)*('Monthly Data'!$D$13:$D$9627=$B132))</f>
        <v>871230</v>
      </c>
      <c r="L132" s="80">
        <f>SUMPRODUCT(('Monthly Data'!$E$13:$E$9627=$B$122)*('Monthly Data'!$F$13:$F$9627)*('Monthly Data'!$C$13:$C$9627=L$26)*('Monthly Data'!$D$13:$D$9627=$B132))</f>
        <v>886112</v>
      </c>
      <c r="M132" s="80">
        <f>SUMPRODUCT(('Monthly Data'!$E$13:$E$9627=$B$122)*('Monthly Data'!$F$13:$F$9627)*('Monthly Data'!$C$13:$C$9627=M$26)*('Monthly Data'!$D$13:$D$9627=$B132))</f>
        <v>811161</v>
      </c>
      <c r="N132" s="80">
        <f>SUMPRODUCT(('Monthly Data'!$E$13:$E$9627=$B$122)*('Monthly Data'!$F$13:$F$9627)*('Monthly Data'!$C$13:$C$9627=N$26)*('Monthly Data'!$D$13:$D$9627=$B132))</f>
        <v>821256</v>
      </c>
      <c r="O132" s="80">
        <f>SUMPRODUCT(('Monthly Data'!$E$13:$E$9627=$B$122)*('Monthly Data'!$F$13:$F$9627)*('Monthly Data'!$C$13:$C$9627=O$26)*('Monthly Data'!$D$13:$D$9627=$B132))</f>
        <v>864939</v>
      </c>
      <c r="P132" s="80">
        <f>SUMPRODUCT(('Monthly Data'!$E$13:$E$9627=$B$122)*('Monthly Data'!$F$13:$F$9627)*('Monthly Data'!$C$13:$C$9627=P$26)*('Monthly Data'!$D$13:$D$9627=$B132))</f>
        <v>861569</v>
      </c>
      <c r="Q132" s="80">
        <f>SUMPRODUCT(('Monthly Data'!$E$13:$E$9627=$B$122)*('Monthly Data'!$F$13:$F$9627)*('Monthly Data'!$C$13:$C$9627=Q$26)*('Monthly Data'!$D$13:$D$9627=$B132))</f>
        <v>0</v>
      </c>
      <c r="S132" s="89">
        <f t="shared" si="24"/>
        <v>9491135</v>
      </c>
      <c r="U132" s="30">
        <v>10</v>
      </c>
      <c r="V132" s="95">
        <f>SUMPRODUCT(('Monthly Data'!$E$13:$E$9627=$U$122)*('Monthly Data'!$G$13:$G$9627)*('Monthly Data'!$C$13:$C$9627=V$26)*('Monthly Data'!$D$13:$D$9627=$U132))</f>
        <v>4540</v>
      </c>
      <c r="W132" s="95">
        <f>SUMPRODUCT(('Monthly Data'!$E$13:$E$9627=$U$122)*('Monthly Data'!$G$13:$G$9627)*('Monthly Data'!$C$13:$C$9627=W$26)*('Monthly Data'!$D$13:$D$9627=$U132))</f>
        <v>5023</v>
      </c>
      <c r="X132" s="80">
        <f>SUMPRODUCT(('Monthly Data'!$E$13:$E$9627=$U$122)*('Monthly Data'!$G$13:$G$9627)*('Monthly Data'!$C$13:$C$9627=X$26)*('Monthly Data'!$D$13:$D$9627=$U132))</f>
        <v>5056</v>
      </c>
      <c r="Y132" s="80">
        <f>SUMPRODUCT(('Monthly Data'!$E$13:$E$9627=$U$122)*('Monthly Data'!$G$13:$G$9627)*('Monthly Data'!$C$13:$C$9627=Y$26)*('Monthly Data'!$D$13:$D$9627=$U132))</f>
        <v>5118</v>
      </c>
      <c r="Z132" s="80">
        <f>SUMPRODUCT(('Monthly Data'!$E$13:$E$9627=$U$122)*('Monthly Data'!$G$13:$G$9627)*('Monthly Data'!$C$13:$C$9627=Z$26)*('Monthly Data'!$D$13:$D$9627=$U132))</f>
        <v>5146</v>
      </c>
      <c r="AA132" s="80">
        <f>SUMPRODUCT(('Monthly Data'!$E$13:$E$9627=$U$122)*('Monthly Data'!$G$13:$G$9627)*('Monthly Data'!$C$13:$C$9627=AA$26)*('Monthly Data'!$D$13:$D$9627=$U132))</f>
        <v>5899</v>
      </c>
      <c r="AB132" s="80">
        <f>SUMPRODUCT(('Monthly Data'!$E$13:$E$9627=$U$122)*('Monthly Data'!$G$13:$G$9627)*('Monthly Data'!$C$13:$C$9627=AB$26)*('Monthly Data'!$D$13:$D$9627=$U132))</f>
        <v>6736</v>
      </c>
      <c r="AC132" s="80">
        <f>SUMPRODUCT(('Monthly Data'!$E$13:$E$9627=$U$122)*('Monthly Data'!$G$13:$G$9627)*('Monthly Data'!$C$13:$C$9627=AC$26)*('Monthly Data'!$D$13:$D$9627=$U132))</f>
        <v>6948</v>
      </c>
      <c r="AD132" s="80">
        <f>SUMPRODUCT(('Monthly Data'!$E$13:$E$9627=$U$122)*('Monthly Data'!$G$13:$G$9627)*('Monthly Data'!$C$13:$C$9627=AD$26)*('Monthly Data'!$D$13:$D$9627=$U132))</f>
        <v>7347</v>
      </c>
      <c r="AE132" s="80">
        <f>SUMPRODUCT(('Monthly Data'!$E$13:$E$9627=$U$122)*('Monthly Data'!$G$13:$G$9627)*('Monthly Data'!$C$13:$C$9627=AE$26)*('Monthly Data'!$D$13:$D$9627=$U132))</f>
        <v>7505</v>
      </c>
      <c r="AF132" s="80">
        <f>SUMPRODUCT(('Monthly Data'!$E$13:$E$9627=$U$122)*('Monthly Data'!$G$13:$G$9627)*('Monthly Data'!$C$13:$C$9627=AF$26)*('Monthly Data'!$D$13:$D$9627=$U132))</f>
        <v>6673</v>
      </c>
      <c r="AG132" s="80">
        <f>SUMPRODUCT(('Monthly Data'!$E$13:$E$9627=$U$122)*('Monthly Data'!$G$13:$G$9627)*('Monthly Data'!$C$13:$C$9627=AG$26)*('Monthly Data'!$D$13:$D$9627=$U132))</f>
        <v>6330</v>
      </c>
      <c r="AH132" s="80">
        <f>SUMPRODUCT(('Monthly Data'!$E$13:$E$9627=$U$122)*('Monthly Data'!$G$13:$G$9627)*('Monthly Data'!$C$13:$C$9627=AH$26)*('Monthly Data'!$D$13:$D$9627=$U132))</f>
        <v>6467</v>
      </c>
      <c r="AI132" s="80">
        <f>SUMPRODUCT(('Monthly Data'!$E$13:$E$9627=$U$122)*('Monthly Data'!$G$13:$G$9627)*('Monthly Data'!$C$13:$C$9627=AI$26)*('Monthly Data'!$D$13:$D$9627=$U132))</f>
        <v>6367</v>
      </c>
      <c r="AJ132" s="80">
        <f>SUMPRODUCT(('Monthly Data'!$E$13:$E$9627=$U$122)*('Monthly Data'!$G$13:$G$9627)*('Monthly Data'!$C$13:$C$9627=AJ$26)*('Monthly Data'!$D$13:$D$9627=$U132))</f>
        <v>0</v>
      </c>
      <c r="AL132" s="89">
        <f t="shared" si="25"/>
        <v>78788</v>
      </c>
    </row>
    <row r="133" spans="2:38">
      <c r="B133" s="30">
        <v>11</v>
      </c>
      <c r="C133" s="95">
        <f>SUMPRODUCT(('Monthly Data'!$E$13:$E$9627=$B$122)*('Monthly Data'!$F$13:$F$9627)*('Monthly Data'!$C$13:$C$9627=C$26)*('Monthly Data'!$D$13:$D$9627=$B133))</f>
        <v>372152</v>
      </c>
      <c r="D133" s="95">
        <f>SUMPRODUCT(('Monthly Data'!$E$13:$E$9627=$B$122)*('Monthly Data'!$F$13:$F$9627)*('Monthly Data'!$C$13:$C$9627=D$26)*('Monthly Data'!$D$13:$D$9627=$B133))</f>
        <v>453750</v>
      </c>
      <c r="E133" s="80">
        <f>SUMPRODUCT(('Monthly Data'!$E$13:$E$9627=$B$122)*('Monthly Data'!$F$13:$F$9627)*('Monthly Data'!$C$13:$C$9627=E$26)*('Monthly Data'!$D$13:$D$9627=$B133))</f>
        <v>436913</v>
      </c>
      <c r="F133" s="80">
        <f>SUMPRODUCT(('Monthly Data'!$E$13:$E$9627=$B$122)*('Monthly Data'!$F$13:$F$9627)*('Monthly Data'!$C$13:$C$9627=F$26)*('Monthly Data'!$D$13:$D$9627=$B133))</f>
        <v>451967</v>
      </c>
      <c r="G133" s="80">
        <f>SUMPRODUCT(('Monthly Data'!$E$13:$E$9627=$B$122)*('Monthly Data'!$F$13:$F$9627)*('Monthly Data'!$C$13:$C$9627=G$26)*('Monthly Data'!$D$13:$D$9627=$B133))</f>
        <v>489922</v>
      </c>
      <c r="H133" s="80">
        <f>SUMPRODUCT(('Monthly Data'!$E$13:$E$9627=$B$122)*('Monthly Data'!$F$13:$F$9627)*('Monthly Data'!$C$13:$C$9627=H$26)*('Monthly Data'!$D$13:$D$9627=$B133))</f>
        <v>565566</v>
      </c>
      <c r="I133" s="80">
        <f>SUMPRODUCT(('Monthly Data'!$E$13:$E$9627=$B$122)*('Monthly Data'!$F$13:$F$9627)*('Monthly Data'!$C$13:$C$9627=I$26)*('Monthly Data'!$D$13:$D$9627=$B133))</f>
        <v>651820</v>
      </c>
      <c r="J133" s="80">
        <f>SUMPRODUCT(('Monthly Data'!$E$13:$E$9627=$B$122)*('Monthly Data'!$F$13:$F$9627)*('Monthly Data'!$C$13:$C$9627=J$26)*('Monthly Data'!$D$13:$D$9627=$B133))</f>
        <v>635742</v>
      </c>
      <c r="K133" s="80">
        <f>SUMPRODUCT(('Monthly Data'!$E$13:$E$9627=$B$122)*('Monthly Data'!$F$13:$F$9627)*('Monthly Data'!$C$13:$C$9627=K$26)*('Monthly Data'!$D$13:$D$9627=$B133))</f>
        <v>684650</v>
      </c>
      <c r="L133" s="80">
        <f>SUMPRODUCT(('Monthly Data'!$E$13:$E$9627=$B$122)*('Monthly Data'!$F$13:$F$9627)*('Monthly Data'!$C$13:$C$9627=L$26)*('Monthly Data'!$D$13:$D$9627=$B133))</f>
        <v>629418</v>
      </c>
      <c r="M133" s="80">
        <f>SUMPRODUCT(('Monthly Data'!$E$13:$E$9627=$B$122)*('Monthly Data'!$F$13:$F$9627)*('Monthly Data'!$C$13:$C$9627=M$26)*('Monthly Data'!$D$13:$D$9627=$B133))</f>
        <v>598724</v>
      </c>
      <c r="N133" s="80">
        <f>SUMPRODUCT(('Monthly Data'!$E$13:$E$9627=$B$122)*('Monthly Data'!$F$13:$F$9627)*('Monthly Data'!$C$13:$C$9627=N$26)*('Monthly Data'!$D$13:$D$9627=$B133))</f>
        <v>597509</v>
      </c>
      <c r="O133" s="80">
        <f>SUMPRODUCT(('Monthly Data'!$E$13:$E$9627=$B$122)*('Monthly Data'!$F$13:$F$9627)*('Monthly Data'!$C$13:$C$9627=O$26)*('Monthly Data'!$D$13:$D$9627=$B133))</f>
        <v>598469</v>
      </c>
      <c r="P133" s="80">
        <f>SUMPRODUCT(('Monthly Data'!$E$13:$E$9627=$B$122)*('Monthly Data'!$F$13:$F$9627)*('Monthly Data'!$C$13:$C$9627=P$26)*('Monthly Data'!$D$13:$D$9627=$B133))</f>
        <v>617050</v>
      </c>
      <c r="Q133" s="80">
        <f>SUMPRODUCT(('Monthly Data'!$E$13:$E$9627=$B$122)*('Monthly Data'!$F$13:$F$9627)*('Monthly Data'!$C$13:$C$9627=Q$26)*('Monthly Data'!$D$13:$D$9627=$B133))</f>
        <v>0</v>
      </c>
      <c r="S133" s="89">
        <f t="shared" si="24"/>
        <v>7166602</v>
      </c>
      <c r="U133" s="30">
        <v>11</v>
      </c>
      <c r="V133" s="95">
        <f>SUMPRODUCT(('Monthly Data'!$E$13:$E$9627=$U$122)*('Monthly Data'!$G$13:$G$9627)*('Monthly Data'!$C$13:$C$9627=V$26)*('Monthly Data'!$D$13:$D$9627=$U133))</f>
        <v>3740</v>
      </c>
      <c r="W133" s="95">
        <f>SUMPRODUCT(('Monthly Data'!$E$13:$E$9627=$U$122)*('Monthly Data'!$G$13:$G$9627)*('Monthly Data'!$C$13:$C$9627=W$26)*('Monthly Data'!$D$13:$D$9627=$U133))</f>
        <v>4439</v>
      </c>
      <c r="X133" s="80">
        <f>SUMPRODUCT(('Monthly Data'!$E$13:$E$9627=$U$122)*('Monthly Data'!$G$13:$G$9627)*('Monthly Data'!$C$13:$C$9627=X$26)*('Monthly Data'!$D$13:$D$9627=$U133))</f>
        <v>3864</v>
      </c>
      <c r="Y133" s="80">
        <f>SUMPRODUCT(('Monthly Data'!$E$13:$E$9627=$U$122)*('Monthly Data'!$G$13:$G$9627)*('Monthly Data'!$C$13:$C$9627=Y$26)*('Monthly Data'!$D$13:$D$9627=$U133))</f>
        <v>4253</v>
      </c>
      <c r="Z133" s="80">
        <f>SUMPRODUCT(('Monthly Data'!$E$13:$E$9627=$U$122)*('Monthly Data'!$G$13:$G$9627)*('Monthly Data'!$C$13:$C$9627=Z$26)*('Monthly Data'!$D$13:$D$9627=$U133))</f>
        <v>4620</v>
      </c>
      <c r="AA133" s="80">
        <f>SUMPRODUCT(('Monthly Data'!$E$13:$E$9627=$U$122)*('Monthly Data'!$G$13:$G$9627)*('Monthly Data'!$C$13:$C$9627=AA$26)*('Monthly Data'!$D$13:$D$9627=$U133))</f>
        <v>5141</v>
      </c>
      <c r="AB133" s="80">
        <f>SUMPRODUCT(('Monthly Data'!$E$13:$E$9627=$U$122)*('Monthly Data'!$G$13:$G$9627)*('Monthly Data'!$C$13:$C$9627=AB$26)*('Monthly Data'!$D$13:$D$9627=$U133))</f>
        <v>6027</v>
      </c>
      <c r="AC133" s="80">
        <f>SUMPRODUCT(('Monthly Data'!$E$13:$E$9627=$U$122)*('Monthly Data'!$G$13:$G$9627)*('Monthly Data'!$C$13:$C$9627=AC$26)*('Monthly Data'!$D$13:$D$9627=$U133))</f>
        <v>5641</v>
      </c>
      <c r="AD133" s="80">
        <f>SUMPRODUCT(('Monthly Data'!$E$13:$E$9627=$U$122)*('Monthly Data'!$G$13:$G$9627)*('Monthly Data'!$C$13:$C$9627=AD$26)*('Monthly Data'!$D$13:$D$9627=$U133))</f>
        <v>6250</v>
      </c>
      <c r="AE133" s="80">
        <f>SUMPRODUCT(('Monthly Data'!$E$13:$E$9627=$U$122)*('Monthly Data'!$G$13:$G$9627)*('Monthly Data'!$C$13:$C$9627=AE$26)*('Monthly Data'!$D$13:$D$9627=$U133))</f>
        <v>5594</v>
      </c>
      <c r="AF133" s="80">
        <f>SUMPRODUCT(('Monthly Data'!$E$13:$E$9627=$U$122)*('Monthly Data'!$G$13:$G$9627)*('Monthly Data'!$C$13:$C$9627=AF$26)*('Monthly Data'!$D$13:$D$9627=$U133))</f>
        <v>5063</v>
      </c>
      <c r="AG133" s="80">
        <f>SUMPRODUCT(('Monthly Data'!$E$13:$E$9627=$U$122)*('Monthly Data'!$G$13:$G$9627)*('Monthly Data'!$C$13:$C$9627=AG$26)*('Monthly Data'!$D$13:$D$9627=$U133))</f>
        <v>5040</v>
      </c>
      <c r="AH133" s="80">
        <f>SUMPRODUCT(('Monthly Data'!$E$13:$E$9627=$U$122)*('Monthly Data'!$G$13:$G$9627)*('Monthly Data'!$C$13:$C$9627=AH$26)*('Monthly Data'!$D$13:$D$9627=$U133))</f>
        <v>4663</v>
      </c>
      <c r="AI133" s="80">
        <f>SUMPRODUCT(('Monthly Data'!$E$13:$E$9627=$U$122)*('Monthly Data'!$G$13:$G$9627)*('Monthly Data'!$C$13:$C$9627=AI$26)*('Monthly Data'!$D$13:$D$9627=$U133))</f>
        <v>4764</v>
      </c>
      <c r="AJ133" s="80">
        <f>SUMPRODUCT(('Monthly Data'!$E$13:$E$9627=$U$122)*('Monthly Data'!$G$13:$G$9627)*('Monthly Data'!$C$13:$C$9627=AJ$26)*('Monthly Data'!$D$13:$D$9627=$U133))</f>
        <v>0</v>
      </c>
      <c r="AL133" s="89">
        <f t="shared" si="25"/>
        <v>64335</v>
      </c>
    </row>
    <row r="134" spans="2:38">
      <c r="B134" s="30">
        <v>12</v>
      </c>
      <c r="C134" s="95">
        <f>SUMPRODUCT(('Monthly Data'!$E$13:$E$9627=$B$122)*('Monthly Data'!$F$13:$F$9627)*('Monthly Data'!$C$13:$C$9627=C$26)*('Monthly Data'!$D$13:$D$9627=$B134))</f>
        <v>364537</v>
      </c>
      <c r="D134" s="95">
        <f>SUMPRODUCT(('Monthly Data'!$E$13:$E$9627=$B$122)*('Monthly Data'!$F$13:$F$9627)*('Monthly Data'!$C$13:$C$9627=D$26)*('Monthly Data'!$D$13:$D$9627=$B134))</f>
        <v>414494</v>
      </c>
      <c r="E134" s="80">
        <f>SUMPRODUCT(('Monthly Data'!$E$13:$E$9627=$B$122)*('Monthly Data'!$F$13:$F$9627)*('Monthly Data'!$C$13:$C$9627=E$26)*('Monthly Data'!$D$13:$D$9627=$B134))</f>
        <v>427206</v>
      </c>
      <c r="F134" s="80">
        <f>SUMPRODUCT(('Monthly Data'!$E$13:$E$9627=$B$122)*('Monthly Data'!$F$13:$F$9627)*('Monthly Data'!$C$13:$C$9627=F$26)*('Monthly Data'!$D$13:$D$9627=$B134))</f>
        <v>457280</v>
      </c>
      <c r="G134" s="80">
        <f>SUMPRODUCT(('Monthly Data'!$E$13:$E$9627=$B$122)*('Monthly Data'!$F$13:$F$9627)*('Monthly Data'!$C$13:$C$9627=G$26)*('Monthly Data'!$D$13:$D$9627=$B134))</f>
        <v>459285</v>
      </c>
      <c r="H134" s="80">
        <f>SUMPRODUCT(('Monthly Data'!$E$13:$E$9627=$B$122)*('Monthly Data'!$F$13:$F$9627)*('Monthly Data'!$C$13:$C$9627=H$26)*('Monthly Data'!$D$13:$D$9627=$B134))</f>
        <v>580507</v>
      </c>
      <c r="I134" s="80">
        <f>SUMPRODUCT(('Monthly Data'!$E$13:$E$9627=$B$122)*('Monthly Data'!$F$13:$F$9627)*('Monthly Data'!$C$13:$C$9627=I$26)*('Monthly Data'!$D$13:$D$9627=$B134))</f>
        <v>655208</v>
      </c>
      <c r="J134" s="80">
        <f>SUMPRODUCT(('Monthly Data'!$E$13:$E$9627=$B$122)*('Monthly Data'!$F$13:$F$9627)*('Monthly Data'!$C$13:$C$9627=J$26)*('Monthly Data'!$D$13:$D$9627=$B134))</f>
        <v>659567</v>
      </c>
      <c r="K134" s="80">
        <f>SUMPRODUCT(('Monthly Data'!$E$13:$E$9627=$B$122)*('Monthly Data'!$F$13:$F$9627)*('Monthly Data'!$C$13:$C$9627=K$26)*('Monthly Data'!$D$13:$D$9627=$B134))</f>
        <v>701688</v>
      </c>
      <c r="L134" s="80">
        <f>SUMPRODUCT(('Monthly Data'!$E$13:$E$9627=$B$122)*('Monthly Data'!$F$13:$F$9627)*('Monthly Data'!$C$13:$C$9627=L$26)*('Monthly Data'!$D$13:$D$9627=$B134))</f>
        <v>639596</v>
      </c>
      <c r="M134" s="80">
        <f>SUMPRODUCT(('Monthly Data'!$E$13:$E$9627=$B$122)*('Monthly Data'!$F$13:$F$9627)*('Monthly Data'!$C$13:$C$9627=M$26)*('Monthly Data'!$D$13:$D$9627=$B134))</f>
        <v>563985</v>
      </c>
      <c r="N134" s="80">
        <f>SUMPRODUCT(('Monthly Data'!$E$13:$E$9627=$B$122)*('Monthly Data'!$F$13:$F$9627)*('Monthly Data'!$C$13:$C$9627=N$26)*('Monthly Data'!$D$13:$D$9627=$B134))</f>
        <v>579185</v>
      </c>
      <c r="O134" s="80">
        <f>SUMPRODUCT(('Monthly Data'!$E$13:$E$9627=$B$122)*('Monthly Data'!$F$13:$F$9627)*('Monthly Data'!$C$13:$C$9627=O$26)*('Monthly Data'!$D$13:$D$9627=$B134))</f>
        <v>640255</v>
      </c>
      <c r="P134" s="80">
        <f>SUMPRODUCT(('Monthly Data'!$E$13:$E$9627=$B$122)*('Monthly Data'!$F$13:$F$9627)*('Monthly Data'!$C$13:$C$9627=P$26)*('Monthly Data'!$D$13:$D$9627=$B134))</f>
        <v>639286</v>
      </c>
      <c r="Q134" s="80">
        <f>SUMPRODUCT(('Monthly Data'!$E$13:$E$9627=$B$122)*('Monthly Data'!$F$13:$F$9627)*('Monthly Data'!$C$13:$C$9627=Q$26)*('Monthly Data'!$D$13:$D$9627=$B134))</f>
        <v>0</v>
      </c>
      <c r="S134" s="89">
        <f t="shared" si="24"/>
        <v>7142793</v>
      </c>
      <c r="U134" s="30">
        <v>12</v>
      </c>
      <c r="V134" s="95">
        <f>SUMPRODUCT(('Monthly Data'!$E$13:$E$9627=$U$122)*('Monthly Data'!$G$13:$G$9627)*('Monthly Data'!$C$13:$C$9627=V$26)*('Monthly Data'!$D$13:$D$9627=$U134))</f>
        <v>3897</v>
      </c>
      <c r="W134" s="95">
        <f>SUMPRODUCT(('Monthly Data'!$E$13:$E$9627=$U$122)*('Monthly Data'!$G$13:$G$9627)*('Monthly Data'!$C$13:$C$9627=W$26)*('Monthly Data'!$D$13:$D$9627=$U134))</f>
        <v>4131</v>
      </c>
      <c r="X134" s="80">
        <f>SUMPRODUCT(('Monthly Data'!$E$13:$E$9627=$U$122)*('Monthly Data'!$G$13:$G$9627)*('Monthly Data'!$C$13:$C$9627=X$26)*('Monthly Data'!$D$13:$D$9627=$U134))</f>
        <v>3896</v>
      </c>
      <c r="Y134" s="80">
        <f>SUMPRODUCT(('Monthly Data'!$E$13:$E$9627=$U$122)*('Monthly Data'!$G$13:$G$9627)*('Monthly Data'!$C$13:$C$9627=Y$26)*('Monthly Data'!$D$13:$D$9627=$U134))</f>
        <v>4388</v>
      </c>
      <c r="Z134" s="80">
        <f>SUMPRODUCT(('Monthly Data'!$E$13:$E$9627=$U$122)*('Monthly Data'!$G$13:$G$9627)*('Monthly Data'!$C$13:$C$9627=Z$26)*('Monthly Data'!$D$13:$D$9627=$U134))</f>
        <v>4522</v>
      </c>
      <c r="AA134" s="80">
        <f>SUMPRODUCT(('Monthly Data'!$E$13:$E$9627=$U$122)*('Monthly Data'!$G$13:$G$9627)*('Monthly Data'!$C$13:$C$9627=AA$26)*('Monthly Data'!$D$13:$D$9627=$U134))</f>
        <v>5187</v>
      </c>
      <c r="AB134" s="80">
        <f>SUMPRODUCT(('Monthly Data'!$E$13:$E$9627=$U$122)*('Monthly Data'!$G$13:$G$9627)*('Monthly Data'!$C$13:$C$9627=AB$26)*('Monthly Data'!$D$13:$D$9627=$U134))</f>
        <v>5988</v>
      </c>
      <c r="AC134" s="80">
        <f>SUMPRODUCT(('Monthly Data'!$E$13:$E$9627=$U$122)*('Monthly Data'!$G$13:$G$9627)*('Monthly Data'!$C$13:$C$9627=AC$26)*('Monthly Data'!$D$13:$D$9627=$U134))</f>
        <v>5827</v>
      </c>
      <c r="AD134" s="80">
        <f>SUMPRODUCT(('Monthly Data'!$E$13:$E$9627=$U$122)*('Monthly Data'!$G$13:$G$9627)*('Monthly Data'!$C$13:$C$9627=AD$26)*('Monthly Data'!$D$13:$D$9627=$U134))</f>
        <v>6376</v>
      </c>
      <c r="AE134" s="80">
        <f>SUMPRODUCT(('Monthly Data'!$E$13:$E$9627=$U$122)*('Monthly Data'!$G$13:$G$9627)*('Monthly Data'!$C$13:$C$9627=AE$26)*('Monthly Data'!$D$13:$D$9627=$U134))</f>
        <v>5687</v>
      </c>
      <c r="AF134" s="80">
        <f>SUMPRODUCT(('Monthly Data'!$E$13:$E$9627=$U$122)*('Monthly Data'!$G$13:$G$9627)*('Monthly Data'!$C$13:$C$9627=AF$26)*('Monthly Data'!$D$13:$D$9627=$U134))</f>
        <v>4898</v>
      </c>
      <c r="AG134" s="80">
        <f>SUMPRODUCT(('Monthly Data'!$E$13:$E$9627=$U$122)*('Monthly Data'!$G$13:$G$9627)*('Monthly Data'!$C$13:$C$9627=AG$26)*('Monthly Data'!$D$13:$D$9627=$U134))</f>
        <v>4926</v>
      </c>
      <c r="AH134" s="80">
        <f>SUMPRODUCT(('Monthly Data'!$E$13:$E$9627=$U$122)*('Monthly Data'!$G$13:$G$9627)*('Monthly Data'!$C$13:$C$9627=AH$26)*('Monthly Data'!$D$13:$D$9627=$U134))</f>
        <v>5366</v>
      </c>
      <c r="AI134" s="80">
        <f>SUMPRODUCT(('Monthly Data'!$E$13:$E$9627=$U$122)*('Monthly Data'!$G$13:$G$9627)*('Monthly Data'!$C$13:$C$9627=AI$26)*('Monthly Data'!$D$13:$D$9627=$U134))</f>
        <v>4969</v>
      </c>
      <c r="AJ134" s="80">
        <f>SUMPRODUCT(('Monthly Data'!$E$13:$E$9627=$U$122)*('Monthly Data'!$G$13:$G$9627)*('Monthly Data'!$C$13:$C$9627=AJ$26)*('Monthly Data'!$D$13:$D$9627=$U134))</f>
        <v>0</v>
      </c>
      <c r="AL134" s="89">
        <f t="shared" si="25"/>
        <v>65089</v>
      </c>
    </row>
    <row r="135" spans="2:38">
      <c r="D135" s="90"/>
      <c r="S135" s="83"/>
      <c r="W135" s="90"/>
      <c r="AL135" s="83"/>
    </row>
    <row r="136" spans="2:38">
      <c r="B136" s="30" t="s">
        <v>106</v>
      </c>
      <c r="C136" s="97">
        <f>SUM(C123:C134)</f>
        <v>5246474</v>
      </c>
      <c r="D136" s="97">
        <f t="shared" ref="D136:O136" si="26">SUM(D123:D134)</f>
        <v>6164028</v>
      </c>
      <c r="E136" s="89">
        <f t="shared" si="26"/>
        <v>6540019</v>
      </c>
      <c r="F136" s="89">
        <f t="shared" si="26"/>
        <v>6474224</v>
      </c>
      <c r="G136" s="89">
        <f t="shared" si="26"/>
        <v>6785670</v>
      </c>
      <c r="H136" s="89">
        <f t="shared" si="26"/>
        <v>7520467</v>
      </c>
      <c r="I136" s="89">
        <f t="shared" si="26"/>
        <v>9134748</v>
      </c>
      <c r="J136" s="89">
        <f t="shared" si="26"/>
        <v>9414829</v>
      </c>
      <c r="K136" s="89">
        <f t="shared" si="26"/>
        <v>9919361</v>
      </c>
      <c r="L136" s="89">
        <f t="shared" si="26"/>
        <v>10173902</v>
      </c>
      <c r="M136" s="89">
        <f t="shared" si="26"/>
        <v>9115316</v>
      </c>
      <c r="N136" s="89">
        <f t="shared" si="26"/>
        <v>8733837</v>
      </c>
      <c r="O136" s="89">
        <f t="shared" si="26"/>
        <v>9509915</v>
      </c>
      <c r="P136" s="89">
        <f>SUM(P123:P134)</f>
        <v>9614175</v>
      </c>
      <c r="Q136" s="89"/>
      <c r="S136" s="89">
        <f>SUM(D123:P134)</f>
        <v>109100491</v>
      </c>
      <c r="U136" s="30" t="s">
        <v>106</v>
      </c>
      <c r="V136" s="97">
        <f>SUM(V123:V134)</f>
        <v>50849</v>
      </c>
      <c r="W136" s="97">
        <f t="shared" ref="W136:AH136" si="27">SUM(W123:W134)</f>
        <v>55547</v>
      </c>
      <c r="X136" s="89">
        <f t="shared" si="27"/>
        <v>55982</v>
      </c>
      <c r="Y136" s="89">
        <f t="shared" si="27"/>
        <v>55009</v>
      </c>
      <c r="Z136" s="89">
        <f t="shared" si="27"/>
        <v>58421</v>
      </c>
      <c r="AA136" s="89">
        <f t="shared" si="27"/>
        <v>64243</v>
      </c>
      <c r="AB136" s="89">
        <f t="shared" si="27"/>
        <v>75424</v>
      </c>
      <c r="AC136" s="89">
        <f t="shared" si="27"/>
        <v>78840</v>
      </c>
      <c r="AD136" s="89">
        <f t="shared" si="27"/>
        <v>83319</v>
      </c>
      <c r="AE136" s="89">
        <f t="shared" si="27"/>
        <v>85661</v>
      </c>
      <c r="AF136" s="89">
        <f t="shared" si="27"/>
        <v>75093</v>
      </c>
      <c r="AG136" s="89">
        <f t="shared" si="27"/>
        <v>68571</v>
      </c>
      <c r="AH136" s="89">
        <f t="shared" si="27"/>
        <v>72403</v>
      </c>
      <c r="AI136" s="89">
        <f>SUM(AI123:AI134)</f>
        <v>73658</v>
      </c>
      <c r="AJ136" s="89">
        <f>SUM(AJ123:AJ134)</f>
        <v>20606</v>
      </c>
      <c r="AL136" s="89">
        <f>SUM(V123:AH134)</f>
        <v>879362</v>
      </c>
    </row>
    <row r="137" spans="2:38">
      <c r="D137" s="90"/>
      <c r="W137" s="90"/>
    </row>
    <row r="138" spans="2:38" ht="15">
      <c r="B138" s="88" t="s">
        <v>34</v>
      </c>
      <c r="C138" s="69">
        <v>1999</v>
      </c>
      <c r="D138" s="96">
        <v>2000</v>
      </c>
      <c r="E138" s="69">
        <v>2001</v>
      </c>
      <c r="F138" s="69">
        <v>2002</v>
      </c>
      <c r="G138" s="69">
        <v>2003</v>
      </c>
      <c r="H138" s="69">
        <v>2004</v>
      </c>
      <c r="I138" s="69">
        <v>2005</v>
      </c>
      <c r="J138" s="69">
        <v>2006</v>
      </c>
      <c r="K138" s="69">
        <v>2007</v>
      </c>
      <c r="L138" s="69">
        <v>2008</v>
      </c>
      <c r="M138" s="69">
        <v>2009</v>
      </c>
      <c r="N138" s="69">
        <v>2010</v>
      </c>
      <c r="O138" s="69">
        <v>2011</v>
      </c>
      <c r="P138" s="69">
        <v>2012</v>
      </c>
      <c r="Q138" s="69">
        <v>2013</v>
      </c>
      <c r="S138" s="69" t="s">
        <v>106</v>
      </c>
      <c r="U138" s="88" t="s">
        <v>34</v>
      </c>
      <c r="V138" s="69">
        <v>1999</v>
      </c>
      <c r="W138" s="96">
        <v>2000</v>
      </c>
      <c r="X138" s="69">
        <v>2001</v>
      </c>
      <c r="Y138" s="69">
        <v>2002</v>
      </c>
      <c r="Z138" s="69">
        <v>2003</v>
      </c>
      <c r="AA138" s="69">
        <v>2004</v>
      </c>
      <c r="AB138" s="69">
        <v>2005</v>
      </c>
      <c r="AC138" s="69">
        <v>2006</v>
      </c>
      <c r="AD138" s="69">
        <v>2007</v>
      </c>
      <c r="AE138" s="69">
        <v>2008</v>
      </c>
      <c r="AF138" s="69">
        <v>2009</v>
      </c>
      <c r="AG138" s="69">
        <v>2010</v>
      </c>
      <c r="AH138" s="69">
        <v>2011</v>
      </c>
      <c r="AI138" s="69">
        <v>2012</v>
      </c>
      <c r="AJ138" s="69">
        <v>2013</v>
      </c>
      <c r="AL138" s="69" t="s">
        <v>106</v>
      </c>
    </row>
    <row r="139" spans="2:38">
      <c r="B139" s="30">
        <v>1</v>
      </c>
      <c r="C139" s="95">
        <f>SUMPRODUCT(('Monthly Data'!$E$13:$E$9627=$B$138)*('Monthly Data'!$F$13:$F$9627)*('Monthly Data'!$C$13:$C$9627=C$26)*('Monthly Data'!$D$13:$D$9627=$B139))</f>
        <v>997095</v>
      </c>
      <c r="D139" s="95">
        <f>SUMPRODUCT(('Monthly Data'!$E$13:$E$9627=$B$138)*('Monthly Data'!$F$13:$F$9627)*('Monthly Data'!$C$13:$C$9627=D$26)*('Monthly Data'!$D$13:$D$9627=$B139))</f>
        <v>971262</v>
      </c>
      <c r="E139" s="80">
        <f>SUMPRODUCT(('Monthly Data'!$E$13:$E$9627=$B$138)*('Monthly Data'!$F$13:$F$9627)*('Monthly Data'!$C$13:$C$9627=E$26)*('Monthly Data'!$D$13:$D$9627=$B139))</f>
        <v>1089097</v>
      </c>
      <c r="F139" s="80">
        <f>SUMPRODUCT(('Monthly Data'!$E$13:$E$9627=$B$138)*('Monthly Data'!$F$13:$F$9627)*('Monthly Data'!$C$13:$C$9627=F$26)*('Monthly Data'!$D$13:$D$9627=$B139))</f>
        <v>1023611</v>
      </c>
      <c r="G139" s="80">
        <f>SUMPRODUCT(('Monthly Data'!$E$13:$E$9627=$B$138)*('Monthly Data'!$F$13:$F$9627)*('Monthly Data'!$C$13:$C$9627=G$26)*('Monthly Data'!$D$13:$D$9627=$B139))</f>
        <v>1075920</v>
      </c>
      <c r="H139" s="80">
        <f>SUMPRODUCT(('Monthly Data'!$E$13:$E$9627=$B$138)*('Monthly Data'!$F$13:$F$9627)*('Monthly Data'!$C$13:$C$9627=H$26)*('Monthly Data'!$D$13:$D$9627=$B139))</f>
        <v>1225709</v>
      </c>
      <c r="I139" s="80">
        <f>SUMPRODUCT(('Monthly Data'!$E$13:$E$9627=$B$138)*('Monthly Data'!$F$13:$F$9627)*('Monthly Data'!$C$13:$C$9627=I$26)*('Monthly Data'!$D$13:$D$9627=$B139))</f>
        <v>1333961</v>
      </c>
      <c r="J139" s="80">
        <f>SUMPRODUCT(('Monthly Data'!$E$13:$E$9627=$B$138)*('Monthly Data'!$F$13:$F$9627)*('Monthly Data'!$C$13:$C$9627=J$26)*('Monthly Data'!$D$13:$D$9627=$B139))</f>
        <v>1331824</v>
      </c>
      <c r="K139" s="80">
        <f>SUMPRODUCT(('Monthly Data'!$E$13:$E$9627=$B$138)*('Monthly Data'!$F$13:$F$9627)*('Monthly Data'!$C$13:$C$9627=K$26)*('Monthly Data'!$D$13:$D$9627=$B139))</f>
        <v>1327676</v>
      </c>
      <c r="L139" s="80">
        <f>SUMPRODUCT(('Monthly Data'!$E$13:$E$9627=$B$138)*('Monthly Data'!$F$13:$F$9627)*('Monthly Data'!$C$13:$C$9627=L$26)*('Monthly Data'!$D$13:$D$9627=$B139))</f>
        <v>1315132</v>
      </c>
      <c r="M139" s="80">
        <f>SUMPRODUCT(('Monthly Data'!$E$13:$E$9627=$B$138)*('Monthly Data'!$F$13:$F$9627)*('Monthly Data'!$C$13:$C$9627=M$26)*('Monthly Data'!$D$13:$D$9627=$B139))</f>
        <v>1181144</v>
      </c>
      <c r="N139" s="80">
        <f>SUMPRODUCT(('Monthly Data'!$E$13:$E$9627=$B$138)*('Monthly Data'!$F$13:$F$9627)*('Monthly Data'!$C$13:$C$9627=N$26)*('Monthly Data'!$D$13:$D$9627=$B139))</f>
        <v>1015061</v>
      </c>
      <c r="O139" s="80">
        <f>SUMPRODUCT(('Monthly Data'!$E$13:$E$9627=$B$138)*('Monthly Data'!$F$13:$F$9627)*('Monthly Data'!$C$13:$C$9627=O$26)*('Monthly Data'!$D$13:$D$9627=$B139))</f>
        <v>1079420</v>
      </c>
      <c r="P139" s="80">
        <f>SUMPRODUCT(('Monthly Data'!$E$13:$E$9627=$B$138)*('Monthly Data'!$F$13:$F$9627)*('Monthly Data'!$C$13:$C$9627=P$26)*('Monthly Data'!$D$13:$D$9627=$B139))</f>
        <v>1126564</v>
      </c>
      <c r="Q139" s="80">
        <f>SUMPRODUCT(('Monthly Data'!$E$13:$E$9627=$B$138)*('Monthly Data'!$F$13:$F$9627)*('Monthly Data'!$C$13:$C$9627=Q$26)*('Monthly Data'!$D$13:$D$9627=$B139))</f>
        <v>1162551</v>
      </c>
      <c r="S139" s="89">
        <f>SUM(C139:O139)</f>
        <v>14966912</v>
      </c>
      <c r="U139" s="30">
        <v>1</v>
      </c>
      <c r="V139" s="95">
        <f>SUMPRODUCT(('Monthly Data'!$E$13:$E$9627=$U$138)*('Monthly Data'!$G$13:$G$9627)*('Monthly Data'!$C$13:$C$9627=V$26)*('Monthly Data'!$D$13:$D$9627=$U139))</f>
        <v>12008</v>
      </c>
      <c r="W139" s="95">
        <f>SUMPRODUCT(('Monthly Data'!$E$13:$E$9627=$U$138)*('Monthly Data'!$G$13:$G$9627)*('Monthly Data'!$C$13:$C$9627=W$26)*('Monthly Data'!$D$13:$D$9627=$U139))</f>
        <v>12244</v>
      </c>
      <c r="X139" s="80">
        <f>SUMPRODUCT(('Monthly Data'!$E$13:$E$9627=$U$138)*('Monthly Data'!$G$13:$G$9627)*('Monthly Data'!$C$13:$C$9627=X$26)*('Monthly Data'!$D$13:$D$9627=$U139))</f>
        <v>12835</v>
      </c>
      <c r="Y139" s="80">
        <f>SUMPRODUCT(('Monthly Data'!$E$13:$E$9627=$U$138)*('Monthly Data'!$G$13:$G$9627)*('Monthly Data'!$C$13:$C$9627=Y$26)*('Monthly Data'!$D$13:$D$9627=$U139))</f>
        <v>12804</v>
      </c>
      <c r="Z139" s="80">
        <f>SUMPRODUCT(('Monthly Data'!$E$13:$E$9627=$U$138)*('Monthly Data'!$G$13:$G$9627)*('Monthly Data'!$C$13:$C$9627=Z$26)*('Monthly Data'!$D$13:$D$9627=$U139))</f>
        <v>13395</v>
      </c>
      <c r="AA139" s="80">
        <f>SUMPRODUCT(('Monthly Data'!$E$13:$E$9627=$U$138)*('Monthly Data'!$G$13:$G$9627)*('Monthly Data'!$C$13:$C$9627=AA$26)*('Monthly Data'!$D$13:$D$9627=$U139))</f>
        <v>14557</v>
      </c>
      <c r="AB139" s="80">
        <f>SUMPRODUCT(('Monthly Data'!$E$13:$E$9627=$U$138)*('Monthly Data'!$G$13:$G$9627)*('Monthly Data'!$C$13:$C$9627=AB$26)*('Monthly Data'!$D$13:$D$9627=$U139))</f>
        <v>15738</v>
      </c>
      <c r="AC139" s="80">
        <f>SUMPRODUCT(('Monthly Data'!$E$13:$E$9627=$U$138)*('Monthly Data'!$G$13:$G$9627)*('Monthly Data'!$C$13:$C$9627=AC$26)*('Monthly Data'!$D$13:$D$9627=$U139))</f>
        <v>15818</v>
      </c>
      <c r="AD139" s="80">
        <f>SUMPRODUCT(('Monthly Data'!$E$13:$E$9627=$U$138)*('Monthly Data'!$G$13:$G$9627)*('Monthly Data'!$C$13:$C$9627=AD$26)*('Monthly Data'!$D$13:$D$9627=$U139))</f>
        <v>15184</v>
      </c>
      <c r="AE139" s="80">
        <f>SUMPRODUCT(('Monthly Data'!$E$13:$E$9627=$U$138)*('Monthly Data'!$G$13:$G$9627)*('Monthly Data'!$C$13:$C$9627=AE$26)*('Monthly Data'!$D$13:$D$9627=$U139))</f>
        <v>14320</v>
      </c>
      <c r="AF139" s="80">
        <f>SUMPRODUCT(('Monthly Data'!$E$13:$E$9627=$U$138)*('Monthly Data'!$G$13:$G$9627)*('Monthly Data'!$C$13:$C$9627=AF$26)*('Monthly Data'!$D$13:$D$9627=$U139))</f>
        <v>12289</v>
      </c>
      <c r="AG139" s="80">
        <f>SUMPRODUCT(('Monthly Data'!$E$13:$E$9627=$U$138)*('Monthly Data'!$G$13:$G$9627)*('Monthly Data'!$C$13:$C$9627=AG$26)*('Monthly Data'!$D$13:$D$9627=$U139))</f>
        <v>9942</v>
      </c>
      <c r="AH139" s="80">
        <f>SUMPRODUCT(('Monthly Data'!$E$13:$E$9627=$U$138)*('Monthly Data'!$G$13:$G$9627)*('Monthly Data'!$C$13:$C$9627=AH$26)*('Monthly Data'!$D$13:$D$9627=$U139))</f>
        <v>10918</v>
      </c>
      <c r="AI139" s="80">
        <f>SUMPRODUCT(('Monthly Data'!$E$13:$E$9627=$U$138)*('Monthly Data'!$G$13:$G$9627)*('Monthly Data'!$C$13:$C$9627=AI$26)*('Monthly Data'!$D$13:$D$9627=$U139))</f>
        <v>11046</v>
      </c>
      <c r="AJ139" s="80">
        <f>SUMPRODUCT(('Monthly Data'!$E$13:$E$9627=$U$138)*('Monthly Data'!$G$13:$G$9627)*('Monthly Data'!$C$13:$C$9627=AJ$26)*('Monthly Data'!$D$13:$D$9627=$U139))</f>
        <v>10612</v>
      </c>
      <c r="AL139" s="89">
        <f>SUM(V139:AH139)</f>
        <v>172052</v>
      </c>
    </row>
    <row r="140" spans="2:38">
      <c r="B140" s="30">
        <v>2</v>
      </c>
      <c r="C140" s="95">
        <f>SUMPRODUCT(('Monthly Data'!$E$13:$E$9627=$B$138)*('Monthly Data'!$F$13:$F$9627)*('Monthly Data'!$C$13:$C$9627=C$26)*('Monthly Data'!$D$13:$D$9627=$B140))</f>
        <v>988038</v>
      </c>
      <c r="D140" s="95">
        <f>SUMPRODUCT(('Monthly Data'!$E$13:$E$9627=$B$138)*('Monthly Data'!$F$13:$F$9627)*('Monthly Data'!$C$13:$C$9627=D$26)*('Monthly Data'!$D$13:$D$9627=$B140))</f>
        <v>1047246</v>
      </c>
      <c r="E140" s="80">
        <f>SUMPRODUCT(('Monthly Data'!$E$13:$E$9627=$B$138)*('Monthly Data'!$F$13:$F$9627)*('Monthly Data'!$C$13:$C$9627=E$26)*('Monthly Data'!$D$13:$D$9627=$B140))</f>
        <v>1095990</v>
      </c>
      <c r="F140" s="80">
        <f>SUMPRODUCT(('Monthly Data'!$E$13:$E$9627=$B$138)*('Monthly Data'!$F$13:$F$9627)*('Monthly Data'!$C$13:$C$9627=F$26)*('Monthly Data'!$D$13:$D$9627=$B140))</f>
        <v>1061577</v>
      </c>
      <c r="G140" s="80">
        <f>SUMPRODUCT(('Monthly Data'!$E$13:$E$9627=$B$138)*('Monthly Data'!$F$13:$F$9627)*('Monthly Data'!$C$13:$C$9627=G$26)*('Monthly Data'!$D$13:$D$9627=$B140))</f>
        <v>1090909</v>
      </c>
      <c r="H140" s="80">
        <f>SUMPRODUCT(('Monthly Data'!$E$13:$E$9627=$B$138)*('Monthly Data'!$F$13:$F$9627)*('Monthly Data'!$C$13:$C$9627=H$26)*('Monthly Data'!$D$13:$D$9627=$B140))</f>
        <v>1293467</v>
      </c>
      <c r="I140" s="80">
        <f>SUMPRODUCT(('Monthly Data'!$E$13:$E$9627=$B$138)*('Monthly Data'!$F$13:$F$9627)*('Monthly Data'!$C$13:$C$9627=I$26)*('Monthly Data'!$D$13:$D$9627=$B140))</f>
        <v>1334162</v>
      </c>
      <c r="J140" s="80">
        <f>SUMPRODUCT(('Monthly Data'!$E$13:$E$9627=$B$138)*('Monthly Data'!$F$13:$F$9627)*('Monthly Data'!$C$13:$C$9627=J$26)*('Monthly Data'!$D$13:$D$9627=$B140))</f>
        <v>1349315</v>
      </c>
      <c r="K140" s="80">
        <f>SUMPRODUCT(('Monthly Data'!$E$13:$E$9627=$B$138)*('Monthly Data'!$F$13:$F$9627)*('Monthly Data'!$C$13:$C$9627=K$26)*('Monthly Data'!$D$13:$D$9627=$B140))</f>
        <v>1328018</v>
      </c>
      <c r="L140" s="80">
        <f>SUMPRODUCT(('Monthly Data'!$E$13:$E$9627=$B$138)*('Monthly Data'!$F$13:$F$9627)*('Monthly Data'!$C$13:$C$9627=L$26)*('Monthly Data'!$D$13:$D$9627=$B140))</f>
        <v>1382516</v>
      </c>
      <c r="M140" s="80">
        <f>SUMPRODUCT(('Monthly Data'!$E$13:$E$9627=$B$138)*('Monthly Data'!$F$13:$F$9627)*('Monthly Data'!$C$13:$C$9627=M$26)*('Monthly Data'!$D$13:$D$9627=$B140))</f>
        <v>1150450</v>
      </c>
      <c r="N140" s="80">
        <f>SUMPRODUCT(('Monthly Data'!$E$13:$E$9627=$B$138)*('Monthly Data'!$F$13:$F$9627)*('Monthly Data'!$C$13:$C$9627=N$26)*('Monthly Data'!$D$13:$D$9627=$B140))</f>
        <v>1028315</v>
      </c>
      <c r="O140" s="80">
        <f>SUMPRODUCT(('Monthly Data'!$E$13:$E$9627=$B$138)*('Monthly Data'!$F$13:$F$9627)*('Monthly Data'!$C$13:$C$9627=O$26)*('Monthly Data'!$D$13:$D$9627=$B140))</f>
        <v>1065922</v>
      </c>
      <c r="P140" s="80">
        <f>SUMPRODUCT(('Monthly Data'!$E$13:$E$9627=$B$138)*('Monthly Data'!$F$13:$F$9627)*('Monthly Data'!$C$13:$C$9627=P$26)*('Monthly Data'!$D$13:$D$9627=$B140))</f>
        <v>1173517</v>
      </c>
      <c r="Q140" s="80">
        <f>SUMPRODUCT(('Monthly Data'!$E$13:$E$9627=$B$138)*('Monthly Data'!$F$13:$F$9627)*('Monthly Data'!$C$13:$C$9627=Q$26)*('Monthly Data'!$D$13:$D$9627=$B140))</f>
        <v>1190595</v>
      </c>
      <c r="S140" s="89">
        <f t="shared" ref="S140:S150" si="28">SUM(C140:O140)</f>
        <v>15215925</v>
      </c>
      <c r="U140" s="30">
        <v>2</v>
      </c>
      <c r="V140" s="95">
        <f>SUMPRODUCT(('Monthly Data'!$E$13:$E$9627=$U$138)*('Monthly Data'!$G$13:$G$9627)*('Monthly Data'!$C$13:$C$9627=V$26)*('Monthly Data'!$D$13:$D$9627=$U140))</f>
        <v>11363</v>
      </c>
      <c r="W140" s="95">
        <f>SUMPRODUCT(('Monthly Data'!$E$13:$E$9627=$U$138)*('Monthly Data'!$G$13:$G$9627)*('Monthly Data'!$C$13:$C$9627=W$26)*('Monthly Data'!$D$13:$D$9627=$U140))</f>
        <v>12238</v>
      </c>
      <c r="X140" s="80">
        <f>SUMPRODUCT(('Monthly Data'!$E$13:$E$9627=$U$138)*('Monthly Data'!$G$13:$G$9627)*('Monthly Data'!$C$13:$C$9627=X$26)*('Monthly Data'!$D$13:$D$9627=$U140))</f>
        <v>12080</v>
      </c>
      <c r="Y140" s="80">
        <f>SUMPRODUCT(('Monthly Data'!$E$13:$E$9627=$U$138)*('Monthly Data'!$G$13:$G$9627)*('Monthly Data'!$C$13:$C$9627=Y$26)*('Monthly Data'!$D$13:$D$9627=$U140))</f>
        <v>11993</v>
      </c>
      <c r="Z140" s="80">
        <f>SUMPRODUCT(('Monthly Data'!$E$13:$E$9627=$U$138)*('Monthly Data'!$G$13:$G$9627)*('Monthly Data'!$C$13:$C$9627=Z$26)*('Monthly Data'!$D$13:$D$9627=$U140))</f>
        <v>12497</v>
      </c>
      <c r="AA140" s="80">
        <f>SUMPRODUCT(('Monthly Data'!$E$13:$E$9627=$U$138)*('Monthly Data'!$G$13:$G$9627)*('Monthly Data'!$C$13:$C$9627=AA$26)*('Monthly Data'!$D$13:$D$9627=$U140))</f>
        <v>14538</v>
      </c>
      <c r="AB140" s="80">
        <f>SUMPRODUCT(('Monthly Data'!$E$13:$E$9627=$U$138)*('Monthly Data'!$G$13:$G$9627)*('Monthly Data'!$C$13:$C$9627=AB$26)*('Monthly Data'!$D$13:$D$9627=$U140))</f>
        <v>15366</v>
      </c>
      <c r="AC140" s="80">
        <f>SUMPRODUCT(('Monthly Data'!$E$13:$E$9627=$U$138)*('Monthly Data'!$G$13:$G$9627)*('Monthly Data'!$C$13:$C$9627=AC$26)*('Monthly Data'!$D$13:$D$9627=$U140))</f>
        <v>15011</v>
      </c>
      <c r="AD140" s="80">
        <f>SUMPRODUCT(('Monthly Data'!$E$13:$E$9627=$U$138)*('Monthly Data'!$G$13:$G$9627)*('Monthly Data'!$C$13:$C$9627=AD$26)*('Monthly Data'!$D$13:$D$9627=$U140))</f>
        <v>14392</v>
      </c>
      <c r="AE140" s="80">
        <f>SUMPRODUCT(('Monthly Data'!$E$13:$E$9627=$U$138)*('Monthly Data'!$G$13:$G$9627)*('Monthly Data'!$C$13:$C$9627=AE$26)*('Monthly Data'!$D$13:$D$9627=$U140))</f>
        <v>14214</v>
      </c>
      <c r="AF140" s="80">
        <f>SUMPRODUCT(('Monthly Data'!$E$13:$E$9627=$U$138)*('Monthly Data'!$G$13:$G$9627)*('Monthly Data'!$C$13:$C$9627=AF$26)*('Monthly Data'!$D$13:$D$9627=$U140))</f>
        <v>11667</v>
      </c>
      <c r="AG140" s="80">
        <f>SUMPRODUCT(('Monthly Data'!$E$13:$E$9627=$U$138)*('Monthly Data'!$G$13:$G$9627)*('Monthly Data'!$C$13:$C$9627=AG$26)*('Monthly Data'!$D$13:$D$9627=$U140))</f>
        <v>9946</v>
      </c>
      <c r="AH140" s="80">
        <f>SUMPRODUCT(('Monthly Data'!$E$13:$E$9627=$U$138)*('Monthly Data'!$G$13:$G$9627)*('Monthly Data'!$C$13:$C$9627=AH$26)*('Monthly Data'!$D$13:$D$9627=$U140))</f>
        <v>10450</v>
      </c>
      <c r="AI140" s="80">
        <f>SUMPRODUCT(('Monthly Data'!$E$13:$E$9627=$U$138)*('Monthly Data'!$G$13:$G$9627)*('Monthly Data'!$C$13:$C$9627=AI$26)*('Monthly Data'!$D$13:$D$9627=$U140))</f>
        <v>11035</v>
      </c>
      <c r="AJ140" s="80">
        <f>SUMPRODUCT(('Monthly Data'!$E$13:$E$9627=$U$138)*('Monthly Data'!$G$13:$G$9627)*('Monthly Data'!$C$13:$C$9627=AJ$26)*('Monthly Data'!$D$13:$D$9627=$U140))</f>
        <v>10439</v>
      </c>
      <c r="AL140" s="89">
        <f t="shared" ref="AL140:AL150" si="29">SUM(V140:AH140)</f>
        <v>165755</v>
      </c>
    </row>
    <row r="141" spans="2:38">
      <c r="B141" s="30">
        <v>3</v>
      </c>
      <c r="C141" s="95">
        <f>SUMPRODUCT(('Monthly Data'!$E$13:$E$9627=$B$138)*('Monthly Data'!$F$13:$F$9627)*('Monthly Data'!$C$13:$C$9627=C$26)*('Monthly Data'!$D$13:$D$9627=$B141))</f>
        <v>1204769</v>
      </c>
      <c r="D141" s="95">
        <f>SUMPRODUCT(('Monthly Data'!$E$13:$E$9627=$B$138)*('Monthly Data'!$F$13:$F$9627)*('Monthly Data'!$C$13:$C$9627=D$26)*('Monthly Data'!$D$13:$D$9627=$B141))</f>
        <v>1194616</v>
      </c>
      <c r="E141" s="80">
        <f>SUMPRODUCT(('Monthly Data'!$E$13:$E$9627=$B$138)*('Monthly Data'!$F$13:$F$9627)*('Monthly Data'!$C$13:$C$9627=E$26)*('Monthly Data'!$D$13:$D$9627=$B141))</f>
        <v>1280339</v>
      </c>
      <c r="F141" s="80">
        <f>SUMPRODUCT(('Monthly Data'!$E$13:$E$9627=$B$138)*('Monthly Data'!$F$13:$F$9627)*('Monthly Data'!$C$13:$C$9627=F$26)*('Monthly Data'!$D$13:$D$9627=$B141))</f>
        <v>1299706</v>
      </c>
      <c r="G141" s="80">
        <f>SUMPRODUCT(('Monthly Data'!$E$13:$E$9627=$B$138)*('Monthly Data'!$F$13:$F$9627)*('Monthly Data'!$C$13:$C$9627=G$26)*('Monthly Data'!$D$13:$D$9627=$B141))</f>
        <v>1196697</v>
      </c>
      <c r="H141" s="80">
        <f>SUMPRODUCT(('Monthly Data'!$E$13:$E$9627=$B$138)*('Monthly Data'!$F$13:$F$9627)*('Monthly Data'!$C$13:$C$9627=H$26)*('Monthly Data'!$D$13:$D$9627=$B141))</f>
        <v>1424565</v>
      </c>
      <c r="I141" s="80">
        <f>SUMPRODUCT(('Monthly Data'!$E$13:$E$9627=$B$138)*('Monthly Data'!$F$13:$F$9627)*('Monthly Data'!$C$13:$C$9627=I$26)*('Monthly Data'!$D$13:$D$9627=$B141))</f>
        <v>1596302</v>
      </c>
      <c r="J141" s="80">
        <f>SUMPRODUCT(('Monthly Data'!$E$13:$E$9627=$B$138)*('Monthly Data'!$F$13:$F$9627)*('Monthly Data'!$C$13:$C$9627=J$26)*('Monthly Data'!$D$13:$D$9627=$B141))</f>
        <v>1537201</v>
      </c>
      <c r="K141" s="80">
        <f>SUMPRODUCT(('Monthly Data'!$E$13:$E$9627=$B$138)*('Monthly Data'!$F$13:$F$9627)*('Monthly Data'!$C$13:$C$9627=K$26)*('Monthly Data'!$D$13:$D$9627=$B141))</f>
        <v>1574731</v>
      </c>
      <c r="L141" s="80">
        <f>SUMPRODUCT(('Monthly Data'!$E$13:$E$9627=$B$138)*('Monthly Data'!$F$13:$F$9627)*('Monthly Data'!$C$13:$C$9627=L$26)*('Monthly Data'!$D$13:$D$9627=$B141))</f>
        <v>1637536</v>
      </c>
      <c r="M141" s="80">
        <f>SUMPRODUCT(('Monthly Data'!$E$13:$E$9627=$B$138)*('Monthly Data'!$F$13:$F$9627)*('Monthly Data'!$C$13:$C$9627=M$26)*('Monthly Data'!$D$13:$D$9627=$B141))</f>
        <v>1340894</v>
      </c>
      <c r="N141" s="80">
        <f>SUMPRODUCT(('Monthly Data'!$E$13:$E$9627=$B$138)*('Monthly Data'!$F$13:$F$9627)*('Monthly Data'!$C$13:$C$9627=N$26)*('Monthly Data'!$D$13:$D$9627=$B141))</f>
        <v>1248461</v>
      </c>
      <c r="O141" s="80">
        <f>SUMPRODUCT(('Monthly Data'!$E$13:$E$9627=$B$138)*('Monthly Data'!$F$13:$F$9627)*('Monthly Data'!$C$13:$C$9627=O$26)*('Monthly Data'!$D$13:$D$9627=$B141))</f>
        <v>1203390</v>
      </c>
      <c r="P141" s="80">
        <f>SUMPRODUCT(('Monthly Data'!$E$13:$E$9627=$B$138)*('Monthly Data'!$F$13:$F$9627)*('Monthly Data'!$C$13:$C$9627=P$26)*('Monthly Data'!$D$13:$D$9627=$B141))</f>
        <v>1363359</v>
      </c>
      <c r="Q141" s="80">
        <f>SUMPRODUCT(('Monthly Data'!$E$13:$E$9627=$B$138)*('Monthly Data'!$F$13:$F$9627)*('Monthly Data'!$C$13:$C$9627=Q$26)*('Monthly Data'!$D$13:$D$9627=$B141))</f>
        <v>1447178</v>
      </c>
      <c r="S141" s="89">
        <f t="shared" si="28"/>
        <v>17739207</v>
      </c>
      <c r="U141" s="30">
        <v>3</v>
      </c>
      <c r="V141" s="95">
        <f>SUMPRODUCT(('Monthly Data'!$E$13:$E$9627=$U$138)*('Monthly Data'!$G$13:$G$9627)*('Monthly Data'!$C$13:$C$9627=V$26)*('Monthly Data'!$D$13:$D$9627=$U141))</f>
        <v>13137</v>
      </c>
      <c r="W141" s="95">
        <f>SUMPRODUCT(('Monthly Data'!$E$13:$E$9627=$U$138)*('Monthly Data'!$G$13:$G$9627)*('Monthly Data'!$C$13:$C$9627=W$26)*('Monthly Data'!$D$13:$D$9627=$U141))</f>
        <v>13370</v>
      </c>
      <c r="X141" s="80">
        <f>SUMPRODUCT(('Monthly Data'!$E$13:$E$9627=$U$138)*('Monthly Data'!$G$13:$G$9627)*('Monthly Data'!$C$13:$C$9627=X$26)*('Monthly Data'!$D$13:$D$9627=$U141))</f>
        <v>13855</v>
      </c>
      <c r="Y141" s="80">
        <f>SUMPRODUCT(('Monthly Data'!$E$13:$E$9627=$U$138)*('Monthly Data'!$G$13:$G$9627)*('Monthly Data'!$C$13:$C$9627=Y$26)*('Monthly Data'!$D$13:$D$9627=$U141))</f>
        <v>13260</v>
      </c>
      <c r="Z141" s="80">
        <f>SUMPRODUCT(('Monthly Data'!$E$13:$E$9627=$U$138)*('Monthly Data'!$G$13:$G$9627)*('Monthly Data'!$C$13:$C$9627=Z$26)*('Monthly Data'!$D$13:$D$9627=$U141))</f>
        <v>13867</v>
      </c>
      <c r="AA141" s="80">
        <f>SUMPRODUCT(('Monthly Data'!$E$13:$E$9627=$U$138)*('Monthly Data'!$G$13:$G$9627)*('Monthly Data'!$C$13:$C$9627=AA$26)*('Monthly Data'!$D$13:$D$9627=$U141))</f>
        <v>15869</v>
      </c>
      <c r="AB141" s="80">
        <f>SUMPRODUCT(('Monthly Data'!$E$13:$E$9627=$U$138)*('Monthly Data'!$G$13:$G$9627)*('Monthly Data'!$C$13:$C$9627=AB$26)*('Monthly Data'!$D$13:$D$9627=$U141))</f>
        <v>17267</v>
      </c>
      <c r="AC141" s="80">
        <f>SUMPRODUCT(('Monthly Data'!$E$13:$E$9627=$U$138)*('Monthly Data'!$G$13:$G$9627)*('Monthly Data'!$C$13:$C$9627=AC$26)*('Monthly Data'!$D$13:$D$9627=$U141))</f>
        <v>16670</v>
      </c>
      <c r="AD141" s="80">
        <f>SUMPRODUCT(('Monthly Data'!$E$13:$E$9627=$U$138)*('Monthly Data'!$G$13:$G$9627)*('Monthly Data'!$C$13:$C$9627=AD$26)*('Monthly Data'!$D$13:$D$9627=$U141))</f>
        <v>16166</v>
      </c>
      <c r="AE141" s="80">
        <f>SUMPRODUCT(('Monthly Data'!$E$13:$E$9627=$U$138)*('Monthly Data'!$G$13:$G$9627)*('Monthly Data'!$C$13:$C$9627=AE$26)*('Monthly Data'!$D$13:$D$9627=$U141))</f>
        <v>15356</v>
      </c>
      <c r="AF141" s="80">
        <f>SUMPRODUCT(('Monthly Data'!$E$13:$E$9627=$U$138)*('Monthly Data'!$G$13:$G$9627)*('Monthly Data'!$C$13:$C$9627=AF$26)*('Monthly Data'!$D$13:$D$9627=$U141))</f>
        <v>13367</v>
      </c>
      <c r="AG141" s="80">
        <f>SUMPRODUCT(('Monthly Data'!$E$13:$E$9627=$U$138)*('Monthly Data'!$G$13:$G$9627)*('Monthly Data'!$C$13:$C$9627=AG$26)*('Monthly Data'!$D$13:$D$9627=$U141))</f>
        <v>11641</v>
      </c>
      <c r="AH141" s="80">
        <f>SUMPRODUCT(('Monthly Data'!$E$13:$E$9627=$U$138)*('Monthly Data'!$G$13:$G$9627)*('Monthly Data'!$C$13:$C$9627=AH$26)*('Monthly Data'!$D$13:$D$9627=$U141))</f>
        <v>11842</v>
      </c>
      <c r="AI141" s="80">
        <f>SUMPRODUCT(('Monthly Data'!$E$13:$E$9627=$U$138)*('Monthly Data'!$G$13:$G$9627)*('Monthly Data'!$C$13:$C$9627=AI$26)*('Monthly Data'!$D$13:$D$9627=$U141))</f>
        <v>12424</v>
      </c>
      <c r="AJ141" s="80">
        <f>SUMPRODUCT(('Monthly Data'!$E$13:$E$9627=$U$138)*('Monthly Data'!$G$13:$G$9627)*('Monthly Data'!$C$13:$C$9627=AJ$26)*('Monthly Data'!$D$13:$D$9627=$U141))</f>
        <v>11906</v>
      </c>
      <c r="AL141" s="89">
        <f t="shared" si="29"/>
        <v>185667</v>
      </c>
    </row>
    <row r="142" spans="2:38">
      <c r="B142" s="30">
        <v>4</v>
      </c>
      <c r="C142" s="95">
        <f>SUMPRODUCT(('Monthly Data'!$E$13:$E$9627=$B$138)*('Monthly Data'!$F$13:$F$9627)*('Monthly Data'!$C$13:$C$9627=C$26)*('Monthly Data'!$D$13:$D$9627=$B142))</f>
        <v>1215647</v>
      </c>
      <c r="D142" s="95">
        <f>SUMPRODUCT(('Monthly Data'!$E$13:$E$9627=$B$138)*('Monthly Data'!$F$13:$F$9627)*('Monthly Data'!$C$13:$C$9627=D$26)*('Monthly Data'!$D$13:$D$9627=$B142))</f>
        <v>1297703</v>
      </c>
      <c r="E142" s="80">
        <f>SUMPRODUCT(('Monthly Data'!$E$13:$E$9627=$B$138)*('Monthly Data'!$F$13:$F$9627)*('Monthly Data'!$C$13:$C$9627=E$26)*('Monthly Data'!$D$13:$D$9627=$B142))</f>
        <v>1362493</v>
      </c>
      <c r="F142" s="80">
        <f>SUMPRODUCT(('Monthly Data'!$E$13:$E$9627=$B$138)*('Monthly Data'!$F$13:$F$9627)*('Monthly Data'!$C$13:$C$9627=F$26)*('Monthly Data'!$D$13:$D$9627=$B142))</f>
        <v>1246307</v>
      </c>
      <c r="G142" s="80">
        <f>SUMPRODUCT(('Monthly Data'!$E$13:$E$9627=$B$138)*('Monthly Data'!$F$13:$F$9627)*('Monthly Data'!$C$13:$C$9627=G$26)*('Monthly Data'!$D$13:$D$9627=$B142))</f>
        <v>1299790</v>
      </c>
      <c r="H142" s="80">
        <f>SUMPRODUCT(('Monthly Data'!$E$13:$E$9627=$B$138)*('Monthly Data'!$F$13:$F$9627)*('Monthly Data'!$C$13:$C$9627=H$26)*('Monthly Data'!$D$13:$D$9627=$B142))</f>
        <v>1520544</v>
      </c>
      <c r="I142" s="80">
        <f>SUMPRODUCT(('Monthly Data'!$E$13:$E$9627=$B$138)*('Monthly Data'!$F$13:$F$9627)*('Monthly Data'!$C$13:$C$9627=I$26)*('Monthly Data'!$D$13:$D$9627=$B142))</f>
        <v>1535108</v>
      </c>
      <c r="J142" s="80">
        <f>SUMPRODUCT(('Monthly Data'!$E$13:$E$9627=$B$138)*('Monthly Data'!$F$13:$F$9627)*('Monthly Data'!$C$13:$C$9627=J$26)*('Monthly Data'!$D$13:$D$9627=$B142))</f>
        <v>1671288</v>
      </c>
      <c r="K142" s="80">
        <f>SUMPRODUCT(('Monthly Data'!$E$13:$E$9627=$B$138)*('Monthly Data'!$F$13:$F$9627)*('Monthly Data'!$C$13:$C$9627=K$26)*('Monthly Data'!$D$13:$D$9627=$B142))</f>
        <v>1628005</v>
      </c>
      <c r="L142" s="80">
        <f>SUMPRODUCT(('Monthly Data'!$E$13:$E$9627=$B$138)*('Monthly Data'!$F$13:$F$9627)*('Monthly Data'!$C$13:$C$9627=L$26)*('Monthly Data'!$D$13:$D$9627=$B142))</f>
        <v>1533816</v>
      </c>
      <c r="M142" s="80">
        <f>SUMPRODUCT(('Monthly Data'!$E$13:$E$9627=$B$138)*('Monthly Data'!$F$13:$F$9627)*('Monthly Data'!$C$13:$C$9627=M$26)*('Monthly Data'!$D$13:$D$9627=$B142))</f>
        <v>1454720</v>
      </c>
      <c r="N142" s="80">
        <f>SUMPRODUCT(('Monthly Data'!$E$13:$E$9627=$B$138)*('Monthly Data'!$F$13:$F$9627)*('Monthly Data'!$C$13:$C$9627=N$26)*('Monthly Data'!$D$13:$D$9627=$B142))</f>
        <v>1075048</v>
      </c>
      <c r="O142" s="80">
        <f>SUMPRODUCT(('Monthly Data'!$E$13:$E$9627=$B$138)*('Monthly Data'!$F$13:$F$9627)*('Monthly Data'!$C$13:$C$9627=O$26)*('Monthly Data'!$D$13:$D$9627=$B142))</f>
        <v>1425811</v>
      </c>
      <c r="P142" s="80">
        <f>SUMPRODUCT(('Monthly Data'!$E$13:$E$9627=$B$138)*('Monthly Data'!$F$13:$F$9627)*('Monthly Data'!$C$13:$C$9627=P$26)*('Monthly Data'!$D$13:$D$9627=$B142))</f>
        <v>1470379</v>
      </c>
      <c r="Q142" s="80">
        <f>SUMPRODUCT(('Monthly Data'!$E$13:$E$9627=$B$138)*('Monthly Data'!$F$13:$F$9627)*('Monthly Data'!$C$13:$C$9627=Q$26)*('Monthly Data'!$D$13:$D$9627=$B142))</f>
        <v>1522692</v>
      </c>
      <c r="S142" s="89">
        <f t="shared" si="28"/>
        <v>18266280</v>
      </c>
      <c r="U142" s="30">
        <v>4</v>
      </c>
      <c r="V142" s="95">
        <f>SUMPRODUCT(('Monthly Data'!$E$13:$E$9627=$U$138)*('Monthly Data'!$G$13:$G$9627)*('Monthly Data'!$C$13:$C$9627=V$26)*('Monthly Data'!$D$13:$D$9627=$U142))</f>
        <v>12831</v>
      </c>
      <c r="W142" s="95">
        <f>SUMPRODUCT(('Monthly Data'!$E$13:$E$9627=$U$138)*('Monthly Data'!$G$13:$G$9627)*('Monthly Data'!$C$13:$C$9627=W$26)*('Monthly Data'!$D$13:$D$9627=$U142))</f>
        <v>13251</v>
      </c>
      <c r="X142" s="80">
        <f>SUMPRODUCT(('Monthly Data'!$E$13:$E$9627=$U$138)*('Monthly Data'!$G$13:$G$9627)*('Monthly Data'!$C$13:$C$9627=X$26)*('Monthly Data'!$D$13:$D$9627=$U142))</f>
        <v>13979</v>
      </c>
      <c r="Y142" s="80">
        <f>SUMPRODUCT(('Monthly Data'!$E$13:$E$9627=$U$138)*('Monthly Data'!$G$13:$G$9627)*('Monthly Data'!$C$13:$C$9627=Y$26)*('Monthly Data'!$D$13:$D$9627=$U142))</f>
        <v>13504</v>
      </c>
      <c r="Z142" s="80">
        <f>SUMPRODUCT(('Monthly Data'!$E$13:$E$9627=$U$138)*('Monthly Data'!$G$13:$G$9627)*('Monthly Data'!$C$13:$C$9627=Z$26)*('Monthly Data'!$D$13:$D$9627=$U142))</f>
        <v>14192</v>
      </c>
      <c r="AA142" s="80">
        <f>SUMPRODUCT(('Monthly Data'!$E$13:$E$9627=$U$138)*('Monthly Data'!$G$13:$G$9627)*('Monthly Data'!$C$13:$C$9627=AA$26)*('Monthly Data'!$D$13:$D$9627=$U142))</f>
        <v>15975</v>
      </c>
      <c r="AB142" s="80">
        <f>SUMPRODUCT(('Monthly Data'!$E$13:$E$9627=$U$138)*('Monthly Data'!$G$13:$G$9627)*('Monthly Data'!$C$13:$C$9627=AB$26)*('Monthly Data'!$D$13:$D$9627=$U142))</f>
        <v>16874</v>
      </c>
      <c r="AC142" s="80">
        <f>SUMPRODUCT(('Monthly Data'!$E$13:$E$9627=$U$138)*('Monthly Data'!$G$13:$G$9627)*('Monthly Data'!$C$13:$C$9627=AC$26)*('Monthly Data'!$D$13:$D$9627=$U142))</f>
        <v>16337</v>
      </c>
      <c r="AD142" s="80">
        <f>SUMPRODUCT(('Monthly Data'!$E$13:$E$9627=$U$138)*('Monthly Data'!$G$13:$G$9627)*('Monthly Data'!$C$13:$C$9627=AD$26)*('Monthly Data'!$D$13:$D$9627=$U142))</f>
        <v>16127</v>
      </c>
      <c r="AE142" s="80">
        <f>SUMPRODUCT(('Monthly Data'!$E$13:$E$9627=$U$138)*('Monthly Data'!$G$13:$G$9627)*('Monthly Data'!$C$13:$C$9627=AE$26)*('Monthly Data'!$D$13:$D$9627=$U142))</f>
        <v>15497</v>
      </c>
      <c r="AF142" s="80">
        <f>SUMPRODUCT(('Monthly Data'!$E$13:$E$9627=$U$138)*('Monthly Data'!$G$13:$G$9627)*('Monthly Data'!$C$13:$C$9627=AF$26)*('Monthly Data'!$D$13:$D$9627=$U142))</f>
        <v>13271</v>
      </c>
      <c r="AG142" s="80">
        <f>SUMPRODUCT(('Monthly Data'!$E$13:$E$9627=$U$138)*('Monthly Data'!$G$13:$G$9627)*('Monthly Data'!$C$13:$C$9627=AG$26)*('Monthly Data'!$D$13:$D$9627=$U142))</f>
        <v>9525</v>
      </c>
      <c r="AH142" s="80">
        <f>SUMPRODUCT(('Monthly Data'!$E$13:$E$9627=$U$138)*('Monthly Data'!$G$13:$G$9627)*('Monthly Data'!$C$13:$C$9627=AH$26)*('Monthly Data'!$D$13:$D$9627=$U142))</f>
        <v>12293</v>
      </c>
      <c r="AI142" s="80">
        <f>SUMPRODUCT(('Monthly Data'!$E$13:$E$9627=$U$138)*('Monthly Data'!$G$13:$G$9627)*('Monthly Data'!$C$13:$C$9627=AI$26)*('Monthly Data'!$D$13:$D$9627=$U142))</f>
        <v>12889</v>
      </c>
      <c r="AJ142" s="80">
        <f>SUMPRODUCT(('Monthly Data'!$E$13:$E$9627=$U$138)*('Monthly Data'!$G$13:$G$9627)*('Monthly Data'!$C$13:$C$9627=AJ$26)*('Monthly Data'!$D$13:$D$9627=$U142))</f>
        <v>12950</v>
      </c>
      <c r="AL142" s="89">
        <f t="shared" si="29"/>
        <v>183656</v>
      </c>
    </row>
    <row r="143" spans="2:38">
      <c r="B143" s="30">
        <v>5</v>
      </c>
      <c r="C143" s="95">
        <f>SUMPRODUCT(('Monthly Data'!$E$13:$E$9627=$B$138)*('Monthly Data'!$F$13:$F$9627)*('Monthly Data'!$C$13:$C$9627=C$26)*('Monthly Data'!$D$13:$D$9627=$B143))</f>
        <v>1655068</v>
      </c>
      <c r="D143" s="95">
        <f>SUMPRODUCT(('Monthly Data'!$E$13:$E$9627=$B$138)*('Monthly Data'!$F$13:$F$9627)*('Monthly Data'!$C$13:$C$9627=D$26)*('Monthly Data'!$D$13:$D$9627=$B143))</f>
        <v>1706634</v>
      </c>
      <c r="E143" s="80">
        <f>SUMPRODUCT(('Monthly Data'!$E$13:$E$9627=$B$138)*('Monthly Data'!$F$13:$F$9627)*('Monthly Data'!$C$13:$C$9627=E$26)*('Monthly Data'!$D$13:$D$9627=$B143))</f>
        <v>1813329</v>
      </c>
      <c r="F143" s="80">
        <f>SUMPRODUCT(('Monthly Data'!$E$13:$E$9627=$B$138)*('Monthly Data'!$F$13:$F$9627)*('Monthly Data'!$C$13:$C$9627=F$26)*('Monthly Data'!$D$13:$D$9627=$B143))</f>
        <v>1670592</v>
      </c>
      <c r="G143" s="80">
        <f>SUMPRODUCT(('Monthly Data'!$E$13:$E$9627=$B$138)*('Monthly Data'!$F$13:$F$9627)*('Monthly Data'!$C$13:$C$9627=G$26)*('Monthly Data'!$D$13:$D$9627=$B143))</f>
        <v>1835482</v>
      </c>
      <c r="H143" s="80">
        <f>SUMPRODUCT(('Monthly Data'!$E$13:$E$9627=$B$138)*('Monthly Data'!$F$13:$F$9627)*('Monthly Data'!$C$13:$C$9627=H$26)*('Monthly Data'!$D$13:$D$9627=$B143))</f>
        <v>1845987</v>
      </c>
      <c r="I143" s="80">
        <f>SUMPRODUCT(('Monthly Data'!$E$13:$E$9627=$B$138)*('Monthly Data'!$F$13:$F$9627)*('Monthly Data'!$C$13:$C$9627=I$26)*('Monthly Data'!$D$13:$D$9627=$B143))</f>
        <v>1976965</v>
      </c>
      <c r="J143" s="80">
        <f>SUMPRODUCT(('Monthly Data'!$E$13:$E$9627=$B$138)*('Monthly Data'!$F$13:$F$9627)*('Monthly Data'!$C$13:$C$9627=J$26)*('Monthly Data'!$D$13:$D$9627=$B143))</f>
        <v>1999212</v>
      </c>
      <c r="K143" s="80">
        <f>SUMPRODUCT(('Monthly Data'!$E$13:$E$9627=$B$138)*('Monthly Data'!$F$13:$F$9627)*('Monthly Data'!$C$13:$C$9627=K$26)*('Monthly Data'!$D$13:$D$9627=$B143))</f>
        <v>1954280</v>
      </c>
      <c r="L143" s="80">
        <f>SUMPRODUCT(('Monthly Data'!$E$13:$E$9627=$B$138)*('Monthly Data'!$F$13:$F$9627)*('Monthly Data'!$C$13:$C$9627=L$26)*('Monthly Data'!$D$13:$D$9627=$B143))</f>
        <v>1984845</v>
      </c>
      <c r="M143" s="80">
        <f>SUMPRODUCT(('Monthly Data'!$E$13:$E$9627=$B$138)*('Monthly Data'!$F$13:$F$9627)*('Monthly Data'!$C$13:$C$9627=M$26)*('Monthly Data'!$D$13:$D$9627=$B143))</f>
        <v>1712286</v>
      </c>
      <c r="N143" s="80">
        <f>SUMPRODUCT(('Monthly Data'!$E$13:$E$9627=$B$138)*('Monthly Data'!$F$13:$F$9627)*('Monthly Data'!$C$13:$C$9627=N$26)*('Monthly Data'!$D$13:$D$9627=$B143))</f>
        <v>1572009</v>
      </c>
      <c r="O143" s="80">
        <f>SUMPRODUCT(('Monthly Data'!$E$13:$E$9627=$B$138)*('Monthly Data'!$F$13:$F$9627)*('Monthly Data'!$C$13:$C$9627=O$26)*('Monthly Data'!$D$13:$D$9627=$B143))</f>
        <v>1730257</v>
      </c>
      <c r="P143" s="80">
        <f>SUMPRODUCT(('Monthly Data'!$E$13:$E$9627=$B$138)*('Monthly Data'!$F$13:$F$9627)*('Monthly Data'!$C$13:$C$9627=P$26)*('Monthly Data'!$D$13:$D$9627=$B143))</f>
        <v>1710326</v>
      </c>
      <c r="Q143" s="80">
        <f>SUMPRODUCT(('Monthly Data'!$E$13:$E$9627=$B$138)*('Monthly Data'!$F$13:$F$9627)*('Monthly Data'!$C$13:$C$9627=Q$26)*('Monthly Data'!$D$13:$D$9627=$B143))</f>
        <v>0</v>
      </c>
      <c r="S143" s="89">
        <f t="shared" si="28"/>
        <v>23456946</v>
      </c>
      <c r="U143" s="30">
        <v>5</v>
      </c>
      <c r="V143" s="95">
        <f>SUMPRODUCT(('Monthly Data'!$E$13:$E$9627=$U$138)*('Monthly Data'!$G$13:$G$9627)*('Monthly Data'!$C$13:$C$9627=V$26)*('Monthly Data'!$D$13:$D$9627=$U143))</f>
        <v>15409</v>
      </c>
      <c r="W143" s="95">
        <f>SUMPRODUCT(('Monthly Data'!$E$13:$E$9627=$U$138)*('Monthly Data'!$G$13:$G$9627)*('Monthly Data'!$C$13:$C$9627=W$26)*('Monthly Data'!$D$13:$D$9627=$U143))</f>
        <v>16268</v>
      </c>
      <c r="X143" s="80">
        <f>SUMPRODUCT(('Monthly Data'!$E$13:$E$9627=$U$138)*('Monthly Data'!$G$13:$G$9627)*('Monthly Data'!$C$13:$C$9627=X$26)*('Monthly Data'!$D$13:$D$9627=$U143))</f>
        <v>16898</v>
      </c>
      <c r="Y143" s="80">
        <f>SUMPRODUCT(('Monthly Data'!$E$13:$E$9627=$U$138)*('Monthly Data'!$G$13:$G$9627)*('Monthly Data'!$C$13:$C$9627=Y$26)*('Monthly Data'!$D$13:$D$9627=$U143))</f>
        <v>15791</v>
      </c>
      <c r="Z143" s="80">
        <f>SUMPRODUCT(('Monthly Data'!$E$13:$E$9627=$U$138)*('Monthly Data'!$G$13:$G$9627)*('Monthly Data'!$C$13:$C$9627=Z$26)*('Monthly Data'!$D$13:$D$9627=$U143))</f>
        <v>17330</v>
      </c>
      <c r="AA143" s="80">
        <f>SUMPRODUCT(('Monthly Data'!$E$13:$E$9627=$U$138)*('Monthly Data'!$G$13:$G$9627)*('Monthly Data'!$C$13:$C$9627=AA$26)*('Monthly Data'!$D$13:$D$9627=$U143))</f>
        <v>18180</v>
      </c>
      <c r="AB143" s="80">
        <f>SUMPRODUCT(('Monthly Data'!$E$13:$E$9627=$U$138)*('Monthly Data'!$G$13:$G$9627)*('Monthly Data'!$C$13:$C$9627=AB$26)*('Monthly Data'!$D$13:$D$9627=$U143))</f>
        <v>19530</v>
      </c>
      <c r="AC143" s="80">
        <f>SUMPRODUCT(('Monthly Data'!$E$13:$E$9627=$U$138)*('Monthly Data'!$G$13:$G$9627)*('Monthly Data'!$C$13:$C$9627=AC$26)*('Monthly Data'!$D$13:$D$9627=$U143))</f>
        <v>19145</v>
      </c>
      <c r="AD143" s="80">
        <f>SUMPRODUCT(('Monthly Data'!$E$13:$E$9627=$U$138)*('Monthly Data'!$G$13:$G$9627)*('Monthly Data'!$C$13:$C$9627=AD$26)*('Monthly Data'!$D$13:$D$9627=$U143))</f>
        <v>18738</v>
      </c>
      <c r="AE143" s="80">
        <f>SUMPRODUCT(('Monthly Data'!$E$13:$E$9627=$U$138)*('Monthly Data'!$G$13:$G$9627)*('Monthly Data'!$C$13:$C$9627=AE$26)*('Monthly Data'!$D$13:$D$9627=$U143))</f>
        <v>17744</v>
      </c>
      <c r="AF143" s="80">
        <f>SUMPRODUCT(('Monthly Data'!$E$13:$E$9627=$U$138)*('Monthly Data'!$G$13:$G$9627)*('Monthly Data'!$C$13:$C$9627=AF$26)*('Monthly Data'!$D$13:$D$9627=$U143))</f>
        <v>14798</v>
      </c>
      <c r="AG143" s="80">
        <f>SUMPRODUCT(('Monthly Data'!$E$13:$E$9627=$U$138)*('Monthly Data'!$G$13:$G$9627)*('Monthly Data'!$C$13:$C$9627=AG$26)*('Monthly Data'!$D$13:$D$9627=$U143))</f>
        <v>13272</v>
      </c>
      <c r="AH143" s="80">
        <f>SUMPRODUCT(('Monthly Data'!$E$13:$E$9627=$U$138)*('Monthly Data'!$G$13:$G$9627)*('Monthly Data'!$C$13:$C$9627=AH$26)*('Monthly Data'!$D$13:$D$9627=$U143))</f>
        <v>14423</v>
      </c>
      <c r="AI143" s="80">
        <f>SUMPRODUCT(('Monthly Data'!$E$13:$E$9627=$U$138)*('Monthly Data'!$G$13:$G$9627)*('Monthly Data'!$C$13:$C$9627=AI$26)*('Monthly Data'!$D$13:$D$9627=$U143))</f>
        <v>14743</v>
      </c>
      <c r="AJ143" s="80">
        <f>SUMPRODUCT(('Monthly Data'!$E$13:$E$9627=$U$138)*('Monthly Data'!$G$13:$G$9627)*('Monthly Data'!$C$13:$C$9627=AJ$26)*('Monthly Data'!$D$13:$D$9627=$U143))</f>
        <v>0</v>
      </c>
      <c r="AL143" s="89">
        <f t="shared" si="29"/>
        <v>217526</v>
      </c>
    </row>
    <row r="144" spans="2:38">
      <c r="B144" s="30">
        <v>6</v>
      </c>
      <c r="C144" s="95">
        <f>SUMPRODUCT(('Monthly Data'!$E$13:$E$9627=$B$138)*('Monthly Data'!$F$13:$F$9627)*('Monthly Data'!$C$13:$C$9627=C$26)*('Monthly Data'!$D$13:$D$9627=$B144))</f>
        <v>1823947</v>
      </c>
      <c r="D144" s="95">
        <f>SUMPRODUCT(('Monthly Data'!$E$13:$E$9627=$B$138)*('Monthly Data'!$F$13:$F$9627)*('Monthly Data'!$C$13:$C$9627=D$26)*('Monthly Data'!$D$13:$D$9627=$B144))</f>
        <v>1879675</v>
      </c>
      <c r="E144" s="80">
        <f>SUMPRODUCT(('Monthly Data'!$E$13:$E$9627=$B$138)*('Monthly Data'!$F$13:$F$9627)*('Monthly Data'!$C$13:$C$9627=E$26)*('Monthly Data'!$D$13:$D$9627=$B144))</f>
        <v>2044483</v>
      </c>
      <c r="F144" s="80">
        <f>SUMPRODUCT(('Monthly Data'!$E$13:$E$9627=$B$138)*('Monthly Data'!$F$13:$F$9627)*('Monthly Data'!$C$13:$C$9627=F$26)*('Monthly Data'!$D$13:$D$9627=$B144))</f>
        <v>1938384</v>
      </c>
      <c r="G144" s="80">
        <f>SUMPRODUCT(('Monthly Data'!$E$13:$E$9627=$B$138)*('Monthly Data'!$F$13:$F$9627)*('Monthly Data'!$C$13:$C$9627=G$26)*('Monthly Data'!$D$13:$D$9627=$B144))</f>
        <v>1973126</v>
      </c>
      <c r="H144" s="80">
        <f>SUMPRODUCT(('Monthly Data'!$E$13:$E$9627=$B$138)*('Monthly Data'!$F$13:$F$9627)*('Monthly Data'!$C$13:$C$9627=H$26)*('Monthly Data'!$D$13:$D$9627=$B144))</f>
        <v>2111314</v>
      </c>
      <c r="I144" s="80">
        <f>SUMPRODUCT(('Monthly Data'!$E$13:$E$9627=$B$138)*('Monthly Data'!$F$13:$F$9627)*('Monthly Data'!$C$13:$C$9627=I$26)*('Monthly Data'!$D$13:$D$9627=$B144))</f>
        <v>2232750</v>
      </c>
      <c r="J144" s="80">
        <f>SUMPRODUCT(('Monthly Data'!$E$13:$E$9627=$B$138)*('Monthly Data'!$F$13:$F$9627)*('Monthly Data'!$C$13:$C$9627=J$26)*('Monthly Data'!$D$13:$D$9627=$B144))</f>
        <v>2258414</v>
      </c>
      <c r="K144" s="80">
        <f>SUMPRODUCT(('Monthly Data'!$E$13:$E$9627=$B$138)*('Monthly Data'!$F$13:$F$9627)*('Monthly Data'!$C$13:$C$9627=K$26)*('Monthly Data'!$D$13:$D$9627=$B144))</f>
        <v>2187449</v>
      </c>
      <c r="L144" s="80">
        <f>SUMPRODUCT(('Monthly Data'!$E$13:$E$9627=$B$138)*('Monthly Data'!$F$13:$F$9627)*('Monthly Data'!$C$13:$C$9627=L$26)*('Monthly Data'!$D$13:$D$9627=$B144))</f>
        <v>2123451</v>
      </c>
      <c r="M144" s="80">
        <f>SUMPRODUCT(('Monthly Data'!$E$13:$E$9627=$B$138)*('Monthly Data'!$F$13:$F$9627)*('Monthly Data'!$C$13:$C$9627=M$26)*('Monthly Data'!$D$13:$D$9627=$B144))</f>
        <v>1846269</v>
      </c>
      <c r="N144" s="80">
        <f>SUMPRODUCT(('Monthly Data'!$E$13:$E$9627=$B$138)*('Monthly Data'!$F$13:$F$9627)*('Monthly Data'!$C$13:$C$9627=N$26)*('Monthly Data'!$D$13:$D$9627=$B144))</f>
        <v>1834707</v>
      </c>
      <c r="O144" s="80">
        <f>SUMPRODUCT(('Monthly Data'!$E$13:$E$9627=$B$138)*('Monthly Data'!$F$13:$F$9627)*('Monthly Data'!$C$13:$C$9627=O$26)*('Monthly Data'!$D$13:$D$9627=$B144))</f>
        <v>1912504</v>
      </c>
      <c r="P144" s="80">
        <f>SUMPRODUCT(('Monthly Data'!$E$13:$E$9627=$B$138)*('Monthly Data'!$F$13:$F$9627)*('Monthly Data'!$C$13:$C$9627=P$26)*('Monthly Data'!$D$13:$D$9627=$B144))</f>
        <v>2037561</v>
      </c>
      <c r="Q144" s="80">
        <f>SUMPRODUCT(('Monthly Data'!$E$13:$E$9627=$B$138)*('Monthly Data'!$F$13:$F$9627)*('Monthly Data'!$C$13:$C$9627=Q$26)*('Monthly Data'!$D$13:$D$9627=$B144))</f>
        <v>0</v>
      </c>
      <c r="S144" s="89">
        <f t="shared" si="28"/>
        <v>26166473</v>
      </c>
      <c r="U144" s="30">
        <v>6</v>
      </c>
      <c r="V144" s="95">
        <f>SUMPRODUCT(('Monthly Data'!$E$13:$E$9627=$U$138)*('Monthly Data'!$G$13:$G$9627)*('Monthly Data'!$C$13:$C$9627=V$26)*('Monthly Data'!$D$13:$D$9627=$U144))</f>
        <v>15860</v>
      </c>
      <c r="W144" s="95">
        <f>SUMPRODUCT(('Monthly Data'!$E$13:$E$9627=$U$138)*('Monthly Data'!$G$13:$G$9627)*('Monthly Data'!$C$13:$C$9627=W$26)*('Monthly Data'!$D$13:$D$9627=$U144))</f>
        <v>16508</v>
      </c>
      <c r="X144" s="80">
        <f>SUMPRODUCT(('Monthly Data'!$E$13:$E$9627=$U$138)*('Monthly Data'!$G$13:$G$9627)*('Monthly Data'!$C$13:$C$9627=X$26)*('Monthly Data'!$D$13:$D$9627=$U144))</f>
        <v>17365</v>
      </c>
      <c r="Y144" s="80">
        <f>SUMPRODUCT(('Monthly Data'!$E$13:$E$9627=$U$138)*('Monthly Data'!$G$13:$G$9627)*('Monthly Data'!$C$13:$C$9627=Y$26)*('Monthly Data'!$D$13:$D$9627=$U144))</f>
        <v>16022</v>
      </c>
      <c r="Z144" s="80">
        <f>SUMPRODUCT(('Monthly Data'!$E$13:$E$9627=$U$138)*('Monthly Data'!$G$13:$G$9627)*('Monthly Data'!$C$13:$C$9627=Z$26)*('Monthly Data'!$D$13:$D$9627=$U144))</f>
        <v>17503</v>
      </c>
      <c r="AA144" s="80">
        <f>SUMPRODUCT(('Monthly Data'!$E$13:$E$9627=$U$138)*('Monthly Data'!$G$13:$G$9627)*('Monthly Data'!$C$13:$C$9627=AA$26)*('Monthly Data'!$D$13:$D$9627=$U144))</f>
        <v>19168</v>
      </c>
      <c r="AB144" s="80">
        <f>SUMPRODUCT(('Monthly Data'!$E$13:$E$9627=$U$138)*('Monthly Data'!$G$13:$G$9627)*('Monthly Data'!$C$13:$C$9627=AB$26)*('Monthly Data'!$D$13:$D$9627=$U144))</f>
        <v>20294</v>
      </c>
      <c r="AC144" s="80">
        <f>SUMPRODUCT(('Monthly Data'!$E$13:$E$9627=$U$138)*('Monthly Data'!$G$13:$G$9627)*('Monthly Data'!$C$13:$C$9627=AC$26)*('Monthly Data'!$D$13:$D$9627=$U144))</f>
        <v>19746</v>
      </c>
      <c r="AD144" s="80">
        <f>SUMPRODUCT(('Monthly Data'!$E$13:$E$9627=$U$138)*('Monthly Data'!$G$13:$G$9627)*('Monthly Data'!$C$13:$C$9627=AD$26)*('Monthly Data'!$D$13:$D$9627=$U144))</f>
        <v>19193</v>
      </c>
      <c r="AE144" s="80">
        <f>SUMPRODUCT(('Monthly Data'!$E$13:$E$9627=$U$138)*('Monthly Data'!$G$13:$G$9627)*('Monthly Data'!$C$13:$C$9627=AE$26)*('Monthly Data'!$D$13:$D$9627=$U144))</f>
        <v>18102</v>
      </c>
      <c r="AF144" s="80">
        <f>SUMPRODUCT(('Monthly Data'!$E$13:$E$9627=$U$138)*('Monthly Data'!$G$13:$G$9627)*('Monthly Data'!$C$13:$C$9627=AF$26)*('Monthly Data'!$D$13:$D$9627=$U144))</f>
        <v>15119</v>
      </c>
      <c r="AG144" s="80">
        <f>SUMPRODUCT(('Monthly Data'!$E$13:$E$9627=$U$138)*('Monthly Data'!$G$13:$G$9627)*('Monthly Data'!$C$13:$C$9627=AG$26)*('Monthly Data'!$D$13:$D$9627=$U144))</f>
        <v>14542</v>
      </c>
      <c r="AH144" s="80">
        <f>SUMPRODUCT(('Monthly Data'!$E$13:$E$9627=$U$138)*('Monthly Data'!$G$13:$G$9627)*('Monthly Data'!$C$13:$C$9627=AH$26)*('Monthly Data'!$D$13:$D$9627=$U144))</f>
        <v>15034</v>
      </c>
      <c r="AI144" s="80">
        <f>SUMPRODUCT(('Monthly Data'!$E$13:$E$9627=$U$138)*('Monthly Data'!$G$13:$G$9627)*('Monthly Data'!$C$13:$C$9627=AI$26)*('Monthly Data'!$D$13:$D$9627=$U144))</f>
        <v>15270</v>
      </c>
      <c r="AJ144" s="80">
        <f>SUMPRODUCT(('Monthly Data'!$E$13:$E$9627=$U$138)*('Monthly Data'!$G$13:$G$9627)*('Monthly Data'!$C$13:$C$9627=AJ$26)*('Monthly Data'!$D$13:$D$9627=$U144))</f>
        <v>0</v>
      </c>
      <c r="AL144" s="89">
        <f t="shared" si="29"/>
        <v>224456</v>
      </c>
    </row>
    <row r="145" spans="2:38">
      <c r="B145" s="30">
        <v>7</v>
      </c>
      <c r="C145" s="95">
        <f>SUMPRODUCT(('Monthly Data'!$E$13:$E$9627=$B$138)*('Monthly Data'!$F$13:$F$9627)*('Monthly Data'!$C$13:$C$9627=C$26)*('Monthly Data'!$D$13:$D$9627=$B145))</f>
        <v>1918848</v>
      </c>
      <c r="D145" s="95">
        <f>SUMPRODUCT(('Monthly Data'!$E$13:$E$9627=$B$138)*('Monthly Data'!$F$13:$F$9627)*('Monthly Data'!$C$13:$C$9627=D$26)*('Monthly Data'!$D$13:$D$9627=$B145))</f>
        <v>2029812</v>
      </c>
      <c r="E145" s="80">
        <f>SUMPRODUCT(('Monthly Data'!$E$13:$E$9627=$B$138)*('Monthly Data'!$F$13:$F$9627)*('Monthly Data'!$C$13:$C$9627=E$26)*('Monthly Data'!$D$13:$D$9627=$B145))</f>
        <v>2180078</v>
      </c>
      <c r="F145" s="80">
        <f>SUMPRODUCT(('Monthly Data'!$E$13:$E$9627=$B$138)*('Monthly Data'!$F$13:$F$9627)*('Monthly Data'!$C$13:$C$9627=F$26)*('Monthly Data'!$D$13:$D$9627=$B145))</f>
        <v>2063185</v>
      </c>
      <c r="G145" s="80">
        <f>SUMPRODUCT(('Monthly Data'!$E$13:$E$9627=$B$138)*('Monthly Data'!$F$13:$F$9627)*('Monthly Data'!$C$13:$C$9627=G$26)*('Monthly Data'!$D$13:$D$9627=$B145))</f>
        <v>2169945</v>
      </c>
      <c r="H145" s="80">
        <f>SUMPRODUCT(('Monthly Data'!$E$13:$E$9627=$B$138)*('Monthly Data'!$F$13:$F$9627)*('Monthly Data'!$C$13:$C$9627=H$26)*('Monthly Data'!$D$13:$D$9627=$B145))</f>
        <v>2271838</v>
      </c>
      <c r="I145" s="80">
        <f>SUMPRODUCT(('Monthly Data'!$E$13:$E$9627=$B$138)*('Monthly Data'!$F$13:$F$9627)*('Monthly Data'!$C$13:$C$9627=I$26)*('Monthly Data'!$D$13:$D$9627=$B145))</f>
        <v>2397605</v>
      </c>
      <c r="J145" s="80">
        <f>SUMPRODUCT(('Monthly Data'!$E$13:$E$9627=$B$138)*('Monthly Data'!$F$13:$F$9627)*('Monthly Data'!$C$13:$C$9627=J$26)*('Monthly Data'!$D$13:$D$9627=$B145))</f>
        <v>2422158</v>
      </c>
      <c r="K145" s="80">
        <f>SUMPRODUCT(('Monthly Data'!$E$13:$E$9627=$B$138)*('Monthly Data'!$F$13:$F$9627)*('Monthly Data'!$C$13:$C$9627=K$26)*('Monthly Data'!$D$13:$D$9627=$B145))</f>
        <v>2355548</v>
      </c>
      <c r="L145" s="80">
        <f>SUMPRODUCT(('Monthly Data'!$E$13:$E$9627=$B$138)*('Monthly Data'!$F$13:$F$9627)*('Monthly Data'!$C$13:$C$9627=L$26)*('Monthly Data'!$D$13:$D$9627=$B145))</f>
        <v>2261518</v>
      </c>
      <c r="M145" s="80">
        <f>SUMPRODUCT(('Monthly Data'!$E$13:$E$9627=$B$138)*('Monthly Data'!$F$13:$F$9627)*('Monthly Data'!$C$13:$C$9627=M$26)*('Monthly Data'!$D$13:$D$9627=$B145))</f>
        <v>2035884</v>
      </c>
      <c r="N145" s="80">
        <f>SUMPRODUCT(('Monthly Data'!$E$13:$E$9627=$B$138)*('Monthly Data'!$F$13:$F$9627)*('Monthly Data'!$C$13:$C$9627=N$26)*('Monthly Data'!$D$13:$D$9627=$B145))</f>
        <v>2006710</v>
      </c>
      <c r="O145" s="80">
        <f>SUMPRODUCT(('Monthly Data'!$E$13:$E$9627=$B$138)*('Monthly Data'!$F$13:$F$9627)*('Monthly Data'!$C$13:$C$9627=O$26)*('Monthly Data'!$D$13:$D$9627=$B145))</f>
        <v>2119487</v>
      </c>
      <c r="P145" s="80">
        <f>SUMPRODUCT(('Monthly Data'!$E$13:$E$9627=$B$138)*('Monthly Data'!$F$13:$F$9627)*('Monthly Data'!$C$13:$C$9627=P$26)*('Monthly Data'!$D$13:$D$9627=$B145))</f>
        <v>2173644</v>
      </c>
      <c r="Q145" s="80">
        <f>SUMPRODUCT(('Monthly Data'!$E$13:$E$9627=$B$138)*('Monthly Data'!$F$13:$F$9627)*('Monthly Data'!$C$13:$C$9627=Q$26)*('Monthly Data'!$D$13:$D$9627=$B145))</f>
        <v>0</v>
      </c>
      <c r="S145" s="89">
        <f t="shared" si="28"/>
        <v>28232616</v>
      </c>
      <c r="U145" s="30">
        <v>7</v>
      </c>
      <c r="V145" s="95">
        <f>SUMPRODUCT(('Monthly Data'!$E$13:$E$9627=$U$138)*('Monthly Data'!$G$13:$G$9627)*('Monthly Data'!$C$13:$C$9627=V$26)*('Monthly Data'!$D$13:$D$9627=$U145))</f>
        <v>16471</v>
      </c>
      <c r="W145" s="95">
        <f>SUMPRODUCT(('Monthly Data'!$E$13:$E$9627=$U$138)*('Monthly Data'!$G$13:$G$9627)*('Monthly Data'!$C$13:$C$9627=W$26)*('Monthly Data'!$D$13:$D$9627=$U145))</f>
        <v>17253</v>
      </c>
      <c r="X145" s="80">
        <f>SUMPRODUCT(('Monthly Data'!$E$13:$E$9627=$U$138)*('Monthly Data'!$G$13:$G$9627)*('Monthly Data'!$C$13:$C$9627=X$26)*('Monthly Data'!$D$13:$D$9627=$U145))</f>
        <v>18143</v>
      </c>
      <c r="Y145" s="80">
        <f>SUMPRODUCT(('Monthly Data'!$E$13:$E$9627=$U$138)*('Monthly Data'!$G$13:$G$9627)*('Monthly Data'!$C$13:$C$9627=Y$26)*('Monthly Data'!$D$13:$D$9627=$U145))</f>
        <v>17070</v>
      </c>
      <c r="Z145" s="80">
        <f>SUMPRODUCT(('Monthly Data'!$E$13:$E$9627=$U$138)*('Monthly Data'!$G$13:$G$9627)*('Monthly Data'!$C$13:$C$9627=Z$26)*('Monthly Data'!$D$13:$D$9627=$U145))</f>
        <v>18813</v>
      </c>
      <c r="AA145" s="80">
        <f>SUMPRODUCT(('Monthly Data'!$E$13:$E$9627=$U$138)*('Monthly Data'!$G$13:$G$9627)*('Monthly Data'!$C$13:$C$9627=AA$26)*('Monthly Data'!$D$13:$D$9627=$U145))</f>
        <v>20029</v>
      </c>
      <c r="AB145" s="80">
        <f>SUMPRODUCT(('Monthly Data'!$E$13:$E$9627=$U$138)*('Monthly Data'!$G$13:$G$9627)*('Monthly Data'!$C$13:$C$9627=AB$26)*('Monthly Data'!$D$13:$D$9627=$U145))</f>
        <v>20979</v>
      </c>
      <c r="AC145" s="80">
        <f>SUMPRODUCT(('Monthly Data'!$E$13:$E$9627=$U$138)*('Monthly Data'!$G$13:$G$9627)*('Monthly Data'!$C$13:$C$9627=AC$26)*('Monthly Data'!$D$13:$D$9627=$U145))</f>
        <v>20420</v>
      </c>
      <c r="AD145" s="80">
        <f>SUMPRODUCT(('Monthly Data'!$E$13:$E$9627=$U$138)*('Monthly Data'!$G$13:$G$9627)*('Monthly Data'!$C$13:$C$9627=AD$26)*('Monthly Data'!$D$13:$D$9627=$U145))</f>
        <v>19941</v>
      </c>
      <c r="AE145" s="80">
        <f>SUMPRODUCT(('Monthly Data'!$E$13:$E$9627=$U$138)*('Monthly Data'!$G$13:$G$9627)*('Monthly Data'!$C$13:$C$9627=AE$26)*('Monthly Data'!$D$13:$D$9627=$U145))</f>
        <v>18402</v>
      </c>
      <c r="AF145" s="80">
        <f>SUMPRODUCT(('Monthly Data'!$E$13:$E$9627=$U$138)*('Monthly Data'!$G$13:$G$9627)*('Monthly Data'!$C$13:$C$9627=AF$26)*('Monthly Data'!$D$13:$D$9627=$U145))</f>
        <v>15604</v>
      </c>
      <c r="AG145" s="80">
        <f>SUMPRODUCT(('Monthly Data'!$E$13:$E$9627=$U$138)*('Monthly Data'!$G$13:$G$9627)*('Monthly Data'!$C$13:$C$9627=AG$26)*('Monthly Data'!$D$13:$D$9627=$U145))</f>
        <v>15123</v>
      </c>
      <c r="AH145" s="80">
        <f>SUMPRODUCT(('Monthly Data'!$E$13:$E$9627=$U$138)*('Monthly Data'!$G$13:$G$9627)*('Monthly Data'!$C$13:$C$9627=AH$26)*('Monthly Data'!$D$13:$D$9627=$U145))</f>
        <v>15619</v>
      </c>
      <c r="AI145" s="80">
        <f>SUMPRODUCT(('Monthly Data'!$E$13:$E$9627=$U$138)*('Monthly Data'!$G$13:$G$9627)*('Monthly Data'!$C$13:$C$9627=AI$26)*('Monthly Data'!$D$13:$D$9627=$U145))</f>
        <v>15810</v>
      </c>
      <c r="AJ145" s="80">
        <f>SUMPRODUCT(('Monthly Data'!$E$13:$E$9627=$U$138)*('Monthly Data'!$G$13:$G$9627)*('Monthly Data'!$C$13:$C$9627=AJ$26)*('Monthly Data'!$D$13:$D$9627=$U145))</f>
        <v>0</v>
      </c>
      <c r="AL145" s="89">
        <f t="shared" si="29"/>
        <v>233867</v>
      </c>
    </row>
    <row r="146" spans="2:38">
      <c r="B146" s="30">
        <v>8</v>
      </c>
      <c r="C146" s="95">
        <f>SUMPRODUCT(('Monthly Data'!$E$13:$E$9627=$B$138)*('Monthly Data'!$F$13:$F$9627)*('Monthly Data'!$C$13:$C$9627=C$26)*('Monthly Data'!$D$13:$D$9627=$B146))</f>
        <v>1954963</v>
      </c>
      <c r="D146" s="95">
        <f>SUMPRODUCT(('Monthly Data'!$E$13:$E$9627=$B$138)*('Monthly Data'!$F$13:$F$9627)*('Monthly Data'!$C$13:$C$9627=D$26)*('Monthly Data'!$D$13:$D$9627=$B146))</f>
        <v>2083173</v>
      </c>
      <c r="E146" s="80">
        <f>SUMPRODUCT(('Monthly Data'!$E$13:$E$9627=$B$138)*('Monthly Data'!$F$13:$F$9627)*('Monthly Data'!$C$13:$C$9627=E$26)*('Monthly Data'!$D$13:$D$9627=$B146))</f>
        <v>2257997</v>
      </c>
      <c r="F146" s="80">
        <f>SUMPRODUCT(('Monthly Data'!$E$13:$E$9627=$B$138)*('Monthly Data'!$F$13:$F$9627)*('Monthly Data'!$C$13:$C$9627=F$26)*('Monthly Data'!$D$13:$D$9627=$B146))</f>
        <v>2185118</v>
      </c>
      <c r="G146" s="80">
        <f>SUMPRODUCT(('Monthly Data'!$E$13:$E$9627=$B$138)*('Monthly Data'!$F$13:$F$9627)*('Monthly Data'!$C$13:$C$9627=G$26)*('Monthly Data'!$D$13:$D$9627=$B146))</f>
        <v>2351647</v>
      </c>
      <c r="H146" s="80">
        <f>SUMPRODUCT(('Monthly Data'!$E$13:$E$9627=$B$138)*('Monthly Data'!$F$13:$F$9627)*('Monthly Data'!$C$13:$C$9627=H$26)*('Monthly Data'!$D$13:$D$9627=$B146))</f>
        <v>2389757</v>
      </c>
      <c r="I146" s="80">
        <f>SUMPRODUCT(('Monthly Data'!$E$13:$E$9627=$B$138)*('Monthly Data'!$F$13:$F$9627)*('Monthly Data'!$C$13:$C$9627=I$26)*('Monthly Data'!$D$13:$D$9627=$B146))</f>
        <v>2536307</v>
      </c>
      <c r="J146" s="80">
        <f>SUMPRODUCT(('Monthly Data'!$E$13:$E$9627=$B$138)*('Monthly Data'!$F$13:$F$9627)*('Monthly Data'!$C$13:$C$9627=J$26)*('Monthly Data'!$D$13:$D$9627=$B146))</f>
        <v>2473881</v>
      </c>
      <c r="K146" s="80">
        <f>SUMPRODUCT(('Monthly Data'!$E$13:$E$9627=$B$138)*('Monthly Data'!$F$13:$F$9627)*('Monthly Data'!$C$13:$C$9627=K$26)*('Monthly Data'!$D$13:$D$9627=$B146))</f>
        <v>2483408</v>
      </c>
      <c r="L146" s="80">
        <f>SUMPRODUCT(('Monthly Data'!$E$13:$E$9627=$B$138)*('Monthly Data'!$F$13:$F$9627)*('Monthly Data'!$C$13:$C$9627=L$26)*('Monthly Data'!$D$13:$D$9627=$B146))</f>
        <v>2371468</v>
      </c>
      <c r="M146" s="80">
        <f>SUMPRODUCT(('Monthly Data'!$E$13:$E$9627=$B$138)*('Monthly Data'!$F$13:$F$9627)*('Monthly Data'!$C$13:$C$9627=M$26)*('Monthly Data'!$D$13:$D$9627=$B146))</f>
        <v>2151164</v>
      </c>
      <c r="N146" s="80">
        <f>SUMPRODUCT(('Monthly Data'!$E$13:$E$9627=$B$138)*('Monthly Data'!$F$13:$F$9627)*('Monthly Data'!$C$13:$C$9627=N$26)*('Monthly Data'!$D$13:$D$9627=$B146))</f>
        <v>2089979</v>
      </c>
      <c r="O146" s="80">
        <f>SUMPRODUCT(('Monthly Data'!$E$13:$E$9627=$B$138)*('Monthly Data'!$F$13:$F$9627)*('Monthly Data'!$C$13:$C$9627=O$26)*('Monthly Data'!$D$13:$D$9627=$B146))</f>
        <v>2166993</v>
      </c>
      <c r="P146" s="80">
        <f>SUMPRODUCT(('Monthly Data'!$E$13:$E$9627=$B$138)*('Monthly Data'!$F$13:$F$9627)*('Monthly Data'!$C$13:$C$9627=P$26)*('Monthly Data'!$D$13:$D$9627=$B146))</f>
        <v>2205349</v>
      </c>
      <c r="Q146" s="80">
        <f>SUMPRODUCT(('Monthly Data'!$E$13:$E$9627=$B$138)*('Monthly Data'!$F$13:$F$9627)*('Monthly Data'!$C$13:$C$9627=Q$26)*('Monthly Data'!$D$13:$D$9627=$B146))</f>
        <v>0</v>
      </c>
      <c r="S146" s="89">
        <f t="shared" si="28"/>
        <v>29495855</v>
      </c>
      <c r="U146" s="30">
        <v>8</v>
      </c>
      <c r="V146" s="95">
        <f>SUMPRODUCT(('Monthly Data'!$E$13:$E$9627=$U$138)*('Monthly Data'!$G$13:$G$9627)*('Monthly Data'!$C$13:$C$9627=V$26)*('Monthly Data'!$D$13:$D$9627=$U146))</f>
        <v>16483</v>
      </c>
      <c r="W146" s="95">
        <f>SUMPRODUCT(('Monthly Data'!$E$13:$E$9627=$U$138)*('Monthly Data'!$G$13:$G$9627)*('Monthly Data'!$C$13:$C$9627=W$26)*('Monthly Data'!$D$13:$D$9627=$U146))</f>
        <v>17643</v>
      </c>
      <c r="X146" s="80">
        <f>SUMPRODUCT(('Monthly Data'!$E$13:$E$9627=$U$138)*('Monthly Data'!$G$13:$G$9627)*('Monthly Data'!$C$13:$C$9627=X$26)*('Monthly Data'!$D$13:$D$9627=$U146))</f>
        <v>18336</v>
      </c>
      <c r="Y146" s="80">
        <f>SUMPRODUCT(('Monthly Data'!$E$13:$E$9627=$U$138)*('Monthly Data'!$G$13:$G$9627)*('Monthly Data'!$C$13:$C$9627=Y$26)*('Monthly Data'!$D$13:$D$9627=$U146))</f>
        <v>17469</v>
      </c>
      <c r="Z146" s="80">
        <f>SUMPRODUCT(('Monthly Data'!$E$13:$E$9627=$U$138)*('Monthly Data'!$G$13:$G$9627)*('Monthly Data'!$C$13:$C$9627=Z$26)*('Monthly Data'!$D$13:$D$9627=$U146))</f>
        <v>19061</v>
      </c>
      <c r="AA146" s="80">
        <f>SUMPRODUCT(('Monthly Data'!$E$13:$E$9627=$U$138)*('Monthly Data'!$G$13:$G$9627)*('Monthly Data'!$C$13:$C$9627=AA$26)*('Monthly Data'!$D$13:$D$9627=$U146))</f>
        <v>20363</v>
      </c>
      <c r="AB146" s="80">
        <f>SUMPRODUCT(('Monthly Data'!$E$13:$E$9627=$U$138)*('Monthly Data'!$G$13:$G$9627)*('Monthly Data'!$C$13:$C$9627=AB$26)*('Monthly Data'!$D$13:$D$9627=$U146))</f>
        <v>21514</v>
      </c>
      <c r="AC146" s="80">
        <f>SUMPRODUCT(('Monthly Data'!$E$13:$E$9627=$U$138)*('Monthly Data'!$G$13:$G$9627)*('Monthly Data'!$C$13:$C$9627=AC$26)*('Monthly Data'!$D$13:$D$9627=$U146))</f>
        <v>20830</v>
      </c>
      <c r="AD146" s="80">
        <f>SUMPRODUCT(('Monthly Data'!$E$13:$E$9627=$U$138)*('Monthly Data'!$G$13:$G$9627)*('Monthly Data'!$C$13:$C$9627=AD$26)*('Monthly Data'!$D$13:$D$9627=$U146))</f>
        <v>20186</v>
      </c>
      <c r="AE146" s="80">
        <f>SUMPRODUCT(('Monthly Data'!$E$13:$E$9627=$U$138)*('Monthly Data'!$G$13:$G$9627)*('Monthly Data'!$C$13:$C$9627=AE$26)*('Monthly Data'!$D$13:$D$9627=$U146))</f>
        <v>18312</v>
      </c>
      <c r="AF146" s="80">
        <f>SUMPRODUCT(('Monthly Data'!$E$13:$E$9627=$U$138)*('Monthly Data'!$G$13:$G$9627)*('Monthly Data'!$C$13:$C$9627=AF$26)*('Monthly Data'!$D$13:$D$9627=$U146))</f>
        <v>15823</v>
      </c>
      <c r="AG146" s="80">
        <f>SUMPRODUCT(('Monthly Data'!$E$13:$E$9627=$U$138)*('Monthly Data'!$G$13:$G$9627)*('Monthly Data'!$C$13:$C$9627=AG$26)*('Monthly Data'!$D$13:$D$9627=$U146))</f>
        <v>15227</v>
      </c>
      <c r="AH146" s="80">
        <f>SUMPRODUCT(('Monthly Data'!$E$13:$E$9627=$U$138)*('Monthly Data'!$G$13:$G$9627)*('Monthly Data'!$C$13:$C$9627=AH$26)*('Monthly Data'!$D$13:$D$9627=$U146))</f>
        <v>15814</v>
      </c>
      <c r="AI146" s="80">
        <f>SUMPRODUCT(('Monthly Data'!$E$13:$E$9627=$U$138)*('Monthly Data'!$G$13:$G$9627)*('Monthly Data'!$C$13:$C$9627=AI$26)*('Monthly Data'!$D$13:$D$9627=$U146))</f>
        <v>15733</v>
      </c>
      <c r="AJ146" s="80">
        <f>SUMPRODUCT(('Monthly Data'!$E$13:$E$9627=$U$138)*('Monthly Data'!$G$13:$G$9627)*('Monthly Data'!$C$13:$C$9627=AJ$26)*('Monthly Data'!$D$13:$D$9627=$U146))</f>
        <v>0</v>
      </c>
      <c r="AL146" s="89">
        <f t="shared" si="29"/>
        <v>237061</v>
      </c>
    </row>
    <row r="147" spans="2:38">
      <c r="B147" s="30">
        <v>9</v>
      </c>
      <c r="C147" s="95">
        <f>SUMPRODUCT(('Monthly Data'!$E$13:$E$9627=$B$138)*('Monthly Data'!$F$13:$F$9627)*('Monthly Data'!$C$13:$C$9627=C$26)*('Monthly Data'!$D$13:$D$9627=$B147))</f>
        <v>1905845</v>
      </c>
      <c r="D147" s="95">
        <f>SUMPRODUCT(('Monthly Data'!$E$13:$E$9627=$B$138)*('Monthly Data'!$F$13:$F$9627)*('Monthly Data'!$C$13:$C$9627=D$26)*('Monthly Data'!$D$13:$D$9627=$B147))</f>
        <v>2046324</v>
      </c>
      <c r="E147" s="80">
        <f>SUMPRODUCT(('Monthly Data'!$E$13:$E$9627=$B$138)*('Monthly Data'!$F$13:$F$9627)*('Monthly Data'!$C$13:$C$9627=E$26)*('Monthly Data'!$D$13:$D$9627=$B147))</f>
        <v>2109743</v>
      </c>
      <c r="F147" s="80">
        <f>SUMPRODUCT(('Monthly Data'!$E$13:$E$9627=$B$138)*('Monthly Data'!$F$13:$F$9627)*('Monthly Data'!$C$13:$C$9627=F$26)*('Monthly Data'!$D$13:$D$9627=$B147))</f>
        <v>2077189</v>
      </c>
      <c r="G147" s="80">
        <f>SUMPRODUCT(('Monthly Data'!$E$13:$E$9627=$B$138)*('Monthly Data'!$F$13:$F$9627)*('Monthly Data'!$C$13:$C$9627=G$26)*('Monthly Data'!$D$13:$D$9627=$B147))</f>
        <v>2136976</v>
      </c>
      <c r="H147" s="80">
        <f>SUMPRODUCT(('Monthly Data'!$E$13:$E$9627=$B$138)*('Monthly Data'!$F$13:$F$9627)*('Monthly Data'!$C$13:$C$9627=H$26)*('Monthly Data'!$D$13:$D$9627=$B147))</f>
        <v>2253452</v>
      </c>
      <c r="I147" s="80">
        <f>SUMPRODUCT(('Monthly Data'!$E$13:$E$9627=$B$138)*('Monthly Data'!$F$13:$F$9627)*('Monthly Data'!$C$13:$C$9627=I$26)*('Monthly Data'!$D$13:$D$9627=$B147))</f>
        <v>2380136</v>
      </c>
      <c r="J147" s="80">
        <f>SUMPRODUCT(('Monthly Data'!$E$13:$E$9627=$B$138)*('Monthly Data'!$F$13:$F$9627)*('Monthly Data'!$C$13:$C$9627=J$26)*('Monthly Data'!$D$13:$D$9627=$B147))</f>
        <v>2309500</v>
      </c>
      <c r="K147" s="80">
        <f>SUMPRODUCT(('Monthly Data'!$E$13:$E$9627=$B$138)*('Monthly Data'!$F$13:$F$9627)*('Monthly Data'!$C$13:$C$9627=K$26)*('Monthly Data'!$D$13:$D$9627=$B147))</f>
        <v>2288807</v>
      </c>
      <c r="L147" s="80">
        <f>SUMPRODUCT(('Monthly Data'!$E$13:$E$9627=$B$138)*('Monthly Data'!$F$13:$F$9627)*('Monthly Data'!$C$13:$C$9627=L$26)*('Monthly Data'!$D$13:$D$9627=$B147))</f>
        <v>2135424</v>
      </c>
      <c r="M147" s="80">
        <f>SUMPRODUCT(('Monthly Data'!$E$13:$E$9627=$B$138)*('Monthly Data'!$F$13:$F$9627)*('Monthly Data'!$C$13:$C$9627=M$26)*('Monthly Data'!$D$13:$D$9627=$B147))</f>
        <v>1948336</v>
      </c>
      <c r="N147" s="80">
        <f>SUMPRODUCT(('Monthly Data'!$E$13:$E$9627=$B$138)*('Monthly Data'!$F$13:$F$9627)*('Monthly Data'!$C$13:$C$9627=N$26)*('Monthly Data'!$D$13:$D$9627=$B147))</f>
        <v>1911524</v>
      </c>
      <c r="O147" s="80">
        <f>SUMPRODUCT(('Monthly Data'!$E$13:$E$9627=$B$138)*('Monthly Data'!$F$13:$F$9627)*('Monthly Data'!$C$13:$C$9627=O$26)*('Monthly Data'!$D$13:$D$9627=$B147))</f>
        <v>2035272</v>
      </c>
      <c r="P147" s="80">
        <f>SUMPRODUCT(('Monthly Data'!$E$13:$E$9627=$B$138)*('Monthly Data'!$F$13:$F$9627)*('Monthly Data'!$C$13:$C$9627=P$26)*('Monthly Data'!$D$13:$D$9627=$B147))</f>
        <v>2082837</v>
      </c>
      <c r="Q147" s="80">
        <f>SUMPRODUCT(('Monthly Data'!$E$13:$E$9627=$B$138)*('Monthly Data'!$F$13:$F$9627)*('Monthly Data'!$C$13:$C$9627=Q$26)*('Monthly Data'!$D$13:$D$9627=$B147))</f>
        <v>0</v>
      </c>
      <c r="S147" s="89">
        <f t="shared" si="28"/>
        <v>27538528</v>
      </c>
      <c r="U147" s="30">
        <v>9</v>
      </c>
      <c r="V147" s="95">
        <f>SUMPRODUCT(('Monthly Data'!$E$13:$E$9627=$U$138)*('Monthly Data'!$G$13:$G$9627)*('Monthly Data'!$C$13:$C$9627=V$26)*('Monthly Data'!$D$13:$D$9627=$U147))</f>
        <v>16067</v>
      </c>
      <c r="W147" s="95">
        <f>SUMPRODUCT(('Monthly Data'!$E$13:$E$9627=$U$138)*('Monthly Data'!$G$13:$G$9627)*('Monthly Data'!$C$13:$C$9627=W$26)*('Monthly Data'!$D$13:$D$9627=$U147))</f>
        <v>17043</v>
      </c>
      <c r="X147" s="80">
        <f>SUMPRODUCT(('Monthly Data'!$E$13:$E$9627=$U$138)*('Monthly Data'!$G$13:$G$9627)*('Monthly Data'!$C$13:$C$9627=X$26)*('Monthly Data'!$D$13:$D$9627=$U147))</f>
        <v>17414</v>
      </c>
      <c r="Y147" s="80">
        <f>SUMPRODUCT(('Monthly Data'!$E$13:$E$9627=$U$138)*('Monthly Data'!$G$13:$G$9627)*('Monthly Data'!$C$13:$C$9627=Y$26)*('Monthly Data'!$D$13:$D$9627=$U147))</f>
        <v>17123</v>
      </c>
      <c r="Z147" s="80">
        <f>SUMPRODUCT(('Monthly Data'!$E$13:$E$9627=$U$138)*('Monthly Data'!$G$13:$G$9627)*('Monthly Data'!$C$13:$C$9627=Z$26)*('Monthly Data'!$D$13:$D$9627=$U147))</f>
        <v>18465</v>
      </c>
      <c r="AA147" s="80">
        <f>SUMPRODUCT(('Monthly Data'!$E$13:$E$9627=$U$138)*('Monthly Data'!$G$13:$G$9627)*('Monthly Data'!$C$13:$C$9627=AA$26)*('Monthly Data'!$D$13:$D$9627=$U147))</f>
        <v>19813</v>
      </c>
      <c r="AB147" s="80">
        <f>SUMPRODUCT(('Monthly Data'!$E$13:$E$9627=$U$138)*('Monthly Data'!$G$13:$G$9627)*('Monthly Data'!$C$13:$C$9627=AB$26)*('Monthly Data'!$D$13:$D$9627=$U147))</f>
        <v>20602</v>
      </c>
      <c r="AC147" s="80">
        <f>SUMPRODUCT(('Monthly Data'!$E$13:$E$9627=$U$138)*('Monthly Data'!$G$13:$G$9627)*('Monthly Data'!$C$13:$C$9627=AC$26)*('Monthly Data'!$D$13:$D$9627=$U147))</f>
        <v>20009</v>
      </c>
      <c r="AD147" s="80">
        <f>SUMPRODUCT(('Monthly Data'!$E$13:$E$9627=$U$138)*('Monthly Data'!$G$13:$G$9627)*('Monthly Data'!$C$13:$C$9627=AD$26)*('Monthly Data'!$D$13:$D$9627=$U147))</f>
        <v>19191</v>
      </c>
      <c r="AE147" s="80">
        <f>SUMPRODUCT(('Monthly Data'!$E$13:$E$9627=$U$138)*('Monthly Data'!$G$13:$G$9627)*('Monthly Data'!$C$13:$C$9627=AE$26)*('Monthly Data'!$D$13:$D$9627=$U147))</f>
        <v>17877</v>
      </c>
      <c r="AF147" s="80">
        <f>SUMPRODUCT(('Monthly Data'!$E$13:$E$9627=$U$138)*('Monthly Data'!$G$13:$G$9627)*('Monthly Data'!$C$13:$C$9627=AF$26)*('Monthly Data'!$D$13:$D$9627=$U147))</f>
        <v>15287</v>
      </c>
      <c r="AG147" s="80">
        <f>SUMPRODUCT(('Monthly Data'!$E$13:$E$9627=$U$138)*('Monthly Data'!$G$13:$G$9627)*('Monthly Data'!$C$13:$C$9627=AG$26)*('Monthly Data'!$D$13:$D$9627=$U147))</f>
        <v>14619</v>
      </c>
      <c r="AH147" s="80">
        <f>SUMPRODUCT(('Monthly Data'!$E$13:$E$9627=$U$138)*('Monthly Data'!$G$13:$G$9627)*('Monthly Data'!$C$13:$C$9627=AH$26)*('Monthly Data'!$D$13:$D$9627=$U147))</f>
        <v>15304</v>
      </c>
      <c r="AI147" s="80">
        <f>SUMPRODUCT(('Monthly Data'!$E$13:$E$9627=$U$138)*('Monthly Data'!$G$13:$G$9627)*('Monthly Data'!$C$13:$C$9627=AI$26)*('Monthly Data'!$D$13:$D$9627=$U147))</f>
        <v>15259</v>
      </c>
      <c r="AJ147" s="80">
        <f>SUMPRODUCT(('Monthly Data'!$E$13:$E$9627=$U$138)*('Monthly Data'!$G$13:$G$9627)*('Monthly Data'!$C$13:$C$9627=AJ$26)*('Monthly Data'!$D$13:$D$9627=$U147))</f>
        <v>0</v>
      </c>
      <c r="AL147" s="89">
        <f t="shared" si="29"/>
        <v>228814</v>
      </c>
    </row>
    <row r="148" spans="2:38">
      <c r="B148" s="30">
        <v>10</v>
      </c>
      <c r="C148" s="95">
        <f>SUMPRODUCT(('Monthly Data'!$E$13:$E$9627=$B$138)*('Monthly Data'!$F$13:$F$9627)*('Monthly Data'!$C$13:$C$9627=C$26)*('Monthly Data'!$D$13:$D$9627=$B148))</f>
        <v>1721005</v>
      </c>
      <c r="D148" s="95">
        <f>SUMPRODUCT(('Monthly Data'!$E$13:$E$9627=$B$138)*('Monthly Data'!$F$13:$F$9627)*('Monthly Data'!$C$13:$C$9627=D$26)*('Monthly Data'!$D$13:$D$9627=$B148))</f>
        <v>1788018</v>
      </c>
      <c r="E148" s="80">
        <f>SUMPRODUCT(('Monthly Data'!$E$13:$E$9627=$B$138)*('Monthly Data'!$F$13:$F$9627)*('Monthly Data'!$C$13:$C$9627=E$26)*('Monthly Data'!$D$13:$D$9627=$B148))</f>
        <v>1766242</v>
      </c>
      <c r="F148" s="80">
        <f>SUMPRODUCT(('Monthly Data'!$E$13:$E$9627=$B$138)*('Monthly Data'!$F$13:$F$9627)*('Monthly Data'!$C$13:$C$9627=F$26)*('Monthly Data'!$D$13:$D$9627=$B148))</f>
        <v>1803751</v>
      </c>
      <c r="G148" s="80">
        <f>SUMPRODUCT(('Monthly Data'!$E$13:$E$9627=$B$138)*('Monthly Data'!$F$13:$F$9627)*('Monthly Data'!$C$13:$C$9627=G$26)*('Monthly Data'!$D$13:$D$9627=$B148))</f>
        <v>1890380</v>
      </c>
      <c r="H148" s="80">
        <f>SUMPRODUCT(('Monthly Data'!$E$13:$E$9627=$B$138)*('Monthly Data'!$F$13:$F$9627)*('Monthly Data'!$C$13:$C$9627=H$26)*('Monthly Data'!$D$13:$D$9627=$B148))</f>
        <v>1968442</v>
      </c>
      <c r="I148" s="80">
        <f>SUMPRODUCT(('Monthly Data'!$E$13:$E$9627=$B$138)*('Monthly Data'!$F$13:$F$9627)*('Monthly Data'!$C$13:$C$9627=I$26)*('Monthly Data'!$D$13:$D$9627=$B148))</f>
        <v>2072284</v>
      </c>
      <c r="J148" s="80">
        <f>SUMPRODUCT(('Monthly Data'!$E$13:$E$9627=$B$138)*('Monthly Data'!$F$13:$F$9627)*('Monthly Data'!$C$13:$C$9627=J$26)*('Monthly Data'!$D$13:$D$9627=$B148))</f>
        <v>2007186</v>
      </c>
      <c r="K148" s="80">
        <f>SUMPRODUCT(('Monthly Data'!$E$13:$E$9627=$B$138)*('Monthly Data'!$F$13:$F$9627)*('Monthly Data'!$C$13:$C$9627=K$26)*('Monthly Data'!$D$13:$D$9627=$B148))</f>
        <v>1994433</v>
      </c>
      <c r="L148" s="80">
        <f>SUMPRODUCT(('Monthly Data'!$E$13:$E$9627=$B$138)*('Monthly Data'!$F$13:$F$9627)*('Monthly Data'!$C$13:$C$9627=L$26)*('Monthly Data'!$D$13:$D$9627=$B148))</f>
        <v>1802412</v>
      </c>
      <c r="M148" s="80">
        <f>SUMPRODUCT(('Monthly Data'!$E$13:$E$9627=$B$138)*('Monthly Data'!$F$13:$F$9627)*('Monthly Data'!$C$13:$C$9627=M$26)*('Monthly Data'!$D$13:$D$9627=$B148))</f>
        <v>1601313</v>
      </c>
      <c r="N148" s="80">
        <f>SUMPRODUCT(('Monthly Data'!$E$13:$E$9627=$B$138)*('Monthly Data'!$F$13:$F$9627)*('Monthly Data'!$C$13:$C$9627=N$26)*('Monthly Data'!$D$13:$D$9627=$B148))</f>
        <v>1631276</v>
      </c>
      <c r="O148" s="80">
        <f>SUMPRODUCT(('Monthly Data'!$E$13:$E$9627=$B$138)*('Monthly Data'!$F$13:$F$9627)*('Monthly Data'!$C$13:$C$9627=O$26)*('Monthly Data'!$D$13:$D$9627=$B148))</f>
        <v>1677437</v>
      </c>
      <c r="P148" s="80">
        <f>SUMPRODUCT(('Monthly Data'!$E$13:$E$9627=$B$138)*('Monthly Data'!$F$13:$F$9627)*('Monthly Data'!$C$13:$C$9627=P$26)*('Monthly Data'!$D$13:$D$9627=$B148))</f>
        <v>1756058</v>
      </c>
      <c r="Q148" s="80">
        <f>SUMPRODUCT(('Monthly Data'!$E$13:$E$9627=$B$138)*('Monthly Data'!$F$13:$F$9627)*('Monthly Data'!$C$13:$C$9627=Q$26)*('Monthly Data'!$D$13:$D$9627=$B148))</f>
        <v>0</v>
      </c>
      <c r="S148" s="89">
        <f t="shared" si="28"/>
        <v>23724179</v>
      </c>
      <c r="U148" s="30">
        <v>10</v>
      </c>
      <c r="V148" s="95">
        <f>SUMPRODUCT(('Monthly Data'!$E$13:$E$9627=$U$138)*('Monthly Data'!$G$13:$G$9627)*('Monthly Data'!$C$13:$C$9627=V$26)*('Monthly Data'!$D$13:$D$9627=$U148))</f>
        <v>15362</v>
      </c>
      <c r="W148" s="95">
        <f>SUMPRODUCT(('Monthly Data'!$E$13:$E$9627=$U$138)*('Monthly Data'!$G$13:$G$9627)*('Monthly Data'!$C$13:$C$9627=W$26)*('Monthly Data'!$D$13:$D$9627=$U148))</f>
        <v>16391</v>
      </c>
      <c r="X148" s="80">
        <f>SUMPRODUCT(('Monthly Data'!$E$13:$E$9627=$U$138)*('Monthly Data'!$G$13:$G$9627)*('Monthly Data'!$C$13:$C$9627=X$26)*('Monthly Data'!$D$13:$D$9627=$U148))</f>
        <v>16668</v>
      </c>
      <c r="Y148" s="80">
        <f>SUMPRODUCT(('Monthly Data'!$E$13:$E$9627=$U$138)*('Monthly Data'!$G$13:$G$9627)*('Monthly Data'!$C$13:$C$9627=Y$26)*('Monthly Data'!$D$13:$D$9627=$U148))</f>
        <v>16338</v>
      </c>
      <c r="Z148" s="80">
        <f>SUMPRODUCT(('Monthly Data'!$E$13:$E$9627=$U$138)*('Monthly Data'!$G$13:$G$9627)*('Monthly Data'!$C$13:$C$9627=Z$26)*('Monthly Data'!$D$13:$D$9627=$U148))</f>
        <v>17852</v>
      </c>
      <c r="AA148" s="80">
        <f>SUMPRODUCT(('Monthly Data'!$E$13:$E$9627=$U$138)*('Monthly Data'!$G$13:$G$9627)*('Monthly Data'!$C$13:$C$9627=AA$26)*('Monthly Data'!$D$13:$D$9627=$U148))</f>
        <v>18750</v>
      </c>
      <c r="AB148" s="80">
        <f>SUMPRODUCT(('Monthly Data'!$E$13:$E$9627=$U$138)*('Monthly Data'!$G$13:$G$9627)*('Monthly Data'!$C$13:$C$9627=AB$26)*('Monthly Data'!$D$13:$D$9627=$U148))</f>
        <v>19634</v>
      </c>
      <c r="AC148" s="80">
        <f>SUMPRODUCT(('Monthly Data'!$E$13:$E$9627=$U$138)*('Monthly Data'!$G$13:$G$9627)*('Monthly Data'!$C$13:$C$9627=AC$26)*('Monthly Data'!$D$13:$D$9627=$U148))</f>
        <v>19062</v>
      </c>
      <c r="AD148" s="80">
        <f>SUMPRODUCT(('Monthly Data'!$E$13:$E$9627=$U$138)*('Monthly Data'!$G$13:$G$9627)*('Monthly Data'!$C$13:$C$9627=AD$26)*('Monthly Data'!$D$13:$D$9627=$U148))</f>
        <v>18479</v>
      </c>
      <c r="AE148" s="80">
        <f>SUMPRODUCT(('Monthly Data'!$E$13:$E$9627=$U$138)*('Monthly Data'!$G$13:$G$9627)*('Monthly Data'!$C$13:$C$9627=AE$26)*('Monthly Data'!$D$13:$D$9627=$U148))</f>
        <v>16442</v>
      </c>
      <c r="AF148" s="80">
        <f>SUMPRODUCT(('Monthly Data'!$E$13:$E$9627=$U$138)*('Monthly Data'!$G$13:$G$9627)*('Monthly Data'!$C$13:$C$9627=AF$26)*('Monthly Data'!$D$13:$D$9627=$U148))</f>
        <v>13783</v>
      </c>
      <c r="AG148" s="80">
        <f>SUMPRODUCT(('Monthly Data'!$E$13:$E$9627=$U$138)*('Monthly Data'!$G$13:$G$9627)*('Monthly Data'!$C$13:$C$9627=AG$26)*('Monthly Data'!$D$13:$D$9627=$U148))</f>
        <v>13604</v>
      </c>
      <c r="AH148" s="80">
        <f>SUMPRODUCT(('Monthly Data'!$E$13:$E$9627=$U$138)*('Monthly Data'!$G$13:$G$9627)*('Monthly Data'!$C$13:$C$9627=AH$26)*('Monthly Data'!$D$13:$D$9627=$U148))</f>
        <v>13770</v>
      </c>
      <c r="AI148" s="80">
        <f>SUMPRODUCT(('Monthly Data'!$E$13:$E$9627=$U$138)*('Monthly Data'!$G$13:$G$9627)*('Monthly Data'!$C$13:$C$9627=AI$26)*('Monthly Data'!$D$13:$D$9627=$U148))</f>
        <v>14305</v>
      </c>
      <c r="AJ148" s="80">
        <f>SUMPRODUCT(('Monthly Data'!$E$13:$E$9627=$U$138)*('Monthly Data'!$G$13:$G$9627)*('Monthly Data'!$C$13:$C$9627=AJ$26)*('Monthly Data'!$D$13:$D$9627=$U148))</f>
        <v>0</v>
      </c>
      <c r="AL148" s="89">
        <f t="shared" si="29"/>
        <v>216135</v>
      </c>
    </row>
    <row r="149" spans="2:38">
      <c r="B149" s="30">
        <v>11</v>
      </c>
      <c r="C149" s="95">
        <f>SUMPRODUCT(('Monthly Data'!$E$13:$E$9627=$B$138)*('Monthly Data'!$F$13:$F$9627)*('Monthly Data'!$C$13:$C$9627=C$26)*('Monthly Data'!$D$13:$D$9627=$B149))</f>
        <v>1094731</v>
      </c>
      <c r="D149" s="95">
        <f>SUMPRODUCT(('Monthly Data'!$E$13:$E$9627=$B$138)*('Monthly Data'!$F$13:$F$9627)*('Monthly Data'!$C$13:$C$9627=D$26)*('Monthly Data'!$D$13:$D$9627=$B149))</f>
        <v>1204571</v>
      </c>
      <c r="E149" s="80">
        <f>SUMPRODUCT(('Monthly Data'!$E$13:$E$9627=$B$138)*('Monthly Data'!$F$13:$F$9627)*('Monthly Data'!$C$13:$C$9627=E$26)*('Monthly Data'!$D$13:$D$9627=$B149))</f>
        <v>1078235</v>
      </c>
      <c r="F149" s="80">
        <f>SUMPRODUCT(('Monthly Data'!$E$13:$E$9627=$B$138)*('Monthly Data'!$F$13:$F$9627)*('Monthly Data'!$C$13:$C$9627=F$26)*('Monthly Data'!$D$13:$D$9627=$B149))</f>
        <v>1163248</v>
      </c>
      <c r="G149" s="80">
        <f>SUMPRODUCT(('Monthly Data'!$E$13:$E$9627=$B$138)*('Monthly Data'!$F$13:$F$9627)*('Monthly Data'!$C$13:$C$9627=G$26)*('Monthly Data'!$D$13:$D$9627=$B149))</f>
        <v>1281621</v>
      </c>
      <c r="H149" s="80">
        <f>SUMPRODUCT(('Monthly Data'!$E$13:$E$9627=$B$138)*('Monthly Data'!$F$13:$F$9627)*('Monthly Data'!$C$13:$C$9627=H$26)*('Monthly Data'!$D$13:$D$9627=$B149))</f>
        <v>1335648</v>
      </c>
      <c r="I149" s="80">
        <f>SUMPRODUCT(('Monthly Data'!$E$13:$E$9627=$B$138)*('Monthly Data'!$F$13:$F$9627)*('Monthly Data'!$C$13:$C$9627=I$26)*('Monthly Data'!$D$13:$D$9627=$B149))</f>
        <v>1354125</v>
      </c>
      <c r="J149" s="80">
        <f>SUMPRODUCT(('Monthly Data'!$E$13:$E$9627=$B$138)*('Monthly Data'!$F$13:$F$9627)*('Monthly Data'!$C$13:$C$9627=J$26)*('Monthly Data'!$D$13:$D$9627=$B149))</f>
        <v>1377945</v>
      </c>
      <c r="K149" s="80">
        <f>SUMPRODUCT(('Monthly Data'!$E$13:$E$9627=$B$138)*('Monthly Data'!$F$13:$F$9627)*('Monthly Data'!$C$13:$C$9627=K$26)*('Monthly Data'!$D$13:$D$9627=$B149))</f>
        <v>1385769</v>
      </c>
      <c r="L149" s="80">
        <f>SUMPRODUCT(('Monthly Data'!$E$13:$E$9627=$B$138)*('Monthly Data'!$F$13:$F$9627)*('Monthly Data'!$C$13:$C$9627=L$26)*('Monthly Data'!$D$13:$D$9627=$B149))</f>
        <v>1270858</v>
      </c>
      <c r="M149" s="80">
        <f>SUMPRODUCT(('Monthly Data'!$E$13:$E$9627=$B$138)*('Monthly Data'!$F$13:$F$9627)*('Monthly Data'!$C$13:$C$9627=M$26)*('Monthly Data'!$D$13:$D$9627=$B149))</f>
        <v>1122437</v>
      </c>
      <c r="N149" s="80">
        <f>SUMPRODUCT(('Monthly Data'!$E$13:$E$9627=$B$138)*('Monthly Data'!$F$13:$F$9627)*('Monthly Data'!$C$13:$C$9627=N$26)*('Monthly Data'!$D$13:$D$9627=$B149))</f>
        <v>1145873</v>
      </c>
      <c r="O149" s="80">
        <f>SUMPRODUCT(('Monthly Data'!$E$13:$E$9627=$B$138)*('Monthly Data'!$F$13:$F$9627)*('Monthly Data'!$C$13:$C$9627=O$26)*('Monthly Data'!$D$13:$D$9627=$B149))</f>
        <v>1188481</v>
      </c>
      <c r="P149" s="80">
        <f>SUMPRODUCT(('Monthly Data'!$E$13:$E$9627=$B$138)*('Monthly Data'!$F$13:$F$9627)*('Monthly Data'!$C$13:$C$9627=P$26)*('Monthly Data'!$D$13:$D$9627=$B149))</f>
        <v>1293324</v>
      </c>
      <c r="Q149" s="80">
        <f>SUMPRODUCT(('Monthly Data'!$E$13:$E$9627=$B$138)*('Monthly Data'!$F$13:$F$9627)*('Monthly Data'!$C$13:$C$9627=Q$26)*('Monthly Data'!$D$13:$D$9627=$B149))</f>
        <v>0</v>
      </c>
      <c r="S149" s="89">
        <f t="shared" si="28"/>
        <v>16003542</v>
      </c>
      <c r="U149" s="30">
        <v>11</v>
      </c>
      <c r="V149" s="95">
        <f>SUMPRODUCT(('Monthly Data'!$E$13:$E$9627=$U$138)*('Monthly Data'!$G$13:$G$9627)*('Monthly Data'!$C$13:$C$9627=V$26)*('Monthly Data'!$D$13:$D$9627=$U149))</f>
        <v>12644</v>
      </c>
      <c r="W149" s="95">
        <f>SUMPRODUCT(('Monthly Data'!$E$13:$E$9627=$U$138)*('Monthly Data'!$G$13:$G$9627)*('Monthly Data'!$C$13:$C$9627=W$26)*('Monthly Data'!$D$13:$D$9627=$U149))</f>
        <v>13339</v>
      </c>
      <c r="X149" s="80">
        <f>SUMPRODUCT(('Monthly Data'!$E$13:$E$9627=$U$138)*('Monthly Data'!$G$13:$G$9627)*('Monthly Data'!$C$13:$C$9627=X$26)*('Monthly Data'!$D$13:$D$9627=$U149))</f>
        <v>12774</v>
      </c>
      <c r="Y149" s="80">
        <f>SUMPRODUCT(('Monthly Data'!$E$13:$E$9627=$U$138)*('Monthly Data'!$G$13:$G$9627)*('Monthly Data'!$C$13:$C$9627=Y$26)*('Monthly Data'!$D$13:$D$9627=$U149))</f>
        <v>13490</v>
      </c>
      <c r="Z149" s="80">
        <f>SUMPRODUCT(('Monthly Data'!$E$13:$E$9627=$U$138)*('Monthly Data'!$G$13:$G$9627)*('Monthly Data'!$C$13:$C$9627=Z$26)*('Monthly Data'!$D$13:$D$9627=$U149))</f>
        <v>14590</v>
      </c>
      <c r="AA149" s="80">
        <f>SUMPRODUCT(('Monthly Data'!$E$13:$E$9627=$U$138)*('Monthly Data'!$G$13:$G$9627)*('Monthly Data'!$C$13:$C$9627=AA$26)*('Monthly Data'!$D$13:$D$9627=$U149))</f>
        <v>16004</v>
      </c>
      <c r="AB149" s="80">
        <f>SUMPRODUCT(('Monthly Data'!$E$13:$E$9627=$U$138)*('Monthly Data'!$G$13:$G$9627)*('Monthly Data'!$C$13:$C$9627=AB$26)*('Monthly Data'!$D$13:$D$9627=$U149))</f>
        <v>15252</v>
      </c>
      <c r="AC149" s="80">
        <f>SUMPRODUCT(('Monthly Data'!$E$13:$E$9627=$U$138)*('Monthly Data'!$G$13:$G$9627)*('Monthly Data'!$C$13:$C$9627=AC$26)*('Monthly Data'!$D$13:$D$9627=$U149))</f>
        <v>15437</v>
      </c>
      <c r="AD149" s="80">
        <f>SUMPRODUCT(('Monthly Data'!$E$13:$E$9627=$U$138)*('Monthly Data'!$G$13:$G$9627)*('Monthly Data'!$C$13:$C$9627=AD$26)*('Monthly Data'!$D$13:$D$9627=$U149))</f>
        <v>14913</v>
      </c>
      <c r="AE149" s="80">
        <f>SUMPRODUCT(('Monthly Data'!$E$13:$E$9627=$U$138)*('Monthly Data'!$G$13:$G$9627)*('Monthly Data'!$C$13:$C$9627=AE$26)*('Monthly Data'!$D$13:$D$9627=$U149))</f>
        <v>12772</v>
      </c>
      <c r="AF149" s="80">
        <f>SUMPRODUCT(('Monthly Data'!$E$13:$E$9627=$U$138)*('Monthly Data'!$G$13:$G$9627)*('Monthly Data'!$C$13:$C$9627=AF$26)*('Monthly Data'!$D$13:$D$9627=$U149))</f>
        <v>10936</v>
      </c>
      <c r="AG149" s="80">
        <f>SUMPRODUCT(('Monthly Data'!$E$13:$E$9627=$U$138)*('Monthly Data'!$G$13:$G$9627)*('Monthly Data'!$C$13:$C$9627=AG$26)*('Monthly Data'!$D$13:$D$9627=$U149))</f>
        <v>11150</v>
      </c>
      <c r="AH149" s="80">
        <f>SUMPRODUCT(('Monthly Data'!$E$13:$E$9627=$U$138)*('Monthly Data'!$G$13:$G$9627)*('Monthly Data'!$C$13:$C$9627=AH$26)*('Monthly Data'!$D$13:$D$9627=$U149))</f>
        <v>11453</v>
      </c>
      <c r="AI149" s="80">
        <f>SUMPRODUCT(('Monthly Data'!$E$13:$E$9627=$U$138)*('Monthly Data'!$G$13:$G$9627)*('Monthly Data'!$C$13:$C$9627=AI$26)*('Monthly Data'!$D$13:$D$9627=$U149))</f>
        <v>11402</v>
      </c>
      <c r="AJ149" s="80">
        <f>SUMPRODUCT(('Monthly Data'!$E$13:$E$9627=$U$138)*('Monthly Data'!$G$13:$G$9627)*('Monthly Data'!$C$13:$C$9627=AJ$26)*('Monthly Data'!$D$13:$D$9627=$U149))</f>
        <v>0</v>
      </c>
      <c r="AL149" s="89">
        <f t="shared" si="29"/>
        <v>174754</v>
      </c>
    </row>
    <row r="150" spans="2:38">
      <c r="B150" s="30">
        <v>12</v>
      </c>
      <c r="C150" s="95">
        <f>SUMPRODUCT(('Monthly Data'!$E$13:$E$9627=$B$138)*('Monthly Data'!$F$13:$F$9627)*('Monthly Data'!$C$13:$C$9627=C$26)*('Monthly Data'!$D$13:$D$9627=$B150))</f>
        <v>938165</v>
      </c>
      <c r="D150" s="95">
        <f>SUMPRODUCT(('Monthly Data'!$E$13:$E$9627=$B$138)*('Monthly Data'!$F$13:$F$9627)*('Monthly Data'!$C$13:$C$9627=D$26)*('Monthly Data'!$D$13:$D$9627=$B150))</f>
        <v>1101027</v>
      </c>
      <c r="E150" s="80">
        <f>SUMPRODUCT(('Monthly Data'!$E$13:$E$9627=$B$138)*('Monthly Data'!$F$13:$F$9627)*('Monthly Data'!$C$13:$C$9627=E$26)*('Monthly Data'!$D$13:$D$9627=$B150))</f>
        <v>1004546</v>
      </c>
      <c r="F150" s="80">
        <f>SUMPRODUCT(('Monthly Data'!$E$13:$E$9627=$B$138)*('Monthly Data'!$F$13:$F$9627)*('Monthly Data'!$C$13:$C$9627=F$26)*('Monthly Data'!$D$13:$D$9627=$B150))</f>
        <v>1085713</v>
      </c>
      <c r="G150" s="80">
        <f>SUMPRODUCT(('Monthly Data'!$E$13:$E$9627=$B$138)*('Monthly Data'!$F$13:$F$9627)*('Monthly Data'!$C$13:$C$9627=G$26)*('Monthly Data'!$D$13:$D$9627=$B150))</f>
        <v>1217402</v>
      </c>
      <c r="H150" s="80">
        <f>SUMPRODUCT(('Monthly Data'!$E$13:$E$9627=$B$138)*('Monthly Data'!$F$13:$F$9627)*('Monthly Data'!$C$13:$C$9627=H$26)*('Monthly Data'!$D$13:$D$9627=$B150))</f>
        <v>1329353</v>
      </c>
      <c r="I150" s="80">
        <f>SUMPRODUCT(('Monthly Data'!$E$13:$E$9627=$B$138)*('Monthly Data'!$F$13:$F$9627)*('Monthly Data'!$C$13:$C$9627=I$26)*('Monthly Data'!$D$13:$D$9627=$B150))</f>
        <v>1332909</v>
      </c>
      <c r="J150" s="80">
        <f>SUMPRODUCT(('Monthly Data'!$E$13:$E$9627=$B$138)*('Monthly Data'!$F$13:$F$9627)*('Monthly Data'!$C$13:$C$9627=J$26)*('Monthly Data'!$D$13:$D$9627=$B150))</f>
        <v>1385838</v>
      </c>
      <c r="K150" s="80">
        <f>SUMPRODUCT(('Monthly Data'!$E$13:$E$9627=$B$138)*('Monthly Data'!$F$13:$F$9627)*('Monthly Data'!$C$13:$C$9627=K$26)*('Monthly Data'!$D$13:$D$9627=$B150))</f>
        <v>1383599</v>
      </c>
      <c r="L150" s="80">
        <f>SUMPRODUCT(('Monthly Data'!$E$13:$E$9627=$B$138)*('Monthly Data'!$F$13:$F$9627)*('Monthly Data'!$C$13:$C$9627=L$26)*('Monthly Data'!$D$13:$D$9627=$B150))</f>
        <v>1243773</v>
      </c>
      <c r="M150" s="80">
        <f>SUMPRODUCT(('Monthly Data'!$E$13:$E$9627=$B$138)*('Monthly Data'!$F$13:$F$9627)*('Monthly Data'!$C$13:$C$9627=M$26)*('Monthly Data'!$D$13:$D$9627=$B150))</f>
        <v>1085497</v>
      </c>
      <c r="N150" s="80">
        <f>SUMPRODUCT(('Monthly Data'!$E$13:$E$9627=$B$138)*('Monthly Data'!$F$13:$F$9627)*('Monthly Data'!$C$13:$C$9627=N$26)*('Monthly Data'!$D$13:$D$9627=$B150))</f>
        <v>1103736</v>
      </c>
      <c r="O150" s="80">
        <f>SUMPRODUCT(('Monthly Data'!$E$13:$E$9627=$B$138)*('Monthly Data'!$F$13:$F$9627)*('Monthly Data'!$C$13:$C$9627=O$26)*('Monthly Data'!$D$13:$D$9627=$B150))</f>
        <v>1199328</v>
      </c>
      <c r="P150" s="80">
        <f>SUMPRODUCT(('Monthly Data'!$E$13:$E$9627=$B$138)*('Monthly Data'!$F$13:$F$9627)*('Monthly Data'!$C$13:$C$9627=P$26)*('Monthly Data'!$D$13:$D$9627=$B150))</f>
        <v>1261182</v>
      </c>
      <c r="Q150" s="80">
        <f>SUMPRODUCT(('Monthly Data'!$E$13:$E$9627=$B$138)*('Monthly Data'!$F$13:$F$9627)*('Monthly Data'!$C$13:$C$9627=Q$26)*('Monthly Data'!$D$13:$D$9627=$B150))</f>
        <v>0</v>
      </c>
      <c r="S150" s="89">
        <f t="shared" si="28"/>
        <v>15410886</v>
      </c>
      <c r="U150" s="30">
        <v>12</v>
      </c>
      <c r="V150" s="95">
        <f>SUMPRODUCT(('Monthly Data'!$E$13:$E$9627=$U$138)*('Monthly Data'!$G$13:$G$9627)*('Monthly Data'!$C$13:$C$9627=V$26)*('Monthly Data'!$D$13:$D$9627=$U150))</f>
        <v>11699</v>
      </c>
      <c r="W150" s="95">
        <f>SUMPRODUCT(('Monthly Data'!$E$13:$E$9627=$U$138)*('Monthly Data'!$G$13:$G$9627)*('Monthly Data'!$C$13:$C$9627=W$26)*('Monthly Data'!$D$13:$D$9627=$U150))</f>
        <v>12027</v>
      </c>
      <c r="X150" s="80">
        <f>SUMPRODUCT(('Monthly Data'!$E$13:$E$9627=$U$138)*('Monthly Data'!$G$13:$G$9627)*('Monthly Data'!$C$13:$C$9627=X$26)*('Monthly Data'!$D$13:$D$9627=$U150))</f>
        <v>11750</v>
      </c>
      <c r="Y150" s="80">
        <f>SUMPRODUCT(('Monthly Data'!$E$13:$E$9627=$U$138)*('Monthly Data'!$G$13:$G$9627)*('Monthly Data'!$C$13:$C$9627=Y$26)*('Monthly Data'!$D$13:$D$9627=$U150))</f>
        <v>12679</v>
      </c>
      <c r="Z150" s="80">
        <f>SUMPRODUCT(('Monthly Data'!$E$13:$E$9627=$U$138)*('Monthly Data'!$G$13:$G$9627)*('Monthly Data'!$C$13:$C$9627=Z$26)*('Monthly Data'!$D$13:$D$9627=$U150))</f>
        <v>13953</v>
      </c>
      <c r="AA150" s="80">
        <f>SUMPRODUCT(('Monthly Data'!$E$13:$E$9627=$U$138)*('Monthly Data'!$G$13:$G$9627)*('Monthly Data'!$C$13:$C$9627=AA$26)*('Monthly Data'!$D$13:$D$9627=$U150))</f>
        <v>15247</v>
      </c>
      <c r="AB150" s="80">
        <f>SUMPRODUCT(('Monthly Data'!$E$13:$E$9627=$U$138)*('Monthly Data'!$G$13:$G$9627)*('Monthly Data'!$C$13:$C$9627=AB$26)*('Monthly Data'!$D$13:$D$9627=$U150))</f>
        <v>14937</v>
      </c>
      <c r="AC150" s="80">
        <f>SUMPRODUCT(('Monthly Data'!$E$13:$E$9627=$U$138)*('Monthly Data'!$G$13:$G$9627)*('Monthly Data'!$C$13:$C$9627=AC$26)*('Monthly Data'!$D$13:$D$9627=$U150))</f>
        <v>14541</v>
      </c>
      <c r="AD150" s="80">
        <f>SUMPRODUCT(('Monthly Data'!$E$13:$E$9627=$U$138)*('Monthly Data'!$G$13:$G$9627)*('Monthly Data'!$C$13:$C$9627=AD$26)*('Monthly Data'!$D$13:$D$9627=$U150))</f>
        <v>13993</v>
      </c>
      <c r="AE150" s="80">
        <f>SUMPRODUCT(('Monthly Data'!$E$13:$E$9627=$U$138)*('Monthly Data'!$G$13:$G$9627)*('Monthly Data'!$C$13:$C$9627=AE$26)*('Monthly Data'!$D$13:$D$9627=$U150))</f>
        <v>12190</v>
      </c>
      <c r="AF150" s="80">
        <f>SUMPRODUCT(('Monthly Data'!$E$13:$E$9627=$U$138)*('Monthly Data'!$G$13:$G$9627)*('Monthly Data'!$C$13:$C$9627=AF$26)*('Monthly Data'!$D$13:$D$9627=$U150))</f>
        <v>10182</v>
      </c>
      <c r="AG150" s="80">
        <f>SUMPRODUCT(('Monthly Data'!$E$13:$E$9627=$U$138)*('Monthly Data'!$G$13:$G$9627)*('Monthly Data'!$C$13:$C$9627=AG$26)*('Monthly Data'!$D$13:$D$9627=$U150))</f>
        <v>10285</v>
      </c>
      <c r="AH150" s="80">
        <f>SUMPRODUCT(('Monthly Data'!$E$13:$E$9627=$U$138)*('Monthly Data'!$G$13:$G$9627)*('Monthly Data'!$C$13:$C$9627=AH$26)*('Monthly Data'!$D$13:$D$9627=$U150))</f>
        <v>11068</v>
      </c>
      <c r="AI150" s="80">
        <f>SUMPRODUCT(('Monthly Data'!$E$13:$E$9627=$U$138)*('Monthly Data'!$G$13:$G$9627)*('Monthly Data'!$C$13:$C$9627=AI$26)*('Monthly Data'!$D$13:$D$9627=$U150))</f>
        <v>10646</v>
      </c>
      <c r="AJ150" s="80">
        <f>SUMPRODUCT(('Monthly Data'!$E$13:$E$9627=$U$138)*('Monthly Data'!$G$13:$G$9627)*('Monthly Data'!$C$13:$C$9627=AJ$26)*('Monthly Data'!$D$13:$D$9627=$U150))</f>
        <v>0</v>
      </c>
      <c r="AL150" s="89">
        <f t="shared" si="29"/>
        <v>164551</v>
      </c>
    </row>
    <row r="151" spans="2:38">
      <c r="D151" s="90"/>
      <c r="S151" s="83"/>
      <c r="W151" s="90"/>
      <c r="AL151" s="83"/>
    </row>
    <row r="152" spans="2:38">
      <c r="B152" s="30" t="s">
        <v>106</v>
      </c>
      <c r="C152" s="97">
        <f>SUM(C139:C150)</f>
        <v>17418121</v>
      </c>
      <c r="D152" s="97">
        <f t="shared" ref="D152:K152" si="30">SUM(D139:D150)</f>
        <v>18350061</v>
      </c>
      <c r="E152" s="89">
        <f t="shared" si="30"/>
        <v>19082572</v>
      </c>
      <c r="F152" s="89">
        <f t="shared" si="30"/>
        <v>18618381</v>
      </c>
      <c r="G152" s="89">
        <f t="shared" si="30"/>
        <v>19519895</v>
      </c>
      <c r="H152" s="89">
        <f t="shared" si="30"/>
        <v>20970076</v>
      </c>
      <c r="I152" s="89">
        <f t="shared" si="30"/>
        <v>22082614</v>
      </c>
      <c r="J152" s="89">
        <f t="shared" si="30"/>
        <v>22123762</v>
      </c>
      <c r="K152" s="89">
        <f t="shared" si="30"/>
        <v>21891723</v>
      </c>
      <c r="L152" s="89">
        <f t="shared" ref="L152:Q152" si="31">SUM(L139:L150)</f>
        <v>21062749</v>
      </c>
      <c r="M152" s="89">
        <f t="shared" si="31"/>
        <v>18630394</v>
      </c>
      <c r="N152" s="89">
        <f t="shared" si="31"/>
        <v>17662699</v>
      </c>
      <c r="O152" s="89">
        <f t="shared" si="31"/>
        <v>18804302</v>
      </c>
      <c r="P152" s="89">
        <f t="shared" si="31"/>
        <v>19654100</v>
      </c>
      <c r="Q152" s="89">
        <f t="shared" si="31"/>
        <v>5323016</v>
      </c>
      <c r="S152" s="89">
        <f>SUM(D139:P150)</f>
        <v>258453328</v>
      </c>
      <c r="U152" s="30" t="s">
        <v>106</v>
      </c>
      <c r="V152" s="97">
        <f>SUM(V139:V150)</f>
        <v>169334</v>
      </c>
      <c r="W152" s="97">
        <f t="shared" ref="W152:AH152" si="32">SUM(W139:W150)</f>
        <v>177575</v>
      </c>
      <c r="X152" s="89">
        <f t="shared" si="32"/>
        <v>182097</v>
      </c>
      <c r="Y152" s="89">
        <f t="shared" si="32"/>
        <v>177543</v>
      </c>
      <c r="Z152" s="89">
        <f t="shared" si="32"/>
        <v>191518</v>
      </c>
      <c r="AA152" s="89">
        <f t="shared" si="32"/>
        <v>208493</v>
      </c>
      <c r="AB152" s="89">
        <f t="shared" si="32"/>
        <v>217987</v>
      </c>
      <c r="AC152" s="89">
        <f t="shared" si="32"/>
        <v>213026</v>
      </c>
      <c r="AD152" s="89">
        <f t="shared" si="32"/>
        <v>206503</v>
      </c>
      <c r="AE152" s="89">
        <f t="shared" si="32"/>
        <v>191228</v>
      </c>
      <c r="AF152" s="89">
        <f t="shared" si="32"/>
        <v>162126</v>
      </c>
      <c r="AG152" s="89">
        <f t="shared" si="32"/>
        <v>148876</v>
      </c>
      <c r="AH152" s="89">
        <f t="shared" si="32"/>
        <v>157988</v>
      </c>
      <c r="AI152" s="89">
        <f>SUM(AI139:AI150)</f>
        <v>160562</v>
      </c>
      <c r="AJ152" s="89">
        <f>SUM(AJ139:AJ150)</f>
        <v>45907</v>
      </c>
      <c r="AL152" s="89">
        <f>SUM(V139:AH150)</f>
        <v>2404294</v>
      </c>
    </row>
    <row r="153" spans="2:38">
      <c r="D153" s="90"/>
      <c r="W153" s="90"/>
    </row>
    <row r="154" spans="2:38" ht="15">
      <c r="B154" s="88" t="s">
        <v>118</v>
      </c>
      <c r="C154" s="69">
        <v>1999</v>
      </c>
      <c r="D154" s="96">
        <v>2000</v>
      </c>
      <c r="E154" s="69">
        <v>2001</v>
      </c>
      <c r="F154" s="69">
        <v>2002</v>
      </c>
      <c r="G154" s="69">
        <v>2003</v>
      </c>
      <c r="H154" s="69">
        <v>2004</v>
      </c>
      <c r="I154" s="69">
        <v>2005</v>
      </c>
      <c r="J154" s="69">
        <v>2006</v>
      </c>
      <c r="K154" s="69">
        <v>2007</v>
      </c>
      <c r="L154" s="69">
        <v>2008</v>
      </c>
      <c r="M154" s="69">
        <v>2009</v>
      </c>
      <c r="N154" s="69">
        <v>2010</v>
      </c>
      <c r="O154" s="69">
        <v>2011</v>
      </c>
      <c r="P154" s="69">
        <v>2012</v>
      </c>
      <c r="Q154" s="69">
        <v>2013</v>
      </c>
      <c r="S154" s="69" t="s">
        <v>106</v>
      </c>
      <c r="U154" s="88" t="s">
        <v>118</v>
      </c>
      <c r="V154" s="69">
        <v>1999</v>
      </c>
      <c r="W154" s="96">
        <v>2000</v>
      </c>
      <c r="X154" s="69">
        <v>2001</v>
      </c>
      <c r="Y154" s="69">
        <v>2002</v>
      </c>
      <c r="Z154" s="69">
        <v>2003</v>
      </c>
      <c r="AA154" s="69">
        <v>2004</v>
      </c>
      <c r="AB154" s="69">
        <v>2005</v>
      </c>
      <c r="AC154" s="69">
        <v>2006</v>
      </c>
      <c r="AD154" s="69">
        <v>2007</v>
      </c>
      <c r="AE154" s="69">
        <v>2008</v>
      </c>
      <c r="AF154" s="69">
        <v>2009</v>
      </c>
      <c r="AG154" s="69">
        <v>2010</v>
      </c>
      <c r="AH154" s="69">
        <v>2011</v>
      </c>
      <c r="AI154" s="69">
        <v>2012</v>
      </c>
      <c r="AJ154" s="69">
        <v>2013</v>
      </c>
      <c r="AL154" s="69" t="s">
        <v>106</v>
      </c>
    </row>
    <row r="155" spans="2:38">
      <c r="B155" s="30">
        <v>1</v>
      </c>
      <c r="C155" s="95">
        <f>SUMPRODUCT(('Monthly Data'!$E$13:$E$9627=$B$154)*('Monthly Data'!$F$13:$F$9627)*('Monthly Data'!$C$13:$C$9627=C$26)*('Monthly Data'!$D$13:$D$9627=$B155))</f>
        <v>44400</v>
      </c>
      <c r="D155" s="95">
        <f>SUMPRODUCT(('Monthly Data'!$E$13:$E$9627=$B$154)*('Monthly Data'!$F$13:$F$9627)*('Monthly Data'!$C$13:$C$9627=D$26)*('Monthly Data'!$D$13:$D$9627=$B155))</f>
        <v>48735</v>
      </c>
      <c r="E155" s="80">
        <f>SUMPRODUCT(('Monthly Data'!$E$13:$E$9627=$B$154)*('Monthly Data'!$F$13:$F$9627)*('Monthly Data'!$C$13:$C$9627=E$26)*('Monthly Data'!$D$13:$D$9627=$B155))</f>
        <v>56421</v>
      </c>
      <c r="F155" s="80">
        <f>SUMPRODUCT(('Monthly Data'!$E$13:$E$9627=$B$154)*('Monthly Data'!$F$13:$F$9627)*('Monthly Data'!$C$13:$C$9627=F$26)*('Monthly Data'!$D$13:$D$9627=$B155))</f>
        <v>50574</v>
      </c>
      <c r="G155" s="80">
        <f>SUMPRODUCT(('Monthly Data'!$E$13:$E$9627=$B$154)*('Monthly Data'!$F$13:$F$9627)*('Monthly Data'!$C$13:$C$9627=G$26)*('Monthly Data'!$D$13:$D$9627=$B155))</f>
        <v>52075</v>
      </c>
      <c r="H155" s="80">
        <f>SUMPRODUCT(('Monthly Data'!$E$13:$E$9627=$B$154)*('Monthly Data'!$F$13:$F$9627)*('Monthly Data'!$C$13:$C$9627=H$26)*('Monthly Data'!$D$13:$D$9627=$B155))</f>
        <v>95650</v>
      </c>
      <c r="I155" s="80">
        <f>SUMPRODUCT(('Monthly Data'!$E$13:$E$9627=$B$154)*('Monthly Data'!$F$13:$F$9627)*('Monthly Data'!$C$13:$C$9627=I$26)*('Monthly Data'!$D$13:$D$9627=$B155))</f>
        <v>99562</v>
      </c>
      <c r="J155" s="80">
        <f>SUMPRODUCT(('Monthly Data'!$E$13:$E$9627=$B$154)*('Monthly Data'!$F$13:$F$9627)*('Monthly Data'!$C$13:$C$9627=J$26)*('Monthly Data'!$D$13:$D$9627=$B155))</f>
        <v>109196</v>
      </c>
      <c r="K155" s="80">
        <f>SUMPRODUCT(('Monthly Data'!$E$13:$E$9627=$B$154)*('Monthly Data'!$F$13:$F$9627)*('Monthly Data'!$C$13:$C$9627=K$26)*('Monthly Data'!$D$13:$D$9627=$B155))</f>
        <v>122483</v>
      </c>
      <c r="L155" s="80">
        <f>SUMPRODUCT(('Monthly Data'!$E$13:$E$9627=$B$154)*('Monthly Data'!$F$13:$F$9627)*('Monthly Data'!$C$13:$C$9627=L$26)*('Monthly Data'!$D$13:$D$9627=$B155))</f>
        <v>118842</v>
      </c>
      <c r="M155" s="80">
        <f>SUMPRODUCT(('Monthly Data'!$E$13:$E$9627=$B$154)*('Monthly Data'!$F$13:$F$9627)*('Monthly Data'!$C$13:$C$9627=M$26)*('Monthly Data'!$D$13:$D$9627=$B155))</f>
        <v>105227</v>
      </c>
      <c r="N155" s="80">
        <f>SUMPRODUCT(('Monthly Data'!$E$13:$E$9627=$B$154)*('Monthly Data'!$F$13:$F$9627)*('Monthly Data'!$C$13:$C$9627=N$26)*('Monthly Data'!$D$13:$D$9627=$B155))</f>
        <v>94915</v>
      </c>
      <c r="O155" s="80">
        <f>SUMPRODUCT(('Monthly Data'!$E$13:$E$9627=$B$154)*('Monthly Data'!$F$13:$F$9627)*('Monthly Data'!$C$13:$C$9627=O$26)*('Monthly Data'!$D$13:$D$9627=$B155))</f>
        <v>99535</v>
      </c>
      <c r="P155" s="80">
        <f>SUMPRODUCT(('Monthly Data'!$E$13:$E$9627=$B$154)*('Monthly Data'!$F$13:$F$9627)*('Monthly Data'!$C$13:$C$9627=P$26)*('Monthly Data'!$D$13:$D$9627=$B155))</f>
        <v>1980</v>
      </c>
      <c r="Q155" s="80">
        <f>SUMPRODUCT(('Monthly Data'!$E$13:$E$9627=$B$154)*('Monthly Data'!$F$13:$F$9627)*('Monthly Data'!$C$13:$C$9627=Q$26)*('Monthly Data'!$D$13:$D$9627=$B155))</f>
        <v>88195</v>
      </c>
      <c r="S155" s="89">
        <f>SUM(C155:O155)</f>
        <v>1097615</v>
      </c>
      <c r="U155" s="30">
        <v>1</v>
      </c>
      <c r="V155" s="95">
        <f>SUMPRODUCT(('Monthly Data'!$E$13:$E$9627=$U$154)*('Monthly Data'!$G$13:$G$9627)*('Monthly Data'!$C$13:$C$9627=V$26)*('Monthly Data'!$D$13:$D$9627=$U155))</f>
        <v>1952</v>
      </c>
      <c r="W155" s="95">
        <f>SUMPRODUCT(('Monthly Data'!$E$13:$E$9627=$U$154)*('Monthly Data'!$G$13:$G$9627)*('Monthly Data'!$C$13:$C$9627=W$26)*('Monthly Data'!$D$13:$D$9627=$U155))</f>
        <v>1949</v>
      </c>
      <c r="X155" s="80">
        <f>SUMPRODUCT(('Monthly Data'!$E$13:$E$9627=$U$154)*('Monthly Data'!$G$13:$G$9627)*('Monthly Data'!$C$13:$C$9627=X$26)*('Monthly Data'!$D$13:$D$9627=$U155))</f>
        <v>2128</v>
      </c>
      <c r="Y155" s="80">
        <f>SUMPRODUCT(('Monthly Data'!$E$13:$E$9627=$U$154)*('Monthly Data'!$G$13:$G$9627)*('Monthly Data'!$C$13:$C$9627=Y$26)*('Monthly Data'!$D$13:$D$9627=$U155))</f>
        <v>2140</v>
      </c>
      <c r="Z155" s="80">
        <f>SUMPRODUCT(('Monthly Data'!$E$13:$E$9627=$U$154)*('Monthly Data'!$G$13:$G$9627)*('Monthly Data'!$C$13:$C$9627=Z$26)*('Monthly Data'!$D$13:$D$9627=$U155))</f>
        <v>2137</v>
      </c>
      <c r="AA155" s="80">
        <f>SUMPRODUCT(('Monthly Data'!$E$13:$E$9627=$U$154)*('Monthly Data'!$G$13:$G$9627)*('Monthly Data'!$C$13:$C$9627=AA$26)*('Monthly Data'!$D$13:$D$9627=$U155))</f>
        <v>2789</v>
      </c>
      <c r="AB155" s="80">
        <f>SUMPRODUCT(('Monthly Data'!$E$13:$E$9627=$U$154)*('Monthly Data'!$G$13:$G$9627)*('Monthly Data'!$C$13:$C$9627=AB$26)*('Monthly Data'!$D$13:$D$9627=$U155))</f>
        <v>2932</v>
      </c>
      <c r="AC155" s="80">
        <f>SUMPRODUCT(('Monthly Data'!$E$13:$E$9627=$U$154)*('Monthly Data'!$G$13:$G$9627)*('Monthly Data'!$C$13:$C$9627=AC$26)*('Monthly Data'!$D$13:$D$9627=$U155))</f>
        <v>3385</v>
      </c>
      <c r="AD155" s="80">
        <f>SUMPRODUCT(('Monthly Data'!$E$13:$E$9627=$U$154)*('Monthly Data'!$G$13:$G$9627)*('Monthly Data'!$C$13:$C$9627=AD$26)*('Monthly Data'!$D$13:$D$9627=$U155))</f>
        <v>3638</v>
      </c>
      <c r="AE155" s="80">
        <f>SUMPRODUCT(('Monthly Data'!$E$13:$E$9627=$U$154)*('Monthly Data'!$G$13:$G$9627)*('Monthly Data'!$C$13:$C$9627=AE$26)*('Monthly Data'!$D$13:$D$9627=$U155))</f>
        <v>3194</v>
      </c>
      <c r="AF155" s="80">
        <f>SUMPRODUCT(('Monthly Data'!$E$13:$E$9627=$U$154)*('Monthly Data'!$G$13:$G$9627)*('Monthly Data'!$C$13:$C$9627=AF$26)*('Monthly Data'!$D$13:$D$9627=$U155))</f>
        <v>2780</v>
      </c>
      <c r="AG155" s="80">
        <f>SUMPRODUCT(('Monthly Data'!$E$13:$E$9627=$U$154)*('Monthly Data'!$G$13:$G$9627)*('Monthly Data'!$C$13:$C$9627=AG$26)*('Monthly Data'!$D$13:$D$9627=$U155))</f>
        <v>2542</v>
      </c>
      <c r="AH155" s="80">
        <f>SUMPRODUCT(('Monthly Data'!$E$13:$E$9627=$U$154)*('Monthly Data'!$G$13:$G$9627)*('Monthly Data'!$C$13:$C$9627=AH$26)*('Monthly Data'!$D$13:$D$9627=$U155))</f>
        <v>2699</v>
      </c>
      <c r="AI155" s="80">
        <f>SUMPRODUCT(('Monthly Data'!$E$13:$E$9627=$U$154)*('Monthly Data'!$G$13:$G$9627)*('Monthly Data'!$C$13:$C$9627=AI$26)*('Monthly Data'!$D$13:$D$9627=$U155))</f>
        <v>119</v>
      </c>
      <c r="AJ155" s="80">
        <f>SUMPRODUCT(('Monthly Data'!$E$13:$E$9627=$U$154)*('Monthly Data'!$G$13:$G$9627)*('Monthly Data'!$C$13:$C$9627=AJ$26)*('Monthly Data'!$D$13:$D$9627=$U155))</f>
        <v>2513</v>
      </c>
      <c r="AL155" s="89">
        <f>SUM(V155:AH155)</f>
        <v>34265</v>
      </c>
    </row>
    <row r="156" spans="2:38">
      <c r="B156" s="30">
        <v>2</v>
      </c>
      <c r="C156" s="95">
        <f>SUMPRODUCT(('Monthly Data'!$E$13:$E$9627=$B$154)*('Monthly Data'!$F$13:$F$9627)*('Monthly Data'!$C$13:$C$9627=C$26)*('Monthly Data'!$D$13:$D$9627=$B156))</f>
        <v>50666</v>
      </c>
      <c r="D156" s="95">
        <f>SUMPRODUCT(('Monthly Data'!$E$13:$E$9627=$B$154)*('Monthly Data'!$F$13:$F$9627)*('Monthly Data'!$C$13:$C$9627=D$26)*('Monthly Data'!$D$13:$D$9627=$B156))</f>
        <v>56514</v>
      </c>
      <c r="E156" s="80">
        <f>SUMPRODUCT(('Monthly Data'!$E$13:$E$9627=$B$154)*('Monthly Data'!$F$13:$F$9627)*('Monthly Data'!$C$13:$C$9627=E$26)*('Monthly Data'!$D$13:$D$9627=$B156))</f>
        <v>58068</v>
      </c>
      <c r="F156" s="80">
        <f>SUMPRODUCT(('Monthly Data'!$E$13:$E$9627=$B$154)*('Monthly Data'!$F$13:$F$9627)*('Monthly Data'!$C$13:$C$9627=F$26)*('Monthly Data'!$D$13:$D$9627=$B156))</f>
        <v>53647</v>
      </c>
      <c r="G156" s="80">
        <f>SUMPRODUCT(('Monthly Data'!$E$13:$E$9627=$B$154)*('Monthly Data'!$F$13:$F$9627)*('Monthly Data'!$C$13:$C$9627=G$26)*('Monthly Data'!$D$13:$D$9627=$B156))</f>
        <v>54817</v>
      </c>
      <c r="H156" s="80">
        <f>SUMPRODUCT(('Monthly Data'!$E$13:$E$9627=$B$154)*('Monthly Data'!$F$13:$F$9627)*('Monthly Data'!$C$13:$C$9627=H$26)*('Monthly Data'!$D$13:$D$9627=$B156))</f>
        <v>109493</v>
      </c>
      <c r="I156" s="80">
        <f>SUMPRODUCT(('Monthly Data'!$E$13:$E$9627=$B$154)*('Monthly Data'!$F$13:$F$9627)*('Monthly Data'!$C$13:$C$9627=I$26)*('Monthly Data'!$D$13:$D$9627=$B156))</f>
        <v>108842</v>
      </c>
      <c r="J156" s="80">
        <f>SUMPRODUCT(('Monthly Data'!$E$13:$E$9627=$B$154)*('Monthly Data'!$F$13:$F$9627)*('Monthly Data'!$C$13:$C$9627=J$26)*('Monthly Data'!$D$13:$D$9627=$B156))</f>
        <v>116551</v>
      </c>
      <c r="K156" s="80">
        <f>SUMPRODUCT(('Monthly Data'!$E$13:$E$9627=$B$154)*('Monthly Data'!$F$13:$F$9627)*('Monthly Data'!$C$13:$C$9627=K$26)*('Monthly Data'!$D$13:$D$9627=$B156))</f>
        <v>127177</v>
      </c>
      <c r="L156" s="80">
        <f>SUMPRODUCT(('Monthly Data'!$E$13:$E$9627=$B$154)*('Monthly Data'!$F$13:$F$9627)*('Monthly Data'!$C$13:$C$9627=L$26)*('Monthly Data'!$D$13:$D$9627=$B156))</f>
        <v>135610</v>
      </c>
      <c r="M156" s="80">
        <f>SUMPRODUCT(('Monthly Data'!$E$13:$E$9627=$B$154)*('Monthly Data'!$F$13:$F$9627)*('Monthly Data'!$C$13:$C$9627=M$26)*('Monthly Data'!$D$13:$D$9627=$B156))</f>
        <v>108267</v>
      </c>
      <c r="N156" s="80">
        <f>SUMPRODUCT(('Monthly Data'!$E$13:$E$9627=$B$154)*('Monthly Data'!$F$13:$F$9627)*('Monthly Data'!$C$13:$C$9627=N$26)*('Monthly Data'!$D$13:$D$9627=$B156))</f>
        <v>114594</v>
      </c>
      <c r="O156" s="80">
        <f>SUMPRODUCT(('Monthly Data'!$E$13:$E$9627=$B$154)*('Monthly Data'!$F$13:$F$9627)*('Monthly Data'!$C$13:$C$9627=O$26)*('Monthly Data'!$D$13:$D$9627=$B156))</f>
        <v>103991</v>
      </c>
      <c r="P156" s="80">
        <f>SUMPRODUCT(('Monthly Data'!$E$13:$E$9627=$B$154)*('Monthly Data'!$F$13:$F$9627)*('Monthly Data'!$C$13:$C$9627=P$26)*('Monthly Data'!$D$13:$D$9627=$B156))</f>
        <v>2134</v>
      </c>
      <c r="Q156" s="80">
        <f>SUMPRODUCT(('Monthly Data'!$E$13:$E$9627=$B$154)*('Monthly Data'!$F$13:$F$9627)*('Monthly Data'!$C$13:$C$9627=Q$26)*('Monthly Data'!$D$13:$D$9627=$B156))</f>
        <v>100707</v>
      </c>
      <c r="S156" s="89">
        <f t="shared" ref="S156:S166" si="33">SUM(C156:O156)</f>
        <v>1198237</v>
      </c>
      <c r="U156" s="30">
        <v>2</v>
      </c>
      <c r="V156" s="95">
        <f>SUMPRODUCT(('Monthly Data'!$E$13:$E$9627=$U$154)*('Monthly Data'!$G$13:$G$9627)*('Monthly Data'!$C$13:$C$9627=V$26)*('Monthly Data'!$D$13:$D$9627=$U156))</f>
        <v>1933</v>
      </c>
      <c r="W156" s="95">
        <f>SUMPRODUCT(('Monthly Data'!$E$13:$E$9627=$U$154)*('Monthly Data'!$G$13:$G$9627)*('Monthly Data'!$C$13:$C$9627=W$26)*('Monthly Data'!$D$13:$D$9627=$U156))</f>
        <v>2006</v>
      </c>
      <c r="X156" s="80">
        <f>SUMPRODUCT(('Monthly Data'!$E$13:$E$9627=$U$154)*('Monthly Data'!$G$13:$G$9627)*('Monthly Data'!$C$13:$C$9627=X$26)*('Monthly Data'!$D$13:$D$9627=$U156))</f>
        <v>2007</v>
      </c>
      <c r="Y156" s="80">
        <f>SUMPRODUCT(('Monthly Data'!$E$13:$E$9627=$U$154)*('Monthly Data'!$G$13:$G$9627)*('Monthly Data'!$C$13:$C$9627=Y$26)*('Monthly Data'!$D$13:$D$9627=$U156))</f>
        <v>2044</v>
      </c>
      <c r="Z156" s="80">
        <f>SUMPRODUCT(('Monthly Data'!$E$13:$E$9627=$U$154)*('Monthly Data'!$G$13:$G$9627)*('Monthly Data'!$C$13:$C$9627=Z$26)*('Monthly Data'!$D$13:$D$9627=$U156))</f>
        <v>1991</v>
      </c>
      <c r="AA156" s="80">
        <f>SUMPRODUCT(('Monthly Data'!$E$13:$E$9627=$U$154)*('Monthly Data'!$G$13:$G$9627)*('Monthly Data'!$C$13:$C$9627=AA$26)*('Monthly Data'!$D$13:$D$9627=$U156))</f>
        <v>2766</v>
      </c>
      <c r="AB156" s="80">
        <f>SUMPRODUCT(('Monthly Data'!$E$13:$E$9627=$U$154)*('Monthly Data'!$G$13:$G$9627)*('Monthly Data'!$C$13:$C$9627=AB$26)*('Monthly Data'!$D$13:$D$9627=$U156))</f>
        <v>2873</v>
      </c>
      <c r="AC156" s="80">
        <f>SUMPRODUCT(('Monthly Data'!$E$13:$E$9627=$U$154)*('Monthly Data'!$G$13:$G$9627)*('Monthly Data'!$C$13:$C$9627=AC$26)*('Monthly Data'!$D$13:$D$9627=$U156))</f>
        <v>3202</v>
      </c>
      <c r="AD156" s="80">
        <f>SUMPRODUCT(('Monthly Data'!$E$13:$E$9627=$U$154)*('Monthly Data'!$G$13:$G$9627)*('Monthly Data'!$C$13:$C$9627=AD$26)*('Monthly Data'!$D$13:$D$9627=$U156))</f>
        <v>3395</v>
      </c>
      <c r="AE156" s="80">
        <f>SUMPRODUCT(('Monthly Data'!$E$13:$E$9627=$U$154)*('Monthly Data'!$G$13:$G$9627)*('Monthly Data'!$C$13:$C$9627=AE$26)*('Monthly Data'!$D$13:$D$9627=$U156))</f>
        <v>3159</v>
      </c>
      <c r="AF156" s="80">
        <f>SUMPRODUCT(('Monthly Data'!$E$13:$E$9627=$U$154)*('Monthly Data'!$G$13:$G$9627)*('Monthly Data'!$C$13:$C$9627=AF$26)*('Monthly Data'!$D$13:$D$9627=$U156))</f>
        <v>2681</v>
      </c>
      <c r="AG156" s="80">
        <f>SUMPRODUCT(('Monthly Data'!$E$13:$E$9627=$U$154)*('Monthly Data'!$G$13:$G$9627)*('Monthly Data'!$C$13:$C$9627=AG$26)*('Monthly Data'!$D$13:$D$9627=$U156))</f>
        <v>2722</v>
      </c>
      <c r="AH156" s="80">
        <f>SUMPRODUCT(('Monthly Data'!$E$13:$E$9627=$U$154)*('Monthly Data'!$G$13:$G$9627)*('Monthly Data'!$C$13:$C$9627=AH$26)*('Monthly Data'!$D$13:$D$9627=$U156))</f>
        <v>2731</v>
      </c>
      <c r="AI156" s="80">
        <f>SUMPRODUCT(('Monthly Data'!$E$13:$E$9627=$U$154)*('Monthly Data'!$G$13:$G$9627)*('Monthly Data'!$C$13:$C$9627=AI$26)*('Monthly Data'!$D$13:$D$9627=$U156))</f>
        <v>124</v>
      </c>
      <c r="AJ156" s="80">
        <f>SUMPRODUCT(('Monthly Data'!$E$13:$E$9627=$U$154)*('Monthly Data'!$G$13:$G$9627)*('Monthly Data'!$C$13:$C$9627=AJ$26)*('Monthly Data'!$D$13:$D$9627=$U156))</f>
        <v>2520</v>
      </c>
      <c r="AL156" s="89">
        <f t="shared" ref="AL156:AL166" si="34">SUM(V156:AH156)</f>
        <v>33510</v>
      </c>
    </row>
    <row r="157" spans="2:38">
      <c r="B157" s="30">
        <v>3</v>
      </c>
      <c r="C157" s="95">
        <f>SUMPRODUCT(('Monthly Data'!$E$13:$E$9627=$B$154)*('Monthly Data'!$F$13:$F$9627)*('Monthly Data'!$C$13:$C$9627=C$26)*('Monthly Data'!$D$13:$D$9627=$B157))</f>
        <v>60399</v>
      </c>
      <c r="D157" s="95">
        <f>SUMPRODUCT(('Monthly Data'!$E$13:$E$9627=$B$154)*('Monthly Data'!$F$13:$F$9627)*('Monthly Data'!$C$13:$C$9627=D$26)*('Monthly Data'!$D$13:$D$9627=$B157))</f>
        <v>66234</v>
      </c>
      <c r="E157" s="80">
        <f>SUMPRODUCT(('Monthly Data'!$E$13:$E$9627=$B$154)*('Monthly Data'!$F$13:$F$9627)*('Monthly Data'!$C$13:$C$9627=E$26)*('Monthly Data'!$D$13:$D$9627=$B157))</f>
        <v>68083</v>
      </c>
      <c r="F157" s="80">
        <f>SUMPRODUCT(('Monthly Data'!$E$13:$E$9627=$B$154)*('Monthly Data'!$F$13:$F$9627)*('Monthly Data'!$C$13:$C$9627=F$26)*('Monthly Data'!$D$13:$D$9627=$B157))</f>
        <v>61905</v>
      </c>
      <c r="G157" s="80">
        <f>SUMPRODUCT(('Monthly Data'!$E$13:$E$9627=$B$154)*('Monthly Data'!$F$13:$F$9627)*('Monthly Data'!$C$13:$C$9627=G$26)*('Monthly Data'!$D$13:$D$9627=$B157))</f>
        <v>63135</v>
      </c>
      <c r="H157" s="80">
        <f>SUMPRODUCT(('Monthly Data'!$E$13:$E$9627=$B$154)*('Monthly Data'!$F$13:$F$9627)*('Monthly Data'!$C$13:$C$9627=H$26)*('Monthly Data'!$D$13:$D$9627=$B157))</f>
        <v>118060</v>
      </c>
      <c r="I157" s="80">
        <f>SUMPRODUCT(('Monthly Data'!$E$13:$E$9627=$B$154)*('Monthly Data'!$F$13:$F$9627)*('Monthly Data'!$C$13:$C$9627=I$26)*('Monthly Data'!$D$13:$D$9627=$B157))</f>
        <v>131809</v>
      </c>
      <c r="J157" s="80">
        <f>SUMPRODUCT(('Monthly Data'!$E$13:$E$9627=$B$154)*('Monthly Data'!$F$13:$F$9627)*('Monthly Data'!$C$13:$C$9627=J$26)*('Monthly Data'!$D$13:$D$9627=$B157))</f>
        <v>138588</v>
      </c>
      <c r="K157" s="80">
        <f>SUMPRODUCT(('Monthly Data'!$E$13:$E$9627=$B$154)*('Monthly Data'!$F$13:$F$9627)*('Monthly Data'!$C$13:$C$9627=K$26)*('Monthly Data'!$D$13:$D$9627=$B157))</f>
        <v>146376</v>
      </c>
      <c r="L157" s="80">
        <f>SUMPRODUCT(('Monthly Data'!$E$13:$E$9627=$B$154)*('Monthly Data'!$F$13:$F$9627)*('Monthly Data'!$C$13:$C$9627=L$26)*('Monthly Data'!$D$13:$D$9627=$B157))</f>
        <v>154282</v>
      </c>
      <c r="M157" s="80">
        <f>SUMPRODUCT(('Monthly Data'!$E$13:$E$9627=$B$154)*('Monthly Data'!$F$13:$F$9627)*('Monthly Data'!$C$13:$C$9627=M$26)*('Monthly Data'!$D$13:$D$9627=$B157))</f>
        <v>135164</v>
      </c>
      <c r="N157" s="80">
        <f>SUMPRODUCT(('Monthly Data'!$E$13:$E$9627=$B$154)*('Monthly Data'!$F$13:$F$9627)*('Monthly Data'!$C$13:$C$9627=N$26)*('Monthly Data'!$D$13:$D$9627=$B157))</f>
        <v>142333</v>
      </c>
      <c r="O157" s="80">
        <f>SUMPRODUCT(('Monthly Data'!$E$13:$E$9627=$B$154)*('Monthly Data'!$F$13:$F$9627)*('Monthly Data'!$C$13:$C$9627=O$26)*('Monthly Data'!$D$13:$D$9627=$B157))</f>
        <v>129873</v>
      </c>
      <c r="P157" s="80">
        <f>SUMPRODUCT(('Monthly Data'!$E$13:$E$9627=$B$154)*('Monthly Data'!$F$13:$F$9627)*('Monthly Data'!$C$13:$C$9627=P$26)*('Monthly Data'!$D$13:$D$9627=$B157))</f>
        <v>2971</v>
      </c>
      <c r="Q157" s="80">
        <f>SUMPRODUCT(('Monthly Data'!$E$13:$E$9627=$B$154)*('Monthly Data'!$F$13:$F$9627)*('Monthly Data'!$C$13:$C$9627=Q$26)*('Monthly Data'!$D$13:$D$9627=$B157))</f>
        <v>124515</v>
      </c>
      <c r="S157" s="89">
        <f t="shared" si="33"/>
        <v>1416241</v>
      </c>
      <c r="U157" s="30">
        <v>3</v>
      </c>
      <c r="V157" s="95">
        <f>SUMPRODUCT(('Monthly Data'!$E$13:$E$9627=$U$154)*('Monthly Data'!$G$13:$G$9627)*('Monthly Data'!$C$13:$C$9627=V$26)*('Monthly Data'!$D$13:$D$9627=$U157))</f>
        <v>2139</v>
      </c>
      <c r="W157" s="95">
        <f>SUMPRODUCT(('Monthly Data'!$E$13:$E$9627=$U$154)*('Monthly Data'!$G$13:$G$9627)*('Monthly Data'!$C$13:$C$9627=W$26)*('Monthly Data'!$D$13:$D$9627=$U157))</f>
        <v>2243</v>
      </c>
      <c r="X157" s="80">
        <f>SUMPRODUCT(('Monthly Data'!$E$13:$E$9627=$U$154)*('Monthly Data'!$G$13:$G$9627)*('Monthly Data'!$C$13:$C$9627=X$26)*('Monthly Data'!$D$13:$D$9627=$U157))</f>
        <v>2292</v>
      </c>
      <c r="Y157" s="80">
        <f>SUMPRODUCT(('Monthly Data'!$E$13:$E$9627=$U$154)*('Monthly Data'!$G$13:$G$9627)*('Monthly Data'!$C$13:$C$9627=Y$26)*('Monthly Data'!$D$13:$D$9627=$U157))</f>
        <v>2243</v>
      </c>
      <c r="Z157" s="80">
        <f>SUMPRODUCT(('Monthly Data'!$E$13:$E$9627=$U$154)*('Monthly Data'!$G$13:$G$9627)*('Monthly Data'!$C$13:$C$9627=Z$26)*('Monthly Data'!$D$13:$D$9627=$U157))</f>
        <v>2155</v>
      </c>
      <c r="AA157" s="80">
        <f>SUMPRODUCT(('Monthly Data'!$E$13:$E$9627=$U$154)*('Monthly Data'!$G$13:$G$9627)*('Monthly Data'!$C$13:$C$9627=AA$26)*('Monthly Data'!$D$13:$D$9627=$U157))</f>
        <v>3042</v>
      </c>
      <c r="AB157" s="80">
        <f>SUMPRODUCT(('Monthly Data'!$E$13:$E$9627=$U$154)*('Monthly Data'!$G$13:$G$9627)*('Monthly Data'!$C$13:$C$9627=AB$26)*('Monthly Data'!$D$13:$D$9627=$U157))</f>
        <v>3322</v>
      </c>
      <c r="AC157" s="80">
        <f>SUMPRODUCT(('Monthly Data'!$E$13:$E$9627=$U$154)*('Monthly Data'!$G$13:$G$9627)*('Monthly Data'!$C$13:$C$9627=AC$26)*('Monthly Data'!$D$13:$D$9627=$U157))</f>
        <v>3755</v>
      </c>
      <c r="AD157" s="80">
        <f>SUMPRODUCT(('Monthly Data'!$E$13:$E$9627=$U$154)*('Monthly Data'!$G$13:$G$9627)*('Monthly Data'!$C$13:$C$9627=AD$26)*('Monthly Data'!$D$13:$D$9627=$U157))</f>
        <v>3671</v>
      </c>
      <c r="AE157" s="80">
        <f>SUMPRODUCT(('Monthly Data'!$E$13:$E$9627=$U$154)*('Monthly Data'!$G$13:$G$9627)*('Monthly Data'!$C$13:$C$9627=AE$26)*('Monthly Data'!$D$13:$D$9627=$U157))</f>
        <v>3493</v>
      </c>
      <c r="AF157" s="80">
        <f>SUMPRODUCT(('Monthly Data'!$E$13:$E$9627=$U$154)*('Monthly Data'!$G$13:$G$9627)*('Monthly Data'!$C$13:$C$9627=AF$26)*('Monthly Data'!$D$13:$D$9627=$U157))</f>
        <v>3302</v>
      </c>
      <c r="AG157" s="80">
        <f>SUMPRODUCT(('Monthly Data'!$E$13:$E$9627=$U$154)*('Monthly Data'!$G$13:$G$9627)*('Monthly Data'!$C$13:$C$9627=AG$26)*('Monthly Data'!$D$13:$D$9627=$U157))</f>
        <v>3301</v>
      </c>
      <c r="AH157" s="80">
        <f>SUMPRODUCT(('Monthly Data'!$E$13:$E$9627=$U$154)*('Monthly Data'!$G$13:$G$9627)*('Monthly Data'!$C$13:$C$9627=AH$26)*('Monthly Data'!$D$13:$D$9627=$U157))</f>
        <v>3324</v>
      </c>
      <c r="AI157" s="80">
        <f>SUMPRODUCT(('Monthly Data'!$E$13:$E$9627=$U$154)*('Monthly Data'!$G$13:$G$9627)*('Monthly Data'!$C$13:$C$9627=AI$26)*('Monthly Data'!$D$13:$D$9627=$U157))</f>
        <v>135</v>
      </c>
      <c r="AJ157" s="80">
        <f>SUMPRODUCT(('Monthly Data'!$E$13:$E$9627=$U$154)*('Monthly Data'!$G$13:$G$9627)*('Monthly Data'!$C$13:$C$9627=AJ$26)*('Monthly Data'!$D$13:$D$9627=$U157))</f>
        <v>2848</v>
      </c>
      <c r="AL157" s="89">
        <f t="shared" si="34"/>
        <v>38282</v>
      </c>
    </row>
    <row r="158" spans="2:38">
      <c r="B158" s="30">
        <v>4</v>
      </c>
      <c r="C158" s="95">
        <f>SUMPRODUCT(('Monthly Data'!$E$13:$E$9627=$B$154)*('Monthly Data'!$F$13:$F$9627)*('Monthly Data'!$C$13:$C$9627=C$26)*('Monthly Data'!$D$13:$D$9627=$B158))</f>
        <v>61154</v>
      </c>
      <c r="D158" s="95">
        <f>SUMPRODUCT(('Monthly Data'!$E$13:$E$9627=$B$154)*('Monthly Data'!$F$13:$F$9627)*('Monthly Data'!$C$13:$C$9627=D$26)*('Monthly Data'!$D$13:$D$9627=$B158))</f>
        <v>68309</v>
      </c>
      <c r="E158" s="80">
        <f>SUMPRODUCT(('Monthly Data'!$E$13:$E$9627=$B$154)*('Monthly Data'!$F$13:$F$9627)*('Monthly Data'!$C$13:$C$9627=E$26)*('Monthly Data'!$D$13:$D$9627=$B158))</f>
        <v>69668</v>
      </c>
      <c r="F158" s="80">
        <f>SUMPRODUCT(('Monthly Data'!$E$13:$E$9627=$B$154)*('Monthly Data'!$F$13:$F$9627)*('Monthly Data'!$C$13:$C$9627=F$26)*('Monthly Data'!$D$13:$D$9627=$B158))</f>
        <v>62751</v>
      </c>
      <c r="G158" s="80">
        <f>SUMPRODUCT(('Monthly Data'!$E$13:$E$9627=$B$154)*('Monthly Data'!$F$13:$F$9627)*('Monthly Data'!$C$13:$C$9627=G$26)*('Monthly Data'!$D$13:$D$9627=$B158))</f>
        <v>89448</v>
      </c>
      <c r="H158" s="80">
        <f>SUMPRODUCT(('Monthly Data'!$E$13:$E$9627=$B$154)*('Monthly Data'!$F$13:$F$9627)*('Monthly Data'!$C$13:$C$9627=H$26)*('Monthly Data'!$D$13:$D$9627=$B158))</f>
        <v>121770</v>
      </c>
      <c r="I158" s="80">
        <f>SUMPRODUCT(('Monthly Data'!$E$13:$E$9627=$B$154)*('Monthly Data'!$F$13:$F$9627)*('Monthly Data'!$C$13:$C$9627=I$26)*('Monthly Data'!$D$13:$D$9627=$B158))</f>
        <v>145458</v>
      </c>
      <c r="J158" s="80">
        <f>SUMPRODUCT(('Monthly Data'!$E$13:$E$9627=$B$154)*('Monthly Data'!$F$13:$F$9627)*('Monthly Data'!$C$13:$C$9627=J$26)*('Monthly Data'!$D$13:$D$9627=$B158))</f>
        <v>160772</v>
      </c>
      <c r="K158" s="80">
        <f>SUMPRODUCT(('Monthly Data'!$E$13:$E$9627=$B$154)*('Monthly Data'!$F$13:$F$9627)*('Monthly Data'!$C$13:$C$9627=K$26)*('Monthly Data'!$D$13:$D$9627=$B158))</f>
        <v>158595</v>
      </c>
      <c r="L158" s="80">
        <f>SUMPRODUCT(('Monthly Data'!$E$13:$E$9627=$B$154)*('Monthly Data'!$F$13:$F$9627)*('Monthly Data'!$C$13:$C$9627=L$26)*('Monthly Data'!$D$13:$D$9627=$B158))</f>
        <v>173660</v>
      </c>
      <c r="M158" s="80">
        <f>SUMPRODUCT(('Monthly Data'!$E$13:$E$9627=$B$154)*('Monthly Data'!$F$13:$F$9627)*('Monthly Data'!$C$13:$C$9627=M$26)*('Monthly Data'!$D$13:$D$9627=$B158))</f>
        <v>150112</v>
      </c>
      <c r="N158" s="80">
        <f>SUMPRODUCT(('Monthly Data'!$E$13:$E$9627=$B$154)*('Monthly Data'!$F$13:$F$9627)*('Monthly Data'!$C$13:$C$9627=N$26)*('Monthly Data'!$D$13:$D$9627=$B158))</f>
        <v>121170</v>
      </c>
      <c r="O158" s="80">
        <f>SUMPRODUCT(('Monthly Data'!$E$13:$E$9627=$B$154)*('Monthly Data'!$F$13:$F$9627)*('Monthly Data'!$C$13:$C$9627=O$26)*('Monthly Data'!$D$13:$D$9627=$B158))</f>
        <v>143594</v>
      </c>
      <c r="P158" s="80">
        <f>SUMPRODUCT(('Monthly Data'!$E$13:$E$9627=$B$154)*('Monthly Data'!$F$13:$F$9627)*('Monthly Data'!$C$13:$C$9627=P$26)*('Monthly Data'!$D$13:$D$9627=$B158))</f>
        <v>41626</v>
      </c>
      <c r="Q158" s="80">
        <f>SUMPRODUCT(('Monthly Data'!$E$13:$E$9627=$B$154)*('Monthly Data'!$F$13:$F$9627)*('Monthly Data'!$C$13:$C$9627=Q$26)*('Monthly Data'!$D$13:$D$9627=$B158))</f>
        <v>136592</v>
      </c>
      <c r="S158" s="89">
        <f t="shared" si="33"/>
        <v>1526461</v>
      </c>
      <c r="U158" s="30">
        <v>4</v>
      </c>
      <c r="V158" s="95">
        <f>SUMPRODUCT(('Monthly Data'!$E$13:$E$9627=$U$154)*('Monthly Data'!$G$13:$G$9627)*('Monthly Data'!$C$13:$C$9627=V$26)*('Monthly Data'!$D$13:$D$9627=$U158))</f>
        <v>2059</v>
      </c>
      <c r="W158" s="95">
        <f>SUMPRODUCT(('Monthly Data'!$E$13:$E$9627=$U$154)*('Monthly Data'!$G$13:$G$9627)*('Monthly Data'!$C$13:$C$9627=W$26)*('Monthly Data'!$D$13:$D$9627=$U158))</f>
        <v>2261</v>
      </c>
      <c r="X158" s="80">
        <f>SUMPRODUCT(('Monthly Data'!$E$13:$E$9627=$U$154)*('Monthly Data'!$G$13:$G$9627)*('Monthly Data'!$C$13:$C$9627=X$26)*('Monthly Data'!$D$13:$D$9627=$U158))</f>
        <v>2259</v>
      </c>
      <c r="Y158" s="80">
        <f>SUMPRODUCT(('Monthly Data'!$E$13:$E$9627=$U$154)*('Monthly Data'!$G$13:$G$9627)*('Monthly Data'!$C$13:$C$9627=Y$26)*('Monthly Data'!$D$13:$D$9627=$U158))</f>
        <v>2319</v>
      </c>
      <c r="Z158" s="80">
        <f>SUMPRODUCT(('Monthly Data'!$E$13:$E$9627=$U$154)*('Monthly Data'!$G$13:$G$9627)*('Monthly Data'!$C$13:$C$9627=Z$26)*('Monthly Data'!$D$13:$D$9627=$U158))</f>
        <v>2604</v>
      </c>
      <c r="AA158" s="80">
        <f>SUMPRODUCT(('Monthly Data'!$E$13:$E$9627=$U$154)*('Monthly Data'!$G$13:$G$9627)*('Monthly Data'!$C$13:$C$9627=AA$26)*('Monthly Data'!$D$13:$D$9627=$U158))</f>
        <v>2998</v>
      </c>
      <c r="AB158" s="80">
        <f>SUMPRODUCT(('Monthly Data'!$E$13:$E$9627=$U$154)*('Monthly Data'!$G$13:$G$9627)*('Monthly Data'!$C$13:$C$9627=AB$26)*('Monthly Data'!$D$13:$D$9627=$U158))</f>
        <v>3608</v>
      </c>
      <c r="AC158" s="80">
        <f>SUMPRODUCT(('Monthly Data'!$E$13:$E$9627=$U$154)*('Monthly Data'!$G$13:$G$9627)*('Monthly Data'!$C$13:$C$9627=AC$26)*('Monthly Data'!$D$13:$D$9627=$U158))</f>
        <v>3860</v>
      </c>
      <c r="AD158" s="80">
        <f>SUMPRODUCT(('Monthly Data'!$E$13:$E$9627=$U$154)*('Monthly Data'!$G$13:$G$9627)*('Monthly Data'!$C$13:$C$9627=AD$26)*('Monthly Data'!$D$13:$D$9627=$U158))</f>
        <v>3937</v>
      </c>
      <c r="AE158" s="80">
        <f>SUMPRODUCT(('Monthly Data'!$E$13:$E$9627=$U$154)*('Monthly Data'!$G$13:$G$9627)*('Monthly Data'!$C$13:$C$9627=AE$26)*('Monthly Data'!$D$13:$D$9627=$U158))</f>
        <v>4054</v>
      </c>
      <c r="AF158" s="80">
        <f>SUMPRODUCT(('Monthly Data'!$E$13:$E$9627=$U$154)*('Monthly Data'!$G$13:$G$9627)*('Monthly Data'!$C$13:$C$9627=AF$26)*('Monthly Data'!$D$13:$D$9627=$U158))</f>
        <v>3467</v>
      </c>
      <c r="AG158" s="80">
        <f>SUMPRODUCT(('Monthly Data'!$E$13:$E$9627=$U$154)*('Monthly Data'!$G$13:$G$9627)*('Monthly Data'!$C$13:$C$9627=AG$26)*('Monthly Data'!$D$13:$D$9627=$U158))</f>
        <v>2894</v>
      </c>
      <c r="AH158" s="80">
        <f>SUMPRODUCT(('Monthly Data'!$E$13:$E$9627=$U$154)*('Monthly Data'!$G$13:$G$9627)*('Monthly Data'!$C$13:$C$9627=AH$26)*('Monthly Data'!$D$13:$D$9627=$U158))</f>
        <v>3410</v>
      </c>
      <c r="AI158" s="80">
        <f>SUMPRODUCT(('Monthly Data'!$E$13:$E$9627=$U$154)*('Monthly Data'!$G$13:$G$9627)*('Monthly Data'!$C$13:$C$9627=AI$26)*('Monthly Data'!$D$13:$D$9627=$U158))</f>
        <v>505</v>
      </c>
      <c r="AJ158" s="80">
        <f>SUMPRODUCT(('Monthly Data'!$E$13:$E$9627=$U$154)*('Monthly Data'!$G$13:$G$9627)*('Monthly Data'!$C$13:$C$9627=AJ$26)*('Monthly Data'!$D$13:$D$9627=$U158))</f>
        <v>3007</v>
      </c>
      <c r="AL158" s="89">
        <f t="shared" si="34"/>
        <v>39730</v>
      </c>
    </row>
    <row r="159" spans="2:38">
      <c r="B159" s="30">
        <v>5</v>
      </c>
      <c r="C159" s="95">
        <f>SUMPRODUCT(('Monthly Data'!$E$13:$E$9627=$B$154)*('Monthly Data'!$F$13:$F$9627)*('Monthly Data'!$C$13:$C$9627=C$26)*('Monthly Data'!$D$13:$D$9627=$B159))</f>
        <v>64873</v>
      </c>
      <c r="D159" s="95">
        <f>SUMPRODUCT(('Monthly Data'!$E$13:$E$9627=$B$154)*('Monthly Data'!$F$13:$F$9627)*('Monthly Data'!$C$13:$C$9627=D$26)*('Monthly Data'!$D$13:$D$9627=$B159))</f>
        <v>76284</v>
      </c>
      <c r="E159" s="80">
        <f>SUMPRODUCT(('Monthly Data'!$E$13:$E$9627=$B$154)*('Monthly Data'!$F$13:$F$9627)*('Monthly Data'!$C$13:$C$9627=E$26)*('Monthly Data'!$D$13:$D$9627=$B159))</f>
        <v>79142</v>
      </c>
      <c r="F159" s="80">
        <f>SUMPRODUCT(('Monthly Data'!$E$13:$E$9627=$B$154)*('Monthly Data'!$F$13:$F$9627)*('Monthly Data'!$C$13:$C$9627=F$26)*('Monthly Data'!$D$13:$D$9627=$B159))</f>
        <v>73425</v>
      </c>
      <c r="G159" s="80">
        <f>SUMPRODUCT(('Monthly Data'!$E$13:$E$9627=$B$154)*('Monthly Data'!$F$13:$F$9627)*('Monthly Data'!$C$13:$C$9627=G$26)*('Monthly Data'!$D$13:$D$9627=$B159))</f>
        <v>103665</v>
      </c>
      <c r="H159" s="80">
        <f>SUMPRODUCT(('Monthly Data'!$E$13:$E$9627=$B$154)*('Monthly Data'!$F$13:$F$9627)*('Monthly Data'!$C$13:$C$9627=H$26)*('Monthly Data'!$D$13:$D$9627=$B159))</f>
        <v>129248</v>
      </c>
      <c r="I159" s="80">
        <f>SUMPRODUCT(('Monthly Data'!$E$13:$E$9627=$B$154)*('Monthly Data'!$F$13:$F$9627)*('Monthly Data'!$C$13:$C$9627=I$26)*('Monthly Data'!$D$13:$D$9627=$B159))</f>
        <v>168742</v>
      </c>
      <c r="J159" s="80">
        <f>SUMPRODUCT(('Monthly Data'!$E$13:$E$9627=$B$154)*('Monthly Data'!$F$13:$F$9627)*('Monthly Data'!$C$13:$C$9627=J$26)*('Monthly Data'!$D$13:$D$9627=$B159))</f>
        <v>173838</v>
      </c>
      <c r="K159" s="80">
        <f>SUMPRODUCT(('Monthly Data'!$E$13:$E$9627=$B$154)*('Monthly Data'!$F$13:$F$9627)*('Monthly Data'!$C$13:$C$9627=K$26)*('Monthly Data'!$D$13:$D$9627=$B159))</f>
        <v>175073</v>
      </c>
      <c r="L159" s="80">
        <f>SUMPRODUCT(('Monthly Data'!$E$13:$E$9627=$B$154)*('Monthly Data'!$F$13:$F$9627)*('Monthly Data'!$C$13:$C$9627=L$26)*('Monthly Data'!$D$13:$D$9627=$B159))</f>
        <v>187168</v>
      </c>
      <c r="M159" s="80">
        <f>SUMPRODUCT(('Monthly Data'!$E$13:$E$9627=$B$154)*('Monthly Data'!$F$13:$F$9627)*('Monthly Data'!$C$13:$C$9627=M$26)*('Monthly Data'!$D$13:$D$9627=$B159))</f>
        <v>163826</v>
      </c>
      <c r="N159" s="80">
        <f>SUMPRODUCT(('Monthly Data'!$E$13:$E$9627=$B$154)*('Monthly Data'!$F$13:$F$9627)*('Monthly Data'!$C$13:$C$9627=N$26)*('Monthly Data'!$D$13:$D$9627=$B159))</f>
        <v>159646</v>
      </c>
      <c r="O159" s="80">
        <f>SUMPRODUCT(('Monthly Data'!$E$13:$E$9627=$B$154)*('Monthly Data'!$F$13:$F$9627)*('Monthly Data'!$C$13:$C$9627=O$26)*('Monthly Data'!$D$13:$D$9627=$B159))</f>
        <v>157887</v>
      </c>
      <c r="P159" s="80">
        <f>SUMPRODUCT(('Monthly Data'!$E$13:$E$9627=$B$154)*('Monthly Data'!$F$13:$F$9627)*('Monthly Data'!$C$13:$C$9627=P$26)*('Monthly Data'!$D$13:$D$9627=$B159))</f>
        <v>66529</v>
      </c>
      <c r="Q159" s="80">
        <f>SUMPRODUCT(('Monthly Data'!$E$13:$E$9627=$B$154)*('Monthly Data'!$F$13:$F$9627)*('Monthly Data'!$C$13:$C$9627=Q$26)*('Monthly Data'!$D$13:$D$9627=$B159))</f>
        <v>0</v>
      </c>
      <c r="S159" s="89">
        <f t="shared" si="33"/>
        <v>1712817</v>
      </c>
      <c r="U159" s="30">
        <v>5</v>
      </c>
      <c r="V159" s="95">
        <f>SUMPRODUCT(('Monthly Data'!$E$13:$E$9627=$U$154)*('Monthly Data'!$G$13:$G$9627)*('Monthly Data'!$C$13:$C$9627=V$26)*('Monthly Data'!$D$13:$D$9627=$U159))</f>
        <v>2082</v>
      </c>
      <c r="W159" s="95">
        <f>SUMPRODUCT(('Monthly Data'!$E$13:$E$9627=$U$154)*('Monthly Data'!$G$13:$G$9627)*('Monthly Data'!$C$13:$C$9627=W$26)*('Monthly Data'!$D$13:$D$9627=$U159))</f>
        <v>2413</v>
      </c>
      <c r="X159" s="80">
        <f>SUMPRODUCT(('Monthly Data'!$E$13:$E$9627=$U$154)*('Monthly Data'!$G$13:$G$9627)*('Monthly Data'!$C$13:$C$9627=X$26)*('Monthly Data'!$D$13:$D$9627=$U159))</f>
        <v>2433</v>
      </c>
      <c r="Y159" s="80">
        <f>SUMPRODUCT(('Monthly Data'!$E$13:$E$9627=$U$154)*('Monthly Data'!$G$13:$G$9627)*('Monthly Data'!$C$13:$C$9627=Y$26)*('Monthly Data'!$D$13:$D$9627=$U159))</f>
        <v>2428</v>
      </c>
      <c r="Z159" s="80">
        <f>SUMPRODUCT(('Monthly Data'!$E$13:$E$9627=$U$154)*('Monthly Data'!$G$13:$G$9627)*('Monthly Data'!$C$13:$C$9627=Z$26)*('Monthly Data'!$D$13:$D$9627=$U159))</f>
        <v>2772</v>
      </c>
      <c r="AA159" s="80">
        <f>SUMPRODUCT(('Monthly Data'!$E$13:$E$9627=$U$154)*('Monthly Data'!$G$13:$G$9627)*('Monthly Data'!$C$13:$C$9627=AA$26)*('Monthly Data'!$D$13:$D$9627=$U159))</f>
        <v>3078</v>
      </c>
      <c r="AB159" s="80">
        <f>SUMPRODUCT(('Monthly Data'!$E$13:$E$9627=$U$154)*('Monthly Data'!$G$13:$G$9627)*('Monthly Data'!$C$13:$C$9627=AB$26)*('Monthly Data'!$D$13:$D$9627=$U159))</f>
        <v>3929</v>
      </c>
      <c r="AC159" s="80">
        <f>SUMPRODUCT(('Monthly Data'!$E$13:$E$9627=$U$154)*('Monthly Data'!$G$13:$G$9627)*('Monthly Data'!$C$13:$C$9627=AC$26)*('Monthly Data'!$D$13:$D$9627=$U159))</f>
        <v>4149</v>
      </c>
      <c r="AD159" s="80">
        <f>SUMPRODUCT(('Monthly Data'!$E$13:$E$9627=$U$154)*('Monthly Data'!$G$13:$G$9627)*('Monthly Data'!$C$13:$C$9627=AD$26)*('Monthly Data'!$D$13:$D$9627=$U159))</f>
        <v>4281</v>
      </c>
      <c r="AE159" s="80">
        <f>SUMPRODUCT(('Monthly Data'!$E$13:$E$9627=$U$154)*('Monthly Data'!$G$13:$G$9627)*('Monthly Data'!$C$13:$C$9627=AE$26)*('Monthly Data'!$D$13:$D$9627=$U159))</f>
        <v>4141</v>
      </c>
      <c r="AF159" s="80">
        <f>SUMPRODUCT(('Monthly Data'!$E$13:$E$9627=$U$154)*('Monthly Data'!$G$13:$G$9627)*('Monthly Data'!$C$13:$C$9627=AF$26)*('Monthly Data'!$D$13:$D$9627=$U159))</f>
        <v>3679</v>
      </c>
      <c r="AG159" s="80">
        <f>SUMPRODUCT(('Monthly Data'!$E$13:$E$9627=$U$154)*('Monthly Data'!$G$13:$G$9627)*('Monthly Data'!$C$13:$C$9627=AG$26)*('Monthly Data'!$D$13:$D$9627=$U159))</f>
        <v>3773</v>
      </c>
      <c r="AH159" s="80">
        <f>SUMPRODUCT(('Monthly Data'!$E$13:$E$9627=$U$154)*('Monthly Data'!$G$13:$G$9627)*('Monthly Data'!$C$13:$C$9627=AH$26)*('Monthly Data'!$D$13:$D$9627=$U159))</f>
        <v>3718</v>
      </c>
      <c r="AI159" s="80">
        <f>SUMPRODUCT(('Monthly Data'!$E$13:$E$9627=$U$154)*('Monthly Data'!$G$13:$G$9627)*('Monthly Data'!$C$13:$C$9627=AI$26)*('Monthly Data'!$D$13:$D$9627=$U159))</f>
        <v>900</v>
      </c>
      <c r="AJ159" s="80">
        <f>SUMPRODUCT(('Monthly Data'!$E$13:$E$9627=$U$154)*('Monthly Data'!$G$13:$G$9627)*('Monthly Data'!$C$13:$C$9627=AJ$26)*('Monthly Data'!$D$13:$D$9627=$U159))</f>
        <v>0</v>
      </c>
      <c r="AL159" s="89">
        <f t="shared" si="34"/>
        <v>42876</v>
      </c>
    </row>
    <row r="160" spans="2:38">
      <c r="B160" s="30">
        <v>6</v>
      </c>
      <c r="C160" s="95">
        <f>SUMPRODUCT(('Monthly Data'!$E$13:$E$9627=$B$154)*('Monthly Data'!$F$13:$F$9627)*('Monthly Data'!$C$13:$C$9627=C$26)*('Monthly Data'!$D$13:$D$9627=$B160))</f>
        <v>69901</v>
      </c>
      <c r="D160" s="95">
        <f>SUMPRODUCT(('Monthly Data'!$E$13:$E$9627=$B$154)*('Monthly Data'!$F$13:$F$9627)*('Monthly Data'!$C$13:$C$9627=D$26)*('Monthly Data'!$D$13:$D$9627=$B160))</f>
        <v>79129</v>
      </c>
      <c r="E160" s="80">
        <f>SUMPRODUCT(('Monthly Data'!$E$13:$E$9627=$B$154)*('Monthly Data'!$F$13:$F$9627)*('Monthly Data'!$C$13:$C$9627=E$26)*('Monthly Data'!$D$13:$D$9627=$B160))</f>
        <v>80800</v>
      </c>
      <c r="F160" s="80">
        <f>SUMPRODUCT(('Monthly Data'!$E$13:$E$9627=$B$154)*('Monthly Data'!$F$13:$F$9627)*('Monthly Data'!$C$13:$C$9627=F$26)*('Monthly Data'!$D$13:$D$9627=$B160))</f>
        <v>71298</v>
      </c>
      <c r="G160" s="80">
        <f>SUMPRODUCT(('Monthly Data'!$E$13:$E$9627=$B$154)*('Monthly Data'!$F$13:$F$9627)*('Monthly Data'!$C$13:$C$9627=G$26)*('Monthly Data'!$D$13:$D$9627=$B160))</f>
        <v>121508</v>
      </c>
      <c r="H160" s="80">
        <f>SUMPRODUCT(('Monthly Data'!$E$13:$E$9627=$B$154)*('Monthly Data'!$F$13:$F$9627)*('Monthly Data'!$C$13:$C$9627=H$26)*('Monthly Data'!$D$13:$D$9627=$B160))</f>
        <v>137380</v>
      </c>
      <c r="I160" s="80">
        <f>SUMPRODUCT(('Monthly Data'!$E$13:$E$9627=$B$154)*('Monthly Data'!$F$13:$F$9627)*('Monthly Data'!$C$13:$C$9627=I$26)*('Monthly Data'!$D$13:$D$9627=$B160))</f>
        <v>180808</v>
      </c>
      <c r="J160" s="80">
        <f>SUMPRODUCT(('Monthly Data'!$E$13:$E$9627=$B$154)*('Monthly Data'!$F$13:$F$9627)*('Monthly Data'!$C$13:$C$9627=J$26)*('Monthly Data'!$D$13:$D$9627=$B160))</f>
        <v>186633</v>
      </c>
      <c r="K160" s="80">
        <f>SUMPRODUCT(('Monthly Data'!$E$13:$E$9627=$B$154)*('Monthly Data'!$F$13:$F$9627)*('Monthly Data'!$C$13:$C$9627=K$26)*('Monthly Data'!$D$13:$D$9627=$B160))</f>
        <v>184410</v>
      </c>
      <c r="L160" s="80">
        <f>SUMPRODUCT(('Monthly Data'!$E$13:$E$9627=$B$154)*('Monthly Data'!$F$13:$F$9627)*('Monthly Data'!$C$13:$C$9627=L$26)*('Monthly Data'!$D$13:$D$9627=$B160))</f>
        <v>187274</v>
      </c>
      <c r="M160" s="80">
        <f>SUMPRODUCT(('Monthly Data'!$E$13:$E$9627=$B$154)*('Monthly Data'!$F$13:$F$9627)*('Monthly Data'!$C$13:$C$9627=M$26)*('Monthly Data'!$D$13:$D$9627=$B160))</f>
        <v>172285</v>
      </c>
      <c r="N160" s="80">
        <f>SUMPRODUCT(('Monthly Data'!$E$13:$E$9627=$B$154)*('Monthly Data'!$F$13:$F$9627)*('Monthly Data'!$C$13:$C$9627=N$26)*('Monthly Data'!$D$13:$D$9627=$B160))</f>
        <v>178931</v>
      </c>
      <c r="O160" s="80">
        <f>SUMPRODUCT(('Monthly Data'!$E$13:$E$9627=$B$154)*('Monthly Data'!$F$13:$F$9627)*('Monthly Data'!$C$13:$C$9627=O$26)*('Monthly Data'!$D$13:$D$9627=$B160))</f>
        <v>177482</v>
      </c>
      <c r="P160" s="80">
        <f>SUMPRODUCT(('Monthly Data'!$E$13:$E$9627=$B$154)*('Monthly Data'!$F$13:$F$9627)*('Monthly Data'!$C$13:$C$9627=P$26)*('Monthly Data'!$D$13:$D$9627=$B160))</f>
        <v>77580</v>
      </c>
      <c r="Q160" s="80">
        <f>SUMPRODUCT(('Monthly Data'!$E$13:$E$9627=$B$154)*('Monthly Data'!$F$13:$F$9627)*('Monthly Data'!$C$13:$C$9627=Q$26)*('Monthly Data'!$D$13:$D$9627=$B160))</f>
        <v>0</v>
      </c>
      <c r="S160" s="89">
        <f t="shared" si="33"/>
        <v>1827839</v>
      </c>
      <c r="U160" s="30">
        <v>6</v>
      </c>
      <c r="V160" s="95">
        <f>SUMPRODUCT(('Monthly Data'!$E$13:$E$9627=$U$154)*('Monthly Data'!$G$13:$G$9627)*('Monthly Data'!$C$13:$C$9627=V$26)*('Monthly Data'!$D$13:$D$9627=$U160))</f>
        <v>2177</v>
      </c>
      <c r="W160" s="95">
        <f>SUMPRODUCT(('Monthly Data'!$E$13:$E$9627=$U$154)*('Monthly Data'!$G$13:$G$9627)*('Monthly Data'!$C$13:$C$9627=W$26)*('Monthly Data'!$D$13:$D$9627=$U160))</f>
        <v>2468</v>
      </c>
      <c r="X160" s="80">
        <f>SUMPRODUCT(('Monthly Data'!$E$13:$E$9627=$U$154)*('Monthly Data'!$G$13:$G$9627)*('Monthly Data'!$C$13:$C$9627=X$26)*('Monthly Data'!$D$13:$D$9627=$U160))</f>
        <v>2417</v>
      </c>
      <c r="Y160" s="80">
        <f>SUMPRODUCT(('Monthly Data'!$E$13:$E$9627=$U$154)*('Monthly Data'!$G$13:$G$9627)*('Monthly Data'!$C$13:$C$9627=Y$26)*('Monthly Data'!$D$13:$D$9627=$U160))</f>
        <v>2339</v>
      </c>
      <c r="Z160" s="80">
        <f>SUMPRODUCT(('Monthly Data'!$E$13:$E$9627=$U$154)*('Monthly Data'!$G$13:$G$9627)*('Monthly Data'!$C$13:$C$9627=Z$26)*('Monthly Data'!$D$13:$D$9627=$U160))</f>
        <v>2930</v>
      </c>
      <c r="AA160" s="80">
        <f>SUMPRODUCT(('Monthly Data'!$E$13:$E$9627=$U$154)*('Monthly Data'!$G$13:$G$9627)*('Monthly Data'!$C$13:$C$9627=AA$26)*('Monthly Data'!$D$13:$D$9627=$U160))</f>
        <v>3121</v>
      </c>
      <c r="AB160" s="80">
        <f>SUMPRODUCT(('Monthly Data'!$E$13:$E$9627=$U$154)*('Monthly Data'!$G$13:$G$9627)*('Monthly Data'!$C$13:$C$9627=AB$26)*('Monthly Data'!$D$13:$D$9627=$U160))</f>
        <v>4032</v>
      </c>
      <c r="AC160" s="80">
        <f>SUMPRODUCT(('Monthly Data'!$E$13:$E$9627=$U$154)*('Monthly Data'!$G$13:$G$9627)*('Monthly Data'!$C$13:$C$9627=AC$26)*('Monthly Data'!$D$13:$D$9627=$U160))</f>
        <v>4262</v>
      </c>
      <c r="AD160" s="80">
        <f>SUMPRODUCT(('Monthly Data'!$E$13:$E$9627=$U$154)*('Monthly Data'!$G$13:$G$9627)*('Monthly Data'!$C$13:$C$9627=AD$26)*('Monthly Data'!$D$13:$D$9627=$U160))</f>
        <v>4163</v>
      </c>
      <c r="AE160" s="80">
        <f>SUMPRODUCT(('Monthly Data'!$E$13:$E$9627=$U$154)*('Monthly Data'!$G$13:$G$9627)*('Monthly Data'!$C$13:$C$9627=AE$26)*('Monthly Data'!$D$13:$D$9627=$U160))</f>
        <v>4116</v>
      </c>
      <c r="AF160" s="80">
        <f>SUMPRODUCT(('Monthly Data'!$E$13:$E$9627=$U$154)*('Monthly Data'!$G$13:$G$9627)*('Monthly Data'!$C$13:$C$9627=AF$26)*('Monthly Data'!$D$13:$D$9627=$U160))</f>
        <v>3729</v>
      </c>
      <c r="AG160" s="80">
        <f>SUMPRODUCT(('Monthly Data'!$E$13:$E$9627=$U$154)*('Monthly Data'!$G$13:$G$9627)*('Monthly Data'!$C$13:$C$9627=AG$26)*('Monthly Data'!$D$13:$D$9627=$U160))</f>
        <v>4002</v>
      </c>
      <c r="AH160" s="80">
        <f>SUMPRODUCT(('Monthly Data'!$E$13:$E$9627=$U$154)*('Monthly Data'!$G$13:$G$9627)*('Monthly Data'!$C$13:$C$9627=AH$26)*('Monthly Data'!$D$13:$D$9627=$U160))</f>
        <v>3876</v>
      </c>
      <c r="AI160" s="80">
        <f>SUMPRODUCT(('Monthly Data'!$E$13:$E$9627=$U$154)*('Monthly Data'!$G$13:$G$9627)*('Monthly Data'!$C$13:$C$9627=AI$26)*('Monthly Data'!$D$13:$D$9627=$U160))</f>
        <v>932</v>
      </c>
      <c r="AJ160" s="80">
        <f>SUMPRODUCT(('Monthly Data'!$E$13:$E$9627=$U$154)*('Monthly Data'!$G$13:$G$9627)*('Monthly Data'!$C$13:$C$9627=AJ$26)*('Monthly Data'!$D$13:$D$9627=$U160))</f>
        <v>0</v>
      </c>
      <c r="AL160" s="89">
        <f t="shared" si="34"/>
        <v>43632</v>
      </c>
    </row>
    <row r="161" spans="2:38">
      <c r="B161" s="30">
        <v>7</v>
      </c>
      <c r="C161" s="95">
        <f>SUMPRODUCT(('Monthly Data'!$E$13:$E$9627=$B$154)*('Monthly Data'!$F$13:$F$9627)*('Monthly Data'!$C$13:$C$9627=C$26)*('Monthly Data'!$D$13:$D$9627=$B161))</f>
        <v>71813</v>
      </c>
      <c r="D161" s="95">
        <f>SUMPRODUCT(('Monthly Data'!$E$13:$E$9627=$B$154)*('Monthly Data'!$F$13:$F$9627)*('Monthly Data'!$C$13:$C$9627=D$26)*('Monthly Data'!$D$13:$D$9627=$B161))</f>
        <v>82148</v>
      </c>
      <c r="E161" s="80">
        <f>SUMPRODUCT(('Monthly Data'!$E$13:$E$9627=$B$154)*('Monthly Data'!$F$13:$F$9627)*('Monthly Data'!$C$13:$C$9627=E$26)*('Monthly Data'!$D$13:$D$9627=$B161))</f>
        <v>82649</v>
      </c>
      <c r="F161" s="80">
        <f>SUMPRODUCT(('Monthly Data'!$E$13:$E$9627=$B$154)*('Monthly Data'!$F$13:$F$9627)*('Monthly Data'!$C$13:$C$9627=F$26)*('Monthly Data'!$D$13:$D$9627=$B161))</f>
        <v>76443</v>
      </c>
      <c r="G161" s="80">
        <f>SUMPRODUCT(('Monthly Data'!$E$13:$E$9627=$B$154)*('Monthly Data'!$F$13:$F$9627)*('Monthly Data'!$C$13:$C$9627=G$26)*('Monthly Data'!$D$13:$D$9627=$B161))</f>
        <v>137039</v>
      </c>
      <c r="H161" s="80">
        <f>SUMPRODUCT(('Monthly Data'!$E$13:$E$9627=$B$154)*('Monthly Data'!$F$13:$F$9627)*('Monthly Data'!$C$13:$C$9627=H$26)*('Monthly Data'!$D$13:$D$9627=$B161))</f>
        <v>148644</v>
      </c>
      <c r="I161" s="80">
        <f>SUMPRODUCT(('Monthly Data'!$E$13:$E$9627=$B$154)*('Monthly Data'!$F$13:$F$9627)*('Monthly Data'!$C$13:$C$9627=I$26)*('Monthly Data'!$D$13:$D$9627=$B161))</f>
        <v>194250</v>
      </c>
      <c r="J161" s="80">
        <f>SUMPRODUCT(('Monthly Data'!$E$13:$E$9627=$B$154)*('Monthly Data'!$F$13:$F$9627)*('Monthly Data'!$C$13:$C$9627=J$26)*('Monthly Data'!$D$13:$D$9627=$B161))</f>
        <v>196793</v>
      </c>
      <c r="K161" s="80">
        <f>SUMPRODUCT(('Monthly Data'!$E$13:$E$9627=$B$154)*('Monthly Data'!$F$13:$F$9627)*('Monthly Data'!$C$13:$C$9627=K$26)*('Monthly Data'!$D$13:$D$9627=$B161))</f>
        <v>195726</v>
      </c>
      <c r="L161" s="80">
        <f>SUMPRODUCT(('Monthly Data'!$E$13:$E$9627=$B$154)*('Monthly Data'!$F$13:$F$9627)*('Monthly Data'!$C$13:$C$9627=L$26)*('Monthly Data'!$D$13:$D$9627=$B161))</f>
        <v>192107</v>
      </c>
      <c r="M161" s="80">
        <f>SUMPRODUCT(('Monthly Data'!$E$13:$E$9627=$B$154)*('Monthly Data'!$F$13:$F$9627)*('Monthly Data'!$C$13:$C$9627=M$26)*('Monthly Data'!$D$13:$D$9627=$B161))</f>
        <v>190231</v>
      </c>
      <c r="N161" s="80">
        <f>SUMPRODUCT(('Monthly Data'!$E$13:$E$9627=$B$154)*('Monthly Data'!$F$13:$F$9627)*('Monthly Data'!$C$13:$C$9627=N$26)*('Monthly Data'!$D$13:$D$9627=$B161))</f>
        <v>187703</v>
      </c>
      <c r="O161" s="80">
        <f>SUMPRODUCT(('Monthly Data'!$E$13:$E$9627=$B$154)*('Monthly Data'!$F$13:$F$9627)*('Monthly Data'!$C$13:$C$9627=O$26)*('Monthly Data'!$D$13:$D$9627=$B161))</f>
        <v>192340</v>
      </c>
      <c r="P161" s="80">
        <f>SUMPRODUCT(('Monthly Data'!$E$13:$E$9627=$B$154)*('Monthly Data'!$F$13:$F$9627)*('Monthly Data'!$C$13:$C$9627=P$26)*('Monthly Data'!$D$13:$D$9627=$B161))</f>
        <v>173959</v>
      </c>
      <c r="Q161" s="80">
        <f>SUMPRODUCT(('Monthly Data'!$E$13:$E$9627=$B$154)*('Monthly Data'!$F$13:$F$9627)*('Monthly Data'!$C$13:$C$9627=Q$26)*('Monthly Data'!$D$13:$D$9627=$B161))</f>
        <v>0</v>
      </c>
      <c r="S161" s="89">
        <f t="shared" si="33"/>
        <v>1947886</v>
      </c>
      <c r="U161" s="30">
        <v>7</v>
      </c>
      <c r="V161" s="95">
        <f>SUMPRODUCT(('Monthly Data'!$E$13:$E$9627=$U$154)*('Monthly Data'!$G$13:$G$9627)*('Monthly Data'!$C$13:$C$9627=V$26)*('Monthly Data'!$D$13:$D$9627=$U161))</f>
        <v>2265</v>
      </c>
      <c r="W161" s="95">
        <f>SUMPRODUCT(('Monthly Data'!$E$13:$E$9627=$U$154)*('Monthly Data'!$G$13:$G$9627)*('Monthly Data'!$C$13:$C$9627=W$26)*('Monthly Data'!$D$13:$D$9627=$U161))</f>
        <v>2584</v>
      </c>
      <c r="X161" s="80">
        <f>SUMPRODUCT(('Monthly Data'!$E$13:$E$9627=$U$154)*('Monthly Data'!$G$13:$G$9627)*('Monthly Data'!$C$13:$C$9627=X$26)*('Monthly Data'!$D$13:$D$9627=$U161))</f>
        <v>2585</v>
      </c>
      <c r="Y161" s="80">
        <f>SUMPRODUCT(('Monthly Data'!$E$13:$E$9627=$U$154)*('Monthly Data'!$G$13:$G$9627)*('Monthly Data'!$C$13:$C$9627=Y$26)*('Monthly Data'!$D$13:$D$9627=$U161))</f>
        <v>2597</v>
      </c>
      <c r="Z161" s="80">
        <f>SUMPRODUCT(('Monthly Data'!$E$13:$E$9627=$U$154)*('Monthly Data'!$G$13:$G$9627)*('Monthly Data'!$C$13:$C$9627=Z$26)*('Monthly Data'!$D$13:$D$9627=$U161))</f>
        <v>3300</v>
      </c>
      <c r="AA161" s="80">
        <f>SUMPRODUCT(('Monthly Data'!$E$13:$E$9627=$U$154)*('Monthly Data'!$G$13:$G$9627)*('Monthly Data'!$C$13:$C$9627=AA$26)*('Monthly Data'!$D$13:$D$9627=$U161))</f>
        <v>3360</v>
      </c>
      <c r="AB161" s="80">
        <f>SUMPRODUCT(('Monthly Data'!$E$13:$E$9627=$U$154)*('Monthly Data'!$G$13:$G$9627)*('Monthly Data'!$C$13:$C$9627=AB$26)*('Monthly Data'!$D$13:$D$9627=$U161))</f>
        <v>4226</v>
      </c>
      <c r="AC161" s="80">
        <f>SUMPRODUCT(('Monthly Data'!$E$13:$E$9627=$U$154)*('Monthly Data'!$G$13:$G$9627)*('Monthly Data'!$C$13:$C$9627=AC$26)*('Monthly Data'!$D$13:$D$9627=$U161))</f>
        <v>4282</v>
      </c>
      <c r="AD161" s="80">
        <f>SUMPRODUCT(('Monthly Data'!$E$13:$E$9627=$U$154)*('Monthly Data'!$G$13:$G$9627)*('Monthly Data'!$C$13:$C$9627=AD$26)*('Monthly Data'!$D$13:$D$9627=$U161))</f>
        <v>4447</v>
      </c>
      <c r="AE161" s="80">
        <f>SUMPRODUCT(('Monthly Data'!$E$13:$E$9627=$U$154)*('Monthly Data'!$G$13:$G$9627)*('Monthly Data'!$C$13:$C$9627=AE$26)*('Monthly Data'!$D$13:$D$9627=$U161))</f>
        <v>4212</v>
      </c>
      <c r="AF161" s="80">
        <f>SUMPRODUCT(('Monthly Data'!$E$13:$E$9627=$U$154)*('Monthly Data'!$G$13:$G$9627)*('Monthly Data'!$C$13:$C$9627=AF$26)*('Monthly Data'!$D$13:$D$9627=$U161))</f>
        <v>4064</v>
      </c>
      <c r="AG161" s="80">
        <f>SUMPRODUCT(('Monthly Data'!$E$13:$E$9627=$U$154)*('Monthly Data'!$G$13:$G$9627)*('Monthly Data'!$C$13:$C$9627=AG$26)*('Monthly Data'!$D$13:$D$9627=$U161))</f>
        <v>4140</v>
      </c>
      <c r="AH161" s="80">
        <f>SUMPRODUCT(('Monthly Data'!$E$13:$E$9627=$U$154)*('Monthly Data'!$G$13:$G$9627)*('Monthly Data'!$C$13:$C$9627=AH$26)*('Monthly Data'!$D$13:$D$9627=$U161))</f>
        <v>3998</v>
      </c>
      <c r="AI161" s="80">
        <f>SUMPRODUCT(('Monthly Data'!$E$13:$E$9627=$U$154)*('Monthly Data'!$G$13:$G$9627)*('Monthly Data'!$C$13:$C$9627=AI$26)*('Monthly Data'!$D$13:$D$9627=$U161))</f>
        <v>3701</v>
      </c>
      <c r="AJ161" s="80">
        <f>SUMPRODUCT(('Monthly Data'!$E$13:$E$9627=$U$154)*('Monthly Data'!$G$13:$G$9627)*('Monthly Data'!$C$13:$C$9627=AJ$26)*('Monthly Data'!$D$13:$D$9627=$U161))</f>
        <v>0</v>
      </c>
      <c r="AL161" s="89">
        <f t="shared" si="34"/>
        <v>46060</v>
      </c>
    </row>
    <row r="162" spans="2:38">
      <c r="B162" s="30">
        <v>8</v>
      </c>
      <c r="C162" s="95">
        <f>SUMPRODUCT(('Monthly Data'!$E$13:$E$9627=$B$154)*('Monthly Data'!$F$13:$F$9627)*('Monthly Data'!$C$13:$C$9627=C$26)*('Monthly Data'!$D$13:$D$9627=$B162))</f>
        <v>76290</v>
      </c>
      <c r="D162" s="95">
        <f>SUMPRODUCT(('Monthly Data'!$E$13:$E$9627=$B$154)*('Monthly Data'!$F$13:$F$9627)*('Monthly Data'!$C$13:$C$9627=D$26)*('Monthly Data'!$D$13:$D$9627=$B162))</f>
        <v>86507</v>
      </c>
      <c r="E162" s="80">
        <f>SUMPRODUCT(('Monthly Data'!$E$13:$E$9627=$B$154)*('Monthly Data'!$F$13:$F$9627)*('Monthly Data'!$C$13:$C$9627=E$26)*('Monthly Data'!$D$13:$D$9627=$B162))</f>
        <v>86421</v>
      </c>
      <c r="F162" s="80">
        <f>SUMPRODUCT(('Monthly Data'!$E$13:$E$9627=$B$154)*('Monthly Data'!$F$13:$F$9627)*('Monthly Data'!$C$13:$C$9627=F$26)*('Monthly Data'!$D$13:$D$9627=$B162))</f>
        <v>77817</v>
      </c>
      <c r="G162" s="80">
        <f>SUMPRODUCT(('Monthly Data'!$E$13:$E$9627=$B$154)*('Monthly Data'!$F$13:$F$9627)*('Monthly Data'!$C$13:$C$9627=G$26)*('Monthly Data'!$D$13:$D$9627=$B162))</f>
        <v>140134</v>
      </c>
      <c r="H162" s="80">
        <f>SUMPRODUCT(('Monthly Data'!$E$13:$E$9627=$B$154)*('Monthly Data'!$F$13:$F$9627)*('Monthly Data'!$C$13:$C$9627=H$26)*('Monthly Data'!$D$13:$D$9627=$B162))</f>
        <v>151909</v>
      </c>
      <c r="I162" s="80">
        <f>SUMPRODUCT(('Monthly Data'!$E$13:$E$9627=$B$154)*('Monthly Data'!$F$13:$F$9627)*('Monthly Data'!$C$13:$C$9627=I$26)*('Monthly Data'!$D$13:$D$9627=$B162))</f>
        <v>196979</v>
      </c>
      <c r="J162" s="80">
        <f>SUMPRODUCT(('Monthly Data'!$E$13:$E$9627=$B$154)*('Monthly Data'!$F$13:$F$9627)*('Monthly Data'!$C$13:$C$9627=J$26)*('Monthly Data'!$D$13:$D$9627=$B162))</f>
        <v>199315</v>
      </c>
      <c r="K162" s="80">
        <f>SUMPRODUCT(('Monthly Data'!$E$13:$E$9627=$B$154)*('Monthly Data'!$F$13:$F$9627)*('Monthly Data'!$C$13:$C$9627=K$26)*('Monthly Data'!$D$13:$D$9627=$B162))</f>
        <v>204081</v>
      </c>
      <c r="L162" s="80">
        <f>SUMPRODUCT(('Monthly Data'!$E$13:$E$9627=$B$154)*('Monthly Data'!$F$13:$F$9627)*('Monthly Data'!$C$13:$C$9627=L$26)*('Monthly Data'!$D$13:$D$9627=$B162))</f>
        <v>190377</v>
      </c>
      <c r="M162" s="80">
        <f>SUMPRODUCT(('Monthly Data'!$E$13:$E$9627=$B$154)*('Monthly Data'!$F$13:$F$9627)*('Monthly Data'!$C$13:$C$9627=M$26)*('Monthly Data'!$D$13:$D$9627=$B162))</f>
        <v>185125</v>
      </c>
      <c r="N162" s="80">
        <f>SUMPRODUCT(('Monthly Data'!$E$13:$E$9627=$B$154)*('Monthly Data'!$F$13:$F$9627)*('Monthly Data'!$C$13:$C$9627=N$26)*('Monthly Data'!$D$13:$D$9627=$B162))</f>
        <v>183455</v>
      </c>
      <c r="O162" s="80">
        <f>SUMPRODUCT(('Monthly Data'!$E$13:$E$9627=$B$154)*('Monthly Data'!$F$13:$F$9627)*('Monthly Data'!$C$13:$C$9627=O$26)*('Monthly Data'!$D$13:$D$9627=$B162))</f>
        <v>187871</v>
      </c>
      <c r="P162" s="80">
        <f>SUMPRODUCT(('Monthly Data'!$E$13:$E$9627=$B$154)*('Monthly Data'!$F$13:$F$9627)*('Monthly Data'!$C$13:$C$9627=P$26)*('Monthly Data'!$D$13:$D$9627=$B162))</f>
        <v>175841</v>
      </c>
      <c r="Q162" s="80">
        <f>SUMPRODUCT(('Monthly Data'!$E$13:$E$9627=$B$154)*('Monthly Data'!$F$13:$F$9627)*('Monthly Data'!$C$13:$C$9627=Q$26)*('Monthly Data'!$D$13:$D$9627=$B162))</f>
        <v>0</v>
      </c>
      <c r="S162" s="89">
        <f t="shared" si="33"/>
        <v>1966281</v>
      </c>
      <c r="U162" s="30">
        <v>8</v>
      </c>
      <c r="V162" s="95">
        <f>SUMPRODUCT(('Monthly Data'!$E$13:$E$9627=$U$154)*('Monthly Data'!$G$13:$G$9627)*('Monthly Data'!$C$13:$C$9627=V$26)*('Monthly Data'!$D$13:$D$9627=$U162))</f>
        <v>2347</v>
      </c>
      <c r="W162" s="95">
        <f>SUMPRODUCT(('Monthly Data'!$E$13:$E$9627=$U$154)*('Monthly Data'!$G$13:$G$9627)*('Monthly Data'!$C$13:$C$9627=W$26)*('Monthly Data'!$D$13:$D$9627=$U162))</f>
        <v>2715</v>
      </c>
      <c r="X162" s="80">
        <f>SUMPRODUCT(('Monthly Data'!$E$13:$E$9627=$U$154)*('Monthly Data'!$G$13:$G$9627)*('Monthly Data'!$C$13:$C$9627=X$26)*('Monthly Data'!$D$13:$D$9627=$U162))</f>
        <v>2690</v>
      </c>
      <c r="Y162" s="80">
        <f>SUMPRODUCT(('Monthly Data'!$E$13:$E$9627=$U$154)*('Monthly Data'!$G$13:$G$9627)*('Monthly Data'!$C$13:$C$9627=Y$26)*('Monthly Data'!$D$13:$D$9627=$U162))</f>
        <v>2610</v>
      </c>
      <c r="Z162" s="80">
        <f>SUMPRODUCT(('Monthly Data'!$E$13:$E$9627=$U$154)*('Monthly Data'!$G$13:$G$9627)*('Monthly Data'!$C$13:$C$9627=Z$26)*('Monthly Data'!$D$13:$D$9627=$U162))</f>
        <v>3234</v>
      </c>
      <c r="AA162" s="80">
        <f>SUMPRODUCT(('Monthly Data'!$E$13:$E$9627=$U$154)*('Monthly Data'!$G$13:$G$9627)*('Monthly Data'!$C$13:$C$9627=AA$26)*('Monthly Data'!$D$13:$D$9627=$U162))</f>
        <v>3363</v>
      </c>
      <c r="AB162" s="80">
        <f>SUMPRODUCT(('Monthly Data'!$E$13:$E$9627=$U$154)*('Monthly Data'!$G$13:$G$9627)*('Monthly Data'!$C$13:$C$9627=AB$26)*('Monthly Data'!$D$13:$D$9627=$U162))</f>
        <v>4284</v>
      </c>
      <c r="AC162" s="80">
        <f>SUMPRODUCT(('Monthly Data'!$E$13:$E$9627=$U$154)*('Monthly Data'!$G$13:$G$9627)*('Monthly Data'!$C$13:$C$9627=AC$26)*('Monthly Data'!$D$13:$D$9627=$U162))</f>
        <v>4421</v>
      </c>
      <c r="AD162" s="80">
        <f>SUMPRODUCT(('Monthly Data'!$E$13:$E$9627=$U$154)*('Monthly Data'!$G$13:$G$9627)*('Monthly Data'!$C$13:$C$9627=AD$26)*('Monthly Data'!$D$13:$D$9627=$U162))</f>
        <v>4465</v>
      </c>
      <c r="AE162" s="80">
        <f>SUMPRODUCT(('Monthly Data'!$E$13:$E$9627=$U$154)*('Monthly Data'!$G$13:$G$9627)*('Monthly Data'!$C$13:$C$9627=AE$26)*('Monthly Data'!$D$13:$D$9627=$U162))</f>
        <v>4112</v>
      </c>
      <c r="AF162" s="80">
        <f>SUMPRODUCT(('Monthly Data'!$E$13:$E$9627=$U$154)*('Monthly Data'!$G$13:$G$9627)*('Monthly Data'!$C$13:$C$9627=AF$26)*('Monthly Data'!$D$13:$D$9627=$U162))</f>
        <v>3824</v>
      </c>
      <c r="AG162" s="80">
        <f>SUMPRODUCT(('Monthly Data'!$E$13:$E$9627=$U$154)*('Monthly Data'!$G$13:$G$9627)*('Monthly Data'!$C$13:$C$9627=AG$26)*('Monthly Data'!$D$13:$D$9627=$U162))</f>
        <v>4090</v>
      </c>
      <c r="AH162" s="80">
        <f>SUMPRODUCT(('Monthly Data'!$E$13:$E$9627=$U$154)*('Monthly Data'!$G$13:$G$9627)*('Monthly Data'!$C$13:$C$9627=AH$26)*('Monthly Data'!$D$13:$D$9627=$U162))</f>
        <v>3980</v>
      </c>
      <c r="AI162" s="80">
        <f>SUMPRODUCT(('Monthly Data'!$E$13:$E$9627=$U$154)*('Monthly Data'!$G$13:$G$9627)*('Monthly Data'!$C$13:$C$9627=AI$26)*('Monthly Data'!$D$13:$D$9627=$U162))</f>
        <v>3727</v>
      </c>
      <c r="AJ162" s="80">
        <f>SUMPRODUCT(('Monthly Data'!$E$13:$E$9627=$U$154)*('Monthly Data'!$G$13:$G$9627)*('Monthly Data'!$C$13:$C$9627=AJ$26)*('Monthly Data'!$D$13:$D$9627=$U162))</f>
        <v>0</v>
      </c>
      <c r="AL162" s="89">
        <f t="shared" si="34"/>
        <v>46135</v>
      </c>
    </row>
    <row r="163" spans="2:38">
      <c r="B163" s="30">
        <v>9</v>
      </c>
      <c r="C163" s="95">
        <f>SUMPRODUCT(('Monthly Data'!$E$13:$E$9627=$B$154)*('Monthly Data'!$F$13:$F$9627)*('Monthly Data'!$C$13:$C$9627=C$26)*('Monthly Data'!$D$13:$D$9627=$B163))</f>
        <v>73441</v>
      </c>
      <c r="D163" s="95">
        <f>SUMPRODUCT(('Monthly Data'!$E$13:$E$9627=$B$154)*('Monthly Data'!$F$13:$F$9627)*('Monthly Data'!$C$13:$C$9627=D$26)*('Monthly Data'!$D$13:$D$9627=$B163))</f>
        <v>83041</v>
      </c>
      <c r="E163" s="80">
        <f>SUMPRODUCT(('Monthly Data'!$E$13:$E$9627=$B$154)*('Monthly Data'!$F$13:$F$9627)*('Monthly Data'!$C$13:$C$9627=E$26)*('Monthly Data'!$D$13:$D$9627=$B163))</f>
        <v>81379</v>
      </c>
      <c r="F163" s="80">
        <f>SUMPRODUCT(('Monthly Data'!$E$13:$E$9627=$B$154)*('Monthly Data'!$F$13:$F$9627)*('Monthly Data'!$C$13:$C$9627=F$26)*('Monthly Data'!$D$13:$D$9627=$B163))</f>
        <v>75743</v>
      </c>
      <c r="G163" s="80">
        <f>SUMPRODUCT(('Monthly Data'!$E$13:$E$9627=$B$154)*('Monthly Data'!$F$13:$F$9627)*('Monthly Data'!$C$13:$C$9627=G$26)*('Monthly Data'!$D$13:$D$9627=$B163))</f>
        <v>129565</v>
      </c>
      <c r="H163" s="80">
        <f>SUMPRODUCT(('Monthly Data'!$E$13:$E$9627=$B$154)*('Monthly Data'!$F$13:$F$9627)*('Monthly Data'!$C$13:$C$9627=H$26)*('Monthly Data'!$D$13:$D$9627=$B163))</f>
        <v>154326</v>
      </c>
      <c r="I163" s="80">
        <f>SUMPRODUCT(('Monthly Data'!$E$13:$E$9627=$B$154)*('Monthly Data'!$F$13:$F$9627)*('Monthly Data'!$C$13:$C$9627=I$26)*('Monthly Data'!$D$13:$D$9627=$B163))</f>
        <v>182741</v>
      </c>
      <c r="J163" s="80">
        <f>SUMPRODUCT(('Monthly Data'!$E$13:$E$9627=$B$154)*('Monthly Data'!$F$13:$F$9627)*('Monthly Data'!$C$13:$C$9627=J$26)*('Monthly Data'!$D$13:$D$9627=$B163))</f>
        <v>185703</v>
      </c>
      <c r="K163" s="80">
        <f>SUMPRODUCT(('Monthly Data'!$E$13:$E$9627=$B$154)*('Monthly Data'!$F$13:$F$9627)*('Monthly Data'!$C$13:$C$9627=K$26)*('Monthly Data'!$D$13:$D$9627=$B163))</f>
        <v>190385</v>
      </c>
      <c r="L163" s="80">
        <f>SUMPRODUCT(('Monthly Data'!$E$13:$E$9627=$B$154)*('Monthly Data'!$F$13:$F$9627)*('Monthly Data'!$C$13:$C$9627=L$26)*('Monthly Data'!$D$13:$D$9627=$B163))</f>
        <v>180159</v>
      </c>
      <c r="M163" s="80">
        <f>SUMPRODUCT(('Monthly Data'!$E$13:$E$9627=$B$154)*('Monthly Data'!$F$13:$F$9627)*('Monthly Data'!$C$13:$C$9627=M$26)*('Monthly Data'!$D$13:$D$9627=$B163))</f>
        <v>174375</v>
      </c>
      <c r="N163" s="80">
        <f>SUMPRODUCT(('Monthly Data'!$E$13:$E$9627=$B$154)*('Monthly Data'!$F$13:$F$9627)*('Monthly Data'!$C$13:$C$9627=N$26)*('Monthly Data'!$D$13:$D$9627=$B163))</f>
        <v>174575</v>
      </c>
      <c r="O163" s="80">
        <f>SUMPRODUCT(('Monthly Data'!$E$13:$E$9627=$B$154)*('Monthly Data'!$F$13:$F$9627)*('Monthly Data'!$C$13:$C$9627=O$26)*('Monthly Data'!$D$13:$D$9627=$B163))</f>
        <v>175727</v>
      </c>
      <c r="P163" s="80">
        <f>SUMPRODUCT(('Monthly Data'!$E$13:$E$9627=$B$154)*('Monthly Data'!$F$13:$F$9627)*('Monthly Data'!$C$13:$C$9627=P$26)*('Monthly Data'!$D$13:$D$9627=$B163))</f>
        <v>167991</v>
      </c>
      <c r="Q163" s="80">
        <f>SUMPRODUCT(('Monthly Data'!$E$13:$E$9627=$B$154)*('Monthly Data'!$F$13:$F$9627)*('Monthly Data'!$C$13:$C$9627=Q$26)*('Monthly Data'!$D$13:$D$9627=$B163))</f>
        <v>0</v>
      </c>
      <c r="S163" s="89">
        <f t="shared" si="33"/>
        <v>1861160</v>
      </c>
      <c r="U163" s="30">
        <v>9</v>
      </c>
      <c r="V163" s="95">
        <f>SUMPRODUCT(('Monthly Data'!$E$13:$E$9627=$U$154)*('Monthly Data'!$G$13:$G$9627)*('Monthly Data'!$C$13:$C$9627=V$26)*('Monthly Data'!$D$13:$D$9627=$U163))</f>
        <v>2141</v>
      </c>
      <c r="W163" s="95">
        <f>SUMPRODUCT(('Monthly Data'!$E$13:$E$9627=$U$154)*('Monthly Data'!$G$13:$G$9627)*('Monthly Data'!$C$13:$C$9627=W$26)*('Monthly Data'!$D$13:$D$9627=$U163))</f>
        <v>2465</v>
      </c>
      <c r="X163" s="80">
        <f>SUMPRODUCT(('Monthly Data'!$E$13:$E$9627=$U$154)*('Monthly Data'!$G$13:$G$9627)*('Monthly Data'!$C$13:$C$9627=X$26)*('Monthly Data'!$D$13:$D$9627=$U163))</f>
        <v>2462</v>
      </c>
      <c r="Y163" s="80">
        <f>SUMPRODUCT(('Monthly Data'!$E$13:$E$9627=$U$154)*('Monthly Data'!$G$13:$G$9627)*('Monthly Data'!$C$13:$C$9627=Y$26)*('Monthly Data'!$D$13:$D$9627=$U163))</f>
        <v>2378</v>
      </c>
      <c r="Z163" s="80">
        <f>SUMPRODUCT(('Monthly Data'!$E$13:$E$9627=$U$154)*('Monthly Data'!$G$13:$G$9627)*('Monthly Data'!$C$13:$C$9627=Z$26)*('Monthly Data'!$D$13:$D$9627=$U163))</f>
        <v>2947</v>
      </c>
      <c r="AA163" s="80">
        <f>SUMPRODUCT(('Monthly Data'!$E$13:$E$9627=$U$154)*('Monthly Data'!$G$13:$G$9627)*('Monthly Data'!$C$13:$C$9627=AA$26)*('Monthly Data'!$D$13:$D$9627=$U163))</f>
        <v>3468</v>
      </c>
      <c r="AB163" s="80">
        <f>SUMPRODUCT(('Monthly Data'!$E$13:$E$9627=$U$154)*('Monthly Data'!$G$13:$G$9627)*('Monthly Data'!$C$13:$C$9627=AB$26)*('Monthly Data'!$D$13:$D$9627=$U163))</f>
        <v>4093</v>
      </c>
      <c r="AC163" s="80">
        <f>SUMPRODUCT(('Monthly Data'!$E$13:$E$9627=$U$154)*('Monthly Data'!$G$13:$G$9627)*('Monthly Data'!$C$13:$C$9627=AC$26)*('Monthly Data'!$D$13:$D$9627=$U163))</f>
        <v>4203</v>
      </c>
      <c r="AD163" s="80">
        <f>SUMPRODUCT(('Monthly Data'!$E$13:$E$9627=$U$154)*('Monthly Data'!$G$13:$G$9627)*('Monthly Data'!$C$13:$C$9627=AD$26)*('Monthly Data'!$D$13:$D$9627=$U163))</f>
        <v>4134</v>
      </c>
      <c r="AE163" s="80">
        <f>SUMPRODUCT(('Monthly Data'!$E$13:$E$9627=$U$154)*('Monthly Data'!$G$13:$G$9627)*('Monthly Data'!$C$13:$C$9627=AE$26)*('Monthly Data'!$D$13:$D$9627=$U163))</f>
        <v>3919</v>
      </c>
      <c r="AF163" s="80">
        <f>SUMPRODUCT(('Monthly Data'!$E$13:$E$9627=$U$154)*('Monthly Data'!$G$13:$G$9627)*('Monthly Data'!$C$13:$C$9627=AF$26)*('Monthly Data'!$D$13:$D$9627=$U163))</f>
        <v>3707</v>
      </c>
      <c r="AG163" s="80">
        <f>SUMPRODUCT(('Monthly Data'!$E$13:$E$9627=$U$154)*('Monthly Data'!$G$13:$G$9627)*('Monthly Data'!$C$13:$C$9627=AG$26)*('Monthly Data'!$D$13:$D$9627=$U163))</f>
        <v>3902</v>
      </c>
      <c r="AH163" s="80">
        <f>SUMPRODUCT(('Monthly Data'!$E$13:$E$9627=$U$154)*('Monthly Data'!$G$13:$G$9627)*('Monthly Data'!$C$13:$C$9627=AH$26)*('Monthly Data'!$D$13:$D$9627=$U163))</f>
        <v>3745</v>
      </c>
      <c r="AI163" s="80">
        <f>SUMPRODUCT(('Monthly Data'!$E$13:$E$9627=$U$154)*('Monthly Data'!$G$13:$G$9627)*('Monthly Data'!$C$13:$C$9627=AI$26)*('Monthly Data'!$D$13:$D$9627=$U163))</f>
        <v>3485</v>
      </c>
      <c r="AJ163" s="80">
        <f>SUMPRODUCT(('Monthly Data'!$E$13:$E$9627=$U$154)*('Monthly Data'!$G$13:$G$9627)*('Monthly Data'!$C$13:$C$9627=AJ$26)*('Monthly Data'!$D$13:$D$9627=$U163))</f>
        <v>0</v>
      </c>
      <c r="AL163" s="89">
        <f t="shared" si="34"/>
        <v>43564</v>
      </c>
    </row>
    <row r="164" spans="2:38">
      <c r="B164" s="30">
        <v>10</v>
      </c>
      <c r="C164" s="95">
        <f>SUMPRODUCT(('Monthly Data'!$E$13:$E$9627=$B$154)*('Monthly Data'!$F$13:$F$9627)*('Monthly Data'!$C$13:$C$9627=C$26)*('Monthly Data'!$D$13:$D$9627=$B164))</f>
        <v>66240</v>
      </c>
      <c r="D164" s="95">
        <f>SUMPRODUCT(('Monthly Data'!$E$13:$E$9627=$B$154)*('Monthly Data'!$F$13:$F$9627)*('Monthly Data'!$C$13:$C$9627=D$26)*('Monthly Data'!$D$13:$D$9627=$B164))</f>
        <v>78172</v>
      </c>
      <c r="E164" s="80">
        <f>SUMPRODUCT(('Monthly Data'!$E$13:$E$9627=$B$154)*('Monthly Data'!$F$13:$F$9627)*('Monthly Data'!$C$13:$C$9627=E$26)*('Monthly Data'!$D$13:$D$9627=$B164))</f>
        <v>73577</v>
      </c>
      <c r="F164" s="80">
        <f>SUMPRODUCT(('Monthly Data'!$E$13:$E$9627=$B$154)*('Monthly Data'!$F$13:$F$9627)*('Monthly Data'!$C$13:$C$9627=F$26)*('Monthly Data'!$D$13:$D$9627=$B164))</f>
        <v>71742</v>
      </c>
      <c r="G164" s="80">
        <f>SUMPRODUCT(('Monthly Data'!$E$13:$E$9627=$B$154)*('Monthly Data'!$F$13:$F$9627)*('Monthly Data'!$C$13:$C$9627=G$26)*('Monthly Data'!$D$13:$D$9627=$B164))</f>
        <v>120810</v>
      </c>
      <c r="H164" s="80">
        <f>SUMPRODUCT(('Monthly Data'!$E$13:$E$9627=$B$154)*('Monthly Data'!$F$13:$F$9627)*('Monthly Data'!$C$13:$C$9627=H$26)*('Monthly Data'!$D$13:$D$9627=$B164))</f>
        <v>141169</v>
      </c>
      <c r="I164" s="80">
        <f>SUMPRODUCT(('Monthly Data'!$E$13:$E$9627=$B$154)*('Monthly Data'!$F$13:$F$9627)*('Monthly Data'!$C$13:$C$9627=I$26)*('Monthly Data'!$D$13:$D$9627=$B164))</f>
        <v>166031</v>
      </c>
      <c r="J164" s="80">
        <f>SUMPRODUCT(('Monthly Data'!$E$13:$E$9627=$B$154)*('Monthly Data'!$F$13:$F$9627)*('Monthly Data'!$C$13:$C$9627=J$26)*('Monthly Data'!$D$13:$D$9627=$B164))</f>
        <v>169315</v>
      </c>
      <c r="K164" s="80">
        <f>SUMPRODUCT(('Monthly Data'!$E$13:$E$9627=$B$154)*('Monthly Data'!$F$13:$F$9627)*('Monthly Data'!$C$13:$C$9627=K$26)*('Monthly Data'!$D$13:$D$9627=$B164))</f>
        <v>178995</v>
      </c>
      <c r="L164" s="80">
        <f>SUMPRODUCT(('Monthly Data'!$E$13:$E$9627=$B$154)*('Monthly Data'!$F$13:$F$9627)*('Monthly Data'!$C$13:$C$9627=L$26)*('Monthly Data'!$D$13:$D$9627=$B164))</f>
        <v>165763</v>
      </c>
      <c r="M164" s="80">
        <f>SUMPRODUCT(('Monthly Data'!$E$13:$E$9627=$B$154)*('Monthly Data'!$F$13:$F$9627)*('Monthly Data'!$C$13:$C$9627=M$26)*('Monthly Data'!$D$13:$D$9627=$B164))</f>
        <v>155089</v>
      </c>
      <c r="N164" s="80">
        <f>SUMPRODUCT(('Monthly Data'!$E$13:$E$9627=$B$154)*('Monthly Data'!$F$13:$F$9627)*('Monthly Data'!$C$13:$C$9627=N$26)*('Monthly Data'!$D$13:$D$9627=$B164))</f>
        <v>156746</v>
      </c>
      <c r="O164" s="80">
        <f>SUMPRODUCT(('Monthly Data'!$E$13:$E$9627=$B$154)*('Monthly Data'!$F$13:$F$9627)*('Monthly Data'!$C$13:$C$9627=O$26)*('Monthly Data'!$D$13:$D$9627=$B164))</f>
        <v>151988</v>
      </c>
      <c r="P164" s="80">
        <f>SUMPRODUCT(('Monthly Data'!$E$13:$E$9627=$B$154)*('Monthly Data'!$F$13:$F$9627)*('Monthly Data'!$C$13:$C$9627=P$26)*('Monthly Data'!$D$13:$D$9627=$B164))</f>
        <v>145596</v>
      </c>
      <c r="Q164" s="80">
        <f>SUMPRODUCT(('Monthly Data'!$E$13:$E$9627=$B$154)*('Monthly Data'!$F$13:$F$9627)*('Monthly Data'!$C$13:$C$9627=Q$26)*('Monthly Data'!$D$13:$D$9627=$B164))</f>
        <v>0</v>
      </c>
      <c r="S164" s="89">
        <f t="shared" si="33"/>
        <v>1695637</v>
      </c>
      <c r="U164" s="30">
        <v>10</v>
      </c>
      <c r="V164" s="95">
        <f>SUMPRODUCT(('Monthly Data'!$E$13:$E$9627=$U$154)*('Monthly Data'!$G$13:$G$9627)*('Monthly Data'!$C$13:$C$9627=V$26)*('Monthly Data'!$D$13:$D$9627=$U164))</f>
        <v>2108</v>
      </c>
      <c r="W164" s="95">
        <f>SUMPRODUCT(('Monthly Data'!$E$13:$E$9627=$U$154)*('Monthly Data'!$G$13:$G$9627)*('Monthly Data'!$C$13:$C$9627=W$26)*('Monthly Data'!$D$13:$D$9627=$U164))</f>
        <v>2423</v>
      </c>
      <c r="X164" s="80">
        <f>SUMPRODUCT(('Monthly Data'!$E$13:$E$9627=$U$154)*('Monthly Data'!$G$13:$G$9627)*('Monthly Data'!$C$13:$C$9627=X$26)*('Monthly Data'!$D$13:$D$9627=$U164))</f>
        <v>2506</v>
      </c>
      <c r="Y164" s="80">
        <f>SUMPRODUCT(('Monthly Data'!$E$13:$E$9627=$U$154)*('Monthly Data'!$G$13:$G$9627)*('Monthly Data'!$C$13:$C$9627=Y$26)*('Monthly Data'!$D$13:$D$9627=$U164))</f>
        <v>2412</v>
      </c>
      <c r="Z164" s="80">
        <f>SUMPRODUCT(('Monthly Data'!$E$13:$E$9627=$U$154)*('Monthly Data'!$G$13:$G$9627)*('Monthly Data'!$C$13:$C$9627=Z$26)*('Monthly Data'!$D$13:$D$9627=$U164))</f>
        <v>2976</v>
      </c>
      <c r="AA164" s="80">
        <f>SUMPRODUCT(('Monthly Data'!$E$13:$E$9627=$U$154)*('Monthly Data'!$G$13:$G$9627)*('Monthly Data'!$C$13:$C$9627=AA$26)*('Monthly Data'!$D$13:$D$9627=$U164))</f>
        <v>3372</v>
      </c>
      <c r="AB164" s="80">
        <f>SUMPRODUCT(('Monthly Data'!$E$13:$E$9627=$U$154)*('Monthly Data'!$G$13:$G$9627)*('Monthly Data'!$C$13:$C$9627=AB$26)*('Monthly Data'!$D$13:$D$9627=$U164))</f>
        <v>3827</v>
      </c>
      <c r="AC164" s="80">
        <f>SUMPRODUCT(('Monthly Data'!$E$13:$E$9627=$U$154)*('Monthly Data'!$G$13:$G$9627)*('Monthly Data'!$C$13:$C$9627=AC$26)*('Monthly Data'!$D$13:$D$9627=$U164))</f>
        <v>4012</v>
      </c>
      <c r="AD164" s="80">
        <f>SUMPRODUCT(('Monthly Data'!$E$13:$E$9627=$U$154)*('Monthly Data'!$G$13:$G$9627)*('Monthly Data'!$C$13:$C$9627=AD$26)*('Monthly Data'!$D$13:$D$9627=$U164))</f>
        <v>4110</v>
      </c>
      <c r="AE164" s="80">
        <f>SUMPRODUCT(('Monthly Data'!$E$13:$E$9627=$U$154)*('Monthly Data'!$G$13:$G$9627)*('Monthly Data'!$C$13:$C$9627=AE$26)*('Monthly Data'!$D$13:$D$9627=$U164))</f>
        <v>3931</v>
      </c>
      <c r="AF164" s="80">
        <f>SUMPRODUCT(('Monthly Data'!$E$13:$E$9627=$U$154)*('Monthly Data'!$G$13:$G$9627)*('Monthly Data'!$C$13:$C$9627=AF$26)*('Monthly Data'!$D$13:$D$9627=$U164))</f>
        <v>3459</v>
      </c>
      <c r="AG164" s="80">
        <f>SUMPRODUCT(('Monthly Data'!$E$13:$E$9627=$U$154)*('Monthly Data'!$G$13:$G$9627)*('Monthly Data'!$C$13:$C$9627=AG$26)*('Monthly Data'!$D$13:$D$9627=$U164))</f>
        <v>3696</v>
      </c>
      <c r="AH164" s="80">
        <f>SUMPRODUCT(('Monthly Data'!$E$13:$E$9627=$U$154)*('Monthly Data'!$G$13:$G$9627)*('Monthly Data'!$C$13:$C$9627=AH$26)*('Monthly Data'!$D$13:$D$9627=$U164))</f>
        <v>3491</v>
      </c>
      <c r="AI164" s="80">
        <f>SUMPRODUCT(('Monthly Data'!$E$13:$E$9627=$U$154)*('Monthly Data'!$G$13:$G$9627)*('Monthly Data'!$C$13:$C$9627=AI$26)*('Monthly Data'!$D$13:$D$9627=$U164))</f>
        <v>3317</v>
      </c>
      <c r="AJ164" s="80">
        <f>SUMPRODUCT(('Monthly Data'!$E$13:$E$9627=$U$154)*('Monthly Data'!$G$13:$G$9627)*('Monthly Data'!$C$13:$C$9627=AJ$26)*('Monthly Data'!$D$13:$D$9627=$U164))</f>
        <v>0</v>
      </c>
      <c r="AL164" s="89">
        <f t="shared" si="34"/>
        <v>42323</v>
      </c>
    </row>
    <row r="165" spans="2:38">
      <c r="B165" s="30">
        <v>11</v>
      </c>
      <c r="C165" s="95">
        <f>SUMPRODUCT(('Monthly Data'!$E$13:$E$9627=$B$154)*('Monthly Data'!$F$13:$F$9627)*('Monthly Data'!$C$13:$C$9627=C$26)*('Monthly Data'!$D$13:$D$9627=$B165))</f>
        <v>58103</v>
      </c>
      <c r="D165" s="95">
        <f>SUMPRODUCT(('Monthly Data'!$E$13:$E$9627=$B$154)*('Monthly Data'!$F$13:$F$9627)*('Monthly Data'!$C$13:$C$9627=D$26)*('Monthly Data'!$D$13:$D$9627=$B165))</f>
        <v>68205</v>
      </c>
      <c r="E165" s="80">
        <f>SUMPRODUCT(('Monthly Data'!$E$13:$E$9627=$B$154)*('Monthly Data'!$F$13:$F$9627)*('Monthly Data'!$C$13:$C$9627=E$26)*('Monthly Data'!$D$13:$D$9627=$B165))</f>
        <v>65247</v>
      </c>
      <c r="F165" s="80">
        <f>SUMPRODUCT(('Monthly Data'!$E$13:$E$9627=$B$154)*('Monthly Data'!$F$13:$F$9627)*('Monthly Data'!$C$13:$C$9627=F$26)*('Monthly Data'!$D$13:$D$9627=$B165))</f>
        <v>57834</v>
      </c>
      <c r="G165" s="80">
        <f>SUMPRODUCT(('Monthly Data'!$E$13:$E$9627=$B$154)*('Monthly Data'!$F$13:$F$9627)*('Monthly Data'!$C$13:$C$9627=G$26)*('Monthly Data'!$D$13:$D$9627=$B165))</f>
        <v>105662</v>
      </c>
      <c r="H165" s="80">
        <f>SUMPRODUCT(('Monthly Data'!$E$13:$E$9627=$B$154)*('Monthly Data'!$F$13:$F$9627)*('Monthly Data'!$C$13:$C$9627=H$26)*('Monthly Data'!$D$13:$D$9627=$B165))</f>
        <v>116028</v>
      </c>
      <c r="I165" s="80">
        <f>SUMPRODUCT(('Monthly Data'!$E$13:$E$9627=$B$154)*('Monthly Data'!$F$13:$F$9627)*('Monthly Data'!$C$13:$C$9627=I$26)*('Monthly Data'!$D$13:$D$9627=$B165))</f>
        <v>132930</v>
      </c>
      <c r="J165" s="80">
        <f>SUMPRODUCT(('Monthly Data'!$E$13:$E$9627=$B$154)*('Monthly Data'!$F$13:$F$9627)*('Monthly Data'!$C$13:$C$9627=J$26)*('Monthly Data'!$D$13:$D$9627=$B165))</f>
        <v>146318</v>
      </c>
      <c r="K165" s="80">
        <f>SUMPRODUCT(('Monthly Data'!$E$13:$E$9627=$B$154)*('Monthly Data'!$F$13:$F$9627)*('Monthly Data'!$C$13:$C$9627=K$26)*('Monthly Data'!$D$13:$D$9627=$B165))</f>
        <v>149121</v>
      </c>
      <c r="L165" s="80">
        <f>SUMPRODUCT(('Monthly Data'!$E$13:$E$9627=$B$154)*('Monthly Data'!$F$13:$F$9627)*('Monthly Data'!$C$13:$C$9627=L$26)*('Monthly Data'!$D$13:$D$9627=$B165))</f>
        <v>134594</v>
      </c>
      <c r="M165" s="80">
        <f>SUMPRODUCT(('Monthly Data'!$E$13:$E$9627=$B$154)*('Monthly Data'!$F$13:$F$9627)*('Monthly Data'!$C$13:$C$9627=M$26)*('Monthly Data'!$D$13:$D$9627=$B165))</f>
        <v>131191</v>
      </c>
      <c r="N165" s="80">
        <f>SUMPRODUCT(('Monthly Data'!$E$13:$E$9627=$B$154)*('Monthly Data'!$F$13:$F$9627)*('Monthly Data'!$C$13:$C$9627=N$26)*('Monthly Data'!$D$13:$D$9627=$B165))</f>
        <v>126989</v>
      </c>
      <c r="O165" s="80">
        <f>SUMPRODUCT(('Monthly Data'!$E$13:$E$9627=$B$154)*('Monthly Data'!$F$13:$F$9627)*('Monthly Data'!$C$13:$C$9627=O$26)*('Monthly Data'!$D$13:$D$9627=$B165))</f>
        <v>124414</v>
      </c>
      <c r="P165" s="80">
        <f>SUMPRODUCT(('Monthly Data'!$E$13:$E$9627=$B$154)*('Monthly Data'!$F$13:$F$9627)*('Monthly Data'!$C$13:$C$9627=P$26)*('Monthly Data'!$D$13:$D$9627=$B165))</f>
        <v>129028</v>
      </c>
      <c r="Q165" s="80">
        <f>SUMPRODUCT(('Monthly Data'!$E$13:$E$9627=$B$154)*('Monthly Data'!$F$13:$F$9627)*('Monthly Data'!$C$13:$C$9627=Q$26)*('Monthly Data'!$D$13:$D$9627=$B165))</f>
        <v>0</v>
      </c>
      <c r="S165" s="89">
        <f t="shared" si="33"/>
        <v>1416636</v>
      </c>
      <c r="U165" s="30">
        <v>11</v>
      </c>
      <c r="V165" s="95">
        <f>SUMPRODUCT(('Monthly Data'!$E$13:$E$9627=$U$154)*('Monthly Data'!$G$13:$G$9627)*('Monthly Data'!$C$13:$C$9627=V$26)*('Monthly Data'!$D$13:$D$9627=$U165))</f>
        <v>1882</v>
      </c>
      <c r="W165" s="95">
        <f>SUMPRODUCT(('Monthly Data'!$E$13:$E$9627=$U$154)*('Monthly Data'!$G$13:$G$9627)*('Monthly Data'!$C$13:$C$9627=W$26)*('Monthly Data'!$D$13:$D$9627=$U165))</f>
        <v>2213</v>
      </c>
      <c r="X165" s="80">
        <f>SUMPRODUCT(('Monthly Data'!$E$13:$E$9627=$U$154)*('Monthly Data'!$G$13:$G$9627)*('Monthly Data'!$C$13:$C$9627=X$26)*('Monthly Data'!$D$13:$D$9627=$U165))</f>
        <v>2339</v>
      </c>
      <c r="Y165" s="80">
        <f>SUMPRODUCT(('Monthly Data'!$E$13:$E$9627=$U$154)*('Monthly Data'!$G$13:$G$9627)*('Monthly Data'!$C$13:$C$9627=Y$26)*('Monthly Data'!$D$13:$D$9627=$U165))</f>
        <v>2133</v>
      </c>
      <c r="Z165" s="80">
        <f>SUMPRODUCT(('Monthly Data'!$E$13:$E$9627=$U$154)*('Monthly Data'!$G$13:$G$9627)*('Monthly Data'!$C$13:$C$9627=Z$26)*('Monthly Data'!$D$13:$D$9627=$U165))</f>
        <v>2806</v>
      </c>
      <c r="AA165" s="80">
        <f>SUMPRODUCT(('Monthly Data'!$E$13:$E$9627=$U$154)*('Monthly Data'!$G$13:$G$9627)*('Monthly Data'!$C$13:$C$9627=AA$26)*('Monthly Data'!$D$13:$D$9627=$U165))</f>
        <v>3100</v>
      </c>
      <c r="AB165" s="80">
        <f>SUMPRODUCT(('Monthly Data'!$E$13:$E$9627=$U$154)*('Monthly Data'!$G$13:$G$9627)*('Monthly Data'!$C$13:$C$9627=AB$26)*('Monthly Data'!$D$13:$D$9627=$U165))</f>
        <v>3490</v>
      </c>
      <c r="AC165" s="80">
        <f>SUMPRODUCT(('Monthly Data'!$E$13:$E$9627=$U$154)*('Monthly Data'!$G$13:$G$9627)*('Monthly Data'!$C$13:$C$9627=AC$26)*('Monthly Data'!$D$13:$D$9627=$U165))</f>
        <v>3673</v>
      </c>
      <c r="AD165" s="80">
        <f>SUMPRODUCT(('Monthly Data'!$E$13:$E$9627=$U$154)*('Monthly Data'!$G$13:$G$9627)*('Monthly Data'!$C$13:$C$9627=AD$26)*('Monthly Data'!$D$13:$D$9627=$U165))</f>
        <v>3616</v>
      </c>
      <c r="AE165" s="80">
        <f>SUMPRODUCT(('Monthly Data'!$E$13:$E$9627=$U$154)*('Monthly Data'!$G$13:$G$9627)*('Monthly Data'!$C$13:$C$9627=AE$26)*('Monthly Data'!$D$13:$D$9627=$U165))</f>
        <v>3191</v>
      </c>
      <c r="AF165" s="80">
        <f>SUMPRODUCT(('Monthly Data'!$E$13:$E$9627=$U$154)*('Monthly Data'!$G$13:$G$9627)*('Monthly Data'!$C$13:$C$9627=AF$26)*('Monthly Data'!$D$13:$D$9627=$U165))</f>
        <v>3095</v>
      </c>
      <c r="AG165" s="80">
        <f>SUMPRODUCT(('Monthly Data'!$E$13:$E$9627=$U$154)*('Monthly Data'!$G$13:$G$9627)*('Monthly Data'!$C$13:$C$9627=AG$26)*('Monthly Data'!$D$13:$D$9627=$U165))</f>
        <v>3026</v>
      </c>
      <c r="AH165" s="80">
        <f>SUMPRODUCT(('Monthly Data'!$E$13:$E$9627=$U$154)*('Monthly Data'!$G$13:$G$9627)*('Monthly Data'!$C$13:$C$9627=AH$26)*('Monthly Data'!$D$13:$D$9627=$U165))</f>
        <v>3031</v>
      </c>
      <c r="AI165" s="80">
        <f>SUMPRODUCT(('Monthly Data'!$E$13:$E$9627=$U$154)*('Monthly Data'!$G$13:$G$9627)*('Monthly Data'!$C$13:$C$9627=AI$26)*('Monthly Data'!$D$13:$D$9627=$U165))</f>
        <v>2920</v>
      </c>
      <c r="AJ165" s="80">
        <f>SUMPRODUCT(('Monthly Data'!$E$13:$E$9627=$U$154)*('Monthly Data'!$G$13:$G$9627)*('Monthly Data'!$C$13:$C$9627=AJ$26)*('Monthly Data'!$D$13:$D$9627=$U165))</f>
        <v>0</v>
      </c>
      <c r="AL165" s="89">
        <f t="shared" si="34"/>
        <v>37595</v>
      </c>
    </row>
    <row r="166" spans="2:38">
      <c r="B166" s="30">
        <v>12</v>
      </c>
      <c r="C166" s="95">
        <f>SUMPRODUCT(('Monthly Data'!$E$13:$E$9627=$B$154)*('Monthly Data'!$F$13:$F$9627)*('Monthly Data'!$C$13:$C$9627=C$26)*('Monthly Data'!$D$13:$D$9627=$B166))</f>
        <v>51973</v>
      </c>
      <c r="D166" s="95">
        <f>SUMPRODUCT(('Monthly Data'!$E$13:$E$9627=$B$154)*('Monthly Data'!$F$13:$F$9627)*('Monthly Data'!$C$13:$C$9627=D$26)*('Monthly Data'!$D$13:$D$9627=$B166))</f>
        <v>60638</v>
      </c>
      <c r="E166" s="80">
        <f>SUMPRODUCT(('Monthly Data'!$E$13:$E$9627=$B$154)*('Monthly Data'!$F$13:$F$9627)*('Monthly Data'!$C$13:$C$9627=E$26)*('Monthly Data'!$D$13:$D$9627=$B166))</f>
        <v>55156</v>
      </c>
      <c r="F166" s="80">
        <f>SUMPRODUCT(('Monthly Data'!$E$13:$E$9627=$B$154)*('Monthly Data'!$F$13:$F$9627)*('Monthly Data'!$C$13:$C$9627=F$26)*('Monthly Data'!$D$13:$D$9627=$B166))</f>
        <v>55137</v>
      </c>
      <c r="G166" s="80">
        <f>SUMPRODUCT(('Monthly Data'!$E$13:$E$9627=$B$154)*('Monthly Data'!$F$13:$F$9627)*('Monthly Data'!$C$13:$C$9627=G$26)*('Monthly Data'!$D$13:$D$9627=$B166))</f>
        <v>100033</v>
      </c>
      <c r="H166" s="80">
        <f>SUMPRODUCT(('Monthly Data'!$E$13:$E$9627=$B$154)*('Monthly Data'!$F$13:$F$9627)*('Monthly Data'!$C$13:$C$9627=H$26)*('Monthly Data'!$D$13:$D$9627=$B166))</f>
        <v>107059</v>
      </c>
      <c r="I166" s="80">
        <f>SUMPRODUCT(('Monthly Data'!$E$13:$E$9627=$B$154)*('Monthly Data'!$F$13:$F$9627)*('Monthly Data'!$C$13:$C$9627=I$26)*('Monthly Data'!$D$13:$D$9627=$B166))</f>
        <v>126877</v>
      </c>
      <c r="J166" s="80">
        <f>SUMPRODUCT(('Monthly Data'!$E$13:$E$9627=$B$154)*('Monthly Data'!$F$13:$F$9627)*('Monthly Data'!$C$13:$C$9627=J$26)*('Monthly Data'!$D$13:$D$9627=$B166))</f>
        <v>129680</v>
      </c>
      <c r="K166" s="80">
        <f>SUMPRODUCT(('Monthly Data'!$E$13:$E$9627=$B$154)*('Monthly Data'!$F$13:$F$9627)*('Monthly Data'!$C$13:$C$9627=K$26)*('Monthly Data'!$D$13:$D$9627=$B166))</f>
        <v>133000</v>
      </c>
      <c r="L166" s="80">
        <f>SUMPRODUCT(('Monthly Data'!$E$13:$E$9627=$B$154)*('Monthly Data'!$F$13:$F$9627)*('Monthly Data'!$C$13:$C$9627=L$26)*('Monthly Data'!$D$13:$D$9627=$B166))</f>
        <v>125931</v>
      </c>
      <c r="M166" s="80">
        <f>SUMPRODUCT(('Monthly Data'!$E$13:$E$9627=$B$154)*('Monthly Data'!$F$13:$F$9627)*('Monthly Data'!$C$13:$C$9627=M$26)*('Monthly Data'!$D$13:$D$9627=$B166))</f>
        <v>118551</v>
      </c>
      <c r="N166" s="80">
        <f>SUMPRODUCT(('Monthly Data'!$E$13:$E$9627=$B$154)*('Monthly Data'!$F$13:$F$9627)*('Monthly Data'!$C$13:$C$9627=N$26)*('Monthly Data'!$D$13:$D$9627=$B166))</f>
        <v>92496</v>
      </c>
      <c r="O166" s="80">
        <f>SUMPRODUCT(('Monthly Data'!$E$13:$E$9627=$B$154)*('Monthly Data'!$F$13:$F$9627)*('Monthly Data'!$C$13:$C$9627=O$26)*('Monthly Data'!$D$13:$D$9627=$B166))</f>
        <v>2383</v>
      </c>
      <c r="P166" s="80">
        <f>SUMPRODUCT(('Monthly Data'!$E$13:$E$9627=$B$154)*('Monthly Data'!$F$13:$F$9627)*('Monthly Data'!$C$13:$C$9627=P$26)*('Monthly Data'!$D$13:$D$9627=$B166))</f>
        <v>112104</v>
      </c>
      <c r="Q166" s="80">
        <f>SUMPRODUCT(('Monthly Data'!$E$13:$E$9627=$B$154)*('Monthly Data'!$F$13:$F$9627)*('Monthly Data'!$C$13:$C$9627=Q$26)*('Monthly Data'!$D$13:$D$9627=$B166))</f>
        <v>0</v>
      </c>
      <c r="S166" s="89">
        <f t="shared" si="33"/>
        <v>1158914</v>
      </c>
      <c r="U166" s="30">
        <v>12</v>
      </c>
      <c r="V166" s="95">
        <f>SUMPRODUCT(('Monthly Data'!$E$13:$E$9627=$U$154)*('Monthly Data'!$G$13:$G$9627)*('Monthly Data'!$C$13:$C$9627=V$26)*('Monthly Data'!$D$13:$D$9627=$U166))</f>
        <v>1785</v>
      </c>
      <c r="W166" s="95">
        <f>SUMPRODUCT(('Monthly Data'!$E$13:$E$9627=$U$154)*('Monthly Data'!$G$13:$G$9627)*('Monthly Data'!$C$13:$C$9627=W$26)*('Monthly Data'!$D$13:$D$9627=$U166))</f>
        <v>1971</v>
      </c>
      <c r="X166" s="80">
        <f>SUMPRODUCT(('Monthly Data'!$E$13:$E$9627=$U$154)*('Monthly Data'!$G$13:$G$9627)*('Monthly Data'!$C$13:$C$9627=X$26)*('Monthly Data'!$D$13:$D$9627=$U166))</f>
        <v>2022</v>
      </c>
      <c r="Y166" s="80">
        <f>SUMPRODUCT(('Monthly Data'!$E$13:$E$9627=$U$154)*('Monthly Data'!$G$13:$G$9627)*('Monthly Data'!$C$13:$C$9627=Y$26)*('Monthly Data'!$D$13:$D$9627=$U166))</f>
        <v>2019</v>
      </c>
      <c r="Z166" s="80">
        <f>SUMPRODUCT(('Monthly Data'!$E$13:$E$9627=$U$154)*('Monthly Data'!$G$13:$G$9627)*('Monthly Data'!$C$13:$C$9627=Z$26)*('Monthly Data'!$D$13:$D$9627=$U166))</f>
        <v>2579</v>
      </c>
      <c r="AA166" s="80">
        <f>SUMPRODUCT(('Monthly Data'!$E$13:$E$9627=$U$154)*('Monthly Data'!$G$13:$G$9627)*('Monthly Data'!$C$13:$C$9627=AA$26)*('Monthly Data'!$D$13:$D$9627=$U166))</f>
        <v>2742</v>
      </c>
      <c r="AB166" s="80">
        <f>SUMPRODUCT(('Monthly Data'!$E$13:$E$9627=$U$154)*('Monthly Data'!$G$13:$G$9627)*('Monthly Data'!$C$13:$C$9627=AB$26)*('Monthly Data'!$D$13:$D$9627=$U166))</f>
        <v>3213</v>
      </c>
      <c r="AC166" s="80">
        <f>SUMPRODUCT(('Monthly Data'!$E$13:$E$9627=$U$154)*('Monthly Data'!$G$13:$G$9627)*('Monthly Data'!$C$13:$C$9627=AC$26)*('Monthly Data'!$D$13:$D$9627=$U166))</f>
        <v>3110</v>
      </c>
      <c r="AD166" s="80">
        <f>SUMPRODUCT(('Monthly Data'!$E$13:$E$9627=$U$154)*('Monthly Data'!$G$13:$G$9627)*('Monthly Data'!$C$13:$C$9627=AD$26)*('Monthly Data'!$D$13:$D$9627=$U166))</f>
        <v>3159</v>
      </c>
      <c r="AE166" s="80">
        <f>SUMPRODUCT(('Monthly Data'!$E$13:$E$9627=$U$154)*('Monthly Data'!$G$13:$G$9627)*('Monthly Data'!$C$13:$C$9627=AE$26)*('Monthly Data'!$D$13:$D$9627=$U166))</f>
        <v>3003</v>
      </c>
      <c r="AF166" s="80">
        <f>SUMPRODUCT(('Monthly Data'!$E$13:$E$9627=$U$154)*('Monthly Data'!$G$13:$G$9627)*('Monthly Data'!$C$13:$C$9627=AF$26)*('Monthly Data'!$D$13:$D$9627=$U166))</f>
        <v>2733</v>
      </c>
      <c r="AG166" s="80">
        <f>SUMPRODUCT(('Monthly Data'!$E$13:$E$9627=$U$154)*('Monthly Data'!$G$13:$G$9627)*('Monthly Data'!$C$13:$C$9627=AG$26)*('Monthly Data'!$D$13:$D$9627=$U166))</f>
        <v>2245</v>
      </c>
      <c r="AH166" s="80">
        <f>SUMPRODUCT(('Monthly Data'!$E$13:$E$9627=$U$154)*('Monthly Data'!$G$13:$G$9627)*('Monthly Data'!$C$13:$C$9627=AH$26)*('Monthly Data'!$D$13:$D$9627=$U166))</f>
        <v>98</v>
      </c>
      <c r="AI166" s="80">
        <f>SUMPRODUCT(('Monthly Data'!$E$13:$E$9627=$U$154)*('Monthly Data'!$G$13:$G$9627)*('Monthly Data'!$C$13:$C$9627=AI$26)*('Monthly Data'!$D$13:$D$9627=$U166))</f>
        <v>2594</v>
      </c>
      <c r="AJ166" s="80">
        <f>SUMPRODUCT(('Monthly Data'!$E$13:$E$9627=$U$154)*('Monthly Data'!$G$13:$G$9627)*('Monthly Data'!$C$13:$C$9627=AJ$26)*('Monthly Data'!$D$13:$D$9627=$U166))</f>
        <v>0</v>
      </c>
      <c r="AL166" s="89">
        <f t="shared" si="34"/>
        <v>30679</v>
      </c>
    </row>
    <row r="167" spans="2:38">
      <c r="D167" s="90"/>
      <c r="S167" s="83"/>
      <c r="W167" s="90"/>
      <c r="AL167" s="83"/>
    </row>
    <row r="168" spans="2:38">
      <c r="B168" s="30" t="s">
        <v>106</v>
      </c>
      <c r="C168" s="97">
        <f>SUM(C155:C166)</f>
        <v>749253</v>
      </c>
      <c r="D168" s="97">
        <f t="shared" ref="D168:O168" si="35">SUM(D155:D166)</f>
        <v>853916</v>
      </c>
      <c r="E168" s="89">
        <f t="shared" si="35"/>
        <v>856611</v>
      </c>
      <c r="F168" s="89">
        <f t="shared" si="35"/>
        <v>788316</v>
      </c>
      <c r="G168" s="89">
        <f t="shared" si="35"/>
        <v>1217891</v>
      </c>
      <c r="H168" s="89">
        <f t="shared" si="35"/>
        <v>1530736</v>
      </c>
      <c r="I168" s="89">
        <f t="shared" si="35"/>
        <v>1835029</v>
      </c>
      <c r="J168" s="89">
        <f t="shared" si="35"/>
        <v>1912702</v>
      </c>
      <c r="K168" s="89">
        <f t="shared" si="35"/>
        <v>1965422</v>
      </c>
      <c r="L168" s="89">
        <f t="shared" si="35"/>
        <v>1945767</v>
      </c>
      <c r="M168" s="89">
        <f t="shared" si="35"/>
        <v>1789443</v>
      </c>
      <c r="N168" s="89">
        <f t="shared" si="35"/>
        <v>1733553</v>
      </c>
      <c r="O168" s="89">
        <f t="shared" si="35"/>
        <v>1647085</v>
      </c>
      <c r="P168" s="89">
        <f>SUM(P155:P166)</f>
        <v>1097339</v>
      </c>
      <c r="Q168" s="89">
        <f>SUM(Q155:Q166)</f>
        <v>450009</v>
      </c>
      <c r="S168" s="89">
        <f>SUM(D155:P166)</f>
        <v>19173810</v>
      </c>
      <c r="U168" s="30" t="s">
        <v>106</v>
      </c>
      <c r="V168" s="97">
        <f>SUM(V155:V166)</f>
        <v>24870</v>
      </c>
      <c r="W168" s="97">
        <f t="shared" ref="W168:AH168" si="36">SUM(W155:W166)</f>
        <v>27711</v>
      </c>
      <c r="X168" s="89">
        <f t="shared" si="36"/>
        <v>28140</v>
      </c>
      <c r="Y168" s="89">
        <f t="shared" si="36"/>
        <v>27662</v>
      </c>
      <c r="Z168" s="89">
        <f t="shared" si="36"/>
        <v>32431</v>
      </c>
      <c r="AA168" s="89">
        <f t="shared" si="36"/>
        <v>37199</v>
      </c>
      <c r="AB168" s="89">
        <f t="shared" si="36"/>
        <v>43829</v>
      </c>
      <c r="AC168" s="89">
        <f t="shared" si="36"/>
        <v>46314</v>
      </c>
      <c r="AD168" s="89">
        <f t="shared" si="36"/>
        <v>47016</v>
      </c>
      <c r="AE168" s="89">
        <f t="shared" si="36"/>
        <v>44525</v>
      </c>
      <c r="AF168" s="89">
        <f t="shared" si="36"/>
        <v>40520</v>
      </c>
      <c r="AG168" s="89">
        <f t="shared" si="36"/>
        <v>40333</v>
      </c>
      <c r="AH168" s="89">
        <f t="shared" si="36"/>
        <v>38101</v>
      </c>
      <c r="AI168" s="89">
        <f>SUM(AI155:AI166)</f>
        <v>22459</v>
      </c>
      <c r="AJ168" s="89">
        <f>SUM(AJ155:AJ166)</f>
        <v>10888</v>
      </c>
      <c r="AL168" s="89">
        <f>SUM(V155:AH166)</f>
        <v>478651</v>
      </c>
    </row>
    <row r="169" spans="2:38">
      <c r="D169" s="90"/>
      <c r="W169" s="90"/>
    </row>
    <row r="170" spans="2:38" ht="15">
      <c r="B170" s="88" t="s">
        <v>103</v>
      </c>
      <c r="C170" s="69">
        <v>1999</v>
      </c>
      <c r="D170" s="96">
        <v>2000</v>
      </c>
      <c r="E170" s="69">
        <v>2001</v>
      </c>
      <c r="F170" s="69">
        <v>2002</v>
      </c>
      <c r="G170" s="69">
        <v>2003</v>
      </c>
      <c r="H170" s="69">
        <v>2004</v>
      </c>
      <c r="I170" s="69">
        <v>2005</v>
      </c>
      <c r="J170" s="69">
        <v>2006</v>
      </c>
      <c r="K170" s="69">
        <v>2007</v>
      </c>
      <c r="L170" s="69">
        <v>2008</v>
      </c>
      <c r="M170" s="69">
        <v>2009</v>
      </c>
      <c r="N170" s="69">
        <v>2010</v>
      </c>
      <c r="O170" s="69">
        <v>2011</v>
      </c>
      <c r="P170" s="69">
        <v>2012</v>
      </c>
      <c r="Q170" s="69">
        <v>2013</v>
      </c>
      <c r="S170" s="69" t="s">
        <v>106</v>
      </c>
      <c r="U170" s="88" t="s">
        <v>103</v>
      </c>
      <c r="V170" s="69">
        <v>1999</v>
      </c>
      <c r="W170" s="96">
        <v>2000</v>
      </c>
      <c r="X170" s="69">
        <v>2001</v>
      </c>
      <c r="Y170" s="69">
        <v>2002</v>
      </c>
      <c r="Z170" s="69">
        <v>2003</v>
      </c>
      <c r="AA170" s="69">
        <v>2004</v>
      </c>
      <c r="AB170" s="69">
        <v>2005</v>
      </c>
      <c r="AC170" s="69">
        <v>2006</v>
      </c>
      <c r="AD170" s="69">
        <v>2007</v>
      </c>
      <c r="AE170" s="69">
        <v>2008</v>
      </c>
      <c r="AF170" s="69">
        <v>2009</v>
      </c>
      <c r="AG170" s="69">
        <v>2010</v>
      </c>
      <c r="AH170" s="69">
        <v>2011</v>
      </c>
      <c r="AI170" s="69">
        <v>2012</v>
      </c>
      <c r="AJ170" s="69">
        <v>2013</v>
      </c>
      <c r="AL170" s="69" t="s">
        <v>106</v>
      </c>
    </row>
    <row r="171" spans="2:38">
      <c r="B171" s="30">
        <v>1</v>
      </c>
      <c r="C171" s="95">
        <f>SUMPRODUCT(('Monthly Data'!$E$13:$E$9627=$B$170)*('Monthly Data'!$F$13:$F$9627)*('Monthly Data'!$C$13:$C$9627=C$26)*('Monthly Data'!$D$13:$D$9627=$B171))</f>
        <v>499180</v>
      </c>
      <c r="D171" s="95">
        <f>SUMPRODUCT(('Monthly Data'!$E$13:$E$9627=$B$170)*('Monthly Data'!$F$13:$F$9627)*('Monthly Data'!$C$13:$C$9627=D$26)*('Monthly Data'!$D$13:$D$9627=$B171))</f>
        <v>602212</v>
      </c>
      <c r="E171" s="80">
        <f>SUMPRODUCT(('Monthly Data'!$E$13:$E$9627=$B$170)*('Monthly Data'!$F$13:$F$9627)*('Monthly Data'!$C$13:$C$9627=E$26)*('Monthly Data'!$D$13:$D$9627=$B171))</f>
        <v>751208</v>
      </c>
      <c r="F171" s="80">
        <f>SUMPRODUCT(('Monthly Data'!$E$13:$E$9627=$B$170)*('Monthly Data'!$F$13:$F$9627)*('Monthly Data'!$C$13:$C$9627=F$26)*('Monthly Data'!$D$13:$D$9627=$B171))</f>
        <v>880676</v>
      </c>
      <c r="G171" s="80">
        <f>SUMPRODUCT(('Monthly Data'!$E$13:$E$9627=$B$170)*('Monthly Data'!$F$13:$F$9627)*('Monthly Data'!$C$13:$C$9627=G$26)*('Monthly Data'!$D$13:$D$9627=$B171))</f>
        <v>1149418</v>
      </c>
      <c r="H171" s="80">
        <f>SUMPRODUCT(('Monthly Data'!$E$13:$E$9627=$B$170)*('Monthly Data'!$F$13:$F$9627)*('Monthly Data'!$C$13:$C$9627=H$26)*('Monthly Data'!$D$13:$D$9627=$B171))</f>
        <v>1319138</v>
      </c>
      <c r="I171" s="80">
        <f>SUMPRODUCT(('Monthly Data'!$E$13:$E$9627=$B$170)*('Monthly Data'!$F$13:$F$9627)*('Monthly Data'!$C$13:$C$9627=I$26)*('Monthly Data'!$D$13:$D$9627=$B171))</f>
        <v>1433400</v>
      </c>
      <c r="J171" s="80">
        <f>SUMPRODUCT(('Monthly Data'!$E$13:$E$9627=$B$170)*('Monthly Data'!$F$13:$F$9627)*('Monthly Data'!$C$13:$C$9627=J$26)*('Monthly Data'!$D$13:$D$9627=$B171))</f>
        <v>1531381</v>
      </c>
      <c r="K171" s="80">
        <f>SUMPRODUCT(('Monthly Data'!$E$13:$E$9627=$B$170)*('Monthly Data'!$F$13:$F$9627)*('Monthly Data'!$C$13:$C$9627=K$26)*('Monthly Data'!$D$13:$D$9627=$B171))</f>
        <v>1596807</v>
      </c>
      <c r="L171" s="80">
        <f>SUMPRODUCT(('Monthly Data'!$E$13:$E$9627=$B$170)*('Monthly Data'!$F$13:$F$9627)*('Monthly Data'!$C$13:$C$9627=L$26)*('Monthly Data'!$D$13:$D$9627=$B171))</f>
        <v>1449794</v>
      </c>
      <c r="M171" s="80">
        <f>SUMPRODUCT(('Monthly Data'!$E$13:$E$9627=$B$170)*('Monthly Data'!$F$13:$F$9627)*('Monthly Data'!$C$13:$C$9627=M$26)*('Monthly Data'!$D$13:$D$9627=$B171))</f>
        <v>1287550</v>
      </c>
      <c r="N171" s="80">
        <f>SUMPRODUCT(('Monthly Data'!$E$13:$E$9627=$B$170)*('Monthly Data'!$F$13:$F$9627)*('Monthly Data'!$C$13:$C$9627=N$26)*('Monthly Data'!$D$13:$D$9627=$B171))</f>
        <v>1215787</v>
      </c>
      <c r="O171" s="80">
        <f>SUMPRODUCT(('Monthly Data'!$E$13:$E$9627=$B$170)*('Monthly Data'!$F$13:$F$9627)*('Monthly Data'!$C$13:$C$9627=O$26)*('Monthly Data'!$D$13:$D$9627=$B171))</f>
        <v>1145701</v>
      </c>
      <c r="P171" s="80">
        <f>SUMPRODUCT(('Monthly Data'!$E$13:$E$9627=$B$170)*('Monthly Data'!$F$13:$F$9627)*('Monthly Data'!$C$13:$C$9627=P$26)*('Monthly Data'!$D$13:$D$9627=$B171))</f>
        <v>1070766</v>
      </c>
      <c r="Q171" s="80">
        <f>SUMPRODUCT(('Monthly Data'!$E$13:$E$9627=$B$170)*('Monthly Data'!$F$13:$F$9627)*('Monthly Data'!$C$13:$C$9627=Q$26)*('Monthly Data'!$D$13:$D$9627=$B171))</f>
        <v>1081673</v>
      </c>
      <c r="S171" s="89">
        <f>SUM(C171:O171)</f>
        <v>14862252</v>
      </c>
      <c r="U171" s="30">
        <v>1</v>
      </c>
      <c r="V171" s="95">
        <f>SUMPRODUCT(('Monthly Data'!$E$13:$E$9627=$U$170)*('Monthly Data'!$G$13:$G$9627)*('Monthly Data'!$C$13:$C$9627=V$26)*('Monthly Data'!$D$13:$D$9627=$U171))</f>
        <v>9509</v>
      </c>
      <c r="W171" s="95">
        <f>SUMPRODUCT(('Monthly Data'!$E$13:$E$9627=$U$170)*('Monthly Data'!$G$13:$G$9627)*('Monthly Data'!$C$13:$C$9627=W$26)*('Monthly Data'!$D$13:$D$9627=$U171))</f>
        <v>10548</v>
      </c>
      <c r="X171" s="80">
        <f>SUMPRODUCT(('Monthly Data'!$E$13:$E$9627=$U$170)*('Monthly Data'!$G$13:$G$9627)*('Monthly Data'!$C$13:$C$9627=X$26)*('Monthly Data'!$D$13:$D$9627=$U171))</f>
        <v>11146</v>
      </c>
      <c r="Y171" s="80">
        <f>SUMPRODUCT(('Monthly Data'!$E$13:$E$9627=$U$170)*('Monthly Data'!$G$13:$G$9627)*('Monthly Data'!$C$13:$C$9627=Y$26)*('Monthly Data'!$D$13:$D$9627=$U171))</f>
        <v>10410</v>
      </c>
      <c r="Z171" s="80">
        <f>SUMPRODUCT(('Monthly Data'!$E$13:$E$9627=$U$170)*('Monthly Data'!$G$13:$G$9627)*('Monthly Data'!$C$13:$C$9627=Z$26)*('Monthly Data'!$D$13:$D$9627=$U171))</f>
        <v>12858</v>
      </c>
      <c r="AA171" s="80">
        <f>SUMPRODUCT(('Monthly Data'!$E$13:$E$9627=$U$170)*('Monthly Data'!$G$13:$G$9627)*('Monthly Data'!$C$13:$C$9627=AA$26)*('Monthly Data'!$D$13:$D$9627=$U171))</f>
        <v>13287</v>
      </c>
      <c r="AB171" s="80">
        <f>SUMPRODUCT(('Monthly Data'!$E$13:$E$9627=$U$170)*('Monthly Data'!$G$13:$G$9627)*('Monthly Data'!$C$13:$C$9627=AB$26)*('Monthly Data'!$D$13:$D$9627=$U171))</f>
        <v>13527</v>
      </c>
      <c r="AC171" s="80">
        <f>SUMPRODUCT(('Monthly Data'!$E$13:$E$9627=$U$170)*('Monthly Data'!$G$13:$G$9627)*('Monthly Data'!$C$13:$C$9627=AC$26)*('Monthly Data'!$D$13:$D$9627=$U171))</f>
        <v>14324</v>
      </c>
      <c r="AD171" s="80">
        <f>SUMPRODUCT(('Monthly Data'!$E$13:$E$9627=$U$170)*('Monthly Data'!$G$13:$G$9627)*('Monthly Data'!$C$13:$C$9627=AD$26)*('Monthly Data'!$D$13:$D$9627=$U171))</f>
        <v>15212</v>
      </c>
      <c r="AE171" s="80">
        <f>SUMPRODUCT(('Monthly Data'!$E$13:$E$9627=$U$170)*('Monthly Data'!$G$13:$G$9627)*('Monthly Data'!$C$13:$C$9627=AE$26)*('Monthly Data'!$D$13:$D$9627=$U171))</f>
        <v>14028</v>
      </c>
      <c r="AF171" s="80">
        <f>SUMPRODUCT(('Monthly Data'!$E$13:$E$9627=$U$170)*('Monthly Data'!$G$13:$G$9627)*('Monthly Data'!$C$13:$C$9627=AF$26)*('Monthly Data'!$D$13:$D$9627=$U171))</f>
        <v>11938</v>
      </c>
      <c r="AG171" s="80">
        <f>SUMPRODUCT(('Monthly Data'!$E$13:$E$9627=$U$170)*('Monthly Data'!$G$13:$G$9627)*('Monthly Data'!$C$13:$C$9627=AG$26)*('Monthly Data'!$D$13:$D$9627=$U171))</f>
        <v>11247</v>
      </c>
      <c r="AH171" s="80">
        <f>SUMPRODUCT(('Monthly Data'!$E$13:$E$9627=$U$170)*('Monthly Data'!$G$13:$G$9627)*('Monthly Data'!$C$13:$C$9627=AH$26)*('Monthly Data'!$D$13:$D$9627=$U171))</f>
        <v>10295</v>
      </c>
      <c r="AI171" s="80">
        <f>SUMPRODUCT(('Monthly Data'!$E$13:$E$9627=$U$170)*('Monthly Data'!$G$13:$G$9627)*('Monthly Data'!$C$13:$C$9627=AI$26)*('Monthly Data'!$D$13:$D$9627=$U171))</f>
        <v>9779</v>
      </c>
      <c r="AJ171" s="80">
        <f>SUMPRODUCT(('Monthly Data'!$E$13:$E$9627=$U$170)*('Monthly Data'!$G$13:$G$9627)*('Monthly Data'!$C$13:$C$9627=AJ$26)*('Monthly Data'!$D$13:$D$9627=$U171))</f>
        <v>9663</v>
      </c>
      <c r="AL171" s="89">
        <f>SUM(V171:AH171)</f>
        <v>158329</v>
      </c>
    </row>
    <row r="172" spans="2:38">
      <c r="B172" s="30">
        <v>2</v>
      </c>
      <c r="C172" s="95">
        <f>SUMPRODUCT(('Monthly Data'!$E$13:$E$9627=$B$170)*('Monthly Data'!$F$13:$F$9627)*('Monthly Data'!$C$13:$C$9627=C$26)*('Monthly Data'!$D$13:$D$9627=$B172))</f>
        <v>524362</v>
      </c>
      <c r="D172" s="95">
        <f>SUMPRODUCT(('Monthly Data'!$E$13:$E$9627=$B$170)*('Monthly Data'!$F$13:$F$9627)*('Monthly Data'!$C$13:$C$9627=D$26)*('Monthly Data'!$D$13:$D$9627=$B172))</f>
        <v>700405</v>
      </c>
      <c r="E172" s="80">
        <f>SUMPRODUCT(('Monthly Data'!$E$13:$E$9627=$B$170)*('Monthly Data'!$F$13:$F$9627)*('Monthly Data'!$C$13:$C$9627=E$26)*('Monthly Data'!$D$13:$D$9627=$B172))</f>
        <v>838435</v>
      </c>
      <c r="F172" s="80">
        <f>SUMPRODUCT(('Monthly Data'!$E$13:$E$9627=$B$170)*('Monthly Data'!$F$13:$F$9627)*('Monthly Data'!$C$13:$C$9627=F$26)*('Monthly Data'!$D$13:$D$9627=$B172))</f>
        <v>976514</v>
      </c>
      <c r="G172" s="80">
        <f>SUMPRODUCT(('Monthly Data'!$E$13:$E$9627=$B$170)*('Monthly Data'!$F$13:$F$9627)*('Monthly Data'!$C$13:$C$9627=G$26)*('Monthly Data'!$D$13:$D$9627=$B172))</f>
        <v>1211827</v>
      </c>
      <c r="H172" s="80">
        <f>SUMPRODUCT(('Monthly Data'!$E$13:$E$9627=$B$170)*('Monthly Data'!$F$13:$F$9627)*('Monthly Data'!$C$13:$C$9627=H$26)*('Monthly Data'!$D$13:$D$9627=$B172))</f>
        <v>1458184</v>
      </c>
      <c r="I172" s="80">
        <f>SUMPRODUCT(('Monthly Data'!$E$13:$E$9627=$B$170)*('Monthly Data'!$F$13:$F$9627)*('Monthly Data'!$C$13:$C$9627=I$26)*('Monthly Data'!$D$13:$D$9627=$B172))</f>
        <v>1461648</v>
      </c>
      <c r="J172" s="80">
        <f>SUMPRODUCT(('Monthly Data'!$E$13:$E$9627=$B$170)*('Monthly Data'!$F$13:$F$9627)*('Monthly Data'!$C$13:$C$9627=J$26)*('Monthly Data'!$D$13:$D$9627=$B172))</f>
        <v>1563488</v>
      </c>
      <c r="K172" s="80">
        <f>SUMPRODUCT(('Monthly Data'!$E$13:$E$9627=$B$170)*('Monthly Data'!$F$13:$F$9627)*('Monthly Data'!$C$13:$C$9627=K$26)*('Monthly Data'!$D$13:$D$9627=$B172))</f>
        <v>1609917</v>
      </c>
      <c r="L172" s="80">
        <f>SUMPRODUCT(('Monthly Data'!$E$13:$E$9627=$B$170)*('Monthly Data'!$F$13:$F$9627)*('Monthly Data'!$C$13:$C$9627=L$26)*('Monthly Data'!$D$13:$D$9627=$B172))</f>
        <v>1545905</v>
      </c>
      <c r="M172" s="80">
        <f>SUMPRODUCT(('Monthly Data'!$E$13:$E$9627=$B$170)*('Monthly Data'!$F$13:$F$9627)*('Monthly Data'!$C$13:$C$9627=M$26)*('Monthly Data'!$D$13:$D$9627=$B172))</f>
        <v>1295418</v>
      </c>
      <c r="N172" s="80">
        <f>SUMPRODUCT(('Monthly Data'!$E$13:$E$9627=$B$170)*('Monthly Data'!$F$13:$F$9627)*('Monthly Data'!$C$13:$C$9627=N$26)*('Monthly Data'!$D$13:$D$9627=$B172))</f>
        <v>1237973</v>
      </c>
      <c r="O172" s="80">
        <f>SUMPRODUCT(('Monthly Data'!$E$13:$E$9627=$B$170)*('Monthly Data'!$F$13:$F$9627)*('Monthly Data'!$C$13:$C$9627=O$26)*('Monthly Data'!$D$13:$D$9627=$B172))</f>
        <v>1160988</v>
      </c>
      <c r="P172" s="80">
        <f>SUMPRODUCT(('Monthly Data'!$E$13:$E$9627=$B$170)*('Monthly Data'!$F$13:$F$9627)*('Monthly Data'!$C$13:$C$9627=P$26)*('Monthly Data'!$D$13:$D$9627=$B172))</f>
        <v>1103751</v>
      </c>
      <c r="Q172" s="80">
        <f>SUMPRODUCT(('Monthly Data'!$E$13:$E$9627=$B$170)*('Monthly Data'!$F$13:$F$9627)*('Monthly Data'!$C$13:$C$9627=Q$26)*('Monthly Data'!$D$13:$D$9627=$B172))</f>
        <v>1102622</v>
      </c>
      <c r="S172" s="89">
        <f t="shared" ref="S172:S182" si="37">SUM(C172:O172)</f>
        <v>15585064</v>
      </c>
      <c r="U172" s="30">
        <v>2</v>
      </c>
      <c r="V172" s="95">
        <f>SUMPRODUCT(('Monthly Data'!$E$13:$E$9627=$U$170)*('Monthly Data'!$G$13:$G$9627)*('Monthly Data'!$C$13:$C$9627=V$26)*('Monthly Data'!$D$13:$D$9627=$U172))</f>
        <v>8825</v>
      </c>
      <c r="W172" s="95">
        <f>SUMPRODUCT(('Monthly Data'!$E$13:$E$9627=$U$170)*('Monthly Data'!$G$13:$G$9627)*('Monthly Data'!$C$13:$C$9627=W$26)*('Monthly Data'!$D$13:$D$9627=$U172))</f>
        <v>10371</v>
      </c>
      <c r="X172" s="80">
        <f>SUMPRODUCT(('Monthly Data'!$E$13:$E$9627=$U$170)*('Monthly Data'!$G$13:$G$9627)*('Monthly Data'!$C$13:$C$9627=X$26)*('Monthly Data'!$D$13:$D$9627=$U172))</f>
        <v>10317</v>
      </c>
      <c r="Y172" s="80">
        <f>SUMPRODUCT(('Monthly Data'!$E$13:$E$9627=$U$170)*('Monthly Data'!$G$13:$G$9627)*('Monthly Data'!$C$13:$C$9627=Y$26)*('Monthly Data'!$D$13:$D$9627=$U172))</f>
        <v>9787</v>
      </c>
      <c r="Z172" s="80">
        <f>SUMPRODUCT(('Monthly Data'!$E$13:$E$9627=$U$170)*('Monthly Data'!$G$13:$G$9627)*('Monthly Data'!$C$13:$C$9627=Z$26)*('Monthly Data'!$D$13:$D$9627=$U172))</f>
        <v>12242</v>
      </c>
      <c r="AA172" s="80">
        <f>SUMPRODUCT(('Monthly Data'!$E$13:$E$9627=$U$170)*('Monthly Data'!$G$13:$G$9627)*('Monthly Data'!$C$13:$C$9627=AA$26)*('Monthly Data'!$D$13:$D$9627=$U172))</f>
        <v>13113</v>
      </c>
      <c r="AB172" s="80">
        <f>SUMPRODUCT(('Monthly Data'!$E$13:$E$9627=$U$170)*('Monthly Data'!$G$13:$G$9627)*('Monthly Data'!$C$13:$C$9627=AB$26)*('Monthly Data'!$D$13:$D$9627=$U172))</f>
        <v>12480</v>
      </c>
      <c r="AC172" s="80">
        <f>SUMPRODUCT(('Monthly Data'!$E$13:$E$9627=$U$170)*('Monthly Data'!$G$13:$G$9627)*('Monthly Data'!$C$13:$C$9627=AC$26)*('Monthly Data'!$D$13:$D$9627=$U172))</f>
        <v>13314</v>
      </c>
      <c r="AD172" s="80">
        <f>SUMPRODUCT(('Monthly Data'!$E$13:$E$9627=$U$170)*('Monthly Data'!$G$13:$G$9627)*('Monthly Data'!$C$13:$C$9627=AD$26)*('Monthly Data'!$D$13:$D$9627=$U172))</f>
        <v>13806</v>
      </c>
      <c r="AE172" s="80">
        <f>SUMPRODUCT(('Monthly Data'!$E$13:$E$9627=$U$170)*('Monthly Data'!$G$13:$G$9627)*('Monthly Data'!$C$13:$C$9627=AE$26)*('Monthly Data'!$D$13:$D$9627=$U172))</f>
        <v>13217</v>
      </c>
      <c r="AF172" s="80">
        <f>SUMPRODUCT(('Monthly Data'!$E$13:$E$9627=$U$170)*('Monthly Data'!$G$13:$G$9627)*('Monthly Data'!$C$13:$C$9627=AF$26)*('Monthly Data'!$D$13:$D$9627=$U172))</f>
        <v>10644</v>
      </c>
      <c r="AG172" s="80">
        <f>SUMPRODUCT(('Monthly Data'!$E$13:$E$9627=$U$170)*('Monthly Data'!$G$13:$G$9627)*('Monthly Data'!$C$13:$C$9627=AG$26)*('Monthly Data'!$D$13:$D$9627=$U172))</f>
        <v>10501</v>
      </c>
      <c r="AH172" s="80">
        <f>SUMPRODUCT(('Monthly Data'!$E$13:$E$9627=$U$170)*('Monthly Data'!$G$13:$G$9627)*('Monthly Data'!$C$13:$C$9627=AH$26)*('Monthly Data'!$D$13:$D$9627=$U172))</f>
        <v>9588</v>
      </c>
      <c r="AI172" s="80">
        <f>SUMPRODUCT(('Monthly Data'!$E$13:$E$9627=$U$170)*('Monthly Data'!$G$13:$G$9627)*('Monthly Data'!$C$13:$C$9627=AI$26)*('Monthly Data'!$D$13:$D$9627=$U172))</f>
        <v>9257</v>
      </c>
      <c r="AJ172" s="80">
        <f>SUMPRODUCT(('Monthly Data'!$E$13:$E$9627=$U$170)*('Monthly Data'!$G$13:$G$9627)*('Monthly Data'!$C$13:$C$9627=AJ$26)*('Monthly Data'!$D$13:$D$9627=$U172))</f>
        <v>8729</v>
      </c>
      <c r="AL172" s="89">
        <f t="shared" ref="AL172:AL182" si="38">SUM(V172:AH172)</f>
        <v>148205</v>
      </c>
    </row>
    <row r="173" spans="2:38">
      <c r="B173" s="30">
        <v>3</v>
      </c>
      <c r="C173" s="95">
        <f>SUMPRODUCT(('Monthly Data'!$E$13:$E$9627=$B$170)*('Monthly Data'!$F$13:$F$9627)*('Monthly Data'!$C$13:$C$9627=C$26)*('Monthly Data'!$D$13:$D$9627=$B173))</f>
        <v>643377</v>
      </c>
      <c r="D173" s="95">
        <f>SUMPRODUCT(('Monthly Data'!$E$13:$E$9627=$B$170)*('Monthly Data'!$F$13:$F$9627)*('Monthly Data'!$C$13:$C$9627=D$26)*('Monthly Data'!$D$13:$D$9627=$B173))</f>
        <v>848584</v>
      </c>
      <c r="E173" s="80">
        <f>SUMPRODUCT(('Monthly Data'!$E$13:$E$9627=$B$170)*('Monthly Data'!$F$13:$F$9627)*('Monthly Data'!$C$13:$C$9627=E$26)*('Monthly Data'!$D$13:$D$9627=$B173))</f>
        <v>967362</v>
      </c>
      <c r="F173" s="80">
        <f>SUMPRODUCT(('Monthly Data'!$E$13:$E$9627=$B$170)*('Monthly Data'!$F$13:$F$9627)*('Monthly Data'!$C$13:$C$9627=F$26)*('Monthly Data'!$D$13:$D$9627=$B173))</f>
        <v>1134456</v>
      </c>
      <c r="G173" s="80">
        <f>SUMPRODUCT(('Monthly Data'!$E$13:$E$9627=$B$170)*('Monthly Data'!$F$13:$F$9627)*('Monthly Data'!$C$13:$C$9627=G$26)*('Monthly Data'!$D$13:$D$9627=$B173))</f>
        <v>1332305</v>
      </c>
      <c r="H173" s="80">
        <f>SUMPRODUCT(('Monthly Data'!$E$13:$E$9627=$B$170)*('Monthly Data'!$F$13:$F$9627)*('Monthly Data'!$C$13:$C$9627=H$26)*('Monthly Data'!$D$13:$D$9627=$B173))</f>
        <v>1612538</v>
      </c>
      <c r="I173" s="80">
        <f>SUMPRODUCT(('Monthly Data'!$E$13:$E$9627=$B$170)*('Monthly Data'!$F$13:$F$9627)*('Monthly Data'!$C$13:$C$9627=I$26)*('Monthly Data'!$D$13:$D$9627=$B173))</f>
        <v>1758804</v>
      </c>
      <c r="J173" s="80">
        <f>SUMPRODUCT(('Monthly Data'!$E$13:$E$9627=$B$170)*('Monthly Data'!$F$13:$F$9627)*('Monthly Data'!$C$13:$C$9627=J$26)*('Monthly Data'!$D$13:$D$9627=$B173))</f>
        <v>1780557</v>
      </c>
      <c r="K173" s="80">
        <f>SUMPRODUCT(('Monthly Data'!$E$13:$E$9627=$B$170)*('Monthly Data'!$F$13:$F$9627)*('Monthly Data'!$C$13:$C$9627=K$26)*('Monthly Data'!$D$13:$D$9627=$B173))</f>
        <v>1830496</v>
      </c>
      <c r="L173" s="80">
        <f>SUMPRODUCT(('Monthly Data'!$E$13:$E$9627=$B$170)*('Monthly Data'!$F$13:$F$9627)*('Monthly Data'!$C$13:$C$9627=L$26)*('Monthly Data'!$D$13:$D$9627=$B173))</f>
        <v>1824405</v>
      </c>
      <c r="M173" s="80">
        <f>SUMPRODUCT(('Monthly Data'!$E$13:$E$9627=$B$170)*('Monthly Data'!$F$13:$F$9627)*('Monthly Data'!$C$13:$C$9627=M$26)*('Monthly Data'!$D$13:$D$9627=$B173))</f>
        <v>1534209</v>
      </c>
      <c r="N173" s="80">
        <f>SUMPRODUCT(('Monthly Data'!$E$13:$E$9627=$B$170)*('Monthly Data'!$F$13:$F$9627)*('Monthly Data'!$C$13:$C$9627=N$26)*('Monthly Data'!$D$13:$D$9627=$B173))</f>
        <v>1470111</v>
      </c>
      <c r="O173" s="80">
        <f>SUMPRODUCT(('Monthly Data'!$E$13:$E$9627=$B$170)*('Monthly Data'!$F$13:$F$9627)*('Monthly Data'!$C$13:$C$9627=O$26)*('Monthly Data'!$D$13:$D$9627=$B173))</f>
        <v>1361486</v>
      </c>
      <c r="P173" s="80">
        <f>SUMPRODUCT(('Monthly Data'!$E$13:$E$9627=$B$170)*('Monthly Data'!$F$13:$F$9627)*('Monthly Data'!$C$13:$C$9627=P$26)*('Monthly Data'!$D$13:$D$9627=$B173))</f>
        <v>1297538</v>
      </c>
      <c r="Q173" s="80">
        <f>SUMPRODUCT(('Monthly Data'!$E$13:$E$9627=$B$170)*('Monthly Data'!$F$13:$F$9627)*('Monthly Data'!$C$13:$C$9627=Q$26)*('Monthly Data'!$D$13:$D$9627=$B173))</f>
        <v>1346899</v>
      </c>
      <c r="S173" s="89">
        <f t="shared" si="37"/>
        <v>18098690</v>
      </c>
      <c r="U173" s="30">
        <v>3</v>
      </c>
      <c r="V173" s="95">
        <f>SUMPRODUCT(('Monthly Data'!$E$13:$E$9627=$U$170)*('Monthly Data'!$G$13:$G$9627)*('Monthly Data'!$C$13:$C$9627=V$26)*('Monthly Data'!$D$13:$D$9627=$U173))</f>
        <v>10156</v>
      </c>
      <c r="W173" s="95">
        <f>SUMPRODUCT(('Monthly Data'!$E$13:$E$9627=$U$170)*('Monthly Data'!$G$13:$G$9627)*('Monthly Data'!$C$13:$C$9627=W$26)*('Monthly Data'!$D$13:$D$9627=$U173))</f>
        <v>11361</v>
      </c>
      <c r="X173" s="80">
        <f>SUMPRODUCT(('Monthly Data'!$E$13:$E$9627=$U$170)*('Monthly Data'!$G$13:$G$9627)*('Monthly Data'!$C$13:$C$9627=X$26)*('Monthly Data'!$D$13:$D$9627=$U173))</f>
        <v>12097</v>
      </c>
      <c r="Y173" s="80">
        <f>SUMPRODUCT(('Monthly Data'!$E$13:$E$9627=$U$170)*('Monthly Data'!$G$13:$G$9627)*('Monthly Data'!$C$13:$C$9627=Y$26)*('Monthly Data'!$D$13:$D$9627=$U173))</f>
        <v>11079</v>
      </c>
      <c r="Z173" s="80">
        <f>SUMPRODUCT(('Monthly Data'!$E$13:$E$9627=$U$170)*('Monthly Data'!$G$13:$G$9627)*('Monthly Data'!$C$13:$C$9627=Z$26)*('Monthly Data'!$D$13:$D$9627=$U173))</f>
        <v>13480</v>
      </c>
      <c r="AA173" s="80">
        <f>SUMPRODUCT(('Monthly Data'!$E$13:$E$9627=$U$170)*('Monthly Data'!$G$13:$G$9627)*('Monthly Data'!$C$13:$C$9627=AA$26)*('Monthly Data'!$D$13:$D$9627=$U173))</f>
        <v>14453</v>
      </c>
      <c r="AB173" s="80">
        <f>SUMPRODUCT(('Monthly Data'!$E$13:$E$9627=$U$170)*('Monthly Data'!$G$13:$G$9627)*('Monthly Data'!$C$13:$C$9627=AB$26)*('Monthly Data'!$D$13:$D$9627=$U173))</f>
        <v>14397</v>
      </c>
      <c r="AC173" s="80">
        <f>SUMPRODUCT(('Monthly Data'!$E$13:$E$9627=$U$170)*('Monthly Data'!$G$13:$G$9627)*('Monthly Data'!$C$13:$C$9627=AC$26)*('Monthly Data'!$D$13:$D$9627=$U173))</f>
        <v>15086</v>
      </c>
      <c r="AD173" s="80">
        <f>SUMPRODUCT(('Monthly Data'!$E$13:$E$9627=$U$170)*('Monthly Data'!$G$13:$G$9627)*('Monthly Data'!$C$13:$C$9627=AD$26)*('Monthly Data'!$D$13:$D$9627=$U173))</f>
        <v>15645</v>
      </c>
      <c r="AE173" s="80">
        <f>SUMPRODUCT(('Monthly Data'!$E$13:$E$9627=$U$170)*('Monthly Data'!$G$13:$G$9627)*('Monthly Data'!$C$13:$C$9627=AE$26)*('Monthly Data'!$D$13:$D$9627=$U173))</f>
        <v>14670</v>
      </c>
      <c r="AF173" s="80">
        <f>SUMPRODUCT(('Monthly Data'!$E$13:$E$9627=$U$170)*('Monthly Data'!$G$13:$G$9627)*('Monthly Data'!$C$13:$C$9627=AF$26)*('Monthly Data'!$D$13:$D$9627=$U173))</f>
        <v>12749</v>
      </c>
      <c r="AG173" s="80">
        <f>SUMPRODUCT(('Monthly Data'!$E$13:$E$9627=$U$170)*('Monthly Data'!$G$13:$G$9627)*('Monthly Data'!$C$13:$C$9627=AG$26)*('Monthly Data'!$D$13:$D$9627=$U173))</f>
        <v>11776</v>
      </c>
      <c r="AH173" s="80">
        <f>SUMPRODUCT(('Monthly Data'!$E$13:$E$9627=$U$170)*('Monthly Data'!$G$13:$G$9627)*('Monthly Data'!$C$13:$C$9627=AH$26)*('Monthly Data'!$D$13:$D$9627=$U173))</f>
        <v>11055</v>
      </c>
      <c r="AI173" s="80">
        <f>SUMPRODUCT(('Monthly Data'!$E$13:$E$9627=$U$170)*('Monthly Data'!$G$13:$G$9627)*('Monthly Data'!$C$13:$C$9627=AI$26)*('Monthly Data'!$D$13:$D$9627=$U173))</f>
        <v>10525</v>
      </c>
      <c r="AJ173" s="80">
        <f>SUMPRODUCT(('Monthly Data'!$E$13:$E$9627=$U$170)*('Monthly Data'!$G$13:$G$9627)*('Monthly Data'!$C$13:$C$9627=AJ$26)*('Monthly Data'!$D$13:$D$9627=$U173))</f>
        <v>10387</v>
      </c>
      <c r="AL173" s="89">
        <f t="shared" si="38"/>
        <v>168004</v>
      </c>
    </row>
    <row r="174" spans="2:38">
      <c r="B174" s="30">
        <v>4</v>
      </c>
      <c r="C174" s="95">
        <f>SUMPRODUCT(('Monthly Data'!$E$13:$E$9627=$B$170)*('Monthly Data'!$F$13:$F$9627)*('Monthly Data'!$C$13:$C$9627=C$26)*('Monthly Data'!$D$13:$D$9627=$B174))</f>
        <v>645507</v>
      </c>
      <c r="D174" s="95">
        <f>SUMPRODUCT(('Monthly Data'!$E$13:$E$9627=$B$170)*('Monthly Data'!$F$13:$F$9627)*('Monthly Data'!$C$13:$C$9627=D$26)*('Monthly Data'!$D$13:$D$9627=$B174))</f>
        <v>931644</v>
      </c>
      <c r="E174" s="80">
        <f>SUMPRODUCT(('Monthly Data'!$E$13:$E$9627=$B$170)*('Monthly Data'!$F$13:$F$9627)*('Monthly Data'!$C$13:$C$9627=E$26)*('Monthly Data'!$D$13:$D$9627=$B174))</f>
        <v>1132209</v>
      </c>
      <c r="F174" s="80">
        <f>SUMPRODUCT(('Monthly Data'!$E$13:$E$9627=$B$170)*('Monthly Data'!$F$13:$F$9627)*('Monthly Data'!$C$13:$C$9627=F$26)*('Monthly Data'!$D$13:$D$9627=$B174))</f>
        <v>1218703</v>
      </c>
      <c r="G174" s="80">
        <f>SUMPRODUCT(('Monthly Data'!$E$13:$E$9627=$B$170)*('Monthly Data'!$F$13:$F$9627)*('Monthly Data'!$C$13:$C$9627=G$26)*('Monthly Data'!$D$13:$D$9627=$B174))</f>
        <v>1271283</v>
      </c>
      <c r="H174" s="80">
        <f>SUMPRODUCT(('Monthly Data'!$E$13:$E$9627=$B$170)*('Monthly Data'!$F$13:$F$9627)*('Monthly Data'!$C$13:$C$9627=H$26)*('Monthly Data'!$D$13:$D$9627=$B174))</f>
        <v>1702216</v>
      </c>
      <c r="I174" s="80">
        <f>SUMPRODUCT(('Monthly Data'!$E$13:$E$9627=$B$170)*('Monthly Data'!$F$13:$F$9627)*('Monthly Data'!$C$13:$C$9627=I$26)*('Monthly Data'!$D$13:$D$9627=$B174))</f>
        <v>1759817</v>
      </c>
      <c r="J174" s="80">
        <f>SUMPRODUCT(('Monthly Data'!$E$13:$E$9627=$B$170)*('Monthly Data'!$F$13:$F$9627)*('Monthly Data'!$C$13:$C$9627=J$26)*('Monthly Data'!$D$13:$D$9627=$B174))</f>
        <v>2044329</v>
      </c>
      <c r="K174" s="80">
        <f>SUMPRODUCT(('Monthly Data'!$E$13:$E$9627=$B$170)*('Monthly Data'!$F$13:$F$9627)*('Monthly Data'!$C$13:$C$9627=K$26)*('Monthly Data'!$D$13:$D$9627=$B174))</f>
        <v>1975144</v>
      </c>
      <c r="L174" s="80">
        <f>SUMPRODUCT(('Monthly Data'!$E$13:$E$9627=$B$170)*('Monthly Data'!$F$13:$F$9627)*('Monthly Data'!$C$13:$C$9627=L$26)*('Monthly Data'!$D$13:$D$9627=$B174))</f>
        <v>1864076</v>
      </c>
      <c r="M174" s="80">
        <f>SUMPRODUCT(('Monthly Data'!$E$13:$E$9627=$B$170)*('Monthly Data'!$F$13:$F$9627)*('Monthly Data'!$C$13:$C$9627=M$26)*('Monthly Data'!$D$13:$D$9627=$B174))</f>
        <v>1629149</v>
      </c>
      <c r="N174" s="80">
        <f>SUMPRODUCT(('Monthly Data'!$E$13:$E$9627=$B$170)*('Monthly Data'!$F$13:$F$9627)*('Monthly Data'!$C$13:$C$9627=N$26)*('Monthly Data'!$D$13:$D$9627=$B174))</f>
        <v>1231847</v>
      </c>
      <c r="O174" s="80">
        <f>SUMPRODUCT(('Monthly Data'!$E$13:$E$9627=$B$170)*('Monthly Data'!$F$13:$F$9627)*('Monthly Data'!$C$13:$C$9627=O$26)*('Monthly Data'!$D$13:$D$9627=$B174))</f>
        <v>1555458</v>
      </c>
      <c r="P174" s="80">
        <f>SUMPRODUCT(('Monthly Data'!$E$13:$E$9627=$B$170)*('Monthly Data'!$F$13:$F$9627)*('Monthly Data'!$C$13:$C$9627=P$26)*('Monthly Data'!$D$13:$D$9627=$B174))</f>
        <v>1512080</v>
      </c>
      <c r="Q174" s="80">
        <f>SUMPRODUCT(('Monthly Data'!$E$13:$E$9627=$B$170)*('Monthly Data'!$F$13:$F$9627)*('Monthly Data'!$C$13:$C$9627=Q$26)*('Monthly Data'!$D$13:$D$9627=$B174))</f>
        <v>1559261</v>
      </c>
      <c r="S174" s="89">
        <f t="shared" si="37"/>
        <v>18961382</v>
      </c>
      <c r="U174" s="30">
        <v>4</v>
      </c>
      <c r="V174" s="95">
        <f>SUMPRODUCT(('Monthly Data'!$E$13:$E$9627=$U$170)*('Monthly Data'!$G$13:$G$9627)*('Monthly Data'!$C$13:$C$9627=V$26)*('Monthly Data'!$D$13:$D$9627=$U174))</f>
        <v>9825</v>
      </c>
      <c r="W174" s="95">
        <f>SUMPRODUCT(('Monthly Data'!$E$13:$E$9627=$U$170)*('Monthly Data'!$G$13:$G$9627)*('Monthly Data'!$C$13:$C$9627=W$26)*('Monthly Data'!$D$13:$D$9627=$U174))</f>
        <v>10789</v>
      </c>
      <c r="X174" s="80">
        <f>SUMPRODUCT(('Monthly Data'!$E$13:$E$9627=$U$170)*('Monthly Data'!$G$13:$G$9627)*('Monthly Data'!$C$13:$C$9627=X$26)*('Monthly Data'!$D$13:$D$9627=$U174))</f>
        <v>12876</v>
      </c>
      <c r="Y174" s="80">
        <f>SUMPRODUCT(('Monthly Data'!$E$13:$E$9627=$U$170)*('Monthly Data'!$G$13:$G$9627)*('Monthly Data'!$C$13:$C$9627=Y$26)*('Monthly Data'!$D$13:$D$9627=$U174))</f>
        <v>12264</v>
      </c>
      <c r="Z174" s="80">
        <f>SUMPRODUCT(('Monthly Data'!$E$13:$E$9627=$U$170)*('Monthly Data'!$G$13:$G$9627)*('Monthly Data'!$C$13:$C$9627=Z$26)*('Monthly Data'!$D$13:$D$9627=$U174))</f>
        <v>11812</v>
      </c>
      <c r="AA174" s="80">
        <f>SUMPRODUCT(('Monthly Data'!$E$13:$E$9627=$U$170)*('Monthly Data'!$G$13:$G$9627)*('Monthly Data'!$C$13:$C$9627=AA$26)*('Monthly Data'!$D$13:$D$9627=$U174))</f>
        <v>14678</v>
      </c>
      <c r="AB174" s="80">
        <f>SUMPRODUCT(('Monthly Data'!$E$13:$E$9627=$U$170)*('Monthly Data'!$G$13:$G$9627)*('Monthly Data'!$C$13:$C$9627=AB$26)*('Monthly Data'!$D$13:$D$9627=$U174))</f>
        <v>14551</v>
      </c>
      <c r="AC174" s="80">
        <f>SUMPRODUCT(('Monthly Data'!$E$13:$E$9627=$U$170)*('Monthly Data'!$G$13:$G$9627)*('Monthly Data'!$C$13:$C$9627=AC$26)*('Monthly Data'!$D$13:$D$9627=$U174))</f>
        <v>15708</v>
      </c>
      <c r="AD174" s="80">
        <f>SUMPRODUCT(('Monthly Data'!$E$13:$E$9627=$U$170)*('Monthly Data'!$G$13:$G$9627)*('Monthly Data'!$C$13:$C$9627=AD$26)*('Monthly Data'!$D$13:$D$9627=$U174))</f>
        <v>15743</v>
      </c>
      <c r="AE174" s="80">
        <f>SUMPRODUCT(('Monthly Data'!$E$13:$E$9627=$U$170)*('Monthly Data'!$G$13:$G$9627)*('Monthly Data'!$C$13:$C$9627=AE$26)*('Monthly Data'!$D$13:$D$9627=$U174))</f>
        <v>15507</v>
      </c>
      <c r="AF174" s="80">
        <f>SUMPRODUCT(('Monthly Data'!$E$13:$E$9627=$U$170)*('Monthly Data'!$G$13:$G$9627)*('Monthly Data'!$C$13:$C$9627=AF$26)*('Monthly Data'!$D$13:$D$9627=$U174))</f>
        <v>12589</v>
      </c>
      <c r="AG174" s="80">
        <f>SUMPRODUCT(('Monthly Data'!$E$13:$E$9627=$U$170)*('Monthly Data'!$G$13:$G$9627)*('Monthly Data'!$C$13:$C$9627=AG$26)*('Monthly Data'!$D$13:$D$9627=$U174))</f>
        <v>9775</v>
      </c>
      <c r="AH174" s="80">
        <f>SUMPRODUCT(('Monthly Data'!$E$13:$E$9627=$U$170)*('Monthly Data'!$G$13:$G$9627)*('Monthly Data'!$C$13:$C$9627=AH$26)*('Monthly Data'!$D$13:$D$9627=$U174))</f>
        <v>11508</v>
      </c>
      <c r="AI174" s="80">
        <f>SUMPRODUCT(('Monthly Data'!$E$13:$E$9627=$U$170)*('Monthly Data'!$G$13:$G$9627)*('Monthly Data'!$C$13:$C$9627=AI$26)*('Monthly Data'!$D$13:$D$9627=$U174))</f>
        <v>11404</v>
      </c>
      <c r="AJ174" s="80">
        <f>SUMPRODUCT(('Monthly Data'!$E$13:$E$9627=$U$170)*('Monthly Data'!$G$13:$G$9627)*('Monthly Data'!$C$13:$C$9627=AJ$26)*('Monthly Data'!$D$13:$D$9627=$U174))</f>
        <v>11556</v>
      </c>
      <c r="AL174" s="89">
        <f t="shared" si="38"/>
        <v>167625</v>
      </c>
    </row>
    <row r="175" spans="2:38">
      <c r="B175" s="30">
        <v>5</v>
      </c>
      <c r="C175" s="95">
        <f>SUMPRODUCT(('Monthly Data'!$E$13:$E$9627=$B$170)*('Monthly Data'!$F$13:$F$9627)*('Monthly Data'!$C$13:$C$9627=C$26)*('Monthly Data'!$D$13:$D$9627=$B175))</f>
        <v>760457</v>
      </c>
      <c r="D175" s="95">
        <f>SUMPRODUCT(('Monthly Data'!$E$13:$E$9627=$B$170)*('Monthly Data'!$F$13:$F$9627)*('Monthly Data'!$C$13:$C$9627=D$26)*('Monthly Data'!$D$13:$D$9627=$B175))</f>
        <v>958966</v>
      </c>
      <c r="E175" s="80">
        <f>SUMPRODUCT(('Monthly Data'!$E$13:$E$9627=$B$170)*('Monthly Data'!$F$13:$F$9627)*('Monthly Data'!$C$13:$C$9627=E$26)*('Monthly Data'!$D$13:$D$9627=$B175))</f>
        <v>1180086</v>
      </c>
      <c r="F175" s="80">
        <f>SUMPRODUCT(('Monthly Data'!$E$13:$E$9627=$B$170)*('Monthly Data'!$F$13:$F$9627)*('Monthly Data'!$C$13:$C$9627=F$26)*('Monthly Data'!$D$13:$D$9627=$B175))</f>
        <v>1378416</v>
      </c>
      <c r="G175" s="80">
        <f>SUMPRODUCT(('Monthly Data'!$E$13:$E$9627=$B$170)*('Monthly Data'!$F$13:$F$9627)*('Monthly Data'!$C$13:$C$9627=G$26)*('Monthly Data'!$D$13:$D$9627=$B175))</f>
        <v>1609290</v>
      </c>
      <c r="H175" s="80">
        <f>SUMPRODUCT(('Monthly Data'!$E$13:$E$9627=$B$170)*('Monthly Data'!$F$13:$F$9627)*('Monthly Data'!$C$13:$C$9627=H$26)*('Monthly Data'!$D$13:$D$9627=$B175))</f>
        <v>1717490</v>
      </c>
      <c r="I175" s="80">
        <f>SUMPRODUCT(('Monthly Data'!$E$13:$E$9627=$B$170)*('Monthly Data'!$F$13:$F$9627)*('Monthly Data'!$C$13:$C$9627=I$26)*('Monthly Data'!$D$13:$D$9627=$B175))</f>
        <v>1900031</v>
      </c>
      <c r="J175" s="80">
        <f>SUMPRODUCT(('Monthly Data'!$E$13:$E$9627=$B$170)*('Monthly Data'!$F$13:$F$9627)*('Monthly Data'!$C$13:$C$9627=J$26)*('Monthly Data'!$D$13:$D$9627=$B175))</f>
        <v>2114328</v>
      </c>
      <c r="K175" s="80">
        <f>SUMPRODUCT(('Monthly Data'!$E$13:$E$9627=$B$170)*('Monthly Data'!$F$13:$F$9627)*('Monthly Data'!$C$13:$C$9627=K$26)*('Monthly Data'!$D$13:$D$9627=$B175))</f>
        <v>2088601</v>
      </c>
      <c r="L175" s="80">
        <f>SUMPRODUCT(('Monthly Data'!$E$13:$E$9627=$B$170)*('Monthly Data'!$F$13:$F$9627)*('Monthly Data'!$C$13:$C$9627=L$26)*('Monthly Data'!$D$13:$D$9627=$B175))</f>
        <v>2020962</v>
      </c>
      <c r="M175" s="80">
        <f>SUMPRODUCT(('Monthly Data'!$E$13:$E$9627=$B$170)*('Monthly Data'!$F$13:$F$9627)*('Monthly Data'!$C$13:$C$9627=M$26)*('Monthly Data'!$D$13:$D$9627=$B175))</f>
        <v>1646668</v>
      </c>
      <c r="N175" s="80">
        <f>SUMPRODUCT(('Monthly Data'!$E$13:$E$9627=$B$170)*('Monthly Data'!$F$13:$F$9627)*('Monthly Data'!$C$13:$C$9627=N$26)*('Monthly Data'!$D$13:$D$9627=$B175))</f>
        <v>1623108</v>
      </c>
      <c r="O175" s="80">
        <f>SUMPRODUCT(('Monthly Data'!$E$13:$E$9627=$B$170)*('Monthly Data'!$F$13:$F$9627)*('Monthly Data'!$C$13:$C$9627=O$26)*('Monthly Data'!$D$13:$D$9627=$B175))</f>
        <v>1635732</v>
      </c>
      <c r="P175" s="80">
        <f>SUMPRODUCT(('Monthly Data'!$E$13:$E$9627=$B$170)*('Monthly Data'!$F$13:$F$9627)*('Monthly Data'!$C$13:$C$9627=P$26)*('Monthly Data'!$D$13:$D$9627=$B175))</f>
        <v>1546470</v>
      </c>
      <c r="Q175" s="80">
        <f>SUMPRODUCT(('Monthly Data'!$E$13:$E$9627=$B$170)*('Monthly Data'!$F$13:$F$9627)*('Monthly Data'!$C$13:$C$9627=Q$26)*('Monthly Data'!$D$13:$D$9627=$B175))</f>
        <v>0</v>
      </c>
      <c r="S175" s="89">
        <f t="shared" si="37"/>
        <v>20634135</v>
      </c>
      <c r="U175" s="30">
        <v>5</v>
      </c>
      <c r="V175" s="95">
        <f>SUMPRODUCT(('Monthly Data'!$E$13:$E$9627=$U$170)*('Monthly Data'!$G$13:$G$9627)*('Monthly Data'!$C$13:$C$9627=V$26)*('Monthly Data'!$D$13:$D$9627=$U175))</f>
        <v>11055</v>
      </c>
      <c r="W175" s="95">
        <f>SUMPRODUCT(('Monthly Data'!$E$13:$E$9627=$U$170)*('Monthly Data'!$G$13:$G$9627)*('Monthly Data'!$C$13:$C$9627=W$26)*('Monthly Data'!$D$13:$D$9627=$U175))</f>
        <v>12108</v>
      </c>
      <c r="X175" s="80">
        <f>SUMPRODUCT(('Monthly Data'!$E$13:$E$9627=$U$170)*('Monthly Data'!$G$13:$G$9627)*('Monthly Data'!$C$13:$C$9627=X$26)*('Monthly Data'!$D$13:$D$9627=$U175))</f>
        <v>14024</v>
      </c>
      <c r="Y175" s="80">
        <f>SUMPRODUCT(('Monthly Data'!$E$13:$E$9627=$U$170)*('Monthly Data'!$G$13:$G$9627)*('Monthly Data'!$C$13:$C$9627=Y$26)*('Monthly Data'!$D$13:$D$9627=$U175))</f>
        <v>13299</v>
      </c>
      <c r="Z175" s="80">
        <f>SUMPRODUCT(('Monthly Data'!$E$13:$E$9627=$U$170)*('Monthly Data'!$G$13:$G$9627)*('Monthly Data'!$C$13:$C$9627=Z$26)*('Monthly Data'!$D$13:$D$9627=$U175))</f>
        <v>15266</v>
      </c>
      <c r="AA175" s="80">
        <f>SUMPRODUCT(('Monthly Data'!$E$13:$E$9627=$U$170)*('Monthly Data'!$G$13:$G$9627)*('Monthly Data'!$C$13:$C$9627=AA$26)*('Monthly Data'!$D$13:$D$9627=$U175))</f>
        <v>15133</v>
      </c>
      <c r="AB175" s="80">
        <f>SUMPRODUCT(('Monthly Data'!$E$13:$E$9627=$U$170)*('Monthly Data'!$G$13:$G$9627)*('Monthly Data'!$C$13:$C$9627=AB$26)*('Monthly Data'!$D$13:$D$9627=$U175))</f>
        <v>15468</v>
      </c>
      <c r="AC175" s="80">
        <f>SUMPRODUCT(('Monthly Data'!$E$13:$E$9627=$U$170)*('Monthly Data'!$G$13:$G$9627)*('Monthly Data'!$C$13:$C$9627=AC$26)*('Monthly Data'!$D$13:$D$9627=$U175))</f>
        <v>17207</v>
      </c>
      <c r="AD175" s="80">
        <f>SUMPRODUCT(('Monthly Data'!$E$13:$E$9627=$U$170)*('Monthly Data'!$G$13:$G$9627)*('Monthly Data'!$C$13:$C$9627=AD$26)*('Monthly Data'!$D$13:$D$9627=$U175))</f>
        <v>17038</v>
      </c>
      <c r="AE175" s="80">
        <f>SUMPRODUCT(('Monthly Data'!$E$13:$E$9627=$U$170)*('Monthly Data'!$G$13:$G$9627)*('Monthly Data'!$C$13:$C$9627=AE$26)*('Monthly Data'!$D$13:$D$9627=$U175))</f>
        <v>16171</v>
      </c>
      <c r="AF175" s="80">
        <f>SUMPRODUCT(('Monthly Data'!$E$13:$E$9627=$U$170)*('Monthly Data'!$G$13:$G$9627)*('Monthly Data'!$C$13:$C$9627=AF$26)*('Monthly Data'!$D$13:$D$9627=$U175))</f>
        <v>13017</v>
      </c>
      <c r="AG175" s="80">
        <f>SUMPRODUCT(('Monthly Data'!$E$13:$E$9627=$U$170)*('Monthly Data'!$G$13:$G$9627)*('Monthly Data'!$C$13:$C$9627=AG$26)*('Monthly Data'!$D$13:$D$9627=$U175))</f>
        <v>12723</v>
      </c>
      <c r="AH175" s="80">
        <f>SUMPRODUCT(('Monthly Data'!$E$13:$E$9627=$U$170)*('Monthly Data'!$G$13:$G$9627)*('Monthly Data'!$C$13:$C$9627=AH$26)*('Monthly Data'!$D$13:$D$9627=$U175))</f>
        <v>12478</v>
      </c>
      <c r="AI175" s="80">
        <f>SUMPRODUCT(('Monthly Data'!$E$13:$E$9627=$U$170)*('Monthly Data'!$G$13:$G$9627)*('Monthly Data'!$C$13:$C$9627=AI$26)*('Monthly Data'!$D$13:$D$9627=$U175))</f>
        <v>11884</v>
      </c>
      <c r="AJ175" s="80">
        <f>SUMPRODUCT(('Monthly Data'!$E$13:$E$9627=$U$170)*('Monthly Data'!$G$13:$G$9627)*('Monthly Data'!$C$13:$C$9627=AJ$26)*('Monthly Data'!$D$13:$D$9627=$U175))</f>
        <v>0</v>
      </c>
      <c r="AL175" s="89">
        <f t="shared" si="38"/>
        <v>184987</v>
      </c>
    </row>
    <row r="176" spans="2:38">
      <c r="B176" s="30">
        <v>6</v>
      </c>
      <c r="C176" s="95">
        <f>SUMPRODUCT(('Monthly Data'!$E$13:$E$9627=$B$170)*('Monthly Data'!$F$13:$F$9627)*('Monthly Data'!$C$13:$C$9627=C$26)*('Monthly Data'!$D$13:$D$9627=$B176))</f>
        <v>847122</v>
      </c>
      <c r="D176" s="95">
        <f>SUMPRODUCT(('Monthly Data'!$E$13:$E$9627=$B$170)*('Monthly Data'!$F$13:$F$9627)*('Monthly Data'!$C$13:$C$9627=D$26)*('Monthly Data'!$D$13:$D$9627=$B176))</f>
        <v>1079533</v>
      </c>
      <c r="E176" s="80">
        <f>SUMPRODUCT(('Monthly Data'!$E$13:$E$9627=$B$170)*('Monthly Data'!$F$13:$F$9627)*('Monthly Data'!$C$13:$C$9627=E$26)*('Monthly Data'!$D$13:$D$9627=$B176))</f>
        <v>1315496</v>
      </c>
      <c r="F176" s="80">
        <f>SUMPRODUCT(('Monthly Data'!$E$13:$E$9627=$B$170)*('Monthly Data'!$F$13:$F$9627)*('Monthly Data'!$C$13:$C$9627=F$26)*('Monthly Data'!$D$13:$D$9627=$B176))</f>
        <v>1471500</v>
      </c>
      <c r="G176" s="80">
        <f>SUMPRODUCT(('Monthly Data'!$E$13:$E$9627=$B$170)*('Monthly Data'!$F$13:$F$9627)*('Monthly Data'!$C$13:$C$9627=G$26)*('Monthly Data'!$D$13:$D$9627=$B176))</f>
        <v>1664171</v>
      </c>
      <c r="H176" s="80">
        <f>SUMPRODUCT(('Monthly Data'!$E$13:$E$9627=$B$170)*('Monthly Data'!$F$13:$F$9627)*('Monthly Data'!$C$13:$C$9627=H$26)*('Monthly Data'!$D$13:$D$9627=$B176))</f>
        <v>1842358</v>
      </c>
      <c r="I176" s="80">
        <f>SUMPRODUCT(('Monthly Data'!$E$13:$E$9627=$B$170)*('Monthly Data'!$F$13:$F$9627)*('Monthly Data'!$C$13:$C$9627=I$26)*('Monthly Data'!$D$13:$D$9627=$B176))</f>
        <v>2011011</v>
      </c>
      <c r="J176" s="80">
        <f>SUMPRODUCT(('Monthly Data'!$E$13:$E$9627=$B$170)*('Monthly Data'!$F$13:$F$9627)*('Monthly Data'!$C$13:$C$9627=J$26)*('Monthly Data'!$D$13:$D$9627=$B176))</f>
        <v>2247490</v>
      </c>
      <c r="K176" s="80">
        <f>SUMPRODUCT(('Monthly Data'!$E$13:$E$9627=$B$170)*('Monthly Data'!$F$13:$F$9627)*('Monthly Data'!$C$13:$C$9627=K$26)*('Monthly Data'!$D$13:$D$9627=$B176))</f>
        <v>2205383</v>
      </c>
      <c r="L176" s="80">
        <f>SUMPRODUCT(('Monthly Data'!$E$13:$E$9627=$B$170)*('Monthly Data'!$F$13:$F$9627)*('Monthly Data'!$C$13:$C$9627=L$26)*('Monthly Data'!$D$13:$D$9627=$B176))</f>
        <v>2079283</v>
      </c>
      <c r="M176" s="80">
        <f>SUMPRODUCT(('Monthly Data'!$E$13:$E$9627=$B$170)*('Monthly Data'!$F$13:$F$9627)*('Monthly Data'!$C$13:$C$9627=M$26)*('Monthly Data'!$D$13:$D$9627=$B176))</f>
        <v>1840263</v>
      </c>
      <c r="N176" s="80">
        <f>SUMPRODUCT(('Monthly Data'!$E$13:$E$9627=$B$170)*('Monthly Data'!$F$13:$F$9627)*('Monthly Data'!$C$13:$C$9627=N$26)*('Monthly Data'!$D$13:$D$9627=$B176))</f>
        <v>1744356</v>
      </c>
      <c r="O176" s="80">
        <f>SUMPRODUCT(('Monthly Data'!$E$13:$E$9627=$B$170)*('Monthly Data'!$F$13:$F$9627)*('Monthly Data'!$C$13:$C$9627=O$26)*('Monthly Data'!$D$13:$D$9627=$B176))</f>
        <v>1687285</v>
      </c>
      <c r="P176" s="80">
        <f>SUMPRODUCT(('Monthly Data'!$E$13:$E$9627=$B$170)*('Monthly Data'!$F$13:$F$9627)*('Monthly Data'!$C$13:$C$9627=P$26)*('Monthly Data'!$D$13:$D$9627=$B176))</f>
        <v>1630900</v>
      </c>
      <c r="Q176" s="80">
        <f>SUMPRODUCT(('Monthly Data'!$E$13:$E$9627=$B$170)*('Monthly Data'!$F$13:$F$9627)*('Monthly Data'!$C$13:$C$9627=Q$26)*('Monthly Data'!$D$13:$D$9627=$B176))</f>
        <v>0</v>
      </c>
      <c r="S176" s="89">
        <f t="shared" si="37"/>
        <v>22035251</v>
      </c>
      <c r="U176" s="30">
        <v>6</v>
      </c>
      <c r="V176" s="95">
        <f>SUMPRODUCT(('Monthly Data'!$E$13:$E$9627=$U$170)*('Monthly Data'!$G$13:$G$9627)*('Monthly Data'!$C$13:$C$9627=V$26)*('Monthly Data'!$D$13:$D$9627=$U176))</f>
        <v>11283</v>
      </c>
      <c r="W176" s="95">
        <f>SUMPRODUCT(('Monthly Data'!$E$13:$E$9627=$U$170)*('Monthly Data'!$G$13:$G$9627)*('Monthly Data'!$C$13:$C$9627=W$26)*('Monthly Data'!$D$13:$D$9627=$U176))</f>
        <v>12449</v>
      </c>
      <c r="X176" s="80">
        <f>SUMPRODUCT(('Monthly Data'!$E$13:$E$9627=$U$170)*('Monthly Data'!$G$13:$G$9627)*('Monthly Data'!$C$13:$C$9627=X$26)*('Monthly Data'!$D$13:$D$9627=$U176))</f>
        <v>13895</v>
      </c>
      <c r="Y176" s="80">
        <f>SUMPRODUCT(('Monthly Data'!$E$13:$E$9627=$U$170)*('Monthly Data'!$G$13:$G$9627)*('Monthly Data'!$C$13:$C$9627=Y$26)*('Monthly Data'!$D$13:$D$9627=$U176))</f>
        <v>13026</v>
      </c>
      <c r="Z176" s="80">
        <f>SUMPRODUCT(('Monthly Data'!$E$13:$E$9627=$U$170)*('Monthly Data'!$G$13:$G$9627)*('Monthly Data'!$C$13:$C$9627=Z$26)*('Monthly Data'!$D$13:$D$9627=$U176))</f>
        <v>14913</v>
      </c>
      <c r="AA176" s="80">
        <f>SUMPRODUCT(('Monthly Data'!$E$13:$E$9627=$U$170)*('Monthly Data'!$G$13:$G$9627)*('Monthly Data'!$C$13:$C$9627=AA$26)*('Monthly Data'!$D$13:$D$9627=$U176))</f>
        <v>15155</v>
      </c>
      <c r="AB176" s="80">
        <f>SUMPRODUCT(('Monthly Data'!$E$13:$E$9627=$U$170)*('Monthly Data'!$G$13:$G$9627)*('Monthly Data'!$C$13:$C$9627=AB$26)*('Monthly Data'!$D$13:$D$9627=$U176))</f>
        <v>15665</v>
      </c>
      <c r="AC176" s="80">
        <f>SUMPRODUCT(('Monthly Data'!$E$13:$E$9627=$U$170)*('Monthly Data'!$G$13:$G$9627)*('Monthly Data'!$C$13:$C$9627=AC$26)*('Monthly Data'!$D$13:$D$9627=$U176))</f>
        <v>17072</v>
      </c>
      <c r="AD176" s="80">
        <f>SUMPRODUCT(('Monthly Data'!$E$13:$E$9627=$U$170)*('Monthly Data'!$G$13:$G$9627)*('Monthly Data'!$C$13:$C$9627=AD$26)*('Monthly Data'!$D$13:$D$9627=$U176))</f>
        <v>17100</v>
      </c>
      <c r="AE176" s="80">
        <f>SUMPRODUCT(('Monthly Data'!$E$13:$E$9627=$U$170)*('Monthly Data'!$G$13:$G$9627)*('Monthly Data'!$C$13:$C$9627=AE$26)*('Monthly Data'!$D$13:$D$9627=$U176))</f>
        <v>15992</v>
      </c>
      <c r="AF176" s="80">
        <f>SUMPRODUCT(('Monthly Data'!$E$13:$E$9627=$U$170)*('Monthly Data'!$G$13:$G$9627)*('Monthly Data'!$C$13:$C$9627=AF$26)*('Monthly Data'!$D$13:$D$9627=$U176))</f>
        <v>13953</v>
      </c>
      <c r="AG176" s="80">
        <f>SUMPRODUCT(('Monthly Data'!$E$13:$E$9627=$U$170)*('Monthly Data'!$G$13:$G$9627)*('Monthly Data'!$C$13:$C$9627=AG$26)*('Monthly Data'!$D$13:$D$9627=$U176))</f>
        <v>13015</v>
      </c>
      <c r="AH176" s="80">
        <f>SUMPRODUCT(('Monthly Data'!$E$13:$E$9627=$U$170)*('Monthly Data'!$G$13:$G$9627)*('Monthly Data'!$C$13:$C$9627=AH$26)*('Monthly Data'!$D$13:$D$9627=$U176))</f>
        <v>12312</v>
      </c>
      <c r="AI176" s="80">
        <f>SUMPRODUCT(('Monthly Data'!$E$13:$E$9627=$U$170)*('Monthly Data'!$G$13:$G$9627)*('Monthly Data'!$C$13:$C$9627=AI$26)*('Monthly Data'!$D$13:$D$9627=$U176))</f>
        <v>11800</v>
      </c>
      <c r="AJ176" s="80">
        <f>SUMPRODUCT(('Monthly Data'!$E$13:$E$9627=$U$170)*('Monthly Data'!$G$13:$G$9627)*('Monthly Data'!$C$13:$C$9627=AJ$26)*('Monthly Data'!$D$13:$D$9627=$U176))</f>
        <v>0</v>
      </c>
      <c r="AL176" s="89">
        <f t="shared" si="38"/>
        <v>185830</v>
      </c>
    </row>
    <row r="177" spans="2:39">
      <c r="B177" s="30">
        <v>7</v>
      </c>
      <c r="C177" s="95">
        <f>SUMPRODUCT(('Monthly Data'!$E$13:$E$9627=$B$170)*('Monthly Data'!$F$13:$F$9627)*('Monthly Data'!$C$13:$C$9627=C$26)*('Monthly Data'!$D$13:$D$9627=$B177))</f>
        <v>1035893</v>
      </c>
      <c r="D177" s="95">
        <f>SUMPRODUCT(('Monthly Data'!$E$13:$E$9627=$B$170)*('Monthly Data'!$F$13:$F$9627)*('Monthly Data'!$C$13:$C$9627=D$26)*('Monthly Data'!$D$13:$D$9627=$B177))</f>
        <v>1292717</v>
      </c>
      <c r="E177" s="80">
        <f>SUMPRODUCT(('Monthly Data'!$E$13:$E$9627=$B$170)*('Monthly Data'!$F$13:$F$9627)*('Monthly Data'!$C$13:$C$9627=E$26)*('Monthly Data'!$D$13:$D$9627=$B177))</f>
        <v>1483396</v>
      </c>
      <c r="F177" s="80">
        <f>SUMPRODUCT(('Monthly Data'!$E$13:$E$9627=$B$170)*('Monthly Data'!$F$13:$F$9627)*('Monthly Data'!$C$13:$C$9627=F$26)*('Monthly Data'!$D$13:$D$9627=$B177))</f>
        <v>1671953</v>
      </c>
      <c r="G177" s="80">
        <f>SUMPRODUCT(('Monthly Data'!$E$13:$E$9627=$B$170)*('Monthly Data'!$F$13:$F$9627)*('Monthly Data'!$C$13:$C$9627=G$26)*('Monthly Data'!$D$13:$D$9627=$B177))</f>
        <v>1860631</v>
      </c>
      <c r="H177" s="80">
        <f>SUMPRODUCT(('Monthly Data'!$E$13:$E$9627=$B$170)*('Monthly Data'!$F$13:$F$9627)*('Monthly Data'!$C$13:$C$9627=H$26)*('Monthly Data'!$D$13:$D$9627=$B177))</f>
        <v>2050436</v>
      </c>
      <c r="I177" s="80">
        <f>SUMPRODUCT(('Monthly Data'!$E$13:$E$9627=$B$170)*('Monthly Data'!$F$13:$F$9627)*('Monthly Data'!$C$13:$C$9627=I$26)*('Monthly Data'!$D$13:$D$9627=$B177))</f>
        <v>2174607</v>
      </c>
      <c r="J177" s="80">
        <f>SUMPRODUCT(('Monthly Data'!$E$13:$E$9627=$B$170)*('Monthly Data'!$F$13:$F$9627)*('Monthly Data'!$C$13:$C$9627=J$26)*('Monthly Data'!$D$13:$D$9627=$B177))</f>
        <v>2391022</v>
      </c>
      <c r="K177" s="80">
        <f>SUMPRODUCT(('Monthly Data'!$E$13:$E$9627=$B$170)*('Monthly Data'!$F$13:$F$9627)*('Monthly Data'!$C$13:$C$9627=K$26)*('Monthly Data'!$D$13:$D$9627=$B177))</f>
        <v>2444880</v>
      </c>
      <c r="L177" s="80">
        <f>SUMPRODUCT(('Monthly Data'!$E$13:$E$9627=$B$170)*('Monthly Data'!$F$13:$F$9627)*('Monthly Data'!$C$13:$C$9627=L$26)*('Monthly Data'!$D$13:$D$9627=$B177))</f>
        <v>2315652</v>
      </c>
      <c r="M177" s="80">
        <f>SUMPRODUCT(('Monthly Data'!$E$13:$E$9627=$B$170)*('Monthly Data'!$F$13:$F$9627)*('Monthly Data'!$C$13:$C$9627=M$26)*('Monthly Data'!$D$13:$D$9627=$B177))</f>
        <v>2182411</v>
      </c>
      <c r="N177" s="80">
        <f>SUMPRODUCT(('Monthly Data'!$E$13:$E$9627=$B$170)*('Monthly Data'!$F$13:$F$9627)*('Monthly Data'!$C$13:$C$9627=N$26)*('Monthly Data'!$D$13:$D$9627=$B177))</f>
        <v>2024915</v>
      </c>
      <c r="O177" s="80">
        <f>SUMPRODUCT(('Monthly Data'!$E$13:$E$9627=$B$170)*('Monthly Data'!$F$13:$F$9627)*('Monthly Data'!$C$13:$C$9627=O$26)*('Monthly Data'!$D$13:$D$9627=$B177))</f>
        <v>1879168</v>
      </c>
      <c r="P177" s="80">
        <f>SUMPRODUCT(('Monthly Data'!$E$13:$E$9627=$B$170)*('Monthly Data'!$F$13:$F$9627)*('Monthly Data'!$C$13:$C$9627=P$26)*('Monthly Data'!$D$13:$D$9627=$B177))</f>
        <v>1780665</v>
      </c>
      <c r="Q177" s="80">
        <f>SUMPRODUCT(('Monthly Data'!$E$13:$E$9627=$B$170)*('Monthly Data'!$F$13:$F$9627)*('Monthly Data'!$C$13:$C$9627=Q$26)*('Monthly Data'!$D$13:$D$9627=$B177))</f>
        <v>0</v>
      </c>
      <c r="S177" s="89">
        <f t="shared" si="37"/>
        <v>24807681</v>
      </c>
      <c r="U177" s="30">
        <v>7</v>
      </c>
      <c r="V177" s="95">
        <f>SUMPRODUCT(('Monthly Data'!$E$13:$E$9627=$U$170)*('Monthly Data'!$G$13:$G$9627)*('Monthly Data'!$C$13:$C$9627=V$26)*('Monthly Data'!$D$13:$D$9627=$U177))</f>
        <v>12747</v>
      </c>
      <c r="W177" s="95">
        <f>SUMPRODUCT(('Monthly Data'!$E$13:$E$9627=$U$170)*('Monthly Data'!$G$13:$G$9627)*('Monthly Data'!$C$13:$C$9627=W$26)*('Monthly Data'!$D$13:$D$9627=$U177))</f>
        <v>13715</v>
      </c>
      <c r="X177" s="80">
        <f>SUMPRODUCT(('Monthly Data'!$E$13:$E$9627=$U$170)*('Monthly Data'!$G$13:$G$9627)*('Monthly Data'!$C$13:$C$9627=X$26)*('Monthly Data'!$D$13:$D$9627=$U177))</f>
        <v>14772</v>
      </c>
      <c r="Y177" s="80">
        <f>SUMPRODUCT(('Monthly Data'!$E$13:$E$9627=$U$170)*('Monthly Data'!$G$13:$G$9627)*('Monthly Data'!$C$13:$C$9627=Y$26)*('Monthly Data'!$D$13:$D$9627=$U177))</f>
        <v>14307</v>
      </c>
      <c r="Z177" s="80">
        <f>SUMPRODUCT(('Monthly Data'!$E$13:$E$9627=$U$170)*('Monthly Data'!$G$13:$G$9627)*('Monthly Data'!$C$13:$C$9627=Z$26)*('Monthly Data'!$D$13:$D$9627=$U177))</f>
        <v>15477</v>
      </c>
      <c r="AA177" s="80">
        <f>SUMPRODUCT(('Monthly Data'!$E$13:$E$9627=$U$170)*('Monthly Data'!$G$13:$G$9627)*('Monthly Data'!$C$13:$C$9627=AA$26)*('Monthly Data'!$D$13:$D$9627=$U177))</f>
        <v>15903</v>
      </c>
      <c r="AB177" s="80">
        <f>SUMPRODUCT(('Monthly Data'!$E$13:$E$9627=$U$170)*('Monthly Data'!$G$13:$G$9627)*('Monthly Data'!$C$13:$C$9627=AB$26)*('Monthly Data'!$D$13:$D$9627=$U177))</f>
        <v>16262</v>
      </c>
      <c r="AC177" s="80">
        <f>SUMPRODUCT(('Monthly Data'!$E$13:$E$9627=$U$170)*('Monthly Data'!$G$13:$G$9627)*('Monthly Data'!$C$13:$C$9627=AC$26)*('Monthly Data'!$D$13:$D$9627=$U177))</f>
        <v>17263</v>
      </c>
      <c r="AD177" s="80">
        <f>SUMPRODUCT(('Monthly Data'!$E$13:$E$9627=$U$170)*('Monthly Data'!$G$13:$G$9627)*('Monthly Data'!$C$13:$C$9627=AD$26)*('Monthly Data'!$D$13:$D$9627=$U177))</f>
        <v>17902</v>
      </c>
      <c r="AE177" s="80">
        <f>SUMPRODUCT(('Monthly Data'!$E$13:$E$9627=$U$170)*('Monthly Data'!$G$13:$G$9627)*('Monthly Data'!$C$13:$C$9627=AE$26)*('Monthly Data'!$D$13:$D$9627=$U177))</f>
        <v>16724</v>
      </c>
      <c r="AF177" s="80">
        <f>SUMPRODUCT(('Monthly Data'!$E$13:$E$9627=$U$170)*('Monthly Data'!$G$13:$G$9627)*('Monthly Data'!$C$13:$C$9627=AF$26)*('Monthly Data'!$D$13:$D$9627=$U177))</f>
        <v>15464</v>
      </c>
      <c r="AG177" s="80">
        <f>SUMPRODUCT(('Monthly Data'!$E$13:$E$9627=$U$170)*('Monthly Data'!$G$13:$G$9627)*('Monthly Data'!$C$13:$C$9627=AG$26)*('Monthly Data'!$D$13:$D$9627=$U177))</f>
        <v>14135</v>
      </c>
      <c r="AH177" s="80">
        <f>SUMPRODUCT(('Monthly Data'!$E$13:$E$9627=$U$170)*('Monthly Data'!$G$13:$G$9627)*('Monthly Data'!$C$13:$C$9627=AH$26)*('Monthly Data'!$D$13:$D$9627=$U177))</f>
        <v>12954</v>
      </c>
      <c r="AI177" s="80">
        <f>SUMPRODUCT(('Monthly Data'!$E$13:$E$9627=$U$170)*('Monthly Data'!$G$13:$G$9627)*('Monthly Data'!$C$13:$C$9627=AI$26)*('Monthly Data'!$D$13:$D$9627=$U177))</f>
        <v>12496</v>
      </c>
      <c r="AJ177" s="80">
        <f>SUMPRODUCT(('Monthly Data'!$E$13:$E$9627=$U$170)*('Monthly Data'!$G$13:$G$9627)*('Monthly Data'!$C$13:$C$9627=AJ$26)*('Monthly Data'!$D$13:$D$9627=$U177))</f>
        <v>0</v>
      </c>
      <c r="AL177" s="89">
        <f t="shared" si="38"/>
        <v>197625</v>
      </c>
    </row>
    <row r="178" spans="2:39">
      <c r="B178" s="30">
        <v>8</v>
      </c>
      <c r="C178" s="95">
        <f>SUMPRODUCT(('Monthly Data'!$E$13:$E$9627=$B$170)*('Monthly Data'!$F$13:$F$9627)*('Monthly Data'!$C$13:$C$9627=C$26)*('Monthly Data'!$D$13:$D$9627=$B178))</f>
        <v>1140366</v>
      </c>
      <c r="D178" s="95">
        <f>SUMPRODUCT(('Monthly Data'!$E$13:$E$9627=$B$170)*('Monthly Data'!$F$13:$F$9627)*('Monthly Data'!$C$13:$C$9627=D$26)*('Monthly Data'!$D$13:$D$9627=$B178))</f>
        <v>1335311</v>
      </c>
      <c r="E178" s="80">
        <f>SUMPRODUCT(('Monthly Data'!$E$13:$E$9627=$B$170)*('Monthly Data'!$F$13:$F$9627)*('Monthly Data'!$C$13:$C$9627=E$26)*('Monthly Data'!$D$13:$D$9627=$B178))</f>
        <v>1566402</v>
      </c>
      <c r="F178" s="80">
        <f>SUMPRODUCT(('Monthly Data'!$E$13:$E$9627=$B$170)*('Monthly Data'!$F$13:$F$9627)*('Monthly Data'!$C$13:$C$9627=F$26)*('Monthly Data'!$D$13:$D$9627=$B178))</f>
        <v>1743096</v>
      </c>
      <c r="G178" s="80">
        <f>SUMPRODUCT(('Monthly Data'!$E$13:$E$9627=$B$170)*('Monthly Data'!$F$13:$F$9627)*('Monthly Data'!$C$13:$C$9627=G$26)*('Monthly Data'!$D$13:$D$9627=$B178))</f>
        <v>1978464</v>
      </c>
      <c r="H178" s="80">
        <f>SUMPRODUCT(('Monthly Data'!$E$13:$E$9627=$B$170)*('Monthly Data'!$F$13:$F$9627)*('Monthly Data'!$C$13:$C$9627=H$26)*('Monthly Data'!$D$13:$D$9627=$B178))</f>
        <v>2163569</v>
      </c>
      <c r="I178" s="80">
        <f>SUMPRODUCT(('Monthly Data'!$E$13:$E$9627=$B$170)*('Monthly Data'!$F$13:$F$9627)*('Monthly Data'!$C$13:$C$9627=I$26)*('Monthly Data'!$D$13:$D$9627=$B178))</f>
        <v>2238502</v>
      </c>
      <c r="J178" s="80">
        <f>SUMPRODUCT(('Monthly Data'!$E$13:$E$9627=$B$170)*('Monthly Data'!$F$13:$F$9627)*('Monthly Data'!$C$13:$C$9627=J$26)*('Monthly Data'!$D$13:$D$9627=$B178))</f>
        <v>2365989</v>
      </c>
      <c r="K178" s="80">
        <f>SUMPRODUCT(('Monthly Data'!$E$13:$E$9627=$B$170)*('Monthly Data'!$F$13:$F$9627)*('Monthly Data'!$C$13:$C$9627=K$26)*('Monthly Data'!$D$13:$D$9627=$B178))</f>
        <v>2530992</v>
      </c>
      <c r="L178" s="80">
        <f>SUMPRODUCT(('Monthly Data'!$E$13:$E$9627=$B$170)*('Monthly Data'!$F$13:$F$9627)*('Monthly Data'!$C$13:$C$9627=L$26)*('Monthly Data'!$D$13:$D$9627=$B178))</f>
        <v>2413135</v>
      </c>
      <c r="M178" s="80">
        <f>SUMPRODUCT(('Monthly Data'!$E$13:$E$9627=$B$170)*('Monthly Data'!$F$13:$F$9627)*('Monthly Data'!$C$13:$C$9627=M$26)*('Monthly Data'!$D$13:$D$9627=$B178))</f>
        <v>2224495</v>
      </c>
      <c r="N178" s="80">
        <f>SUMPRODUCT(('Monthly Data'!$E$13:$E$9627=$B$170)*('Monthly Data'!$F$13:$F$9627)*('Monthly Data'!$C$13:$C$9627=N$26)*('Monthly Data'!$D$13:$D$9627=$B178))</f>
        <v>2089364</v>
      </c>
      <c r="O178" s="80">
        <f>SUMPRODUCT(('Monthly Data'!$E$13:$E$9627=$B$170)*('Monthly Data'!$F$13:$F$9627)*('Monthly Data'!$C$13:$C$9627=O$26)*('Monthly Data'!$D$13:$D$9627=$B178))</f>
        <v>1983007</v>
      </c>
      <c r="P178" s="80">
        <f>SUMPRODUCT(('Monthly Data'!$E$13:$E$9627=$B$170)*('Monthly Data'!$F$13:$F$9627)*('Monthly Data'!$C$13:$C$9627=P$26)*('Monthly Data'!$D$13:$D$9627=$B178))</f>
        <v>1879923</v>
      </c>
      <c r="Q178" s="80">
        <f>SUMPRODUCT(('Monthly Data'!$E$13:$E$9627=$B$170)*('Monthly Data'!$F$13:$F$9627)*('Monthly Data'!$C$13:$C$9627=Q$26)*('Monthly Data'!$D$13:$D$9627=$B178))</f>
        <v>0</v>
      </c>
      <c r="S178" s="89">
        <f t="shared" si="37"/>
        <v>25772692</v>
      </c>
      <c r="U178" s="30">
        <v>8</v>
      </c>
      <c r="V178" s="95">
        <f>SUMPRODUCT(('Monthly Data'!$E$13:$E$9627=$U$170)*('Monthly Data'!$G$13:$G$9627)*('Monthly Data'!$C$13:$C$9627=V$26)*('Monthly Data'!$D$13:$D$9627=$U178))</f>
        <v>12897</v>
      </c>
      <c r="W178" s="95">
        <f>SUMPRODUCT(('Monthly Data'!$E$13:$E$9627=$U$170)*('Monthly Data'!$G$13:$G$9627)*('Monthly Data'!$C$13:$C$9627=W$26)*('Monthly Data'!$D$13:$D$9627=$U178))</f>
        <v>13835</v>
      </c>
      <c r="X178" s="80">
        <f>SUMPRODUCT(('Monthly Data'!$E$13:$E$9627=$U$170)*('Monthly Data'!$G$13:$G$9627)*('Monthly Data'!$C$13:$C$9627=X$26)*('Monthly Data'!$D$13:$D$9627=$U178))</f>
        <v>14863</v>
      </c>
      <c r="Y178" s="80">
        <f>SUMPRODUCT(('Monthly Data'!$E$13:$E$9627=$U$170)*('Monthly Data'!$G$13:$G$9627)*('Monthly Data'!$C$13:$C$9627=Y$26)*('Monthly Data'!$D$13:$D$9627=$U178))</f>
        <v>14403</v>
      </c>
      <c r="Z178" s="80">
        <f>SUMPRODUCT(('Monthly Data'!$E$13:$E$9627=$U$170)*('Monthly Data'!$G$13:$G$9627)*('Monthly Data'!$C$13:$C$9627=Z$26)*('Monthly Data'!$D$13:$D$9627=$U178))</f>
        <v>15556</v>
      </c>
      <c r="AA178" s="80">
        <f>SUMPRODUCT(('Monthly Data'!$E$13:$E$9627=$U$170)*('Monthly Data'!$G$13:$G$9627)*('Monthly Data'!$C$13:$C$9627=AA$26)*('Monthly Data'!$D$13:$D$9627=$U178))</f>
        <v>16206</v>
      </c>
      <c r="AB178" s="80">
        <f>SUMPRODUCT(('Monthly Data'!$E$13:$E$9627=$U$170)*('Monthly Data'!$G$13:$G$9627)*('Monthly Data'!$C$13:$C$9627=AB$26)*('Monthly Data'!$D$13:$D$9627=$U178))</f>
        <v>16450</v>
      </c>
      <c r="AC178" s="80">
        <f>SUMPRODUCT(('Monthly Data'!$E$13:$E$9627=$U$170)*('Monthly Data'!$G$13:$G$9627)*('Monthly Data'!$C$13:$C$9627=AC$26)*('Monthly Data'!$D$13:$D$9627=$U178))</f>
        <v>17230</v>
      </c>
      <c r="AD178" s="80">
        <f>SUMPRODUCT(('Monthly Data'!$E$13:$E$9627=$U$170)*('Monthly Data'!$G$13:$G$9627)*('Monthly Data'!$C$13:$C$9627=AD$26)*('Monthly Data'!$D$13:$D$9627=$U178))</f>
        <v>18116</v>
      </c>
      <c r="AE178" s="80">
        <f>SUMPRODUCT(('Monthly Data'!$E$13:$E$9627=$U$170)*('Monthly Data'!$G$13:$G$9627)*('Monthly Data'!$C$13:$C$9627=AE$26)*('Monthly Data'!$D$13:$D$9627=$U178))</f>
        <v>16667</v>
      </c>
      <c r="AF178" s="80">
        <f>SUMPRODUCT(('Monthly Data'!$E$13:$E$9627=$U$170)*('Monthly Data'!$G$13:$G$9627)*('Monthly Data'!$C$13:$C$9627=AF$26)*('Monthly Data'!$D$13:$D$9627=$U178))</f>
        <v>15406</v>
      </c>
      <c r="AG178" s="80">
        <f>SUMPRODUCT(('Monthly Data'!$E$13:$E$9627=$U$170)*('Monthly Data'!$G$13:$G$9627)*('Monthly Data'!$C$13:$C$9627=AG$26)*('Monthly Data'!$D$13:$D$9627=$U178))</f>
        <v>14219</v>
      </c>
      <c r="AH178" s="80">
        <f>SUMPRODUCT(('Monthly Data'!$E$13:$E$9627=$U$170)*('Monthly Data'!$G$13:$G$9627)*('Monthly Data'!$C$13:$C$9627=AH$26)*('Monthly Data'!$D$13:$D$9627=$U178))</f>
        <v>13454</v>
      </c>
      <c r="AI178" s="80">
        <f>SUMPRODUCT(('Monthly Data'!$E$13:$E$9627=$U$170)*('Monthly Data'!$G$13:$G$9627)*('Monthly Data'!$C$13:$C$9627=AI$26)*('Monthly Data'!$D$13:$D$9627=$U178))</f>
        <v>12891</v>
      </c>
      <c r="AJ178" s="80">
        <f>SUMPRODUCT(('Monthly Data'!$E$13:$E$9627=$U$170)*('Monthly Data'!$G$13:$G$9627)*('Monthly Data'!$C$13:$C$9627=AJ$26)*('Monthly Data'!$D$13:$D$9627=$U178))</f>
        <v>0</v>
      </c>
      <c r="AL178" s="89">
        <f t="shared" si="38"/>
        <v>199302</v>
      </c>
    </row>
    <row r="179" spans="2:39">
      <c r="B179" s="30">
        <v>9</v>
      </c>
      <c r="C179" s="95">
        <f>SUMPRODUCT(('Monthly Data'!$E$13:$E$9627=$B$170)*('Monthly Data'!$F$13:$F$9627)*('Monthly Data'!$C$13:$C$9627=C$26)*('Monthly Data'!$D$13:$D$9627=$B179))</f>
        <v>998588</v>
      </c>
      <c r="D179" s="95">
        <f>SUMPRODUCT(('Monthly Data'!$E$13:$E$9627=$B$170)*('Monthly Data'!$F$13:$F$9627)*('Monthly Data'!$C$13:$C$9627=D$26)*('Monthly Data'!$D$13:$D$9627=$B179))</f>
        <v>1209695</v>
      </c>
      <c r="E179" s="80">
        <f>SUMPRODUCT(('Monthly Data'!$E$13:$E$9627=$B$170)*('Monthly Data'!$F$13:$F$9627)*('Monthly Data'!$C$13:$C$9627=E$26)*('Monthly Data'!$D$13:$D$9627=$B179))</f>
        <v>1346591</v>
      </c>
      <c r="F179" s="80">
        <f>SUMPRODUCT(('Monthly Data'!$E$13:$E$9627=$B$170)*('Monthly Data'!$F$13:$F$9627)*('Monthly Data'!$C$13:$C$9627=F$26)*('Monthly Data'!$D$13:$D$9627=$B179))</f>
        <v>1531942</v>
      </c>
      <c r="G179" s="80">
        <f>SUMPRODUCT(('Monthly Data'!$E$13:$E$9627=$B$170)*('Monthly Data'!$F$13:$F$9627)*('Monthly Data'!$C$13:$C$9627=G$26)*('Monthly Data'!$D$13:$D$9627=$B179))</f>
        <v>1811120</v>
      </c>
      <c r="H179" s="80">
        <f>SUMPRODUCT(('Monthly Data'!$E$13:$E$9627=$B$170)*('Monthly Data'!$F$13:$F$9627)*('Monthly Data'!$C$13:$C$9627=H$26)*('Monthly Data'!$D$13:$D$9627=$B179))</f>
        <v>1938742</v>
      </c>
      <c r="I179" s="80">
        <f>SUMPRODUCT(('Monthly Data'!$E$13:$E$9627=$B$170)*('Monthly Data'!$F$13:$F$9627)*('Monthly Data'!$C$13:$C$9627=I$26)*('Monthly Data'!$D$13:$D$9627=$B179))</f>
        <v>2029207</v>
      </c>
      <c r="J179" s="80">
        <f>SUMPRODUCT(('Monthly Data'!$E$13:$E$9627=$B$170)*('Monthly Data'!$F$13:$F$9627)*('Monthly Data'!$C$13:$C$9627=J$26)*('Monthly Data'!$D$13:$D$9627=$B179))</f>
        <v>2149736</v>
      </c>
      <c r="K179" s="80">
        <f>SUMPRODUCT(('Monthly Data'!$E$13:$E$9627=$B$170)*('Monthly Data'!$F$13:$F$9627)*('Monthly Data'!$C$13:$C$9627=K$26)*('Monthly Data'!$D$13:$D$9627=$B179))</f>
        <v>2203768</v>
      </c>
      <c r="L179" s="80">
        <f>SUMPRODUCT(('Monthly Data'!$E$13:$E$9627=$B$170)*('Monthly Data'!$F$13:$F$9627)*('Monthly Data'!$C$13:$C$9627=L$26)*('Monthly Data'!$D$13:$D$9627=$B179))</f>
        <v>2100631</v>
      </c>
      <c r="M179" s="80">
        <f>SUMPRODUCT(('Monthly Data'!$E$13:$E$9627=$B$170)*('Monthly Data'!$F$13:$F$9627)*('Monthly Data'!$C$13:$C$9627=M$26)*('Monthly Data'!$D$13:$D$9627=$B179))</f>
        <v>1856252</v>
      </c>
      <c r="N179" s="80">
        <f>SUMPRODUCT(('Monthly Data'!$E$13:$E$9627=$B$170)*('Monthly Data'!$F$13:$F$9627)*('Monthly Data'!$C$13:$C$9627=N$26)*('Monthly Data'!$D$13:$D$9627=$B179))</f>
        <v>1775446</v>
      </c>
      <c r="O179" s="80">
        <f>SUMPRODUCT(('Monthly Data'!$E$13:$E$9627=$B$170)*('Monthly Data'!$F$13:$F$9627)*('Monthly Data'!$C$13:$C$9627=O$26)*('Monthly Data'!$D$13:$D$9627=$B179))</f>
        <v>1704542</v>
      </c>
      <c r="P179" s="80">
        <f>SUMPRODUCT(('Monthly Data'!$E$13:$E$9627=$B$170)*('Monthly Data'!$F$13:$F$9627)*('Monthly Data'!$C$13:$C$9627=P$26)*('Monthly Data'!$D$13:$D$9627=$B179))</f>
        <v>1637598</v>
      </c>
      <c r="Q179" s="80">
        <f>SUMPRODUCT(('Monthly Data'!$E$13:$E$9627=$B$170)*('Monthly Data'!$F$13:$F$9627)*('Monthly Data'!$C$13:$C$9627=Q$26)*('Monthly Data'!$D$13:$D$9627=$B179))</f>
        <v>0</v>
      </c>
      <c r="S179" s="89">
        <f t="shared" si="37"/>
        <v>22656260</v>
      </c>
      <c r="U179" s="30">
        <v>9</v>
      </c>
      <c r="V179" s="95">
        <f>SUMPRODUCT(('Monthly Data'!$E$13:$E$9627=$U$170)*('Monthly Data'!$G$13:$G$9627)*('Monthly Data'!$C$13:$C$9627=V$26)*('Monthly Data'!$D$13:$D$9627=$U179))</f>
        <v>12500</v>
      </c>
      <c r="W179" s="95">
        <f>SUMPRODUCT(('Monthly Data'!$E$13:$E$9627=$U$170)*('Monthly Data'!$G$13:$G$9627)*('Monthly Data'!$C$13:$C$9627=W$26)*('Monthly Data'!$D$13:$D$9627=$U179))</f>
        <v>13285</v>
      </c>
      <c r="X179" s="80">
        <f>SUMPRODUCT(('Monthly Data'!$E$13:$E$9627=$U$170)*('Monthly Data'!$G$13:$G$9627)*('Monthly Data'!$C$13:$C$9627=X$26)*('Monthly Data'!$D$13:$D$9627=$U179))</f>
        <v>13518</v>
      </c>
      <c r="Y179" s="80">
        <f>SUMPRODUCT(('Monthly Data'!$E$13:$E$9627=$U$170)*('Monthly Data'!$G$13:$G$9627)*('Monthly Data'!$C$13:$C$9627=Y$26)*('Monthly Data'!$D$13:$D$9627=$U179))</f>
        <v>13749</v>
      </c>
      <c r="Z179" s="80">
        <f>SUMPRODUCT(('Monthly Data'!$E$13:$E$9627=$U$170)*('Monthly Data'!$G$13:$G$9627)*('Monthly Data'!$C$13:$C$9627=Z$26)*('Monthly Data'!$D$13:$D$9627=$U179))</f>
        <v>15148</v>
      </c>
      <c r="AA179" s="80">
        <f>SUMPRODUCT(('Monthly Data'!$E$13:$E$9627=$U$170)*('Monthly Data'!$G$13:$G$9627)*('Monthly Data'!$C$13:$C$9627=AA$26)*('Monthly Data'!$D$13:$D$9627=$U179))</f>
        <v>15610</v>
      </c>
      <c r="AB179" s="80">
        <f>SUMPRODUCT(('Monthly Data'!$E$13:$E$9627=$U$170)*('Monthly Data'!$G$13:$G$9627)*('Monthly Data'!$C$13:$C$9627=AB$26)*('Monthly Data'!$D$13:$D$9627=$U179))</f>
        <v>15807</v>
      </c>
      <c r="AC179" s="80">
        <f>SUMPRODUCT(('Monthly Data'!$E$13:$E$9627=$U$170)*('Monthly Data'!$G$13:$G$9627)*('Monthly Data'!$C$13:$C$9627=AC$26)*('Monthly Data'!$D$13:$D$9627=$U179))</f>
        <v>16817</v>
      </c>
      <c r="AD179" s="80">
        <f>SUMPRODUCT(('Monthly Data'!$E$13:$E$9627=$U$170)*('Monthly Data'!$G$13:$G$9627)*('Monthly Data'!$C$13:$C$9627=AD$26)*('Monthly Data'!$D$13:$D$9627=$U179))</f>
        <v>17061</v>
      </c>
      <c r="AE179" s="80">
        <f>SUMPRODUCT(('Monthly Data'!$E$13:$E$9627=$U$170)*('Monthly Data'!$G$13:$G$9627)*('Monthly Data'!$C$13:$C$9627=AE$26)*('Monthly Data'!$D$13:$D$9627=$U179))</f>
        <v>16084</v>
      </c>
      <c r="AF179" s="80">
        <f>SUMPRODUCT(('Monthly Data'!$E$13:$E$9627=$U$170)*('Monthly Data'!$G$13:$G$9627)*('Monthly Data'!$C$13:$C$9627=AF$26)*('Monthly Data'!$D$13:$D$9627=$U179))</f>
        <v>14343</v>
      </c>
      <c r="AG179" s="80">
        <f>SUMPRODUCT(('Monthly Data'!$E$13:$E$9627=$U$170)*('Monthly Data'!$G$13:$G$9627)*('Monthly Data'!$C$13:$C$9627=AG$26)*('Monthly Data'!$D$13:$D$9627=$U179))</f>
        <v>13160</v>
      </c>
      <c r="AH179" s="80">
        <f>SUMPRODUCT(('Monthly Data'!$E$13:$E$9627=$U$170)*('Monthly Data'!$G$13:$G$9627)*('Monthly Data'!$C$13:$C$9627=AH$26)*('Monthly Data'!$D$13:$D$9627=$U179))</f>
        <v>12553</v>
      </c>
      <c r="AI179" s="80">
        <f>SUMPRODUCT(('Monthly Data'!$E$13:$E$9627=$U$170)*('Monthly Data'!$G$13:$G$9627)*('Monthly Data'!$C$13:$C$9627=AI$26)*('Monthly Data'!$D$13:$D$9627=$U179))</f>
        <v>11785</v>
      </c>
      <c r="AJ179" s="80">
        <f>SUMPRODUCT(('Monthly Data'!$E$13:$E$9627=$U$170)*('Monthly Data'!$G$13:$G$9627)*('Monthly Data'!$C$13:$C$9627=AJ$26)*('Monthly Data'!$D$13:$D$9627=$U179))</f>
        <v>0</v>
      </c>
      <c r="AL179" s="89">
        <f t="shared" si="38"/>
        <v>189635</v>
      </c>
    </row>
    <row r="180" spans="2:39">
      <c r="B180" s="30">
        <v>10</v>
      </c>
      <c r="C180" s="95">
        <f>SUMPRODUCT(('Monthly Data'!$E$13:$E$9627=$B$170)*('Monthly Data'!$F$13:$F$9627)*('Monthly Data'!$C$13:$C$9627=C$26)*('Monthly Data'!$D$13:$D$9627=$B180))</f>
        <v>945770</v>
      </c>
      <c r="D180" s="95">
        <f>SUMPRODUCT(('Monthly Data'!$E$13:$E$9627=$B$170)*('Monthly Data'!$F$13:$F$9627)*('Monthly Data'!$C$13:$C$9627=D$26)*('Monthly Data'!$D$13:$D$9627=$B180))</f>
        <v>1150007</v>
      </c>
      <c r="E180" s="80">
        <f>SUMPRODUCT(('Monthly Data'!$E$13:$E$9627=$B$170)*('Monthly Data'!$F$13:$F$9627)*('Monthly Data'!$C$13:$C$9627=E$26)*('Monthly Data'!$D$13:$D$9627=$B180))</f>
        <v>1205497</v>
      </c>
      <c r="F180" s="80">
        <f>SUMPRODUCT(('Monthly Data'!$E$13:$E$9627=$B$170)*('Monthly Data'!$F$13:$F$9627)*('Monthly Data'!$C$13:$C$9627=F$26)*('Monthly Data'!$D$13:$D$9627=$B180))</f>
        <v>1497351</v>
      </c>
      <c r="G180" s="80">
        <f>SUMPRODUCT(('Monthly Data'!$E$13:$E$9627=$B$170)*('Monthly Data'!$F$13:$F$9627)*('Monthly Data'!$C$13:$C$9627=G$26)*('Monthly Data'!$D$13:$D$9627=$B180))</f>
        <v>1765731</v>
      </c>
      <c r="H180" s="80">
        <f>SUMPRODUCT(('Monthly Data'!$E$13:$E$9627=$B$170)*('Monthly Data'!$F$13:$F$9627)*('Monthly Data'!$C$13:$C$9627=H$26)*('Monthly Data'!$D$13:$D$9627=$B180))</f>
        <v>1905278</v>
      </c>
      <c r="I180" s="80">
        <f>SUMPRODUCT(('Monthly Data'!$E$13:$E$9627=$B$170)*('Monthly Data'!$F$13:$F$9627)*('Monthly Data'!$C$13:$C$9627=I$26)*('Monthly Data'!$D$13:$D$9627=$B180))</f>
        <v>1916663</v>
      </c>
      <c r="J180" s="80">
        <f>SUMPRODUCT(('Monthly Data'!$E$13:$E$9627=$B$170)*('Monthly Data'!$F$13:$F$9627)*('Monthly Data'!$C$13:$C$9627=J$26)*('Monthly Data'!$D$13:$D$9627=$B180))</f>
        <v>2071520</v>
      </c>
      <c r="K180" s="80">
        <f>SUMPRODUCT(('Monthly Data'!$E$13:$E$9627=$B$170)*('Monthly Data'!$F$13:$F$9627)*('Monthly Data'!$C$13:$C$9627=K$26)*('Monthly Data'!$D$13:$D$9627=$B180))</f>
        <v>2108572</v>
      </c>
      <c r="L180" s="80">
        <f>SUMPRODUCT(('Monthly Data'!$E$13:$E$9627=$B$170)*('Monthly Data'!$F$13:$F$9627)*('Monthly Data'!$C$13:$C$9627=L$26)*('Monthly Data'!$D$13:$D$9627=$B180))</f>
        <v>1976613</v>
      </c>
      <c r="M180" s="80">
        <f>SUMPRODUCT(('Monthly Data'!$E$13:$E$9627=$B$170)*('Monthly Data'!$F$13:$F$9627)*('Monthly Data'!$C$13:$C$9627=M$26)*('Monthly Data'!$D$13:$D$9627=$B180))</f>
        <v>1775787</v>
      </c>
      <c r="N180" s="80">
        <f>SUMPRODUCT(('Monthly Data'!$E$13:$E$9627=$B$170)*('Monthly Data'!$F$13:$F$9627)*('Monthly Data'!$C$13:$C$9627=N$26)*('Monthly Data'!$D$13:$D$9627=$B180))</f>
        <v>1720621</v>
      </c>
      <c r="O180" s="80">
        <f>SUMPRODUCT(('Monthly Data'!$E$13:$E$9627=$B$170)*('Monthly Data'!$F$13:$F$9627)*('Monthly Data'!$C$13:$C$9627=O$26)*('Monthly Data'!$D$13:$D$9627=$B180))</f>
        <v>1636503</v>
      </c>
      <c r="P180" s="80">
        <f>SUMPRODUCT(('Monthly Data'!$E$13:$E$9627=$B$170)*('Monthly Data'!$F$13:$F$9627)*('Monthly Data'!$C$13:$C$9627=P$26)*('Monthly Data'!$D$13:$D$9627=$B180))</f>
        <v>1588259</v>
      </c>
      <c r="Q180" s="80">
        <f>SUMPRODUCT(('Monthly Data'!$E$13:$E$9627=$B$170)*('Monthly Data'!$F$13:$F$9627)*('Monthly Data'!$C$13:$C$9627=Q$26)*('Monthly Data'!$D$13:$D$9627=$B180))</f>
        <v>0</v>
      </c>
      <c r="S180" s="89">
        <f t="shared" si="37"/>
        <v>21675913</v>
      </c>
      <c r="U180" s="30">
        <v>10</v>
      </c>
      <c r="V180" s="95">
        <f>SUMPRODUCT(('Monthly Data'!$E$13:$E$9627=$U$170)*('Monthly Data'!$G$13:$G$9627)*('Monthly Data'!$C$13:$C$9627=V$26)*('Monthly Data'!$D$13:$D$9627=$U180))</f>
        <v>12310</v>
      </c>
      <c r="W180" s="95">
        <f>SUMPRODUCT(('Monthly Data'!$E$13:$E$9627=$U$170)*('Monthly Data'!$G$13:$G$9627)*('Monthly Data'!$C$13:$C$9627=W$26)*('Monthly Data'!$D$13:$D$9627=$U180))</f>
        <v>13238</v>
      </c>
      <c r="X180" s="80">
        <f>SUMPRODUCT(('Monthly Data'!$E$13:$E$9627=$U$170)*('Monthly Data'!$G$13:$G$9627)*('Monthly Data'!$C$13:$C$9627=X$26)*('Monthly Data'!$D$13:$D$9627=$U180))</f>
        <v>13040</v>
      </c>
      <c r="Y180" s="80">
        <f>SUMPRODUCT(('Monthly Data'!$E$13:$E$9627=$U$170)*('Monthly Data'!$G$13:$G$9627)*('Monthly Data'!$C$13:$C$9627=Y$26)*('Monthly Data'!$D$13:$D$9627=$U180))</f>
        <v>13998</v>
      </c>
      <c r="Z180" s="80">
        <f>SUMPRODUCT(('Monthly Data'!$E$13:$E$9627=$U$170)*('Monthly Data'!$G$13:$G$9627)*('Monthly Data'!$C$13:$C$9627=Z$26)*('Monthly Data'!$D$13:$D$9627=$U180))</f>
        <v>15162</v>
      </c>
      <c r="AA180" s="80">
        <f>SUMPRODUCT(('Monthly Data'!$E$13:$E$9627=$U$170)*('Monthly Data'!$G$13:$G$9627)*('Monthly Data'!$C$13:$C$9627=AA$26)*('Monthly Data'!$D$13:$D$9627=$U180))</f>
        <v>15563</v>
      </c>
      <c r="AB180" s="80">
        <f>SUMPRODUCT(('Monthly Data'!$E$13:$E$9627=$U$170)*('Monthly Data'!$G$13:$G$9627)*('Monthly Data'!$C$13:$C$9627=AB$26)*('Monthly Data'!$D$13:$D$9627=$U180))</f>
        <v>15324</v>
      </c>
      <c r="AC180" s="80">
        <f>SUMPRODUCT(('Monthly Data'!$E$13:$E$9627=$U$170)*('Monthly Data'!$G$13:$G$9627)*('Monthly Data'!$C$13:$C$9627=AC$26)*('Monthly Data'!$D$13:$D$9627=$U180))</f>
        <v>16894</v>
      </c>
      <c r="AD180" s="80">
        <f>SUMPRODUCT(('Monthly Data'!$E$13:$E$9627=$U$170)*('Monthly Data'!$G$13:$G$9627)*('Monthly Data'!$C$13:$C$9627=AD$26)*('Monthly Data'!$D$13:$D$9627=$U180))</f>
        <v>16965</v>
      </c>
      <c r="AE180" s="80">
        <f>SUMPRODUCT(('Monthly Data'!$E$13:$E$9627=$U$170)*('Monthly Data'!$G$13:$G$9627)*('Monthly Data'!$C$13:$C$9627=AE$26)*('Monthly Data'!$D$13:$D$9627=$U180))</f>
        <v>15598</v>
      </c>
      <c r="AF180" s="80">
        <f>SUMPRODUCT(('Monthly Data'!$E$13:$E$9627=$U$170)*('Monthly Data'!$G$13:$G$9627)*('Monthly Data'!$C$13:$C$9627=AF$26)*('Monthly Data'!$D$13:$D$9627=$U180))</f>
        <v>13850</v>
      </c>
      <c r="AG180" s="80">
        <f>SUMPRODUCT(('Monthly Data'!$E$13:$E$9627=$U$170)*('Monthly Data'!$G$13:$G$9627)*('Monthly Data'!$C$13:$C$9627=AG$26)*('Monthly Data'!$D$13:$D$9627=$U180))</f>
        <v>12840</v>
      </c>
      <c r="AH180" s="80">
        <f>SUMPRODUCT(('Monthly Data'!$E$13:$E$9627=$U$170)*('Monthly Data'!$G$13:$G$9627)*('Monthly Data'!$C$13:$C$9627=AH$26)*('Monthly Data'!$D$13:$D$9627=$U180))</f>
        <v>12149</v>
      </c>
      <c r="AI180" s="80">
        <f>SUMPRODUCT(('Monthly Data'!$E$13:$E$9627=$U$170)*('Monthly Data'!$G$13:$G$9627)*('Monthly Data'!$C$13:$C$9627=AI$26)*('Monthly Data'!$D$13:$D$9627=$U180))</f>
        <v>11727</v>
      </c>
      <c r="AJ180" s="80">
        <f>SUMPRODUCT(('Monthly Data'!$E$13:$E$9627=$U$170)*('Monthly Data'!$G$13:$G$9627)*('Monthly Data'!$C$13:$C$9627=AJ$26)*('Monthly Data'!$D$13:$D$9627=$U180))</f>
        <v>0</v>
      </c>
      <c r="AL180" s="89">
        <f t="shared" si="38"/>
        <v>186931</v>
      </c>
    </row>
    <row r="181" spans="2:39">
      <c r="B181" s="30">
        <v>11</v>
      </c>
      <c r="C181" s="95">
        <f>SUMPRODUCT(('Monthly Data'!$E$13:$E$9627=$B$170)*('Monthly Data'!$F$13:$F$9627)*('Monthly Data'!$C$13:$C$9627=C$26)*('Monthly Data'!$D$13:$D$9627=$B181))</f>
        <v>708439</v>
      </c>
      <c r="D181" s="95">
        <f>SUMPRODUCT(('Monthly Data'!$E$13:$E$9627=$B$170)*('Monthly Data'!$F$13:$F$9627)*('Monthly Data'!$C$13:$C$9627=D$26)*('Monthly Data'!$D$13:$D$9627=$B181))</f>
        <v>882812</v>
      </c>
      <c r="E181" s="80">
        <f>SUMPRODUCT(('Monthly Data'!$E$13:$E$9627=$B$170)*('Monthly Data'!$F$13:$F$9627)*('Monthly Data'!$C$13:$C$9627=E$26)*('Monthly Data'!$D$13:$D$9627=$B181))</f>
        <v>946218</v>
      </c>
      <c r="F181" s="80">
        <f>SUMPRODUCT(('Monthly Data'!$E$13:$E$9627=$B$170)*('Monthly Data'!$F$13:$F$9627)*('Monthly Data'!$C$13:$C$9627=F$26)*('Monthly Data'!$D$13:$D$9627=$B181))</f>
        <v>1267018</v>
      </c>
      <c r="G181" s="80">
        <f>SUMPRODUCT(('Monthly Data'!$E$13:$E$9627=$B$170)*('Monthly Data'!$F$13:$F$9627)*('Monthly Data'!$C$13:$C$9627=G$26)*('Monthly Data'!$D$13:$D$9627=$B181))</f>
        <v>1512765</v>
      </c>
      <c r="H181" s="80">
        <f>SUMPRODUCT(('Monthly Data'!$E$13:$E$9627=$B$170)*('Monthly Data'!$F$13:$F$9627)*('Monthly Data'!$C$13:$C$9627=H$26)*('Monthly Data'!$D$13:$D$9627=$B181))</f>
        <v>1575715</v>
      </c>
      <c r="I181" s="80">
        <f>SUMPRODUCT(('Monthly Data'!$E$13:$E$9627=$B$170)*('Monthly Data'!$F$13:$F$9627)*('Monthly Data'!$C$13:$C$9627=I$26)*('Monthly Data'!$D$13:$D$9627=$B181))</f>
        <v>1608428</v>
      </c>
      <c r="J181" s="80">
        <f>SUMPRODUCT(('Monthly Data'!$E$13:$E$9627=$B$170)*('Monthly Data'!$F$13:$F$9627)*('Monthly Data'!$C$13:$C$9627=J$26)*('Monthly Data'!$D$13:$D$9627=$B181))</f>
        <v>1655651</v>
      </c>
      <c r="K181" s="80">
        <f>SUMPRODUCT(('Monthly Data'!$E$13:$E$9627=$B$170)*('Monthly Data'!$F$13:$F$9627)*('Monthly Data'!$C$13:$C$9627=K$26)*('Monthly Data'!$D$13:$D$9627=$B181))</f>
        <v>1552539</v>
      </c>
      <c r="L181" s="80">
        <f>SUMPRODUCT(('Monthly Data'!$E$13:$E$9627=$B$170)*('Monthly Data'!$F$13:$F$9627)*('Monthly Data'!$C$13:$C$9627=L$26)*('Monthly Data'!$D$13:$D$9627=$B181))</f>
        <v>1347372</v>
      </c>
      <c r="M181" s="80">
        <f>SUMPRODUCT(('Monthly Data'!$E$13:$E$9627=$B$170)*('Monthly Data'!$F$13:$F$9627)*('Monthly Data'!$C$13:$C$9627=M$26)*('Monthly Data'!$D$13:$D$9627=$B181))</f>
        <v>1311610</v>
      </c>
      <c r="N181" s="80">
        <f>SUMPRODUCT(('Monthly Data'!$E$13:$E$9627=$B$170)*('Monthly Data'!$F$13:$F$9627)*('Monthly Data'!$C$13:$C$9627=N$26)*('Monthly Data'!$D$13:$D$9627=$B181))</f>
        <v>1212768</v>
      </c>
      <c r="O181" s="80">
        <f>SUMPRODUCT(('Monthly Data'!$E$13:$E$9627=$B$170)*('Monthly Data'!$F$13:$F$9627)*('Monthly Data'!$C$13:$C$9627=O$26)*('Monthly Data'!$D$13:$D$9627=$B181))</f>
        <v>1121985</v>
      </c>
      <c r="P181" s="80">
        <f>SUMPRODUCT(('Monthly Data'!$E$13:$E$9627=$B$170)*('Monthly Data'!$F$13:$F$9627)*('Monthly Data'!$C$13:$C$9627=P$26)*('Monthly Data'!$D$13:$D$9627=$B181))</f>
        <v>1192927</v>
      </c>
      <c r="Q181" s="80">
        <f>SUMPRODUCT(('Monthly Data'!$E$13:$E$9627=$B$170)*('Monthly Data'!$F$13:$F$9627)*('Monthly Data'!$C$13:$C$9627=Q$26)*('Monthly Data'!$D$13:$D$9627=$B181))</f>
        <v>0</v>
      </c>
      <c r="S181" s="89">
        <f t="shared" si="37"/>
        <v>16703320</v>
      </c>
      <c r="U181" s="30">
        <v>11</v>
      </c>
      <c r="V181" s="95">
        <f>SUMPRODUCT(('Monthly Data'!$E$13:$E$9627=$U$170)*('Monthly Data'!$G$13:$G$9627)*('Monthly Data'!$C$13:$C$9627=V$26)*('Monthly Data'!$D$13:$D$9627=$U181))</f>
        <v>10995</v>
      </c>
      <c r="W181" s="95">
        <f>SUMPRODUCT(('Monthly Data'!$E$13:$E$9627=$U$170)*('Monthly Data'!$G$13:$G$9627)*('Monthly Data'!$C$13:$C$9627=W$26)*('Monthly Data'!$D$13:$D$9627=$U181))</f>
        <v>11267</v>
      </c>
      <c r="X181" s="80">
        <f>SUMPRODUCT(('Monthly Data'!$E$13:$E$9627=$U$170)*('Monthly Data'!$G$13:$G$9627)*('Monthly Data'!$C$13:$C$9627=X$26)*('Monthly Data'!$D$13:$D$9627=$U181))</f>
        <v>10267</v>
      </c>
      <c r="Y181" s="80">
        <f>SUMPRODUCT(('Monthly Data'!$E$13:$E$9627=$U$170)*('Monthly Data'!$G$13:$G$9627)*('Monthly Data'!$C$13:$C$9627=Y$26)*('Monthly Data'!$D$13:$D$9627=$U181))</f>
        <v>13157</v>
      </c>
      <c r="Z181" s="80">
        <f>SUMPRODUCT(('Monthly Data'!$E$13:$E$9627=$U$170)*('Monthly Data'!$G$13:$G$9627)*('Monthly Data'!$C$13:$C$9627=Z$26)*('Monthly Data'!$D$13:$D$9627=$U181))</f>
        <v>13764</v>
      </c>
      <c r="AA181" s="80">
        <f>SUMPRODUCT(('Monthly Data'!$E$13:$E$9627=$U$170)*('Monthly Data'!$G$13:$G$9627)*('Monthly Data'!$C$13:$C$9627=AA$26)*('Monthly Data'!$D$13:$D$9627=$U181))</f>
        <v>14027</v>
      </c>
      <c r="AB181" s="80">
        <f>SUMPRODUCT(('Monthly Data'!$E$13:$E$9627=$U$170)*('Monthly Data'!$G$13:$G$9627)*('Monthly Data'!$C$13:$C$9627=AB$26)*('Monthly Data'!$D$13:$D$9627=$U181))</f>
        <v>13911</v>
      </c>
      <c r="AC181" s="80">
        <f>SUMPRODUCT(('Monthly Data'!$E$13:$E$9627=$U$170)*('Monthly Data'!$G$13:$G$9627)*('Monthly Data'!$C$13:$C$9627=AC$26)*('Monthly Data'!$D$13:$D$9627=$U181))</f>
        <v>14604</v>
      </c>
      <c r="AD181" s="80">
        <f>SUMPRODUCT(('Monthly Data'!$E$13:$E$9627=$U$170)*('Monthly Data'!$G$13:$G$9627)*('Monthly Data'!$C$13:$C$9627=AD$26)*('Monthly Data'!$D$13:$D$9627=$U181))</f>
        <v>13608</v>
      </c>
      <c r="AE181" s="80">
        <f>SUMPRODUCT(('Monthly Data'!$E$13:$E$9627=$U$170)*('Monthly Data'!$G$13:$G$9627)*('Monthly Data'!$C$13:$C$9627=AE$26)*('Monthly Data'!$D$13:$D$9627=$U181))</f>
        <v>11382</v>
      </c>
      <c r="AF181" s="80">
        <f>SUMPRODUCT(('Monthly Data'!$E$13:$E$9627=$U$170)*('Monthly Data'!$G$13:$G$9627)*('Monthly Data'!$C$13:$C$9627=AF$26)*('Monthly Data'!$D$13:$D$9627=$U181))</f>
        <v>11053</v>
      </c>
      <c r="AG181" s="80">
        <f>SUMPRODUCT(('Monthly Data'!$E$13:$E$9627=$U$170)*('Monthly Data'!$G$13:$G$9627)*('Monthly Data'!$C$13:$C$9627=AG$26)*('Monthly Data'!$D$13:$D$9627=$U181))</f>
        <v>9768</v>
      </c>
      <c r="AH181" s="80">
        <f>SUMPRODUCT(('Monthly Data'!$E$13:$E$9627=$U$170)*('Monthly Data'!$G$13:$G$9627)*('Monthly Data'!$C$13:$C$9627=AH$26)*('Monthly Data'!$D$13:$D$9627=$U181))</f>
        <v>9029</v>
      </c>
      <c r="AI181" s="80">
        <f>SUMPRODUCT(('Monthly Data'!$E$13:$E$9627=$U$170)*('Monthly Data'!$G$13:$G$9627)*('Monthly Data'!$C$13:$C$9627=AI$26)*('Monthly Data'!$D$13:$D$9627=$U181))</f>
        <v>9223</v>
      </c>
      <c r="AJ181" s="80">
        <f>SUMPRODUCT(('Monthly Data'!$E$13:$E$9627=$U$170)*('Monthly Data'!$G$13:$G$9627)*('Monthly Data'!$C$13:$C$9627=AJ$26)*('Monthly Data'!$D$13:$D$9627=$U181))</f>
        <v>0</v>
      </c>
      <c r="AL181" s="89">
        <f t="shared" si="38"/>
        <v>156832</v>
      </c>
    </row>
    <row r="182" spans="2:39">
      <c r="B182" s="30">
        <v>12</v>
      </c>
      <c r="C182" s="95">
        <f>SUMPRODUCT(('Monthly Data'!$E$13:$E$9627=$B$170)*('Monthly Data'!$F$13:$F$9627)*('Monthly Data'!$C$13:$C$9627=C$26)*('Monthly Data'!$D$13:$D$9627=$B182))</f>
        <v>659624</v>
      </c>
      <c r="D182" s="95">
        <f>SUMPRODUCT(('Monthly Data'!$E$13:$E$9627=$B$170)*('Monthly Data'!$F$13:$F$9627)*('Monthly Data'!$C$13:$C$9627=D$26)*('Monthly Data'!$D$13:$D$9627=$B182))</f>
        <v>866402</v>
      </c>
      <c r="E182" s="80">
        <f>SUMPRODUCT(('Monthly Data'!$E$13:$E$9627=$B$170)*('Monthly Data'!$F$13:$F$9627)*('Monthly Data'!$C$13:$C$9627=E$26)*('Monthly Data'!$D$13:$D$9627=$B182))</f>
        <v>920842</v>
      </c>
      <c r="F182" s="80">
        <f>SUMPRODUCT(('Monthly Data'!$E$13:$E$9627=$B$170)*('Monthly Data'!$F$13:$F$9627)*('Monthly Data'!$C$13:$C$9627=F$26)*('Monthly Data'!$D$13:$D$9627=$B182))</f>
        <v>1277075</v>
      </c>
      <c r="G182" s="80">
        <f>SUMPRODUCT(('Monthly Data'!$E$13:$E$9627=$B$170)*('Monthly Data'!$F$13:$F$9627)*('Monthly Data'!$C$13:$C$9627=G$26)*('Monthly Data'!$D$13:$D$9627=$B182))</f>
        <v>1549260</v>
      </c>
      <c r="H182" s="80">
        <f>SUMPRODUCT(('Monthly Data'!$E$13:$E$9627=$B$170)*('Monthly Data'!$F$13:$F$9627)*('Monthly Data'!$C$13:$C$9627=H$26)*('Monthly Data'!$D$13:$D$9627=$B182))</f>
        <v>1621359</v>
      </c>
      <c r="I182" s="80">
        <f>SUMPRODUCT(('Monthly Data'!$E$13:$E$9627=$B$170)*('Monthly Data'!$F$13:$F$9627)*('Monthly Data'!$C$13:$C$9627=I$26)*('Monthly Data'!$D$13:$D$9627=$B182))</f>
        <v>1699615</v>
      </c>
      <c r="J182" s="80">
        <f>SUMPRODUCT(('Monthly Data'!$E$13:$E$9627=$B$170)*('Monthly Data'!$F$13:$F$9627)*('Monthly Data'!$C$13:$C$9627=J$26)*('Monthly Data'!$D$13:$D$9627=$B182))</f>
        <v>1764996</v>
      </c>
      <c r="K182" s="80">
        <f>SUMPRODUCT(('Monthly Data'!$E$13:$E$9627=$B$170)*('Monthly Data'!$F$13:$F$9627)*('Monthly Data'!$C$13:$C$9627=K$26)*('Monthly Data'!$D$13:$D$9627=$B182))</f>
        <v>1612151</v>
      </c>
      <c r="L182" s="80">
        <f>SUMPRODUCT(('Monthly Data'!$E$13:$E$9627=$B$170)*('Monthly Data'!$F$13:$F$9627)*('Monthly Data'!$C$13:$C$9627=L$26)*('Monthly Data'!$D$13:$D$9627=$B182))</f>
        <v>1402547</v>
      </c>
      <c r="M182" s="80">
        <f>SUMPRODUCT(('Monthly Data'!$E$13:$E$9627=$B$170)*('Monthly Data'!$F$13:$F$9627)*('Monthly Data'!$C$13:$C$9627=M$26)*('Monthly Data'!$D$13:$D$9627=$B182))</f>
        <v>1365877</v>
      </c>
      <c r="N182" s="80">
        <f>SUMPRODUCT(('Monthly Data'!$E$13:$E$9627=$B$170)*('Monthly Data'!$F$13:$F$9627)*('Monthly Data'!$C$13:$C$9627=N$26)*('Monthly Data'!$D$13:$D$9627=$B182))</f>
        <v>1215302</v>
      </c>
      <c r="O182" s="80">
        <f>SUMPRODUCT(('Monthly Data'!$E$13:$E$9627=$B$170)*('Monthly Data'!$F$13:$F$9627)*('Monthly Data'!$C$13:$C$9627=O$26)*('Monthly Data'!$D$13:$D$9627=$B182))</f>
        <v>1175548</v>
      </c>
      <c r="P182" s="80">
        <f>SUMPRODUCT(('Monthly Data'!$E$13:$E$9627=$B$170)*('Monthly Data'!$F$13:$F$9627)*('Monthly Data'!$C$13:$C$9627=P$26)*('Monthly Data'!$D$13:$D$9627=$B182))</f>
        <v>1223915</v>
      </c>
      <c r="Q182" s="80">
        <f>SUMPRODUCT(('Monthly Data'!$E$13:$E$9627=$B$170)*('Monthly Data'!$F$13:$F$9627)*('Monthly Data'!$C$13:$C$9627=Q$26)*('Monthly Data'!$D$13:$D$9627=$B182))</f>
        <v>0</v>
      </c>
      <c r="S182" s="89">
        <f t="shared" si="37"/>
        <v>17130598</v>
      </c>
      <c r="U182" s="30">
        <v>12</v>
      </c>
      <c r="V182" s="95">
        <f>SUMPRODUCT(('Monthly Data'!$E$13:$E$9627=$U$170)*('Monthly Data'!$G$13:$G$9627)*('Monthly Data'!$C$13:$C$9627=V$26)*('Monthly Data'!$D$13:$D$9627=$U182))</f>
        <v>10187</v>
      </c>
      <c r="W182" s="95">
        <f>SUMPRODUCT(('Monthly Data'!$E$13:$E$9627=$U$170)*('Monthly Data'!$G$13:$G$9627)*('Monthly Data'!$C$13:$C$9627=W$26)*('Monthly Data'!$D$13:$D$9627=$U182))</f>
        <v>10668</v>
      </c>
      <c r="X182" s="80">
        <f>SUMPRODUCT(('Monthly Data'!$E$13:$E$9627=$U$170)*('Monthly Data'!$G$13:$G$9627)*('Monthly Data'!$C$13:$C$9627=X$26)*('Monthly Data'!$D$13:$D$9627=$U182))</f>
        <v>9750</v>
      </c>
      <c r="Y182" s="80">
        <f>SUMPRODUCT(('Monthly Data'!$E$13:$E$9627=$U$170)*('Monthly Data'!$G$13:$G$9627)*('Monthly Data'!$C$13:$C$9627=Y$26)*('Monthly Data'!$D$13:$D$9627=$U182))</f>
        <v>12956</v>
      </c>
      <c r="Z182" s="80">
        <f>SUMPRODUCT(('Monthly Data'!$E$13:$E$9627=$U$170)*('Monthly Data'!$G$13:$G$9627)*('Monthly Data'!$C$13:$C$9627=Z$26)*('Monthly Data'!$D$13:$D$9627=$U182))</f>
        <v>13541</v>
      </c>
      <c r="AA182" s="80">
        <f>SUMPRODUCT(('Monthly Data'!$E$13:$E$9627=$U$170)*('Monthly Data'!$G$13:$G$9627)*('Monthly Data'!$C$13:$C$9627=AA$26)*('Monthly Data'!$D$13:$D$9627=$U182))</f>
        <v>13640</v>
      </c>
      <c r="AB182" s="80">
        <f>SUMPRODUCT(('Monthly Data'!$E$13:$E$9627=$U$170)*('Monthly Data'!$G$13:$G$9627)*('Monthly Data'!$C$13:$C$9627=AB$26)*('Monthly Data'!$D$13:$D$9627=$U182))</f>
        <v>14170</v>
      </c>
      <c r="AC182" s="80">
        <f>SUMPRODUCT(('Monthly Data'!$E$13:$E$9627=$U$170)*('Monthly Data'!$G$13:$G$9627)*('Monthly Data'!$C$13:$C$9627=AC$26)*('Monthly Data'!$D$13:$D$9627=$U182))</f>
        <v>14476</v>
      </c>
      <c r="AD182" s="80">
        <f>SUMPRODUCT(('Monthly Data'!$E$13:$E$9627=$U$170)*('Monthly Data'!$G$13:$G$9627)*('Monthly Data'!$C$13:$C$9627=AD$26)*('Monthly Data'!$D$13:$D$9627=$U182))</f>
        <v>13326</v>
      </c>
      <c r="AE182" s="80">
        <f>SUMPRODUCT(('Monthly Data'!$E$13:$E$9627=$U$170)*('Monthly Data'!$G$13:$G$9627)*('Monthly Data'!$C$13:$C$9627=AE$26)*('Monthly Data'!$D$13:$D$9627=$U182))</f>
        <v>11245</v>
      </c>
      <c r="AF182" s="80">
        <f>SUMPRODUCT(('Monthly Data'!$E$13:$E$9627=$U$170)*('Monthly Data'!$G$13:$G$9627)*('Monthly Data'!$C$13:$C$9627=AF$26)*('Monthly Data'!$D$13:$D$9627=$U182))</f>
        <v>10979</v>
      </c>
      <c r="AG182" s="80">
        <f>SUMPRODUCT(('Monthly Data'!$E$13:$E$9627=$U$170)*('Monthly Data'!$G$13:$G$9627)*('Monthly Data'!$C$13:$C$9627=AG$26)*('Monthly Data'!$D$13:$D$9627=$U182))</f>
        <v>9834</v>
      </c>
      <c r="AH182" s="80">
        <f>SUMPRODUCT(('Monthly Data'!$E$13:$E$9627=$U$170)*('Monthly Data'!$G$13:$G$9627)*('Monthly Data'!$C$13:$C$9627=AH$26)*('Monthly Data'!$D$13:$D$9627=$U182))</f>
        <v>9651</v>
      </c>
      <c r="AI182" s="80">
        <f>SUMPRODUCT(('Monthly Data'!$E$13:$E$9627=$U$170)*('Monthly Data'!$G$13:$G$9627)*('Monthly Data'!$C$13:$C$9627=AI$26)*('Monthly Data'!$D$13:$D$9627=$U182))</f>
        <v>9321</v>
      </c>
      <c r="AJ182" s="80">
        <f>SUMPRODUCT(('Monthly Data'!$E$13:$E$9627=$U$170)*('Monthly Data'!$G$13:$G$9627)*('Monthly Data'!$C$13:$C$9627=AJ$26)*('Monthly Data'!$D$13:$D$9627=$U182))</f>
        <v>0</v>
      </c>
      <c r="AL182" s="89">
        <f t="shared" si="38"/>
        <v>154423</v>
      </c>
    </row>
    <row r="183" spans="2:39">
      <c r="D183" s="90"/>
      <c r="S183" s="83"/>
      <c r="W183" s="90"/>
      <c r="AL183" s="83"/>
    </row>
    <row r="184" spans="2:39">
      <c r="B184" s="30" t="s">
        <v>106</v>
      </c>
      <c r="C184" s="97">
        <f>SUM(C171:C182)</f>
        <v>9408685</v>
      </c>
      <c r="D184" s="97">
        <f t="shared" ref="D184:O184" si="39">SUM(D171:D182)</f>
        <v>11858288</v>
      </c>
      <c r="E184" s="89">
        <f t="shared" si="39"/>
        <v>13653742</v>
      </c>
      <c r="F184" s="89">
        <f t="shared" si="39"/>
        <v>16048700</v>
      </c>
      <c r="G184" s="89">
        <f t="shared" si="39"/>
        <v>18716265</v>
      </c>
      <c r="H184" s="89">
        <f t="shared" si="39"/>
        <v>20907023</v>
      </c>
      <c r="I184" s="89">
        <f t="shared" si="39"/>
        <v>21991733</v>
      </c>
      <c r="J184" s="89">
        <f t="shared" si="39"/>
        <v>23680487</v>
      </c>
      <c r="K184" s="89">
        <f t="shared" si="39"/>
        <v>23759250</v>
      </c>
      <c r="L184" s="89">
        <f t="shared" si="39"/>
        <v>22340375</v>
      </c>
      <c r="M184" s="89">
        <f t="shared" si="39"/>
        <v>19949689</v>
      </c>
      <c r="N184" s="89">
        <f t="shared" si="39"/>
        <v>18561598</v>
      </c>
      <c r="O184" s="89">
        <f t="shared" si="39"/>
        <v>18047403</v>
      </c>
      <c r="P184" s="89">
        <f>SUM(P171:P182)</f>
        <v>17464792</v>
      </c>
      <c r="Q184" s="89">
        <f>SUM(Q171:Q182)</f>
        <v>5090455</v>
      </c>
      <c r="S184" s="89">
        <f>SUM(D171:P182)</f>
        <v>246979345</v>
      </c>
      <c r="U184" s="30" t="s">
        <v>106</v>
      </c>
      <c r="V184" s="97">
        <f>SUM(V171:V182)</f>
        <v>132289</v>
      </c>
      <c r="W184" s="97">
        <f t="shared" ref="W184:AH184" si="40">SUM(W171:W182)</f>
        <v>143634</v>
      </c>
      <c r="X184" s="89">
        <f t="shared" si="40"/>
        <v>150565</v>
      </c>
      <c r="Y184" s="89">
        <f t="shared" si="40"/>
        <v>152435</v>
      </c>
      <c r="Z184" s="89">
        <f t="shared" si="40"/>
        <v>169219</v>
      </c>
      <c r="AA184" s="89">
        <f t="shared" si="40"/>
        <v>176768</v>
      </c>
      <c r="AB184" s="89">
        <f t="shared" si="40"/>
        <v>178012</v>
      </c>
      <c r="AC184" s="89">
        <f t="shared" si="40"/>
        <v>189995</v>
      </c>
      <c r="AD184" s="89">
        <f t="shared" si="40"/>
        <v>191522</v>
      </c>
      <c r="AE184" s="89">
        <f t="shared" si="40"/>
        <v>177285</v>
      </c>
      <c r="AF184" s="89">
        <f t="shared" si="40"/>
        <v>155985</v>
      </c>
      <c r="AG184" s="89">
        <f t="shared" si="40"/>
        <v>142993</v>
      </c>
      <c r="AH184" s="89">
        <f t="shared" si="40"/>
        <v>137026</v>
      </c>
      <c r="AI184" s="89">
        <f>SUM(AI171:AI182)</f>
        <v>132092</v>
      </c>
      <c r="AJ184" s="89">
        <f>SUM(AJ171:AJ182)</f>
        <v>40335</v>
      </c>
      <c r="AL184" s="89">
        <f>SUM(V171:AH182)</f>
        <v>2097728</v>
      </c>
    </row>
    <row r="185" spans="2:39">
      <c r="T185" s="90"/>
    </row>
    <row r="186" spans="2:39" ht="16.5">
      <c r="B186" s="7" t="s">
        <v>227</v>
      </c>
      <c r="C186" s="87"/>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row>
    <row r="187" spans="2:39">
      <c r="T187" s="90"/>
    </row>
    <row r="188" spans="2:39">
      <c r="B188" s="101" t="s">
        <v>228</v>
      </c>
      <c r="C188" s="101"/>
      <c r="I188" s="101" t="s">
        <v>229</v>
      </c>
      <c r="T188" s="90"/>
    </row>
    <row r="189" spans="2:39">
      <c r="B189" s="69" t="s">
        <v>216</v>
      </c>
      <c r="C189" s="69"/>
      <c r="D189" s="69" t="s">
        <v>142</v>
      </c>
      <c r="E189" s="69" t="s">
        <v>231</v>
      </c>
      <c r="F189" s="69" t="s">
        <v>224</v>
      </c>
      <c r="G189" s="69" t="s">
        <v>230</v>
      </c>
      <c r="I189" s="69" t="s">
        <v>216</v>
      </c>
      <c r="J189" s="69" t="s">
        <v>142</v>
      </c>
      <c r="K189" s="69" t="s">
        <v>231</v>
      </c>
      <c r="L189" s="69" t="s">
        <v>224</v>
      </c>
      <c r="M189" s="69" t="s">
        <v>230</v>
      </c>
      <c r="T189" s="90"/>
    </row>
    <row r="190" spans="2:39" ht="15">
      <c r="B190" s="98" t="s">
        <v>121</v>
      </c>
      <c r="C190" s="98"/>
      <c r="D190" s="99" t="s">
        <v>116</v>
      </c>
      <c r="F190" s="102">
        <f>SUM(J30:J38)</f>
        <v>2487135</v>
      </c>
      <c r="G190" s="103">
        <f>SUM(J33:J38)</f>
        <v>1675472</v>
      </c>
      <c r="I190" s="98" t="s">
        <v>121</v>
      </c>
      <c r="J190" s="99" t="s">
        <v>116</v>
      </c>
      <c r="L190" s="102">
        <f>SUM(AC30:AC38)</f>
        <v>75123</v>
      </c>
      <c r="M190" s="103">
        <f>SUM(AC33:AC38)</f>
        <v>50745</v>
      </c>
      <c r="T190" s="90"/>
    </row>
    <row r="191" spans="2:39" ht="15">
      <c r="B191" s="98" t="s">
        <v>212</v>
      </c>
      <c r="C191" s="98"/>
      <c r="D191" s="99" t="s">
        <v>155</v>
      </c>
      <c r="F191" s="102">
        <f>SUM(J46:J54)</f>
        <v>7236130</v>
      </c>
      <c r="G191" s="103">
        <f>SUM(J49:J54)</f>
        <v>4834317</v>
      </c>
      <c r="I191" s="98" t="s">
        <v>212</v>
      </c>
      <c r="J191" s="99" t="s">
        <v>155</v>
      </c>
      <c r="L191" s="102">
        <f>SUM(AC46:AC54)</f>
        <v>83891</v>
      </c>
      <c r="M191" s="103">
        <f>SUM(AC49:AC54)</f>
        <v>55636</v>
      </c>
      <c r="T191" s="90"/>
    </row>
    <row r="192" spans="2:39" ht="15">
      <c r="B192" s="98" t="s">
        <v>119</v>
      </c>
      <c r="C192" s="98"/>
      <c r="D192" s="99" t="s">
        <v>115</v>
      </c>
      <c r="F192" s="102">
        <f>SUM(J62:J70)</f>
        <v>6792799</v>
      </c>
      <c r="G192" s="103">
        <f>SUM(J65:J70)</f>
        <v>4515159</v>
      </c>
      <c r="I192" s="98" t="s">
        <v>119</v>
      </c>
      <c r="J192" s="99" t="s">
        <v>115</v>
      </c>
      <c r="L192" s="102">
        <f>SUM(AC62:AC70)</f>
        <v>88551</v>
      </c>
      <c r="M192" s="103">
        <f>SUM(AC65:AC70)</f>
        <v>58946</v>
      </c>
      <c r="T192" s="90"/>
    </row>
    <row r="193" spans="2:39" ht="15">
      <c r="B193" s="98" t="s">
        <v>102</v>
      </c>
      <c r="C193" s="98"/>
      <c r="D193" s="99" t="s">
        <v>107</v>
      </c>
      <c r="F193" s="102">
        <f>SUM(J94:J102)</f>
        <v>27409255</v>
      </c>
      <c r="G193" s="103">
        <f>SUM(J97:J102)</f>
        <v>18405144</v>
      </c>
      <c r="I193" s="98" t="s">
        <v>102</v>
      </c>
      <c r="J193" s="99" t="s">
        <v>107</v>
      </c>
      <c r="L193" s="102">
        <f>SUM(AC94:AC102)</f>
        <v>197514</v>
      </c>
      <c r="M193" s="103">
        <f>SUM(AC97:AC102)</f>
        <v>132015</v>
      </c>
      <c r="T193" s="90"/>
    </row>
    <row r="194" spans="2:39" ht="15">
      <c r="B194" s="98" t="s">
        <v>120</v>
      </c>
      <c r="C194" s="98"/>
      <c r="D194" s="99" t="s">
        <v>114</v>
      </c>
      <c r="F194" s="102">
        <f>SUM(J78:J86)</f>
        <v>7168843</v>
      </c>
      <c r="G194" s="103">
        <f>SUM(J81:J86)</f>
        <v>4844991</v>
      </c>
      <c r="I194" s="98" t="s">
        <v>120</v>
      </c>
      <c r="J194" s="99" t="s">
        <v>114</v>
      </c>
      <c r="L194" s="102">
        <f>SUM(AC78:AC86)</f>
        <v>75508</v>
      </c>
      <c r="M194" s="103">
        <f>SUM(AC81:AC86)</f>
        <v>50529</v>
      </c>
      <c r="T194" s="90"/>
    </row>
    <row r="195" spans="2:39" ht="15">
      <c r="B195" s="98" t="s">
        <v>117</v>
      </c>
      <c r="C195" s="98"/>
      <c r="D195" s="99" t="s">
        <v>105</v>
      </c>
      <c r="F195" s="102">
        <f>SUM(J110:J118)</f>
        <v>52000922</v>
      </c>
      <c r="G195" s="103">
        <f>SUM(J113:J118)</f>
        <v>34351288</v>
      </c>
      <c r="I195" s="98" t="s">
        <v>117</v>
      </c>
      <c r="J195" s="99" t="s">
        <v>105</v>
      </c>
      <c r="L195" s="102">
        <f>SUM(AC110:AC118)</f>
        <v>355401</v>
      </c>
      <c r="M195" s="103">
        <f>SUM(AC113:AC118)</f>
        <v>236235</v>
      </c>
      <c r="T195" s="90"/>
    </row>
    <row r="196" spans="2:39" ht="15">
      <c r="B196" s="98" t="s">
        <v>104</v>
      </c>
      <c r="C196" s="98"/>
      <c r="D196" s="99" t="s">
        <v>156</v>
      </c>
      <c r="E196" s="102">
        <f>SUM(H126:H134)</f>
        <v>6012345</v>
      </c>
      <c r="F196" s="102">
        <f>SUM(J126:J134)</f>
        <v>7427602</v>
      </c>
      <c r="G196" s="103">
        <f>SUM(J129:J134)</f>
        <v>4941436</v>
      </c>
      <c r="I196" s="98" t="s">
        <v>104</v>
      </c>
      <c r="J196" s="99" t="s">
        <v>156</v>
      </c>
      <c r="K196" s="102">
        <f>SUM(AA126:AA134)</f>
        <v>50397</v>
      </c>
      <c r="L196" s="102">
        <f>SUM(AC126:AC134)</f>
        <v>60792</v>
      </c>
      <c r="M196" s="103">
        <f>SUM(AC113:AC118)</f>
        <v>236235</v>
      </c>
      <c r="T196" s="90"/>
    </row>
    <row r="197" spans="2:39" ht="15">
      <c r="B197" s="98" t="s">
        <v>34</v>
      </c>
      <c r="C197" s="98"/>
      <c r="D197" s="99" t="s">
        <v>204</v>
      </c>
      <c r="F197" s="102">
        <f>SUM(J142:J150)</f>
        <v>17905422</v>
      </c>
      <c r="G197" s="103">
        <f>SUM(J145:J150)</f>
        <v>11976508</v>
      </c>
      <c r="I197" s="98" t="s">
        <v>34</v>
      </c>
      <c r="J197" s="99" t="s">
        <v>204</v>
      </c>
      <c r="L197" s="102">
        <f>SUM(AC142:AC150)</f>
        <v>165527</v>
      </c>
      <c r="M197" s="103">
        <f>SUM(AC145:AC150)</f>
        <v>110299</v>
      </c>
      <c r="T197" s="90"/>
    </row>
    <row r="198" spans="2:39" ht="15">
      <c r="B198" s="98" t="s">
        <v>118</v>
      </c>
      <c r="C198" s="98"/>
      <c r="D198" s="99" t="s">
        <v>113</v>
      </c>
      <c r="F198" s="102">
        <f>SUM(J158:J166)</f>
        <v>1548367</v>
      </c>
      <c r="G198" s="103">
        <f>SUM(J161:J166)</f>
        <v>1027124</v>
      </c>
      <c r="I198" s="98" t="s">
        <v>118</v>
      </c>
      <c r="J198" s="99" t="s">
        <v>113</v>
      </c>
      <c r="L198" s="102">
        <f>SUM(AC158:AC166)</f>
        <v>35972</v>
      </c>
      <c r="M198" s="103">
        <f>SUM(AC161:AC166)</f>
        <v>23701</v>
      </c>
      <c r="T198" s="90"/>
    </row>
    <row r="199" spans="2:39" ht="15">
      <c r="B199" s="98" t="s">
        <v>103</v>
      </c>
      <c r="C199" s="98"/>
      <c r="D199" s="99" t="s">
        <v>112</v>
      </c>
      <c r="F199" s="102">
        <f>SUM(J174:J182)</f>
        <v>18805061</v>
      </c>
      <c r="G199" s="103">
        <f>SUM(J177:J182)</f>
        <v>12398914</v>
      </c>
      <c r="I199" s="98" t="s">
        <v>103</v>
      </c>
      <c r="J199" s="99" t="s">
        <v>112</v>
      </c>
      <c r="L199" s="102">
        <f>SUM(AC174:AC182)</f>
        <v>147271</v>
      </c>
      <c r="M199" s="103">
        <f>SUM(AC177:AC182)</f>
        <v>97284</v>
      </c>
      <c r="T199" s="90"/>
    </row>
    <row r="200" spans="2:39">
      <c r="T200" s="90"/>
    </row>
    <row r="201" spans="2:39" ht="16.5">
      <c r="B201" s="7" t="s">
        <v>122</v>
      </c>
      <c r="C201" s="87"/>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row>
  </sheetData>
  <pageMargins left="0.75" right="0.75" top="1" bottom="1" header="0.5" footer="0.5"/>
  <pageSetup paperSize="9" scale="83" orientation="landscape" r:id="rId1"/>
  <headerFooter alignWithMargins="0">
    <oddFooter>&amp;L&amp;F \ &amp;A&amp;R&amp;T  &amp;D</oddFooter>
  </headerFooter>
</worksheet>
</file>

<file path=xl/worksheets/sheet8.xml><?xml version="1.0" encoding="utf-8"?>
<worksheet xmlns="http://schemas.openxmlformats.org/spreadsheetml/2006/main" xmlns:r="http://schemas.openxmlformats.org/officeDocument/2006/relationships">
  <sheetPr>
    <pageSetUpPr autoPageBreaks="0" fitToPage="1"/>
  </sheetPr>
  <dimension ref="A1:AN2093"/>
  <sheetViews>
    <sheetView showGridLines="0" zoomScale="85" zoomScaleNormal="85" workbookViewId="0">
      <selection activeCell="L29" sqref="L29"/>
    </sheetView>
  </sheetViews>
  <sheetFormatPr defaultRowHeight="12.75"/>
  <cols>
    <col min="1" max="1" width="3.140625" style="90" customWidth="1"/>
    <col min="2" max="3" width="15.85546875" style="90" customWidth="1"/>
    <col min="4" max="4" width="26" style="90" customWidth="1"/>
    <col min="5" max="5" width="18.140625" style="90" customWidth="1"/>
    <col min="6" max="6" width="24" style="90" customWidth="1"/>
    <col min="7" max="7" width="19.85546875" style="90" customWidth="1"/>
    <col min="8" max="10" width="11.7109375" style="90" customWidth="1"/>
    <col min="11" max="11" width="10.7109375" style="90" customWidth="1"/>
    <col min="12" max="12" width="12.7109375" style="90" customWidth="1"/>
    <col min="13" max="13" width="13" style="90" customWidth="1"/>
    <col min="14" max="24" width="10.7109375" style="90" customWidth="1"/>
    <col min="25" max="16384" width="9.140625" style="90"/>
  </cols>
  <sheetData>
    <row r="1" spans="1:40" ht="12.75" customHeight="1">
      <c r="A1" s="145"/>
    </row>
    <row r="2" spans="1:40">
      <c r="B2" s="308" t="s">
        <v>134</v>
      </c>
      <c r="C2" s="309"/>
      <c r="D2" s="309"/>
      <c r="E2" s="91"/>
      <c r="F2" s="147" t="str">
        <f>Info!$D$10</f>
        <v>Duncan Kernohan</v>
      </c>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row>
    <row r="3" spans="1:40">
      <c r="B3" s="310" t="s">
        <v>137</v>
      </c>
      <c r="C3" s="311"/>
      <c r="D3" s="311"/>
      <c r="E3" s="92"/>
      <c r="F3" s="149" t="str">
        <f>Info!$D$11 &amp; " - " &amp; Info!$D$12</f>
        <v>Airport Opex Benchmarking 2013 - duncan.kernohan@caa.co.uk</v>
      </c>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row>
    <row r="4" spans="1:40">
      <c r="B4" s="310" t="s">
        <v>130</v>
      </c>
      <c r="C4" s="311"/>
      <c r="D4" s="311"/>
      <c r="E4" s="92"/>
      <c r="F4" s="150">
        <f>Info!$D$16</f>
        <v>2.8</v>
      </c>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row>
    <row r="5" spans="1:40">
      <c r="B5" s="312" t="s">
        <v>138</v>
      </c>
      <c r="C5" s="313"/>
      <c r="D5" s="313"/>
      <c r="E5" s="93"/>
      <c r="F5" s="152" t="str">
        <f ca="1">IF(CELL("filename",E1)="","",MID(CELL("filename",A1),FIND("]",CELL("filename",A1))+1,99))</f>
        <v>Monthly Data</v>
      </c>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row>
    <row r="8" spans="1:40">
      <c r="B8" s="314" t="s">
        <v>214</v>
      </c>
      <c r="C8" s="315"/>
      <c r="D8" s="315"/>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row>
    <row r="10" spans="1:40">
      <c r="B10" s="90" t="s">
        <v>143</v>
      </c>
      <c r="C10" s="90" t="s">
        <v>213</v>
      </c>
    </row>
    <row r="12" spans="1:40">
      <c r="B12" s="286" t="s">
        <v>31</v>
      </c>
      <c r="C12" s="286" t="s">
        <v>159</v>
      </c>
      <c r="D12" s="286" t="s">
        <v>215</v>
      </c>
      <c r="E12" s="286" t="s">
        <v>32</v>
      </c>
      <c r="F12" s="286" t="s">
        <v>33</v>
      </c>
      <c r="G12" s="286" t="s">
        <v>211</v>
      </c>
      <c r="J12" s="30" t="s">
        <v>142</v>
      </c>
      <c r="K12" s="30" t="s">
        <v>216</v>
      </c>
      <c r="L12" s="30">
        <v>1999</v>
      </c>
      <c r="M12" s="30">
        <v>2000</v>
      </c>
    </row>
    <row r="13" spans="1:40">
      <c r="B13" s="347">
        <v>199901</v>
      </c>
      <c r="C13" s="316">
        <v>1999</v>
      </c>
      <c r="D13" s="317">
        <v>1</v>
      </c>
      <c r="E13" s="347" t="s">
        <v>121</v>
      </c>
      <c r="F13" s="318">
        <v>171449</v>
      </c>
      <c r="G13" s="318">
        <v>6291</v>
      </c>
      <c r="J13" s="99" t="s">
        <v>116</v>
      </c>
      <c r="K13" s="319" t="s">
        <v>121</v>
      </c>
      <c r="L13" s="82">
        <f>SUMPRODUCT(($C$13:$C$1562=L$12)*($F$13:$F$1562)*($E$13:$E$1562=$K13))</f>
        <v>2432506</v>
      </c>
      <c r="M13" s="82">
        <f>SUMPRODUCT(($C$13:$C$1562=M$12)*($F$13:$F$1562)*($E$13:$E$1562=$K13))</f>
        <v>2454196</v>
      </c>
    </row>
    <row r="14" spans="1:40">
      <c r="B14" s="347">
        <v>199901</v>
      </c>
      <c r="C14" s="316">
        <v>1999</v>
      </c>
      <c r="D14" s="317">
        <v>1</v>
      </c>
      <c r="E14" s="347" t="s">
        <v>212</v>
      </c>
      <c r="F14" s="318">
        <v>397383</v>
      </c>
      <c r="G14" s="318">
        <v>6785</v>
      </c>
      <c r="J14" s="99" t="s">
        <v>155</v>
      </c>
      <c r="K14" s="319" t="s">
        <v>212</v>
      </c>
      <c r="L14" s="82">
        <f t="shared" ref="L14:M22" si="0">SUMPRODUCT(($C$13:$C$1562=L$12)*($F$13:$F$1562)*($E$13:$E$1562=$K14))</f>
        <v>6935087</v>
      </c>
      <c r="M14" s="82">
        <f t="shared" si="0"/>
        <v>7492221</v>
      </c>
    </row>
    <row r="15" spans="1:40">
      <c r="B15" s="347">
        <v>199901</v>
      </c>
      <c r="C15" s="316">
        <v>1999</v>
      </c>
      <c r="D15" s="317">
        <v>1</v>
      </c>
      <c r="E15" s="347" t="s">
        <v>119</v>
      </c>
      <c r="F15" s="318">
        <v>296878</v>
      </c>
      <c r="G15" s="318">
        <v>5787</v>
      </c>
      <c r="J15" s="99" t="s">
        <v>115</v>
      </c>
      <c r="K15" s="319" t="s">
        <v>119</v>
      </c>
      <c r="L15" s="82">
        <f t="shared" si="0"/>
        <v>5084464</v>
      </c>
      <c r="M15" s="82">
        <f t="shared" si="0"/>
        <v>5493513</v>
      </c>
    </row>
    <row r="16" spans="1:40">
      <c r="B16" s="347">
        <v>199901</v>
      </c>
      <c r="C16" s="316">
        <v>1999</v>
      </c>
      <c r="D16" s="317">
        <v>1</v>
      </c>
      <c r="E16" s="347" t="s">
        <v>120</v>
      </c>
      <c r="F16" s="318">
        <v>388527</v>
      </c>
      <c r="G16" s="318">
        <v>6128</v>
      </c>
      <c r="J16" s="99" t="s">
        <v>114</v>
      </c>
      <c r="K16" s="319" t="s">
        <v>120</v>
      </c>
      <c r="L16" s="82">
        <f t="shared" si="0"/>
        <v>6755059</v>
      </c>
      <c r="M16" s="82">
        <f t="shared" si="0"/>
        <v>6919989</v>
      </c>
    </row>
    <row r="17" spans="2:13">
      <c r="B17" s="347">
        <v>199901</v>
      </c>
      <c r="C17" s="316">
        <v>1999</v>
      </c>
      <c r="D17" s="317">
        <v>1</v>
      </c>
      <c r="E17" s="347" t="s">
        <v>102</v>
      </c>
      <c r="F17" s="318">
        <v>1918628</v>
      </c>
      <c r="G17" s="318">
        <v>18848</v>
      </c>
      <c r="J17" s="99" t="s">
        <v>217</v>
      </c>
      <c r="K17" s="319" t="s">
        <v>102</v>
      </c>
      <c r="L17" s="82">
        <f t="shared" si="0"/>
        <v>30407786</v>
      </c>
      <c r="M17" s="82">
        <f t="shared" si="0"/>
        <v>31947524</v>
      </c>
    </row>
    <row r="18" spans="2:13">
      <c r="B18" s="347">
        <v>199901</v>
      </c>
      <c r="C18" s="316">
        <v>1999</v>
      </c>
      <c r="D18" s="317">
        <v>1</v>
      </c>
      <c r="E18" s="347" t="s">
        <v>117</v>
      </c>
      <c r="F18" s="318">
        <v>4303537</v>
      </c>
      <c r="G18" s="318">
        <v>36375</v>
      </c>
      <c r="J18" s="99" t="s">
        <v>218</v>
      </c>
      <c r="K18" s="319" t="s">
        <v>117</v>
      </c>
      <c r="L18" s="82">
        <f t="shared" si="0"/>
        <v>61975028</v>
      </c>
      <c r="M18" s="82">
        <f t="shared" si="0"/>
        <v>64277045</v>
      </c>
    </row>
    <row r="19" spans="2:13">
      <c r="B19" s="347">
        <v>199901</v>
      </c>
      <c r="C19" s="316">
        <v>1999</v>
      </c>
      <c r="D19" s="317">
        <v>1</v>
      </c>
      <c r="E19" s="347" t="s">
        <v>104</v>
      </c>
      <c r="F19" s="318">
        <v>291679</v>
      </c>
      <c r="G19" s="318">
        <v>3713</v>
      </c>
      <c r="J19" s="99" t="s">
        <v>156</v>
      </c>
      <c r="K19" s="319" t="s">
        <v>104</v>
      </c>
      <c r="L19" s="82">
        <f t="shared" si="0"/>
        <v>5246474</v>
      </c>
      <c r="M19" s="82">
        <f t="shared" si="0"/>
        <v>6164028</v>
      </c>
    </row>
    <row r="20" spans="2:13">
      <c r="B20" s="347">
        <v>199901</v>
      </c>
      <c r="C20" s="316">
        <v>1999</v>
      </c>
      <c r="D20" s="317">
        <v>1</v>
      </c>
      <c r="E20" s="347" t="s">
        <v>34</v>
      </c>
      <c r="F20" s="318">
        <v>997095</v>
      </c>
      <c r="G20" s="318">
        <v>12008</v>
      </c>
      <c r="J20" s="99" t="s">
        <v>204</v>
      </c>
      <c r="K20" s="319" t="s">
        <v>34</v>
      </c>
      <c r="L20" s="82">
        <f t="shared" si="0"/>
        <v>17418121</v>
      </c>
      <c r="M20" s="82">
        <f t="shared" si="0"/>
        <v>18350061</v>
      </c>
    </row>
    <row r="21" spans="2:13">
      <c r="B21" s="347">
        <v>199901</v>
      </c>
      <c r="C21" s="316">
        <v>1999</v>
      </c>
      <c r="D21" s="317">
        <v>1</v>
      </c>
      <c r="E21" s="347" t="s">
        <v>118</v>
      </c>
      <c r="F21" s="318">
        <v>44400</v>
      </c>
      <c r="G21" s="318">
        <v>1952</v>
      </c>
      <c r="J21" s="99" t="s">
        <v>113</v>
      </c>
      <c r="K21" s="319" t="s">
        <v>118</v>
      </c>
      <c r="L21" s="82">
        <f t="shared" si="0"/>
        <v>749253</v>
      </c>
      <c r="M21" s="82">
        <f t="shared" si="0"/>
        <v>853916</v>
      </c>
    </row>
    <row r="22" spans="2:13">
      <c r="B22" s="347">
        <v>199901</v>
      </c>
      <c r="C22" s="316">
        <v>1999</v>
      </c>
      <c r="D22" s="317">
        <v>1</v>
      </c>
      <c r="E22" s="347" t="s">
        <v>103</v>
      </c>
      <c r="F22" s="318">
        <v>499180</v>
      </c>
      <c r="G22" s="318">
        <v>9509</v>
      </c>
      <c r="J22" s="99" t="s">
        <v>112</v>
      </c>
      <c r="K22" s="319" t="s">
        <v>103</v>
      </c>
      <c r="L22" s="82">
        <f t="shared" si="0"/>
        <v>9408685</v>
      </c>
      <c r="M22" s="82">
        <f t="shared" si="0"/>
        <v>11858288</v>
      </c>
    </row>
    <row r="23" spans="2:13">
      <c r="B23" s="347">
        <v>199902</v>
      </c>
      <c r="C23" s="316">
        <v>1999</v>
      </c>
      <c r="D23" s="317">
        <v>2</v>
      </c>
      <c r="E23" s="347" t="s">
        <v>121</v>
      </c>
      <c r="F23" s="318">
        <v>168073</v>
      </c>
      <c r="G23" s="318">
        <v>5992</v>
      </c>
      <c r="H23" s="347"/>
    </row>
    <row r="24" spans="2:13">
      <c r="B24" s="347">
        <v>199902</v>
      </c>
      <c r="C24" s="316">
        <v>1999</v>
      </c>
      <c r="D24" s="317">
        <v>2</v>
      </c>
      <c r="E24" s="347" t="s">
        <v>212</v>
      </c>
      <c r="F24" s="318">
        <v>422714</v>
      </c>
      <c r="G24" s="318">
        <v>6797</v>
      </c>
      <c r="H24" s="347"/>
    </row>
    <row r="25" spans="2:13">
      <c r="B25" s="347">
        <v>199902</v>
      </c>
      <c r="C25" s="316">
        <v>1999</v>
      </c>
      <c r="D25" s="317">
        <v>2</v>
      </c>
      <c r="E25" s="347" t="s">
        <v>119</v>
      </c>
      <c r="F25" s="318">
        <v>326839</v>
      </c>
      <c r="G25" s="318">
        <v>5624</v>
      </c>
      <c r="H25" s="347"/>
    </row>
    <row r="26" spans="2:13">
      <c r="B26" s="347">
        <v>199902</v>
      </c>
      <c r="C26" s="316">
        <v>1999</v>
      </c>
      <c r="D26" s="317">
        <v>2</v>
      </c>
      <c r="E26" s="347" t="s">
        <v>120</v>
      </c>
      <c r="F26" s="318">
        <v>392809</v>
      </c>
      <c r="G26" s="318">
        <v>5906</v>
      </c>
      <c r="H26" s="347"/>
    </row>
    <row r="27" spans="2:13">
      <c r="B27" s="347">
        <v>199902</v>
      </c>
      <c r="C27" s="316">
        <v>1999</v>
      </c>
      <c r="D27" s="317">
        <v>2</v>
      </c>
      <c r="E27" s="347" t="s">
        <v>102</v>
      </c>
      <c r="F27" s="318">
        <v>1829262</v>
      </c>
      <c r="G27" s="318">
        <v>17107</v>
      </c>
      <c r="H27" s="347"/>
    </row>
    <row r="28" spans="2:13">
      <c r="B28" s="347">
        <v>199902</v>
      </c>
      <c r="C28" s="316">
        <v>1999</v>
      </c>
      <c r="D28" s="317">
        <v>2</v>
      </c>
      <c r="E28" s="347" t="s">
        <v>117</v>
      </c>
      <c r="F28" s="318">
        <v>4209887</v>
      </c>
      <c r="G28" s="318">
        <v>33390</v>
      </c>
      <c r="H28" s="347"/>
    </row>
    <row r="29" spans="2:13">
      <c r="B29" s="347">
        <v>199902</v>
      </c>
      <c r="C29" s="316">
        <v>1999</v>
      </c>
      <c r="D29" s="317">
        <v>2</v>
      </c>
      <c r="E29" s="347" t="s">
        <v>104</v>
      </c>
      <c r="F29" s="318">
        <v>317537</v>
      </c>
      <c r="G29" s="318">
        <v>3477</v>
      </c>
      <c r="H29" s="347"/>
    </row>
    <row r="30" spans="2:13">
      <c r="B30" s="347">
        <v>199902</v>
      </c>
      <c r="C30" s="316">
        <v>1999</v>
      </c>
      <c r="D30" s="317">
        <v>2</v>
      </c>
      <c r="E30" s="347" t="s">
        <v>34</v>
      </c>
      <c r="F30" s="318">
        <v>988038</v>
      </c>
      <c r="G30" s="318">
        <v>11363</v>
      </c>
      <c r="H30" s="347"/>
    </row>
    <row r="31" spans="2:13">
      <c r="B31" s="347">
        <v>199902</v>
      </c>
      <c r="C31" s="316">
        <v>1999</v>
      </c>
      <c r="D31" s="317">
        <v>2</v>
      </c>
      <c r="E31" s="347" t="s">
        <v>118</v>
      </c>
      <c r="F31" s="318">
        <v>50666</v>
      </c>
      <c r="G31" s="318">
        <v>1933</v>
      </c>
      <c r="H31" s="347"/>
    </row>
    <row r="32" spans="2:13">
      <c r="B32" s="347">
        <v>199902</v>
      </c>
      <c r="C32" s="316">
        <v>1999</v>
      </c>
      <c r="D32" s="317">
        <v>2</v>
      </c>
      <c r="E32" s="347" t="s">
        <v>103</v>
      </c>
      <c r="F32" s="318">
        <v>524362</v>
      </c>
      <c r="G32" s="318">
        <v>8825</v>
      </c>
      <c r="H32" s="347"/>
    </row>
    <row r="33" spans="2:8">
      <c r="B33" s="347">
        <v>199903</v>
      </c>
      <c r="C33" s="316">
        <v>1999</v>
      </c>
      <c r="D33" s="317">
        <v>3</v>
      </c>
      <c r="E33" s="347" t="s">
        <v>121</v>
      </c>
      <c r="F33" s="318">
        <v>204813</v>
      </c>
      <c r="G33" s="318">
        <v>7018</v>
      </c>
      <c r="H33" s="347"/>
    </row>
    <row r="34" spans="2:8">
      <c r="B34" s="347">
        <v>199903</v>
      </c>
      <c r="C34" s="316">
        <v>1999</v>
      </c>
      <c r="D34" s="317">
        <v>3</v>
      </c>
      <c r="E34" s="347" t="s">
        <v>212</v>
      </c>
      <c r="F34" s="318">
        <v>489751</v>
      </c>
      <c r="G34" s="318">
        <v>7713</v>
      </c>
      <c r="H34" s="347"/>
    </row>
    <row r="35" spans="2:8">
      <c r="B35" s="347">
        <v>199903</v>
      </c>
      <c r="C35" s="316">
        <v>1999</v>
      </c>
      <c r="D35" s="317">
        <v>3</v>
      </c>
      <c r="E35" s="347" t="s">
        <v>119</v>
      </c>
      <c r="F35" s="318">
        <v>383102</v>
      </c>
      <c r="G35" s="318">
        <v>6597</v>
      </c>
      <c r="H35" s="347"/>
    </row>
    <row r="36" spans="2:8">
      <c r="B36" s="347">
        <v>199903</v>
      </c>
      <c r="C36" s="316">
        <v>1999</v>
      </c>
      <c r="D36" s="317">
        <v>3</v>
      </c>
      <c r="E36" s="347" t="s">
        <v>120</v>
      </c>
      <c r="F36" s="318">
        <v>475118</v>
      </c>
      <c r="G36" s="318">
        <v>6757</v>
      </c>
      <c r="H36" s="347"/>
    </row>
    <row r="37" spans="2:8">
      <c r="B37" s="347">
        <v>199903</v>
      </c>
      <c r="C37" s="316">
        <v>1999</v>
      </c>
      <c r="D37" s="317">
        <v>3</v>
      </c>
      <c r="E37" s="347" t="s">
        <v>102</v>
      </c>
      <c r="F37" s="318">
        <v>2288684</v>
      </c>
      <c r="G37" s="318">
        <v>19382</v>
      </c>
      <c r="H37" s="347"/>
    </row>
    <row r="38" spans="2:8">
      <c r="B38" s="347">
        <v>199903</v>
      </c>
      <c r="C38" s="316">
        <v>1999</v>
      </c>
      <c r="D38" s="317">
        <v>3</v>
      </c>
      <c r="E38" s="347" t="s">
        <v>117</v>
      </c>
      <c r="F38" s="318">
        <v>5269473</v>
      </c>
      <c r="G38" s="318">
        <v>37624</v>
      </c>
      <c r="H38" s="347"/>
    </row>
    <row r="39" spans="2:8">
      <c r="B39" s="347">
        <v>199903</v>
      </c>
      <c r="C39" s="316">
        <v>1999</v>
      </c>
      <c r="D39" s="317">
        <v>3</v>
      </c>
      <c r="E39" s="347" t="s">
        <v>104</v>
      </c>
      <c r="F39" s="318">
        <v>370881</v>
      </c>
      <c r="G39" s="318">
        <v>3952</v>
      </c>
      <c r="H39" s="347"/>
    </row>
    <row r="40" spans="2:8">
      <c r="B40" s="347">
        <v>199903</v>
      </c>
      <c r="C40" s="316">
        <v>1999</v>
      </c>
      <c r="D40" s="317">
        <v>3</v>
      </c>
      <c r="E40" s="347" t="s">
        <v>34</v>
      </c>
      <c r="F40" s="318">
        <v>1204769</v>
      </c>
      <c r="G40" s="318">
        <v>13137</v>
      </c>
      <c r="H40" s="347"/>
    </row>
    <row r="41" spans="2:8">
      <c r="B41" s="347">
        <v>199903</v>
      </c>
      <c r="C41" s="316">
        <v>1999</v>
      </c>
      <c r="D41" s="317">
        <v>3</v>
      </c>
      <c r="E41" s="347" t="s">
        <v>118</v>
      </c>
      <c r="F41" s="318">
        <v>60399</v>
      </c>
      <c r="G41" s="318">
        <v>2139</v>
      </c>
      <c r="H41" s="347"/>
    </row>
    <row r="42" spans="2:8">
      <c r="B42" s="347">
        <v>199903</v>
      </c>
      <c r="C42" s="316">
        <v>1999</v>
      </c>
      <c r="D42" s="317">
        <v>3</v>
      </c>
      <c r="E42" s="347" t="s">
        <v>103</v>
      </c>
      <c r="F42" s="318">
        <v>643377</v>
      </c>
      <c r="G42" s="318">
        <v>10156</v>
      </c>
      <c r="H42" s="347"/>
    </row>
    <row r="43" spans="2:8">
      <c r="B43" s="347">
        <v>199904</v>
      </c>
      <c r="C43" s="316">
        <v>1999</v>
      </c>
      <c r="D43" s="317">
        <v>4</v>
      </c>
      <c r="E43" s="347" t="s">
        <v>121</v>
      </c>
      <c r="F43" s="318">
        <v>201451</v>
      </c>
      <c r="G43" s="318">
        <v>6501</v>
      </c>
      <c r="H43" s="347"/>
    </row>
    <row r="44" spans="2:8">
      <c r="B44" s="347">
        <v>199904</v>
      </c>
      <c r="C44" s="316">
        <v>1999</v>
      </c>
      <c r="D44" s="317">
        <v>4</v>
      </c>
      <c r="E44" s="347" t="s">
        <v>212</v>
      </c>
      <c r="F44" s="318">
        <v>468110</v>
      </c>
      <c r="G44" s="318">
        <v>7436</v>
      </c>
      <c r="H44" s="347"/>
    </row>
    <row r="45" spans="2:8">
      <c r="B45" s="347">
        <v>199904</v>
      </c>
      <c r="C45" s="316">
        <v>1999</v>
      </c>
      <c r="D45" s="317">
        <v>4</v>
      </c>
      <c r="E45" s="347" t="s">
        <v>119</v>
      </c>
      <c r="F45" s="318">
        <v>388953</v>
      </c>
      <c r="G45" s="318">
        <v>6601</v>
      </c>
      <c r="H45" s="347"/>
    </row>
    <row r="46" spans="2:8">
      <c r="B46" s="347">
        <v>199904</v>
      </c>
      <c r="C46" s="316">
        <v>1999</v>
      </c>
      <c r="D46" s="317">
        <v>4</v>
      </c>
      <c r="E46" s="347" t="s">
        <v>120</v>
      </c>
      <c r="F46" s="318">
        <v>490685</v>
      </c>
      <c r="G46" s="318">
        <v>6832</v>
      </c>
      <c r="H46" s="347"/>
    </row>
    <row r="47" spans="2:8">
      <c r="B47" s="347">
        <v>199904</v>
      </c>
      <c r="C47" s="316">
        <v>1999</v>
      </c>
      <c r="D47" s="317">
        <v>4</v>
      </c>
      <c r="E47" s="347" t="s">
        <v>102</v>
      </c>
      <c r="F47" s="318">
        <v>2306774</v>
      </c>
      <c r="G47" s="318">
        <v>19262</v>
      </c>
      <c r="H47" s="347"/>
    </row>
    <row r="48" spans="2:8">
      <c r="B48" s="347">
        <v>199904</v>
      </c>
      <c r="C48" s="316">
        <v>1999</v>
      </c>
      <c r="D48" s="317">
        <v>4</v>
      </c>
      <c r="E48" s="347" t="s">
        <v>117</v>
      </c>
      <c r="F48" s="318">
        <v>5061666</v>
      </c>
      <c r="G48" s="318">
        <v>36975</v>
      </c>
      <c r="H48" s="347"/>
    </row>
    <row r="49" spans="2:8">
      <c r="B49" s="347">
        <v>199904</v>
      </c>
      <c r="C49" s="316">
        <v>1999</v>
      </c>
      <c r="D49" s="317">
        <v>4</v>
      </c>
      <c r="E49" s="347" t="s">
        <v>104</v>
      </c>
      <c r="F49" s="318">
        <v>369256</v>
      </c>
      <c r="G49" s="318">
        <v>3785</v>
      </c>
      <c r="H49" s="347"/>
    </row>
    <row r="50" spans="2:8">
      <c r="B50" s="347">
        <v>199904</v>
      </c>
      <c r="C50" s="316">
        <v>1999</v>
      </c>
      <c r="D50" s="317">
        <v>4</v>
      </c>
      <c r="E50" s="347" t="s">
        <v>34</v>
      </c>
      <c r="F50" s="318">
        <v>1215647</v>
      </c>
      <c r="G50" s="318">
        <v>12831</v>
      </c>
      <c r="H50" s="347"/>
    </row>
    <row r="51" spans="2:8">
      <c r="B51" s="347">
        <v>199904</v>
      </c>
      <c r="C51" s="316">
        <v>1999</v>
      </c>
      <c r="D51" s="317">
        <v>4</v>
      </c>
      <c r="E51" s="347" t="s">
        <v>118</v>
      </c>
      <c r="F51" s="318">
        <v>61154</v>
      </c>
      <c r="G51" s="318">
        <v>2059</v>
      </c>
      <c r="H51" s="347"/>
    </row>
    <row r="52" spans="2:8">
      <c r="B52" s="347">
        <v>199904</v>
      </c>
      <c r="C52" s="316">
        <v>1999</v>
      </c>
      <c r="D52" s="317">
        <v>4</v>
      </c>
      <c r="E52" s="347" t="s">
        <v>103</v>
      </c>
      <c r="F52" s="318">
        <v>645507</v>
      </c>
      <c r="G52" s="318">
        <v>9825</v>
      </c>
      <c r="H52" s="347"/>
    </row>
    <row r="53" spans="2:8">
      <c r="B53" s="347">
        <v>199905</v>
      </c>
      <c r="C53" s="316">
        <v>1999</v>
      </c>
      <c r="D53" s="317">
        <v>5</v>
      </c>
      <c r="E53" s="347" t="s">
        <v>121</v>
      </c>
      <c r="F53" s="318">
        <v>205666</v>
      </c>
      <c r="G53" s="318">
        <v>6723</v>
      </c>
      <c r="H53" s="347"/>
    </row>
    <row r="54" spans="2:8">
      <c r="B54" s="347">
        <v>199905</v>
      </c>
      <c r="C54" s="316">
        <v>1999</v>
      </c>
      <c r="D54" s="317">
        <v>5</v>
      </c>
      <c r="E54" s="347" t="s">
        <v>212</v>
      </c>
      <c r="F54" s="318">
        <v>661857</v>
      </c>
      <c r="G54" s="318">
        <v>8796</v>
      </c>
      <c r="H54" s="347"/>
    </row>
    <row r="55" spans="2:8">
      <c r="B55" s="347">
        <v>199905</v>
      </c>
      <c r="C55" s="316">
        <v>1999</v>
      </c>
      <c r="D55" s="317">
        <v>5</v>
      </c>
      <c r="E55" s="347" t="s">
        <v>119</v>
      </c>
      <c r="F55" s="318">
        <v>434008</v>
      </c>
      <c r="G55" s="318">
        <v>6893</v>
      </c>
      <c r="H55" s="347"/>
    </row>
    <row r="56" spans="2:8">
      <c r="B56" s="347">
        <v>199905</v>
      </c>
      <c r="C56" s="316">
        <v>1999</v>
      </c>
      <c r="D56" s="317">
        <v>5</v>
      </c>
      <c r="E56" s="347" t="s">
        <v>120</v>
      </c>
      <c r="F56" s="318">
        <v>627705</v>
      </c>
      <c r="G56" s="318">
        <v>7601</v>
      </c>
      <c r="H56" s="347"/>
    </row>
    <row r="57" spans="2:8">
      <c r="B57" s="347">
        <v>199905</v>
      </c>
      <c r="C57" s="316">
        <v>1999</v>
      </c>
      <c r="D57" s="317">
        <v>5</v>
      </c>
      <c r="E57" s="347" t="s">
        <v>102</v>
      </c>
      <c r="F57" s="318">
        <v>2626712</v>
      </c>
      <c r="G57" s="318">
        <v>21463</v>
      </c>
      <c r="H57" s="347"/>
    </row>
    <row r="58" spans="2:8">
      <c r="B58" s="347">
        <v>199905</v>
      </c>
      <c r="C58" s="316">
        <v>1999</v>
      </c>
      <c r="D58" s="317">
        <v>5</v>
      </c>
      <c r="E58" s="347" t="s">
        <v>117</v>
      </c>
      <c r="F58" s="318">
        <v>5066962</v>
      </c>
      <c r="G58" s="318">
        <v>38254</v>
      </c>
      <c r="H58" s="347"/>
    </row>
    <row r="59" spans="2:8">
      <c r="B59" s="347">
        <v>199905</v>
      </c>
      <c r="C59" s="316">
        <v>1999</v>
      </c>
      <c r="D59" s="317">
        <v>5</v>
      </c>
      <c r="E59" s="347" t="s">
        <v>104</v>
      </c>
      <c r="F59" s="318">
        <v>451924</v>
      </c>
      <c r="G59" s="318">
        <v>4407</v>
      </c>
      <c r="H59" s="347"/>
    </row>
    <row r="60" spans="2:8">
      <c r="B60" s="347">
        <v>199905</v>
      </c>
      <c r="C60" s="316">
        <v>1999</v>
      </c>
      <c r="D60" s="317">
        <v>5</v>
      </c>
      <c r="E60" s="347" t="s">
        <v>34</v>
      </c>
      <c r="F60" s="318">
        <v>1655068</v>
      </c>
      <c r="G60" s="318">
        <v>15409</v>
      </c>
      <c r="H60" s="347"/>
    </row>
    <row r="61" spans="2:8">
      <c r="B61" s="347">
        <v>199905</v>
      </c>
      <c r="C61" s="316">
        <v>1999</v>
      </c>
      <c r="D61" s="317">
        <v>5</v>
      </c>
      <c r="E61" s="347" t="s">
        <v>118</v>
      </c>
      <c r="F61" s="318">
        <v>64873</v>
      </c>
      <c r="G61" s="318">
        <v>2082</v>
      </c>
      <c r="H61" s="347"/>
    </row>
    <row r="62" spans="2:8">
      <c r="B62" s="347">
        <v>199905</v>
      </c>
      <c r="C62" s="316">
        <v>1999</v>
      </c>
      <c r="D62" s="317">
        <v>5</v>
      </c>
      <c r="E62" s="347" t="s">
        <v>103</v>
      </c>
      <c r="F62" s="318">
        <v>760457</v>
      </c>
      <c r="G62" s="318">
        <v>11055</v>
      </c>
      <c r="H62" s="347"/>
    </row>
    <row r="63" spans="2:8">
      <c r="B63" s="347">
        <v>199906</v>
      </c>
      <c r="C63" s="316">
        <v>1999</v>
      </c>
      <c r="D63" s="317">
        <v>6</v>
      </c>
      <c r="E63" s="347" t="s">
        <v>121</v>
      </c>
      <c r="F63" s="318">
        <v>225431</v>
      </c>
      <c r="G63" s="318">
        <v>6930</v>
      </c>
      <c r="H63" s="347"/>
    </row>
    <row r="64" spans="2:8">
      <c r="B64" s="347">
        <v>199906</v>
      </c>
      <c r="C64" s="316">
        <v>1999</v>
      </c>
      <c r="D64" s="317">
        <v>6</v>
      </c>
      <c r="E64" s="347" t="s">
        <v>212</v>
      </c>
      <c r="F64" s="318">
        <v>711576</v>
      </c>
      <c r="G64" s="318">
        <v>9097</v>
      </c>
      <c r="H64" s="347"/>
    </row>
    <row r="65" spans="2:8">
      <c r="B65" s="347">
        <v>199906</v>
      </c>
      <c r="C65" s="316">
        <v>1999</v>
      </c>
      <c r="D65" s="317">
        <v>6</v>
      </c>
      <c r="E65" s="347" t="s">
        <v>119</v>
      </c>
      <c r="F65" s="318">
        <v>482331</v>
      </c>
      <c r="G65" s="318">
        <v>7113</v>
      </c>
      <c r="H65" s="347"/>
    </row>
    <row r="66" spans="2:8">
      <c r="B66" s="347">
        <v>199906</v>
      </c>
      <c r="C66" s="316">
        <v>1999</v>
      </c>
      <c r="D66" s="317">
        <v>6</v>
      </c>
      <c r="E66" s="347" t="s">
        <v>120</v>
      </c>
      <c r="F66" s="318">
        <v>702338</v>
      </c>
      <c r="G66" s="318">
        <v>7880</v>
      </c>
      <c r="H66" s="347"/>
    </row>
    <row r="67" spans="2:8">
      <c r="B67" s="347">
        <v>199906</v>
      </c>
      <c r="C67" s="316">
        <v>1999</v>
      </c>
      <c r="D67" s="317">
        <v>6</v>
      </c>
      <c r="E67" s="347" t="s">
        <v>102</v>
      </c>
      <c r="F67" s="318">
        <v>2980195</v>
      </c>
      <c r="G67" s="318">
        <v>21594</v>
      </c>
      <c r="H67" s="347"/>
    </row>
    <row r="68" spans="2:8">
      <c r="B68" s="347">
        <v>199906</v>
      </c>
      <c r="C68" s="316">
        <v>1999</v>
      </c>
      <c r="D68" s="317">
        <v>6</v>
      </c>
      <c r="E68" s="347" t="s">
        <v>117</v>
      </c>
      <c r="F68" s="318">
        <v>5576825</v>
      </c>
      <c r="G68" s="318">
        <v>37962</v>
      </c>
      <c r="H68" s="347"/>
    </row>
    <row r="69" spans="2:8">
      <c r="B69" s="347">
        <v>199906</v>
      </c>
      <c r="C69" s="316">
        <v>1999</v>
      </c>
      <c r="D69" s="317">
        <v>6</v>
      </c>
      <c r="E69" s="347" t="s">
        <v>104</v>
      </c>
      <c r="F69" s="318">
        <v>492331</v>
      </c>
      <c r="G69" s="318">
        <v>4425</v>
      </c>
      <c r="H69" s="347"/>
    </row>
    <row r="70" spans="2:8">
      <c r="B70" s="347">
        <v>199906</v>
      </c>
      <c r="C70" s="316">
        <v>1999</v>
      </c>
      <c r="D70" s="317">
        <v>6</v>
      </c>
      <c r="E70" s="347" t="s">
        <v>34</v>
      </c>
      <c r="F70" s="318">
        <v>1823947</v>
      </c>
      <c r="G70" s="318">
        <v>15860</v>
      </c>
      <c r="H70" s="347"/>
    </row>
    <row r="71" spans="2:8">
      <c r="B71" s="347">
        <v>199906</v>
      </c>
      <c r="C71" s="316">
        <v>1999</v>
      </c>
      <c r="D71" s="317">
        <v>6</v>
      </c>
      <c r="E71" s="347" t="s">
        <v>118</v>
      </c>
      <c r="F71" s="318">
        <v>69901</v>
      </c>
      <c r="G71" s="318">
        <v>2177</v>
      </c>
      <c r="H71" s="347"/>
    </row>
    <row r="72" spans="2:8">
      <c r="B72" s="347">
        <v>199906</v>
      </c>
      <c r="C72" s="316">
        <v>1999</v>
      </c>
      <c r="D72" s="317">
        <v>6</v>
      </c>
      <c r="E72" s="347" t="s">
        <v>103</v>
      </c>
      <c r="F72" s="318">
        <v>847122</v>
      </c>
      <c r="G72" s="318">
        <v>11283</v>
      </c>
      <c r="H72" s="347"/>
    </row>
    <row r="73" spans="2:8">
      <c r="B73" s="347">
        <v>199907</v>
      </c>
      <c r="C73" s="316">
        <v>1999</v>
      </c>
      <c r="D73" s="317">
        <v>7</v>
      </c>
      <c r="E73" s="347" t="s">
        <v>121</v>
      </c>
      <c r="F73" s="318">
        <v>238438</v>
      </c>
      <c r="G73" s="318">
        <v>6920</v>
      </c>
      <c r="H73" s="347"/>
    </row>
    <row r="74" spans="2:8">
      <c r="B74" s="347">
        <v>199907</v>
      </c>
      <c r="C74" s="316">
        <v>1999</v>
      </c>
      <c r="D74" s="317">
        <v>7</v>
      </c>
      <c r="E74" s="347" t="s">
        <v>212</v>
      </c>
      <c r="F74" s="318">
        <v>741605</v>
      </c>
      <c r="G74" s="318">
        <v>9343</v>
      </c>
      <c r="H74" s="347"/>
    </row>
    <row r="75" spans="2:8">
      <c r="B75" s="347">
        <v>199907</v>
      </c>
      <c r="C75" s="316">
        <v>1999</v>
      </c>
      <c r="D75" s="317">
        <v>7</v>
      </c>
      <c r="E75" s="347" t="s">
        <v>119</v>
      </c>
      <c r="F75" s="318">
        <v>532926</v>
      </c>
      <c r="G75" s="318">
        <v>7424</v>
      </c>
      <c r="H75" s="347"/>
    </row>
    <row r="76" spans="2:8">
      <c r="B76" s="347">
        <v>199907</v>
      </c>
      <c r="C76" s="316">
        <v>1999</v>
      </c>
      <c r="D76" s="317">
        <v>7</v>
      </c>
      <c r="E76" s="347" t="s">
        <v>120</v>
      </c>
      <c r="F76" s="318">
        <v>781757</v>
      </c>
      <c r="G76" s="318">
        <v>8374</v>
      </c>
      <c r="H76" s="347"/>
    </row>
    <row r="77" spans="2:8">
      <c r="B77" s="347">
        <v>199907</v>
      </c>
      <c r="C77" s="316">
        <v>1999</v>
      </c>
      <c r="D77" s="317">
        <v>7</v>
      </c>
      <c r="E77" s="347" t="s">
        <v>102</v>
      </c>
      <c r="F77" s="318">
        <v>3279799</v>
      </c>
      <c r="G77" s="318">
        <v>22992</v>
      </c>
      <c r="H77" s="347"/>
    </row>
    <row r="78" spans="2:8">
      <c r="B78" s="347">
        <v>199907</v>
      </c>
      <c r="C78" s="316">
        <v>1999</v>
      </c>
      <c r="D78" s="317">
        <v>7</v>
      </c>
      <c r="E78" s="347" t="s">
        <v>117</v>
      </c>
      <c r="F78" s="318">
        <v>5985565</v>
      </c>
      <c r="G78" s="318">
        <v>39501</v>
      </c>
      <c r="H78" s="347"/>
    </row>
    <row r="79" spans="2:8">
      <c r="B79" s="347">
        <v>199907</v>
      </c>
      <c r="C79" s="316">
        <v>1999</v>
      </c>
      <c r="D79" s="317">
        <v>7</v>
      </c>
      <c r="E79" s="347" t="s">
        <v>104</v>
      </c>
      <c r="F79" s="318">
        <v>539177</v>
      </c>
      <c r="G79" s="318">
        <v>4867</v>
      </c>
      <c r="H79" s="347"/>
    </row>
    <row r="80" spans="2:8">
      <c r="B80" s="347">
        <v>199907</v>
      </c>
      <c r="C80" s="316">
        <v>1999</v>
      </c>
      <c r="D80" s="317">
        <v>7</v>
      </c>
      <c r="E80" s="347" t="s">
        <v>34</v>
      </c>
      <c r="F80" s="318">
        <v>1918848</v>
      </c>
      <c r="G80" s="318">
        <v>16471</v>
      </c>
      <c r="H80" s="347"/>
    </row>
    <row r="81" spans="2:8">
      <c r="B81" s="347">
        <v>199907</v>
      </c>
      <c r="C81" s="316">
        <v>1999</v>
      </c>
      <c r="D81" s="317">
        <v>7</v>
      </c>
      <c r="E81" s="347" t="s">
        <v>118</v>
      </c>
      <c r="F81" s="318">
        <v>71813</v>
      </c>
      <c r="G81" s="318">
        <v>2265</v>
      </c>
      <c r="H81" s="347"/>
    </row>
    <row r="82" spans="2:8">
      <c r="B82" s="347">
        <v>199907</v>
      </c>
      <c r="C82" s="316">
        <v>1999</v>
      </c>
      <c r="D82" s="317">
        <v>7</v>
      </c>
      <c r="E82" s="347" t="s">
        <v>103</v>
      </c>
      <c r="F82" s="318">
        <v>1035893</v>
      </c>
      <c r="G82" s="318">
        <v>12747</v>
      </c>
      <c r="H82" s="347"/>
    </row>
    <row r="83" spans="2:8">
      <c r="B83" s="347">
        <v>199908</v>
      </c>
      <c r="C83" s="316">
        <v>1999</v>
      </c>
      <c r="D83" s="317">
        <v>8</v>
      </c>
      <c r="E83" s="347" t="s">
        <v>121</v>
      </c>
      <c r="F83" s="318">
        <v>223031</v>
      </c>
      <c r="G83" s="318">
        <v>6807</v>
      </c>
      <c r="H83" s="347"/>
    </row>
    <row r="84" spans="2:8">
      <c r="B84" s="347">
        <v>199908</v>
      </c>
      <c r="C84" s="316">
        <v>1999</v>
      </c>
      <c r="D84" s="317">
        <v>8</v>
      </c>
      <c r="E84" s="347" t="s">
        <v>212</v>
      </c>
      <c r="F84" s="318">
        <v>743634</v>
      </c>
      <c r="G84" s="318">
        <v>9001</v>
      </c>
      <c r="H84" s="347"/>
    </row>
    <row r="85" spans="2:8">
      <c r="B85" s="347">
        <v>199908</v>
      </c>
      <c r="C85" s="316">
        <v>1999</v>
      </c>
      <c r="D85" s="317">
        <v>8</v>
      </c>
      <c r="E85" s="347" t="s">
        <v>119</v>
      </c>
      <c r="F85" s="318">
        <v>526454</v>
      </c>
      <c r="G85" s="318">
        <v>7166</v>
      </c>
      <c r="H85" s="347"/>
    </row>
    <row r="86" spans="2:8">
      <c r="B86" s="347">
        <v>199908</v>
      </c>
      <c r="C86" s="316">
        <v>1999</v>
      </c>
      <c r="D86" s="317">
        <v>8</v>
      </c>
      <c r="E86" s="347" t="s">
        <v>120</v>
      </c>
      <c r="F86" s="318">
        <v>701032</v>
      </c>
      <c r="G86" s="318">
        <v>7983</v>
      </c>
      <c r="H86" s="347"/>
    </row>
    <row r="87" spans="2:8">
      <c r="B87" s="347">
        <v>199908</v>
      </c>
      <c r="C87" s="316">
        <v>1999</v>
      </c>
      <c r="D87" s="317">
        <v>8</v>
      </c>
      <c r="E87" s="347" t="s">
        <v>102</v>
      </c>
      <c r="F87" s="318">
        <v>3472217</v>
      </c>
      <c r="G87" s="318">
        <v>23748</v>
      </c>
      <c r="H87" s="347"/>
    </row>
    <row r="88" spans="2:8">
      <c r="B88" s="347">
        <v>199908</v>
      </c>
      <c r="C88" s="316">
        <v>1999</v>
      </c>
      <c r="D88" s="317">
        <v>8</v>
      </c>
      <c r="E88" s="347" t="s">
        <v>117</v>
      </c>
      <c r="F88" s="318">
        <v>5988166</v>
      </c>
      <c r="G88" s="318">
        <v>39377</v>
      </c>
      <c r="H88" s="347"/>
    </row>
    <row r="89" spans="2:8">
      <c r="B89" s="347">
        <v>199908</v>
      </c>
      <c r="C89" s="316">
        <v>1999</v>
      </c>
      <c r="D89" s="317">
        <v>8</v>
      </c>
      <c r="E89" s="347" t="s">
        <v>104</v>
      </c>
      <c r="F89" s="318">
        <v>603998</v>
      </c>
      <c r="G89" s="318">
        <v>5088</v>
      </c>
      <c r="H89" s="347"/>
    </row>
    <row r="90" spans="2:8">
      <c r="B90" s="347">
        <v>199908</v>
      </c>
      <c r="C90" s="316">
        <v>1999</v>
      </c>
      <c r="D90" s="317">
        <v>8</v>
      </c>
      <c r="E90" s="347" t="s">
        <v>34</v>
      </c>
      <c r="F90" s="318">
        <v>1954963</v>
      </c>
      <c r="G90" s="318">
        <v>16483</v>
      </c>
      <c r="H90" s="347"/>
    </row>
    <row r="91" spans="2:8">
      <c r="B91" s="347">
        <v>199908</v>
      </c>
      <c r="C91" s="316">
        <v>1999</v>
      </c>
      <c r="D91" s="317">
        <v>8</v>
      </c>
      <c r="E91" s="347" t="s">
        <v>118</v>
      </c>
      <c r="F91" s="318">
        <v>76290</v>
      </c>
      <c r="G91" s="318">
        <v>2347</v>
      </c>
      <c r="H91" s="347"/>
    </row>
    <row r="92" spans="2:8">
      <c r="B92" s="347">
        <v>199908</v>
      </c>
      <c r="C92" s="316">
        <v>1999</v>
      </c>
      <c r="D92" s="317">
        <v>8</v>
      </c>
      <c r="E92" s="347" t="s">
        <v>103</v>
      </c>
      <c r="F92" s="318">
        <v>1140366</v>
      </c>
      <c r="G92" s="318">
        <v>12897</v>
      </c>
      <c r="H92" s="347"/>
    </row>
    <row r="93" spans="2:8">
      <c r="B93" s="347">
        <v>199909</v>
      </c>
      <c r="C93" s="316">
        <v>1999</v>
      </c>
      <c r="D93" s="317">
        <v>9</v>
      </c>
      <c r="E93" s="347" t="s">
        <v>121</v>
      </c>
      <c r="F93" s="318">
        <v>220082</v>
      </c>
      <c r="G93" s="318">
        <v>6540</v>
      </c>
      <c r="H93" s="347"/>
    </row>
    <row r="94" spans="2:8">
      <c r="B94" s="347">
        <v>199909</v>
      </c>
      <c r="C94" s="316">
        <v>1999</v>
      </c>
      <c r="D94" s="317">
        <v>9</v>
      </c>
      <c r="E94" s="347" t="s">
        <v>212</v>
      </c>
      <c r="F94" s="318">
        <v>751392</v>
      </c>
      <c r="G94" s="318">
        <v>9272</v>
      </c>
      <c r="H94" s="347"/>
    </row>
    <row r="95" spans="2:8">
      <c r="B95" s="347">
        <v>199909</v>
      </c>
      <c r="C95" s="316">
        <v>1999</v>
      </c>
      <c r="D95" s="317">
        <v>9</v>
      </c>
      <c r="E95" s="347" t="s">
        <v>119</v>
      </c>
      <c r="F95" s="318">
        <v>487197</v>
      </c>
      <c r="G95" s="318">
        <v>7117</v>
      </c>
      <c r="H95" s="347"/>
    </row>
    <row r="96" spans="2:8">
      <c r="B96" s="347">
        <v>199909</v>
      </c>
      <c r="C96" s="316">
        <v>1999</v>
      </c>
      <c r="D96" s="317">
        <v>9</v>
      </c>
      <c r="E96" s="347" t="s">
        <v>120</v>
      </c>
      <c r="F96" s="318">
        <v>699480</v>
      </c>
      <c r="G96" s="318">
        <v>7855</v>
      </c>
      <c r="H96" s="347"/>
    </row>
    <row r="97" spans="2:8">
      <c r="B97" s="347">
        <v>199909</v>
      </c>
      <c r="C97" s="316">
        <v>1999</v>
      </c>
      <c r="D97" s="317">
        <v>9</v>
      </c>
      <c r="E97" s="347" t="s">
        <v>102</v>
      </c>
      <c r="F97" s="318">
        <v>3131881</v>
      </c>
      <c r="G97" s="318">
        <v>22543</v>
      </c>
      <c r="H97" s="347"/>
    </row>
    <row r="98" spans="2:8">
      <c r="B98" s="347">
        <v>199909</v>
      </c>
      <c r="C98" s="316">
        <v>1999</v>
      </c>
      <c r="D98" s="317">
        <v>9</v>
      </c>
      <c r="E98" s="347" t="s">
        <v>117</v>
      </c>
      <c r="F98" s="318">
        <v>5663053</v>
      </c>
      <c r="G98" s="318">
        <v>38174</v>
      </c>
      <c r="H98" s="347"/>
    </row>
    <row r="99" spans="2:8">
      <c r="B99" s="347">
        <v>199909</v>
      </c>
      <c r="C99" s="316">
        <v>1999</v>
      </c>
      <c r="D99" s="317">
        <v>9</v>
      </c>
      <c r="E99" s="347" t="s">
        <v>104</v>
      </c>
      <c r="F99" s="318">
        <v>559794</v>
      </c>
      <c r="G99" s="318">
        <v>4958</v>
      </c>
      <c r="H99" s="347"/>
    </row>
    <row r="100" spans="2:8">
      <c r="B100" s="347">
        <v>199909</v>
      </c>
      <c r="C100" s="316">
        <v>1999</v>
      </c>
      <c r="D100" s="317">
        <v>9</v>
      </c>
      <c r="E100" s="347" t="s">
        <v>34</v>
      </c>
      <c r="F100" s="318">
        <v>1905845</v>
      </c>
      <c r="G100" s="318">
        <v>16067</v>
      </c>
      <c r="H100" s="347"/>
    </row>
    <row r="101" spans="2:8">
      <c r="B101" s="347">
        <v>199909</v>
      </c>
      <c r="C101" s="316">
        <v>1999</v>
      </c>
      <c r="D101" s="317">
        <v>9</v>
      </c>
      <c r="E101" s="347" t="s">
        <v>118</v>
      </c>
      <c r="F101" s="318">
        <v>73441</v>
      </c>
      <c r="G101" s="318">
        <v>2141</v>
      </c>
      <c r="H101" s="347"/>
    </row>
    <row r="102" spans="2:8">
      <c r="B102" s="347">
        <v>199909</v>
      </c>
      <c r="C102" s="316">
        <v>1999</v>
      </c>
      <c r="D102" s="317">
        <v>9</v>
      </c>
      <c r="E102" s="347" t="s">
        <v>103</v>
      </c>
      <c r="F102" s="318">
        <v>998588</v>
      </c>
      <c r="G102" s="318">
        <v>12500</v>
      </c>
      <c r="H102" s="347"/>
    </row>
    <row r="103" spans="2:8">
      <c r="B103" s="347">
        <v>199910</v>
      </c>
      <c r="C103" s="316">
        <v>1999</v>
      </c>
      <c r="D103" s="317">
        <v>10</v>
      </c>
      <c r="E103" s="347" t="s">
        <v>121</v>
      </c>
      <c r="F103" s="318">
        <v>212913</v>
      </c>
      <c r="G103" s="318">
        <v>6337</v>
      </c>
      <c r="H103" s="347"/>
    </row>
    <row r="104" spans="2:8">
      <c r="B104" s="347">
        <v>199910</v>
      </c>
      <c r="C104" s="316">
        <v>1999</v>
      </c>
      <c r="D104" s="317">
        <v>10</v>
      </c>
      <c r="E104" s="347" t="s">
        <v>212</v>
      </c>
      <c r="F104" s="318">
        <v>710290</v>
      </c>
      <c r="G104" s="318">
        <v>9106</v>
      </c>
      <c r="H104" s="347"/>
    </row>
    <row r="105" spans="2:8">
      <c r="B105" s="347">
        <v>199910</v>
      </c>
      <c r="C105" s="316">
        <v>1999</v>
      </c>
      <c r="D105" s="317">
        <v>10</v>
      </c>
      <c r="E105" s="347" t="s">
        <v>119</v>
      </c>
      <c r="F105" s="318">
        <v>474661</v>
      </c>
      <c r="G105" s="318">
        <v>7100</v>
      </c>
      <c r="H105" s="347"/>
    </row>
    <row r="106" spans="2:8">
      <c r="B106" s="347">
        <v>199910</v>
      </c>
      <c r="C106" s="316">
        <v>1999</v>
      </c>
      <c r="D106" s="317">
        <v>10</v>
      </c>
      <c r="E106" s="347" t="s">
        <v>120</v>
      </c>
      <c r="F106" s="318">
        <v>664036</v>
      </c>
      <c r="G106" s="318">
        <v>7782</v>
      </c>
      <c r="H106" s="347"/>
    </row>
    <row r="107" spans="2:8">
      <c r="B107" s="347">
        <v>199910</v>
      </c>
      <c r="C107" s="316">
        <v>1999</v>
      </c>
      <c r="D107" s="317">
        <v>10</v>
      </c>
      <c r="E107" s="347" t="s">
        <v>102</v>
      </c>
      <c r="F107" s="318">
        <v>2794385</v>
      </c>
      <c r="G107" s="318">
        <v>21791</v>
      </c>
      <c r="H107" s="347"/>
    </row>
    <row r="108" spans="2:8">
      <c r="B108" s="347">
        <v>199910</v>
      </c>
      <c r="C108" s="316">
        <v>1999</v>
      </c>
      <c r="D108" s="317">
        <v>10</v>
      </c>
      <c r="E108" s="347" t="s">
        <v>117</v>
      </c>
      <c r="F108" s="318">
        <v>5602666</v>
      </c>
      <c r="G108" s="318">
        <v>38936</v>
      </c>
      <c r="H108" s="347"/>
    </row>
    <row r="109" spans="2:8">
      <c r="B109" s="347">
        <v>199910</v>
      </c>
      <c r="C109" s="316">
        <v>1999</v>
      </c>
      <c r="D109" s="317">
        <v>10</v>
      </c>
      <c r="E109" s="347" t="s">
        <v>104</v>
      </c>
      <c r="F109" s="318">
        <v>513208</v>
      </c>
      <c r="G109" s="318">
        <v>4540</v>
      </c>
      <c r="H109" s="347"/>
    </row>
    <row r="110" spans="2:8">
      <c r="B110" s="347">
        <v>199910</v>
      </c>
      <c r="C110" s="316">
        <v>1999</v>
      </c>
      <c r="D110" s="317">
        <v>10</v>
      </c>
      <c r="E110" s="347" t="s">
        <v>34</v>
      </c>
      <c r="F110" s="318">
        <v>1721005</v>
      </c>
      <c r="G110" s="318">
        <v>15362</v>
      </c>
      <c r="H110" s="347"/>
    </row>
    <row r="111" spans="2:8">
      <c r="B111" s="347">
        <v>199910</v>
      </c>
      <c r="C111" s="316">
        <v>1999</v>
      </c>
      <c r="D111" s="317">
        <v>10</v>
      </c>
      <c r="E111" s="347" t="s">
        <v>118</v>
      </c>
      <c r="F111" s="318">
        <v>66240</v>
      </c>
      <c r="G111" s="318">
        <v>2108</v>
      </c>
      <c r="H111" s="347"/>
    </row>
    <row r="112" spans="2:8">
      <c r="B112" s="347">
        <v>199910</v>
      </c>
      <c r="C112" s="316">
        <v>1999</v>
      </c>
      <c r="D112" s="317">
        <v>10</v>
      </c>
      <c r="E112" s="347" t="s">
        <v>103</v>
      </c>
      <c r="F112" s="318">
        <v>945770</v>
      </c>
      <c r="G112" s="318">
        <v>12310</v>
      </c>
      <c r="H112" s="347"/>
    </row>
    <row r="113" spans="2:8">
      <c r="B113" s="347">
        <v>199911</v>
      </c>
      <c r="C113" s="316">
        <v>1999</v>
      </c>
      <c r="D113" s="317">
        <v>11</v>
      </c>
      <c r="E113" s="347" t="s">
        <v>121</v>
      </c>
      <c r="F113" s="318">
        <v>186712</v>
      </c>
      <c r="G113" s="318">
        <v>6095</v>
      </c>
      <c r="H113" s="347"/>
    </row>
    <row r="114" spans="2:8">
      <c r="B114" s="347">
        <v>199911</v>
      </c>
      <c r="C114" s="316">
        <v>1999</v>
      </c>
      <c r="D114" s="317">
        <v>11</v>
      </c>
      <c r="E114" s="347" t="s">
        <v>212</v>
      </c>
      <c r="F114" s="318">
        <v>451527</v>
      </c>
      <c r="G114" s="318">
        <v>7906</v>
      </c>
      <c r="H114" s="347"/>
    </row>
    <row r="115" spans="2:8">
      <c r="B115" s="347">
        <v>199911</v>
      </c>
      <c r="C115" s="316">
        <v>1999</v>
      </c>
      <c r="D115" s="317">
        <v>11</v>
      </c>
      <c r="E115" s="347" t="s">
        <v>119</v>
      </c>
      <c r="F115" s="318">
        <v>406273</v>
      </c>
      <c r="G115" s="318">
        <v>6896</v>
      </c>
      <c r="H115" s="347"/>
    </row>
    <row r="116" spans="2:8">
      <c r="B116" s="347">
        <v>199911</v>
      </c>
      <c r="C116" s="316">
        <v>1999</v>
      </c>
      <c r="D116" s="317">
        <v>11</v>
      </c>
      <c r="E116" s="347" t="s">
        <v>120</v>
      </c>
      <c r="F116" s="318">
        <v>440361</v>
      </c>
      <c r="G116" s="318">
        <v>6497</v>
      </c>
      <c r="H116" s="347"/>
    </row>
    <row r="117" spans="2:8">
      <c r="B117" s="347">
        <v>199911</v>
      </c>
      <c r="C117" s="316">
        <v>1999</v>
      </c>
      <c r="D117" s="317">
        <v>11</v>
      </c>
      <c r="E117" s="347" t="s">
        <v>102</v>
      </c>
      <c r="F117" s="318">
        <v>1955256</v>
      </c>
      <c r="G117" s="318">
        <v>17995</v>
      </c>
      <c r="H117" s="347"/>
    </row>
    <row r="118" spans="2:8">
      <c r="B118" s="347">
        <v>199911</v>
      </c>
      <c r="C118" s="316">
        <v>1999</v>
      </c>
      <c r="D118" s="317">
        <v>11</v>
      </c>
      <c r="E118" s="347" t="s">
        <v>117</v>
      </c>
      <c r="F118" s="318">
        <v>4825282</v>
      </c>
      <c r="G118" s="318">
        <v>37146</v>
      </c>
      <c r="H118" s="347"/>
    </row>
    <row r="119" spans="2:8">
      <c r="B119" s="347">
        <v>199911</v>
      </c>
      <c r="C119" s="316">
        <v>1999</v>
      </c>
      <c r="D119" s="317">
        <v>11</v>
      </c>
      <c r="E119" s="347" t="s">
        <v>104</v>
      </c>
      <c r="F119" s="318">
        <v>372152</v>
      </c>
      <c r="G119" s="318">
        <v>3740</v>
      </c>
      <c r="H119" s="347"/>
    </row>
    <row r="120" spans="2:8">
      <c r="B120" s="347">
        <v>199911</v>
      </c>
      <c r="C120" s="316">
        <v>1999</v>
      </c>
      <c r="D120" s="317">
        <v>11</v>
      </c>
      <c r="E120" s="347" t="s">
        <v>34</v>
      </c>
      <c r="F120" s="318">
        <v>1094731</v>
      </c>
      <c r="G120" s="318">
        <v>12644</v>
      </c>
      <c r="H120" s="347"/>
    </row>
    <row r="121" spans="2:8">
      <c r="B121" s="347">
        <v>199911</v>
      </c>
      <c r="C121" s="316">
        <v>1999</v>
      </c>
      <c r="D121" s="317">
        <v>11</v>
      </c>
      <c r="E121" s="347" t="s">
        <v>118</v>
      </c>
      <c r="F121" s="318">
        <v>58103</v>
      </c>
      <c r="G121" s="318">
        <v>1882</v>
      </c>
      <c r="H121" s="347"/>
    </row>
    <row r="122" spans="2:8">
      <c r="B122" s="347">
        <v>199911</v>
      </c>
      <c r="C122" s="316">
        <v>1999</v>
      </c>
      <c r="D122" s="317">
        <v>11</v>
      </c>
      <c r="E122" s="347" t="s">
        <v>103</v>
      </c>
      <c r="F122" s="318">
        <v>708439</v>
      </c>
      <c r="G122" s="318">
        <v>10995</v>
      </c>
      <c r="H122" s="347"/>
    </row>
    <row r="123" spans="2:8">
      <c r="B123" s="347">
        <v>199912</v>
      </c>
      <c r="C123" s="316">
        <v>1999</v>
      </c>
      <c r="D123" s="317">
        <v>12</v>
      </c>
      <c r="E123" s="347" t="s">
        <v>121</v>
      </c>
      <c r="F123" s="318">
        <v>174447</v>
      </c>
      <c r="G123" s="318">
        <v>5917</v>
      </c>
      <c r="H123" s="347"/>
    </row>
    <row r="124" spans="2:8">
      <c r="B124" s="347">
        <v>199912</v>
      </c>
      <c r="C124" s="316">
        <v>1999</v>
      </c>
      <c r="D124" s="317">
        <v>12</v>
      </c>
      <c r="E124" s="347" t="s">
        <v>212</v>
      </c>
      <c r="F124" s="318">
        <v>385248</v>
      </c>
      <c r="G124" s="318">
        <v>7141</v>
      </c>
      <c r="H124" s="347"/>
    </row>
    <row r="125" spans="2:8">
      <c r="B125" s="347">
        <v>199912</v>
      </c>
      <c r="C125" s="316">
        <v>1999</v>
      </c>
      <c r="D125" s="317">
        <v>12</v>
      </c>
      <c r="E125" s="347" t="s">
        <v>119</v>
      </c>
      <c r="F125" s="318">
        <v>344842</v>
      </c>
      <c r="G125" s="318">
        <v>6190</v>
      </c>
      <c r="H125" s="347"/>
    </row>
    <row r="126" spans="2:8">
      <c r="B126" s="347">
        <v>199912</v>
      </c>
      <c r="C126" s="316">
        <v>1999</v>
      </c>
      <c r="D126" s="317">
        <v>12</v>
      </c>
      <c r="E126" s="347" t="s">
        <v>120</v>
      </c>
      <c r="F126" s="318">
        <v>391211</v>
      </c>
      <c r="G126" s="318">
        <v>6053</v>
      </c>
      <c r="H126" s="347"/>
    </row>
    <row r="127" spans="2:8">
      <c r="B127" s="347">
        <v>199912</v>
      </c>
      <c r="C127" s="316">
        <v>1999</v>
      </c>
      <c r="D127" s="317">
        <v>12</v>
      </c>
      <c r="E127" s="347" t="s">
        <v>102</v>
      </c>
      <c r="F127" s="318">
        <v>1823993</v>
      </c>
      <c r="G127" s="318">
        <v>18015</v>
      </c>
      <c r="H127" s="347"/>
    </row>
    <row r="128" spans="2:8">
      <c r="B128" s="347">
        <v>199912</v>
      </c>
      <c r="C128" s="316">
        <v>1999</v>
      </c>
      <c r="D128" s="317">
        <v>12</v>
      </c>
      <c r="E128" s="347" t="s">
        <v>117</v>
      </c>
      <c r="F128" s="318">
        <v>4421946</v>
      </c>
      <c r="G128" s="318">
        <v>35739</v>
      </c>
      <c r="H128" s="347"/>
    </row>
    <row r="129" spans="2:8">
      <c r="B129" s="347">
        <v>199912</v>
      </c>
      <c r="C129" s="316">
        <v>1999</v>
      </c>
      <c r="D129" s="317">
        <v>12</v>
      </c>
      <c r="E129" s="347" t="s">
        <v>104</v>
      </c>
      <c r="F129" s="318">
        <v>364537</v>
      </c>
      <c r="G129" s="318">
        <v>3897</v>
      </c>
      <c r="H129" s="347"/>
    </row>
    <row r="130" spans="2:8">
      <c r="B130" s="347">
        <v>199912</v>
      </c>
      <c r="C130" s="316">
        <v>1999</v>
      </c>
      <c r="D130" s="317">
        <v>12</v>
      </c>
      <c r="E130" s="347" t="s">
        <v>34</v>
      </c>
      <c r="F130" s="318">
        <v>938165</v>
      </c>
      <c r="G130" s="318">
        <v>11699</v>
      </c>
      <c r="H130" s="347"/>
    </row>
    <row r="131" spans="2:8">
      <c r="B131" s="347">
        <v>199912</v>
      </c>
      <c r="C131" s="316">
        <v>1999</v>
      </c>
      <c r="D131" s="317">
        <v>12</v>
      </c>
      <c r="E131" s="347" t="s">
        <v>118</v>
      </c>
      <c r="F131" s="318">
        <v>51973</v>
      </c>
      <c r="G131" s="318">
        <v>1785</v>
      </c>
      <c r="H131" s="347"/>
    </row>
    <row r="132" spans="2:8">
      <c r="B132" s="347">
        <v>199912</v>
      </c>
      <c r="C132" s="316">
        <v>1999</v>
      </c>
      <c r="D132" s="317">
        <v>12</v>
      </c>
      <c r="E132" s="347" t="s">
        <v>103</v>
      </c>
      <c r="F132" s="318">
        <v>659624</v>
      </c>
      <c r="G132" s="318">
        <v>10187</v>
      </c>
      <c r="H132" s="347"/>
    </row>
    <row r="133" spans="2:8">
      <c r="B133" s="347">
        <v>200001</v>
      </c>
      <c r="C133" s="316">
        <v>2000</v>
      </c>
      <c r="D133" s="317">
        <v>1</v>
      </c>
      <c r="E133" s="347" t="s">
        <v>121</v>
      </c>
      <c r="F133" s="318">
        <v>158780</v>
      </c>
      <c r="G133" s="318">
        <v>5754</v>
      </c>
      <c r="H133" s="347"/>
    </row>
    <row r="134" spans="2:8">
      <c r="B134" s="347">
        <v>200001</v>
      </c>
      <c r="C134" s="316">
        <v>2000</v>
      </c>
      <c r="D134" s="317">
        <v>1</v>
      </c>
      <c r="E134" s="347" t="s">
        <v>212</v>
      </c>
      <c r="F134" s="318">
        <v>392509</v>
      </c>
      <c r="G134" s="318">
        <v>7495</v>
      </c>
      <c r="H134" s="347"/>
    </row>
    <row r="135" spans="2:8">
      <c r="B135" s="347">
        <v>200001</v>
      </c>
      <c r="C135" s="316">
        <v>2000</v>
      </c>
      <c r="D135" s="317">
        <v>1</v>
      </c>
      <c r="E135" s="347" t="s">
        <v>119</v>
      </c>
      <c r="F135" s="318">
        <v>326789</v>
      </c>
      <c r="G135" s="318">
        <v>6540</v>
      </c>
      <c r="H135" s="347"/>
    </row>
    <row r="136" spans="2:8">
      <c r="B136" s="347">
        <v>200001</v>
      </c>
      <c r="C136" s="316">
        <v>2000</v>
      </c>
      <c r="D136" s="317">
        <v>1</v>
      </c>
      <c r="E136" s="347" t="s">
        <v>120</v>
      </c>
      <c r="F136" s="318">
        <v>383462</v>
      </c>
      <c r="G136" s="318">
        <v>6339</v>
      </c>
      <c r="H136" s="347"/>
    </row>
    <row r="137" spans="2:8">
      <c r="B137" s="347">
        <v>200001</v>
      </c>
      <c r="C137" s="316">
        <v>2000</v>
      </c>
      <c r="D137" s="317">
        <v>1</v>
      </c>
      <c r="E137" s="347" t="s">
        <v>102</v>
      </c>
      <c r="F137" s="318">
        <v>1833980</v>
      </c>
      <c r="G137" s="318">
        <v>18631</v>
      </c>
      <c r="H137" s="347"/>
    </row>
    <row r="138" spans="2:8">
      <c r="B138" s="347">
        <v>200001</v>
      </c>
      <c r="C138" s="316">
        <v>2000</v>
      </c>
      <c r="D138" s="317">
        <v>1</v>
      </c>
      <c r="E138" s="347" t="s">
        <v>117</v>
      </c>
      <c r="F138" s="318">
        <v>4305723</v>
      </c>
      <c r="G138" s="318">
        <v>37496</v>
      </c>
      <c r="H138" s="347"/>
    </row>
    <row r="139" spans="2:8">
      <c r="B139" s="347">
        <v>200001</v>
      </c>
      <c r="C139" s="316">
        <v>2000</v>
      </c>
      <c r="D139" s="317">
        <v>1</v>
      </c>
      <c r="E139" s="347" t="s">
        <v>104</v>
      </c>
      <c r="F139" s="318">
        <v>360527</v>
      </c>
      <c r="G139" s="318">
        <v>3878</v>
      </c>
      <c r="H139" s="347"/>
    </row>
    <row r="140" spans="2:8">
      <c r="B140" s="347">
        <v>200001</v>
      </c>
      <c r="C140" s="316">
        <v>2000</v>
      </c>
      <c r="D140" s="317">
        <v>1</v>
      </c>
      <c r="E140" s="347" t="s">
        <v>34</v>
      </c>
      <c r="F140" s="318">
        <v>971262</v>
      </c>
      <c r="G140" s="318">
        <v>12244</v>
      </c>
      <c r="H140" s="347"/>
    </row>
    <row r="141" spans="2:8">
      <c r="B141" s="347">
        <v>200001</v>
      </c>
      <c r="C141" s="316">
        <v>2000</v>
      </c>
      <c r="D141" s="317">
        <v>1</v>
      </c>
      <c r="E141" s="347" t="s">
        <v>118</v>
      </c>
      <c r="F141" s="318">
        <v>48735</v>
      </c>
      <c r="G141" s="318">
        <v>1949</v>
      </c>
      <c r="H141" s="347"/>
    </row>
    <row r="142" spans="2:8">
      <c r="B142" s="347">
        <v>200001</v>
      </c>
      <c r="C142" s="316">
        <v>2000</v>
      </c>
      <c r="D142" s="317">
        <v>1</v>
      </c>
      <c r="E142" s="347" t="s">
        <v>103</v>
      </c>
      <c r="F142" s="318">
        <v>602212</v>
      </c>
      <c r="G142" s="318">
        <v>10548</v>
      </c>
      <c r="H142" s="347"/>
    </row>
    <row r="143" spans="2:8">
      <c r="B143" s="347">
        <v>200002</v>
      </c>
      <c r="C143" s="316">
        <v>2000</v>
      </c>
      <c r="D143" s="317">
        <v>2</v>
      </c>
      <c r="E143" s="347" t="s">
        <v>121</v>
      </c>
      <c r="F143" s="318">
        <v>170174</v>
      </c>
      <c r="G143" s="318">
        <v>5754</v>
      </c>
      <c r="H143" s="347"/>
    </row>
    <row r="144" spans="2:8">
      <c r="B144" s="347">
        <v>200002</v>
      </c>
      <c r="C144" s="316">
        <v>2000</v>
      </c>
      <c r="D144" s="317">
        <v>2</v>
      </c>
      <c r="E144" s="347" t="s">
        <v>212</v>
      </c>
      <c r="F144" s="318">
        <v>452006</v>
      </c>
      <c r="G144" s="318">
        <v>7762</v>
      </c>
      <c r="H144" s="347"/>
    </row>
    <row r="145" spans="2:8">
      <c r="B145" s="347">
        <v>200002</v>
      </c>
      <c r="C145" s="316">
        <v>2000</v>
      </c>
      <c r="D145" s="317">
        <v>2</v>
      </c>
      <c r="E145" s="347" t="s">
        <v>119</v>
      </c>
      <c r="F145" s="318">
        <v>371162</v>
      </c>
      <c r="G145" s="318">
        <v>6735</v>
      </c>
      <c r="H145" s="347"/>
    </row>
    <row r="146" spans="2:8">
      <c r="B146" s="347">
        <v>200002</v>
      </c>
      <c r="C146" s="316">
        <v>2000</v>
      </c>
      <c r="D146" s="317">
        <v>2</v>
      </c>
      <c r="E146" s="347" t="s">
        <v>120</v>
      </c>
      <c r="F146" s="318">
        <v>410640</v>
      </c>
      <c r="G146" s="318">
        <v>6466</v>
      </c>
      <c r="H146" s="347"/>
    </row>
    <row r="147" spans="2:8">
      <c r="B147" s="347">
        <v>200002</v>
      </c>
      <c r="C147" s="316">
        <v>2000</v>
      </c>
      <c r="D147" s="317">
        <v>2</v>
      </c>
      <c r="E147" s="347" t="s">
        <v>102</v>
      </c>
      <c r="F147" s="318">
        <v>1926423</v>
      </c>
      <c r="G147" s="318">
        <v>18104</v>
      </c>
      <c r="H147" s="347"/>
    </row>
    <row r="148" spans="2:8">
      <c r="B148" s="347">
        <v>200002</v>
      </c>
      <c r="C148" s="316">
        <v>2000</v>
      </c>
      <c r="D148" s="317">
        <v>2</v>
      </c>
      <c r="E148" s="347" t="s">
        <v>117</v>
      </c>
      <c r="F148" s="318">
        <v>4477640</v>
      </c>
      <c r="G148" s="318">
        <v>36021</v>
      </c>
      <c r="H148" s="347"/>
    </row>
    <row r="149" spans="2:8">
      <c r="B149" s="347">
        <v>200002</v>
      </c>
      <c r="C149" s="316">
        <v>2000</v>
      </c>
      <c r="D149" s="317">
        <v>2</v>
      </c>
      <c r="E149" s="347" t="s">
        <v>104</v>
      </c>
      <c r="F149" s="318">
        <v>385929</v>
      </c>
      <c r="G149" s="318">
        <v>3803</v>
      </c>
      <c r="H149" s="347"/>
    </row>
    <row r="150" spans="2:8">
      <c r="B150" s="347">
        <v>200002</v>
      </c>
      <c r="C150" s="316">
        <v>2000</v>
      </c>
      <c r="D150" s="317">
        <v>2</v>
      </c>
      <c r="E150" s="347" t="s">
        <v>34</v>
      </c>
      <c r="F150" s="318">
        <v>1047246</v>
      </c>
      <c r="G150" s="318">
        <v>12238</v>
      </c>
      <c r="H150" s="347"/>
    </row>
    <row r="151" spans="2:8">
      <c r="B151" s="347">
        <v>200002</v>
      </c>
      <c r="C151" s="316">
        <v>2000</v>
      </c>
      <c r="D151" s="317">
        <v>2</v>
      </c>
      <c r="E151" s="347" t="s">
        <v>118</v>
      </c>
      <c r="F151" s="318">
        <v>56514</v>
      </c>
      <c r="G151" s="318">
        <v>2006</v>
      </c>
      <c r="H151" s="347"/>
    </row>
    <row r="152" spans="2:8">
      <c r="B152" s="347">
        <v>200002</v>
      </c>
      <c r="C152" s="316">
        <v>2000</v>
      </c>
      <c r="D152" s="317">
        <v>2</v>
      </c>
      <c r="E152" s="347" t="s">
        <v>103</v>
      </c>
      <c r="F152" s="318">
        <v>700405</v>
      </c>
      <c r="G152" s="318">
        <v>10371</v>
      </c>
      <c r="H152" s="347"/>
    </row>
    <row r="153" spans="2:8">
      <c r="B153" s="347">
        <v>200003</v>
      </c>
      <c r="C153" s="316">
        <v>2000</v>
      </c>
      <c r="D153" s="317">
        <v>3</v>
      </c>
      <c r="E153" s="347" t="s">
        <v>121</v>
      </c>
      <c r="F153" s="318">
        <v>195529</v>
      </c>
      <c r="G153" s="318">
        <v>6433</v>
      </c>
      <c r="H153" s="347"/>
    </row>
    <row r="154" spans="2:8">
      <c r="B154" s="347">
        <v>200003</v>
      </c>
      <c r="C154" s="316">
        <v>2000</v>
      </c>
      <c r="D154" s="317">
        <v>3</v>
      </c>
      <c r="E154" s="347" t="s">
        <v>212</v>
      </c>
      <c r="F154" s="318">
        <v>515545</v>
      </c>
      <c r="G154" s="318">
        <v>8619</v>
      </c>
      <c r="H154" s="347"/>
    </row>
    <row r="155" spans="2:8">
      <c r="B155" s="347">
        <v>200003</v>
      </c>
      <c r="C155" s="316">
        <v>2000</v>
      </c>
      <c r="D155" s="317">
        <v>3</v>
      </c>
      <c r="E155" s="347" t="s">
        <v>119</v>
      </c>
      <c r="F155" s="318">
        <v>436250</v>
      </c>
      <c r="G155" s="318">
        <v>7306</v>
      </c>
      <c r="H155" s="347"/>
    </row>
    <row r="156" spans="2:8">
      <c r="B156" s="347">
        <v>200003</v>
      </c>
      <c r="C156" s="316">
        <v>2000</v>
      </c>
      <c r="D156" s="317">
        <v>3</v>
      </c>
      <c r="E156" s="347" t="s">
        <v>120</v>
      </c>
      <c r="F156" s="318">
        <v>486989</v>
      </c>
      <c r="G156" s="318">
        <v>7131</v>
      </c>
      <c r="H156" s="347"/>
    </row>
    <row r="157" spans="2:8">
      <c r="B157" s="347">
        <v>200003</v>
      </c>
      <c r="C157" s="316">
        <v>2000</v>
      </c>
      <c r="D157" s="317">
        <v>3</v>
      </c>
      <c r="E157" s="347" t="s">
        <v>102</v>
      </c>
      <c r="F157" s="318">
        <v>2295411</v>
      </c>
      <c r="G157" s="318">
        <v>19571</v>
      </c>
      <c r="H157" s="347"/>
    </row>
    <row r="158" spans="2:8">
      <c r="B158" s="347">
        <v>200003</v>
      </c>
      <c r="C158" s="316">
        <v>2000</v>
      </c>
      <c r="D158" s="317">
        <v>3</v>
      </c>
      <c r="E158" s="347" t="s">
        <v>117</v>
      </c>
      <c r="F158" s="318">
        <v>5298265</v>
      </c>
      <c r="G158" s="318">
        <v>38639</v>
      </c>
      <c r="H158" s="347"/>
    </row>
    <row r="159" spans="2:8">
      <c r="B159" s="347">
        <v>200003</v>
      </c>
      <c r="C159" s="316">
        <v>2000</v>
      </c>
      <c r="D159" s="317">
        <v>3</v>
      </c>
      <c r="E159" s="347" t="s">
        <v>104</v>
      </c>
      <c r="F159" s="318">
        <v>429980</v>
      </c>
      <c r="G159" s="318">
        <v>4118</v>
      </c>
      <c r="H159" s="347"/>
    </row>
    <row r="160" spans="2:8">
      <c r="B160" s="347">
        <v>200003</v>
      </c>
      <c r="C160" s="316">
        <v>2000</v>
      </c>
      <c r="D160" s="317">
        <v>3</v>
      </c>
      <c r="E160" s="347" t="s">
        <v>34</v>
      </c>
      <c r="F160" s="318">
        <v>1194616</v>
      </c>
      <c r="G160" s="318">
        <v>13370</v>
      </c>
      <c r="H160" s="347"/>
    </row>
    <row r="161" spans="2:8">
      <c r="B161" s="347">
        <v>200003</v>
      </c>
      <c r="C161" s="316">
        <v>2000</v>
      </c>
      <c r="D161" s="317">
        <v>3</v>
      </c>
      <c r="E161" s="347" t="s">
        <v>118</v>
      </c>
      <c r="F161" s="318">
        <v>66234</v>
      </c>
      <c r="G161" s="318">
        <v>2243</v>
      </c>
      <c r="H161" s="347"/>
    </row>
    <row r="162" spans="2:8">
      <c r="B162" s="347">
        <v>200003</v>
      </c>
      <c r="C162" s="316">
        <v>2000</v>
      </c>
      <c r="D162" s="317">
        <v>3</v>
      </c>
      <c r="E162" s="347" t="s">
        <v>103</v>
      </c>
      <c r="F162" s="318">
        <v>848584</v>
      </c>
      <c r="G162" s="318">
        <v>11361</v>
      </c>
      <c r="H162" s="347"/>
    </row>
    <row r="163" spans="2:8">
      <c r="B163" s="347">
        <v>200004</v>
      </c>
      <c r="C163" s="316">
        <v>2000</v>
      </c>
      <c r="D163" s="317">
        <v>4</v>
      </c>
      <c r="E163" s="347" t="s">
        <v>121</v>
      </c>
      <c r="F163" s="318">
        <v>191316</v>
      </c>
      <c r="G163" s="318">
        <v>5900</v>
      </c>
      <c r="H163" s="347"/>
    </row>
    <row r="164" spans="2:8">
      <c r="B164" s="347">
        <v>200004</v>
      </c>
      <c r="C164" s="316">
        <v>2000</v>
      </c>
      <c r="D164" s="317">
        <v>4</v>
      </c>
      <c r="E164" s="347" t="s">
        <v>212</v>
      </c>
      <c r="F164" s="318">
        <v>505247</v>
      </c>
      <c r="G164" s="318">
        <v>8209</v>
      </c>
      <c r="H164" s="347"/>
    </row>
    <row r="165" spans="2:8">
      <c r="B165" s="347">
        <v>200004</v>
      </c>
      <c r="C165" s="316">
        <v>2000</v>
      </c>
      <c r="D165" s="317">
        <v>4</v>
      </c>
      <c r="E165" s="347" t="s">
        <v>119</v>
      </c>
      <c r="F165" s="318">
        <v>423543</v>
      </c>
      <c r="G165" s="318">
        <v>6482</v>
      </c>
      <c r="H165" s="347"/>
    </row>
    <row r="166" spans="2:8">
      <c r="B166" s="347">
        <v>200004</v>
      </c>
      <c r="C166" s="316">
        <v>2000</v>
      </c>
      <c r="D166" s="317">
        <v>4</v>
      </c>
      <c r="E166" s="347" t="s">
        <v>120</v>
      </c>
      <c r="F166" s="318">
        <v>512735</v>
      </c>
      <c r="G166" s="318">
        <v>6690</v>
      </c>
      <c r="H166" s="347"/>
    </row>
    <row r="167" spans="2:8">
      <c r="B167" s="347">
        <v>200004</v>
      </c>
      <c r="C167" s="316">
        <v>2000</v>
      </c>
      <c r="D167" s="317">
        <v>4</v>
      </c>
      <c r="E167" s="347" t="s">
        <v>102</v>
      </c>
      <c r="F167" s="318">
        <v>2521670</v>
      </c>
      <c r="G167" s="318">
        <v>19711</v>
      </c>
      <c r="H167" s="347"/>
    </row>
    <row r="168" spans="2:8">
      <c r="B168" s="347">
        <v>200004</v>
      </c>
      <c r="C168" s="316">
        <v>2000</v>
      </c>
      <c r="D168" s="317">
        <v>4</v>
      </c>
      <c r="E168" s="347" t="s">
        <v>117</v>
      </c>
      <c r="F168" s="318">
        <v>5450925</v>
      </c>
      <c r="G168" s="318">
        <v>37862</v>
      </c>
      <c r="H168" s="347"/>
    </row>
    <row r="169" spans="2:8">
      <c r="B169" s="347">
        <v>200004</v>
      </c>
      <c r="C169" s="316">
        <v>2000</v>
      </c>
      <c r="D169" s="317">
        <v>4</v>
      </c>
      <c r="E169" s="347" t="s">
        <v>104</v>
      </c>
      <c r="F169" s="318">
        <v>461453</v>
      </c>
      <c r="G169" s="318">
        <v>4238</v>
      </c>
      <c r="H169" s="347"/>
    </row>
    <row r="170" spans="2:8">
      <c r="B170" s="347">
        <v>200004</v>
      </c>
      <c r="C170" s="316">
        <v>2000</v>
      </c>
      <c r="D170" s="317">
        <v>4</v>
      </c>
      <c r="E170" s="347" t="s">
        <v>34</v>
      </c>
      <c r="F170" s="318">
        <v>1297703</v>
      </c>
      <c r="G170" s="318">
        <v>13251</v>
      </c>
      <c r="H170" s="347"/>
    </row>
    <row r="171" spans="2:8">
      <c r="B171" s="347">
        <v>200004</v>
      </c>
      <c r="C171" s="316">
        <v>2000</v>
      </c>
      <c r="D171" s="317">
        <v>4</v>
      </c>
      <c r="E171" s="347" t="s">
        <v>118</v>
      </c>
      <c r="F171" s="318">
        <v>68309</v>
      </c>
      <c r="G171" s="318">
        <v>2261</v>
      </c>
      <c r="H171" s="347"/>
    </row>
    <row r="172" spans="2:8">
      <c r="B172" s="347">
        <v>200004</v>
      </c>
      <c r="C172" s="316">
        <v>2000</v>
      </c>
      <c r="D172" s="317">
        <v>4</v>
      </c>
      <c r="E172" s="347" t="s">
        <v>103</v>
      </c>
      <c r="F172" s="318">
        <v>931644</v>
      </c>
      <c r="G172" s="318">
        <v>10789</v>
      </c>
      <c r="H172" s="347"/>
    </row>
    <row r="173" spans="2:8">
      <c r="B173" s="347">
        <v>200005</v>
      </c>
      <c r="C173" s="316">
        <v>2000</v>
      </c>
      <c r="D173" s="317">
        <v>5</v>
      </c>
      <c r="E173" s="347" t="s">
        <v>121</v>
      </c>
      <c r="F173" s="318">
        <v>209829</v>
      </c>
      <c r="G173" s="318">
        <v>6858</v>
      </c>
      <c r="H173" s="347"/>
    </row>
    <row r="174" spans="2:8">
      <c r="B174" s="347">
        <v>200005</v>
      </c>
      <c r="C174" s="316">
        <v>2000</v>
      </c>
      <c r="D174" s="317">
        <v>5</v>
      </c>
      <c r="E174" s="347" t="s">
        <v>212</v>
      </c>
      <c r="F174" s="318">
        <v>720057</v>
      </c>
      <c r="G174" s="318">
        <v>9901</v>
      </c>
      <c r="H174" s="347"/>
    </row>
    <row r="175" spans="2:8">
      <c r="B175" s="347">
        <v>200005</v>
      </c>
      <c r="C175" s="316">
        <v>2000</v>
      </c>
      <c r="D175" s="317">
        <v>5</v>
      </c>
      <c r="E175" s="347" t="s">
        <v>119</v>
      </c>
      <c r="F175" s="318">
        <v>465488</v>
      </c>
      <c r="G175" s="318">
        <v>7122</v>
      </c>
      <c r="H175" s="347"/>
    </row>
    <row r="176" spans="2:8">
      <c r="B176" s="347">
        <v>200005</v>
      </c>
      <c r="C176" s="316">
        <v>2000</v>
      </c>
      <c r="D176" s="317">
        <v>5</v>
      </c>
      <c r="E176" s="347" t="s">
        <v>120</v>
      </c>
      <c r="F176" s="318">
        <v>620831</v>
      </c>
      <c r="G176" s="318">
        <v>7695</v>
      </c>
      <c r="H176" s="347"/>
    </row>
    <row r="177" spans="2:8">
      <c r="B177" s="347">
        <v>200005</v>
      </c>
      <c r="C177" s="316">
        <v>2000</v>
      </c>
      <c r="D177" s="317">
        <v>5</v>
      </c>
      <c r="E177" s="347" t="s">
        <v>102</v>
      </c>
      <c r="F177" s="318">
        <v>2796222</v>
      </c>
      <c r="G177" s="318">
        <v>22233</v>
      </c>
      <c r="H177" s="347"/>
    </row>
    <row r="178" spans="2:8">
      <c r="B178" s="347">
        <v>200005</v>
      </c>
      <c r="C178" s="316">
        <v>2000</v>
      </c>
      <c r="D178" s="317">
        <v>5</v>
      </c>
      <c r="E178" s="347" t="s">
        <v>117</v>
      </c>
      <c r="F178" s="318">
        <v>5461966</v>
      </c>
      <c r="G178" s="318">
        <v>39590</v>
      </c>
      <c r="H178" s="347"/>
    </row>
    <row r="179" spans="2:8">
      <c r="B179" s="347">
        <v>200005</v>
      </c>
      <c r="C179" s="316">
        <v>2000</v>
      </c>
      <c r="D179" s="317">
        <v>5</v>
      </c>
      <c r="E179" s="347" t="s">
        <v>104</v>
      </c>
      <c r="F179" s="318">
        <v>558565</v>
      </c>
      <c r="G179" s="318">
        <v>5117</v>
      </c>
      <c r="H179" s="347"/>
    </row>
    <row r="180" spans="2:8">
      <c r="B180" s="347">
        <v>200005</v>
      </c>
      <c r="C180" s="316">
        <v>2000</v>
      </c>
      <c r="D180" s="317">
        <v>5</v>
      </c>
      <c r="E180" s="347" t="s">
        <v>34</v>
      </c>
      <c r="F180" s="318">
        <v>1706634</v>
      </c>
      <c r="G180" s="318">
        <v>16268</v>
      </c>
      <c r="H180" s="347"/>
    </row>
    <row r="181" spans="2:8">
      <c r="B181" s="347">
        <v>200005</v>
      </c>
      <c r="C181" s="316">
        <v>2000</v>
      </c>
      <c r="D181" s="317">
        <v>5</v>
      </c>
      <c r="E181" s="347" t="s">
        <v>118</v>
      </c>
      <c r="F181" s="318">
        <v>76284</v>
      </c>
      <c r="G181" s="318">
        <v>2413</v>
      </c>
      <c r="H181" s="347"/>
    </row>
    <row r="182" spans="2:8">
      <c r="B182" s="347">
        <v>200005</v>
      </c>
      <c r="C182" s="316">
        <v>2000</v>
      </c>
      <c r="D182" s="317">
        <v>5</v>
      </c>
      <c r="E182" s="347" t="s">
        <v>103</v>
      </c>
      <c r="F182" s="318">
        <v>958966</v>
      </c>
      <c r="G182" s="318">
        <v>12108</v>
      </c>
      <c r="H182" s="347"/>
    </row>
    <row r="183" spans="2:8">
      <c r="B183" s="347">
        <v>200006</v>
      </c>
      <c r="C183" s="316">
        <v>2000</v>
      </c>
      <c r="D183" s="317">
        <v>6</v>
      </c>
      <c r="E183" s="347" t="s">
        <v>121</v>
      </c>
      <c r="F183" s="318">
        <v>219285</v>
      </c>
      <c r="G183" s="318">
        <v>6714</v>
      </c>
      <c r="H183" s="347"/>
    </row>
    <row r="184" spans="2:8">
      <c r="B184" s="347">
        <v>200006</v>
      </c>
      <c r="C184" s="316">
        <v>2000</v>
      </c>
      <c r="D184" s="317">
        <v>6</v>
      </c>
      <c r="E184" s="347" t="s">
        <v>212</v>
      </c>
      <c r="F184" s="318">
        <v>773928</v>
      </c>
      <c r="G184" s="318">
        <v>9952</v>
      </c>
      <c r="H184" s="347"/>
    </row>
    <row r="185" spans="2:8">
      <c r="B185" s="347">
        <v>200006</v>
      </c>
      <c r="C185" s="316">
        <v>2000</v>
      </c>
      <c r="D185" s="317">
        <v>6</v>
      </c>
      <c r="E185" s="347" t="s">
        <v>119</v>
      </c>
      <c r="F185" s="318">
        <v>505297</v>
      </c>
      <c r="G185" s="318">
        <v>7267</v>
      </c>
      <c r="H185" s="347"/>
    </row>
    <row r="186" spans="2:8">
      <c r="B186" s="347">
        <v>200006</v>
      </c>
      <c r="C186" s="316">
        <v>2000</v>
      </c>
      <c r="D186" s="317">
        <v>6</v>
      </c>
      <c r="E186" s="347" t="s">
        <v>120</v>
      </c>
      <c r="F186" s="318">
        <v>720699</v>
      </c>
      <c r="G186" s="318">
        <v>7965</v>
      </c>
      <c r="H186" s="347"/>
    </row>
    <row r="187" spans="2:8">
      <c r="B187" s="347">
        <v>200006</v>
      </c>
      <c r="C187" s="316">
        <v>2000</v>
      </c>
      <c r="D187" s="317">
        <v>6</v>
      </c>
      <c r="E187" s="347" t="s">
        <v>102</v>
      </c>
      <c r="F187" s="318">
        <v>3116566</v>
      </c>
      <c r="G187" s="318">
        <v>22179</v>
      </c>
      <c r="H187" s="347"/>
    </row>
    <row r="188" spans="2:8">
      <c r="B188" s="347">
        <v>200006</v>
      </c>
      <c r="C188" s="316">
        <v>2000</v>
      </c>
      <c r="D188" s="317">
        <v>6</v>
      </c>
      <c r="E188" s="347" t="s">
        <v>117</v>
      </c>
      <c r="F188" s="318">
        <v>5678087</v>
      </c>
      <c r="G188" s="318">
        <v>38040</v>
      </c>
      <c r="H188" s="347"/>
    </row>
    <row r="189" spans="2:8">
      <c r="B189" s="347">
        <v>200006</v>
      </c>
      <c r="C189" s="316">
        <v>2000</v>
      </c>
      <c r="D189" s="317">
        <v>6</v>
      </c>
      <c r="E189" s="347" t="s">
        <v>104</v>
      </c>
      <c r="F189" s="318">
        <v>591035</v>
      </c>
      <c r="G189" s="318">
        <v>5010</v>
      </c>
      <c r="H189" s="347"/>
    </row>
    <row r="190" spans="2:8">
      <c r="B190" s="347">
        <v>200006</v>
      </c>
      <c r="C190" s="316">
        <v>2000</v>
      </c>
      <c r="D190" s="317">
        <v>6</v>
      </c>
      <c r="E190" s="347" t="s">
        <v>34</v>
      </c>
      <c r="F190" s="318">
        <v>1879675</v>
      </c>
      <c r="G190" s="318">
        <v>16508</v>
      </c>
      <c r="H190" s="347"/>
    </row>
    <row r="191" spans="2:8">
      <c r="B191" s="347">
        <v>200006</v>
      </c>
      <c r="C191" s="316">
        <v>2000</v>
      </c>
      <c r="D191" s="317">
        <v>6</v>
      </c>
      <c r="E191" s="347" t="s">
        <v>118</v>
      </c>
      <c r="F191" s="318">
        <v>79129</v>
      </c>
      <c r="G191" s="318">
        <v>2468</v>
      </c>
      <c r="H191" s="347"/>
    </row>
    <row r="192" spans="2:8">
      <c r="B192" s="347">
        <v>200006</v>
      </c>
      <c r="C192" s="316">
        <v>2000</v>
      </c>
      <c r="D192" s="317">
        <v>6</v>
      </c>
      <c r="E192" s="347" t="s">
        <v>103</v>
      </c>
      <c r="F192" s="318">
        <v>1079533</v>
      </c>
      <c r="G192" s="318">
        <v>12449</v>
      </c>
      <c r="H192" s="347"/>
    </row>
    <row r="193" spans="2:8">
      <c r="B193" s="347">
        <v>200007</v>
      </c>
      <c r="C193" s="316">
        <v>2000</v>
      </c>
      <c r="D193" s="317">
        <v>7</v>
      </c>
      <c r="E193" s="347" t="s">
        <v>121</v>
      </c>
      <c r="F193" s="318">
        <v>235757</v>
      </c>
      <c r="G193" s="318">
        <v>6583</v>
      </c>
      <c r="H193" s="347"/>
    </row>
    <row r="194" spans="2:8">
      <c r="B194" s="347">
        <v>200007</v>
      </c>
      <c r="C194" s="316">
        <v>2000</v>
      </c>
      <c r="D194" s="317">
        <v>7</v>
      </c>
      <c r="E194" s="347" t="s">
        <v>212</v>
      </c>
      <c r="F194" s="318">
        <v>807872</v>
      </c>
      <c r="G194" s="318">
        <v>10308</v>
      </c>
      <c r="H194" s="347"/>
    </row>
    <row r="195" spans="2:8">
      <c r="B195" s="347">
        <v>200007</v>
      </c>
      <c r="C195" s="316">
        <v>2000</v>
      </c>
      <c r="D195" s="317">
        <v>7</v>
      </c>
      <c r="E195" s="347" t="s">
        <v>119</v>
      </c>
      <c r="F195" s="318">
        <v>561371</v>
      </c>
      <c r="G195" s="318">
        <v>7599</v>
      </c>
      <c r="H195" s="347"/>
    </row>
    <row r="196" spans="2:8">
      <c r="B196" s="347">
        <v>200007</v>
      </c>
      <c r="C196" s="316">
        <v>2000</v>
      </c>
      <c r="D196" s="317">
        <v>7</v>
      </c>
      <c r="E196" s="347" t="s">
        <v>120</v>
      </c>
      <c r="F196" s="318">
        <v>805723</v>
      </c>
      <c r="G196" s="318">
        <v>8418</v>
      </c>
      <c r="H196" s="347"/>
    </row>
    <row r="197" spans="2:8">
      <c r="B197" s="347">
        <v>200007</v>
      </c>
      <c r="C197" s="316">
        <v>2000</v>
      </c>
      <c r="D197" s="317">
        <v>7</v>
      </c>
      <c r="E197" s="347" t="s">
        <v>102</v>
      </c>
      <c r="F197" s="318">
        <v>3475498</v>
      </c>
      <c r="G197" s="318">
        <v>23822</v>
      </c>
      <c r="H197" s="347"/>
    </row>
    <row r="198" spans="2:8">
      <c r="B198" s="347">
        <v>200007</v>
      </c>
      <c r="C198" s="316">
        <v>2000</v>
      </c>
      <c r="D198" s="317">
        <v>7</v>
      </c>
      <c r="E198" s="347" t="s">
        <v>117</v>
      </c>
      <c r="F198" s="318">
        <v>6288211</v>
      </c>
      <c r="G198" s="318">
        <v>40115</v>
      </c>
      <c r="H198" s="347"/>
    </row>
    <row r="199" spans="2:8">
      <c r="B199" s="347">
        <v>200007</v>
      </c>
      <c r="C199" s="316">
        <v>2000</v>
      </c>
      <c r="D199" s="317">
        <v>7</v>
      </c>
      <c r="E199" s="347" t="s">
        <v>104</v>
      </c>
      <c r="F199" s="318">
        <v>628767</v>
      </c>
      <c r="G199" s="318">
        <v>5219</v>
      </c>
      <c r="H199" s="347"/>
    </row>
    <row r="200" spans="2:8">
      <c r="B200" s="347">
        <v>200007</v>
      </c>
      <c r="C200" s="316">
        <v>2000</v>
      </c>
      <c r="D200" s="317">
        <v>7</v>
      </c>
      <c r="E200" s="347" t="s">
        <v>34</v>
      </c>
      <c r="F200" s="318">
        <v>2029812</v>
      </c>
      <c r="G200" s="318">
        <v>17253</v>
      </c>
      <c r="H200" s="347"/>
    </row>
    <row r="201" spans="2:8">
      <c r="B201" s="347">
        <v>200007</v>
      </c>
      <c r="C201" s="316">
        <v>2000</v>
      </c>
      <c r="D201" s="317">
        <v>7</v>
      </c>
      <c r="E201" s="347" t="s">
        <v>118</v>
      </c>
      <c r="F201" s="318">
        <v>82148</v>
      </c>
      <c r="G201" s="318">
        <v>2584</v>
      </c>
      <c r="H201" s="347"/>
    </row>
    <row r="202" spans="2:8">
      <c r="B202" s="347">
        <v>200007</v>
      </c>
      <c r="C202" s="316">
        <v>2000</v>
      </c>
      <c r="D202" s="317">
        <v>7</v>
      </c>
      <c r="E202" s="347" t="s">
        <v>103</v>
      </c>
      <c r="F202" s="318">
        <v>1292717</v>
      </c>
      <c r="G202" s="318">
        <v>13715</v>
      </c>
      <c r="H202" s="347"/>
    </row>
    <row r="203" spans="2:8">
      <c r="B203" s="347">
        <v>200008</v>
      </c>
      <c r="C203" s="316">
        <v>2000</v>
      </c>
      <c r="D203" s="317">
        <v>8</v>
      </c>
      <c r="E203" s="347" t="s">
        <v>121</v>
      </c>
      <c r="F203" s="318">
        <v>228719</v>
      </c>
      <c r="G203" s="318">
        <v>7165</v>
      </c>
      <c r="H203" s="347"/>
    </row>
    <row r="204" spans="2:8">
      <c r="B204" s="347">
        <v>200008</v>
      </c>
      <c r="C204" s="316">
        <v>2000</v>
      </c>
      <c r="D204" s="317">
        <v>8</v>
      </c>
      <c r="E204" s="347" t="s">
        <v>212</v>
      </c>
      <c r="F204" s="318">
        <v>820563</v>
      </c>
      <c r="G204" s="318">
        <v>10141</v>
      </c>
      <c r="H204" s="347"/>
    </row>
    <row r="205" spans="2:8">
      <c r="B205" s="347">
        <v>200008</v>
      </c>
      <c r="C205" s="316">
        <v>2000</v>
      </c>
      <c r="D205" s="317">
        <v>8</v>
      </c>
      <c r="E205" s="347" t="s">
        <v>119</v>
      </c>
      <c r="F205" s="318">
        <v>549622</v>
      </c>
      <c r="G205" s="318">
        <v>7713</v>
      </c>
      <c r="H205" s="347"/>
    </row>
    <row r="206" spans="2:8">
      <c r="B206" s="347">
        <v>200008</v>
      </c>
      <c r="C206" s="316">
        <v>2000</v>
      </c>
      <c r="D206" s="317">
        <v>8</v>
      </c>
      <c r="E206" s="347" t="s">
        <v>120</v>
      </c>
      <c r="F206" s="318">
        <v>704823</v>
      </c>
      <c r="G206" s="318">
        <v>8106</v>
      </c>
      <c r="H206" s="347"/>
    </row>
    <row r="207" spans="2:8">
      <c r="B207" s="347">
        <v>200008</v>
      </c>
      <c r="C207" s="316">
        <v>2000</v>
      </c>
      <c r="D207" s="317">
        <v>8</v>
      </c>
      <c r="E207" s="347" t="s">
        <v>102</v>
      </c>
      <c r="F207" s="318">
        <v>3618382</v>
      </c>
      <c r="G207" s="318">
        <v>24393</v>
      </c>
      <c r="H207" s="347"/>
    </row>
    <row r="208" spans="2:8">
      <c r="B208" s="347">
        <v>200008</v>
      </c>
      <c r="C208" s="316">
        <v>2000</v>
      </c>
      <c r="D208" s="317">
        <v>8</v>
      </c>
      <c r="E208" s="347" t="s">
        <v>117</v>
      </c>
      <c r="F208" s="318">
        <v>6151788</v>
      </c>
      <c r="G208" s="318">
        <v>40197</v>
      </c>
      <c r="H208" s="347"/>
    </row>
    <row r="209" spans="2:8">
      <c r="B209" s="347">
        <v>200008</v>
      </c>
      <c r="C209" s="316">
        <v>2000</v>
      </c>
      <c r="D209" s="317">
        <v>8</v>
      </c>
      <c r="E209" s="347" t="s">
        <v>104</v>
      </c>
      <c r="F209" s="318">
        <v>662668</v>
      </c>
      <c r="G209" s="318">
        <v>5284</v>
      </c>
      <c r="H209" s="347"/>
    </row>
    <row r="210" spans="2:8">
      <c r="B210" s="347">
        <v>200008</v>
      </c>
      <c r="C210" s="316">
        <v>2000</v>
      </c>
      <c r="D210" s="317">
        <v>8</v>
      </c>
      <c r="E210" s="347" t="s">
        <v>34</v>
      </c>
      <c r="F210" s="318">
        <v>2083173</v>
      </c>
      <c r="G210" s="318">
        <v>17643</v>
      </c>
      <c r="H210" s="347"/>
    </row>
    <row r="211" spans="2:8">
      <c r="B211" s="347">
        <v>200008</v>
      </c>
      <c r="C211" s="316">
        <v>2000</v>
      </c>
      <c r="D211" s="317">
        <v>8</v>
      </c>
      <c r="E211" s="347" t="s">
        <v>118</v>
      </c>
      <c r="F211" s="318">
        <v>86507</v>
      </c>
      <c r="G211" s="318">
        <v>2715</v>
      </c>
      <c r="H211" s="347"/>
    </row>
    <row r="212" spans="2:8">
      <c r="B212" s="347">
        <v>200008</v>
      </c>
      <c r="C212" s="316">
        <v>2000</v>
      </c>
      <c r="D212" s="317">
        <v>8</v>
      </c>
      <c r="E212" s="347" t="s">
        <v>103</v>
      </c>
      <c r="F212" s="318">
        <v>1335311</v>
      </c>
      <c r="G212" s="318">
        <v>13835</v>
      </c>
      <c r="H212" s="347"/>
    </row>
    <row r="213" spans="2:8">
      <c r="B213" s="347">
        <v>200009</v>
      </c>
      <c r="C213" s="316">
        <v>2000</v>
      </c>
      <c r="D213" s="317">
        <v>9</v>
      </c>
      <c r="E213" s="347" t="s">
        <v>121</v>
      </c>
      <c r="F213" s="318">
        <v>221497</v>
      </c>
      <c r="G213" s="318">
        <v>6693</v>
      </c>
      <c r="H213" s="347"/>
    </row>
    <row r="214" spans="2:8">
      <c r="B214" s="347">
        <v>200009</v>
      </c>
      <c r="C214" s="316">
        <v>2000</v>
      </c>
      <c r="D214" s="317">
        <v>9</v>
      </c>
      <c r="E214" s="347" t="s">
        <v>212</v>
      </c>
      <c r="F214" s="318">
        <v>835429</v>
      </c>
      <c r="G214" s="318">
        <v>10166</v>
      </c>
      <c r="H214" s="347"/>
    </row>
    <row r="215" spans="2:8">
      <c r="B215" s="347">
        <v>200009</v>
      </c>
      <c r="C215" s="316">
        <v>2000</v>
      </c>
      <c r="D215" s="317">
        <v>9</v>
      </c>
      <c r="E215" s="347" t="s">
        <v>119</v>
      </c>
      <c r="F215" s="318">
        <v>507179</v>
      </c>
      <c r="G215" s="318">
        <v>7455</v>
      </c>
      <c r="H215" s="347"/>
    </row>
    <row r="216" spans="2:8">
      <c r="B216" s="347">
        <v>200009</v>
      </c>
      <c r="C216" s="316">
        <v>2000</v>
      </c>
      <c r="D216" s="317">
        <v>9</v>
      </c>
      <c r="E216" s="347" t="s">
        <v>120</v>
      </c>
      <c r="F216" s="318">
        <v>698431</v>
      </c>
      <c r="G216" s="318">
        <v>7819</v>
      </c>
      <c r="H216" s="347"/>
    </row>
    <row r="217" spans="2:8">
      <c r="B217" s="347">
        <v>200009</v>
      </c>
      <c r="C217" s="316">
        <v>2000</v>
      </c>
      <c r="D217" s="317">
        <v>9</v>
      </c>
      <c r="E217" s="347" t="s">
        <v>102</v>
      </c>
      <c r="F217" s="318">
        <v>3366835</v>
      </c>
      <c r="G217" s="318">
        <v>23443</v>
      </c>
      <c r="H217" s="347"/>
    </row>
    <row r="218" spans="2:8">
      <c r="B218" s="347">
        <v>200009</v>
      </c>
      <c r="C218" s="316">
        <v>2000</v>
      </c>
      <c r="D218" s="317">
        <v>9</v>
      </c>
      <c r="E218" s="347" t="s">
        <v>117</v>
      </c>
      <c r="F218" s="318">
        <v>5872729</v>
      </c>
      <c r="G218" s="318">
        <v>38766</v>
      </c>
      <c r="H218" s="347"/>
    </row>
    <row r="219" spans="2:8">
      <c r="B219" s="347">
        <v>200009</v>
      </c>
      <c r="C219" s="316">
        <v>2000</v>
      </c>
      <c r="D219" s="317">
        <v>9</v>
      </c>
      <c r="E219" s="347" t="s">
        <v>104</v>
      </c>
      <c r="F219" s="318">
        <v>633553</v>
      </c>
      <c r="G219" s="318">
        <v>5287</v>
      </c>
      <c r="H219" s="347"/>
    </row>
    <row r="220" spans="2:8">
      <c r="B220" s="347">
        <v>200009</v>
      </c>
      <c r="C220" s="316">
        <v>2000</v>
      </c>
      <c r="D220" s="317">
        <v>9</v>
      </c>
      <c r="E220" s="347" t="s">
        <v>34</v>
      </c>
      <c r="F220" s="318">
        <v>2046324</v>
      </c>
      <c r="G220" s="318">
        <v>17043</v>
      </c>
      <c r="H220" s="347"/>
    </row>
    <row r="221" spans="2:8">
      <c r="B221" s="347">
        <v>200009</v>
      </c>
      <c r="C221" s="316">
        <v>2000</v>
      </c>
      <c r="D221" s="317">
        <v>9</v>
      </c>
      <c r="E221" s="347" t="s">
        <v>118</v>
      </c>
      <c r="F221" s="318">
        <v>83041</v>
      </c>
      <c r="G221" s="318">
        <v>2465</v>
      </c>
      <c r="H221" s="347"/>
    </row>
    <row r="222" spans="2:8">
      <c r="B222" s="347">
        <v>200009</v>
      </c>
      <c r="C222" s="316">
        <v>2000</v>
      </c>
      <c r="D222" s="317">
        <v>9</v>
      </c>
      <c r="E222" s="347" t="s">
        <v>103</v>
      </c>
      <c r="F222" s="318">
        <v>1209695</v>
      </c>
      <c r="G222" s="318">
        <v>13285</v>
      </c>
      <c r="H222" s="347"/>
    </row>
    <row r="223" spans="2:8">
      <c r="B223" s="347">
        <v>200010</v>
      </c>
      <c r="C223" s="316">
        <v>2000</v>
      </c>
      <c r="D223" s="317">
        <v>10</v>
      </c>
      <c r="E223" s="347" t="s">
        <v>121</v>
      </c>
      <c r="F223" s="318">
        <v>226333</v>
      </c>
      <c r="G223" s="318">
        <v>6945</v>
      </c>
      <c r="H223" s="347"/>
    </row>
    <row r="224" spans="2:8">
      <c r="B224" s="347">
        <v>200010</v>
      </c>
      <c r="C224" s="316">
        <v>2000</v>
      </c>
      <c r="D224" s="317">
        <v>10</v>
      </c>
      <c r="E224" s="347" t="s">
        <v>212</v>
      </c>
      <c r="F224" s="318">
        <v>749420</v>
      </c>
      <c r="G224" s="318">
        <v>10050</v>
      </c>
      <c r="H224" s="347"/>
    </row>
    <row r="225" spans="2:8">
      <c r="B225" s="347">
        <v>200010</v>
      </c>
      <c r="C225" s="316">
        <v>2000</v>
      </c>
      <c r="D225" s="317">
        <v>10</v>
      </c>
      <c r="E225" s="347" t="s">
        <v>119</v>
      </c>
      <c r="F225" s="318">
        <v>494180</v>
      </c>
      <c r="G225" s="318">
        <v>7723</v>
      </c>
      <c r="H225" s="347"/>
    </row>
    <row r="226" spans="2:8">
      <c r="B226" s="347">
        <v>200010</v>
      </c>
      <c r="C226" s="316">
        <v>2000</v>
      </c>
      <c r="D226" s="317">
        <v>10</v>
      </c>
      <c r="E226" s="347" t="s">
        <v>120</v>
      </c>
      <c r="F226" s="318">
        <v>665860</v>
      </c>
      <c r="G226" s="318">
        <v>7852</v>
      </c>
      <c r="H226" s="347"/>
    </row>
    <row r="227" spans="2:8">
      <c r="B227" s="347">
        <v>200010</v>
      </c>
      <c r="C227" s="316">
        <v>2000</v>
      </c>
      <c r="D227" s="317">
        <v>10</v>
      </c>
      <c r="E227" s="347" t="s">
        <v>102</v>
      </c>
      <c r="F227" s="318">
        <v>2899690</v>
      </c>
      <c r="G227" s="318">
        <v>22382</v>
      </c>
      <c r="H227" s="347"/>
    </row>
    <row r="228" spans="2:8">
      <c r="B228" s="347">
        <v>200010</v>
      </c>
      <c r="C228" s="316">
        <v>2000</v>
      </c>
      <c r="D228" s="317">
        <v>10</v>
      </c>
      <c r="E228" s="347" t="s">
        <v>117</v>
      </c>
      <c r="F228" s="318">
        <v>5613172</v>
      </c>
      <c r="G228" s="318">
        <v>39264</v>
      </c>
      <c r="H228" s="347"/>
    </row>
    <row r="229" spans="2:8">
      <c r="B229" s="347">
        <v>200010</v>
      </c>
      <c r="C229" s="316">
        <v>2000</v>
      </c>
      <c r="D229" s="317">
        <v>10</v>
      </c>
      <c r="E229" s="347" t="s">
        <v>104</v>
      </c>
      <c r="F229" s="318">
        <v>583307</v>
      </c>
      <c r="G229" s="318">
        <v>5023</v>
      </c>
      <c r="H229" s="347"/>
    </row>
    <row r="230" spans="2:8">
      <c r="B230" s="347">
        <v>200010</v>
      </c>
      <c r="C230" s="316">
        <v>2000</v>
      </c>
      <c r="D230" s="317">
        <v>10</v>
      </c>
      <c r="E230" s="347" t="s">
        <v>34</v>
      </c>
      <c r="F230" s="318">
        <v>1788018</v>
      </c>
      <c r="G230" s="318">
        <v>16391</v>
      </c>
      <c r="H230" s="347"/>
    </row>
    <row r="231" spans="2:8">
      <c r="B231" s="347">
        <v>200010</v>
      </c>
      <c r="C231" s="316">
        <v>2000</v>
      </c>
      <c r="D231" s="317">
        <v>10</v>
      </c>
      <c r="E231" s="347" t="s">
        <v>118</v>
      </c>
      <c r="F231" s="318">
        <v>78172</v>
      </c>
      <c r="G231" s="318">
        <v>2423</v>
      </c>
      <c r="H231" s="347"/>
    </row>
    <row r="232" spans="2:8">
      <c r="B232" s="347">
        <v>200010</v>
      </c>
      <c r="C232" s="316">
        <v>2000</v>
      </c>
      <c r="D232" s="317">
        <v>10</v>
      </c>
      <c r="E232" s="347" t="s">
        <v>103</v>
      </c>
      <c r="F232" s="318">
        <v>1150007</v>
      </c>
      <c r="G232" s="318">
        <v>13238</v>
      </c>
      <c r="H232" s="347"/>
    </row>
    <row r="233" spans="2:8">
      <c r="B233" s="347">
        <v>200011</v>
      </c>
      <c r="C233" s="316">
        <v>2000</v>
      </c>
      <c r="D233" s="317">
        <v>11</v>
      </c>
      <c r="E233" s="347" t="s">
        <v>121</v>
      </c>
      <c r="F233" s="318">
        <v>206623</v>
      </c>
      <c r="G233" s="318">
        <v>6936</v>
      </c>
      <c r="H233" s="347"/>
    </row>
    <row r="234" spans="2:8">
      <c r="B234" s="347">
        <v>200011</v>
      </c>
      <c r="C234" s="316">
        <v>2000</v>
      </c>
      <c r="D234" s="317">
        <v>11</v>
      </c>
      <c r="E234" s="347" t="s">
        <v>212</v>
      </c>
      <c r="F234" s="318">
        <v>486914</v>
      </c>
      <c r="G234" s="318">
        <v>8348</v>
      </c>
      <c r="H234" s="347"/>
    </row>
    <row r="235" spans="2:8">
      <c r="B235" s="347">
        <v>200011</v>
      </c>
      <c r="C235" s="316">
        <v>2000</v>
      </c>
      <c r="D235" s="317">
        <v>11</v>
      </c>
      <c r="E235" s="347" t="s">
        <v>119</v>
      </c>
      <c r="F235" s="318">
        <v>453976</v>
      </c>
      <c r="G235" s="318">
        <v>7590</v>
      </c>
      <c r="H235" s="347"/>
    </row>
    <row r="236" spans="2:8">
      <c r="B236" s="347">
        <v>200011</v>
      </c>
      <c r="C236" s="316">
        <v>2000</v>
      </c>
      <c r="D236" s="317">
        <v>11</v>
      </c>
      <c r="E236" s="347" t="s">
        <v>120</v>
      </c>
      <c r="F236" s="318">
        <v>487892</v>
      </c>
      <c r="G236" s="318">
        <v>7055</v>
      </c>
      <c r="H236" s="347"/>
    </row>
    <row r="237" spans="2:8">
      <c r="B237" s="347">
        <v>200011</v>
      </c>
      <c r="C237" s="316">
        <v>2000</v>
      </c>
      <c r="D237" s="317">
        <v>11</v>
      </c>
      <c r="E237" s="347" t="s">
        <v>102</v>
      </c>
      <c r="F237" s="318">
        <v>2040350</v>
      </c>
      <c r="G237" s="318">
        <v>18490</v>
      </c>
      <c r="H237" s="347"/>
    </row>
    <row r="238" spans="2:8">
      <c r="B238" s="347">
        <v>200011</v>
      </c>
      <c r="C238" s="316">
        <v>2000</v>
      </c>
      <c r="D238" s="317">
        <v>11</v>
      </c>
      <c r="E238" s="347" t="s">
        <v>117</v>
      </c>
      <c r="F238" s="318">
        <v>4920489</v>
      </c>
      <c r="G238" s="318">
        <v>37630</v>
      </c>
      <c r="H238" s="347"/>
    </row>
    <row r="239" spans="2:8">
      <c r="B239" s="347">
        <v>200011</v>
      </c>
      <c r="C239" s="316">
        <v>2000</v>
      </c>
      <c r="D239" s="317">
        <v>11</v>
      </c>
      <c r="E239" s="347" t="s">
        <v>104</v>
      </c>
      <c r="F239" s="318">
        <v>453750</v>
      </c>
      <c r="G239" s="318">
        <v>4439</v>
      </c>
      <c r="H239" s="347"/>
    </row>
    <row r="240" spans="2:8">
      <c r="B240" s="347">
        <v>200011</v>
      </c>
      <c r="C240" s="316">
        <v>2000</v>
      </c>
      <c r="D240" s="317">
        <v>11</v>
      </c>
      <c r="E240" s="347" t="s">
        <v>34</v>
      </c>
      <c r="F240" s="318">
        <v>1204571</v>
      </c>
      <c r="G240" s="318">
        <v>13339</v>
      </c>
      <c r="H240" s="347"/>
    </row>
    <row r="241" spans="2:8">
      <c r="B241" s="347">
        <v>200011</v>
      </c>
      <c r="C241" s="316">
        <v>2000</v>
      </c>
      <c r="D241" s="317">
        <v>11</v>
      </c>
      <c r="E241" s="347" t="s">
        <v>118</v>
      </c>
      <c r="F241" s="318">
        <v>68205</v>
      </c>
      <c r="G241" s="318">
        <v>2213</v>
      </c>
      <c r="H241" s="347"/>
    </row>
    <row r="242" spans="2:8">
      <c r="B242" s="347">
        <v>200011</v>
      </c>
      <c r="C242" s="316">
        <v>2000</v>
      </c>
      <c r="D242" s="317">
        <v>11</v>
      </c>
      <c r="E242" s="347" t="s">
        <v>103</v>
      </c>
      <c r="F242" s="318">
        <v>882812</v>
      </c>
      <c r="G242" s="318">
        <v>11267</v>
      </c>
      <c r="H242" s="347"/>
    </row>
    <row r="243" spans="2:8">
      <c r="B243" s="347">
        <v>200012</v>
      </c>
      <c r="C243" s="316">
        <v>2000</v>
      </c>
      <c r="D243" s="317">
        <v>12</v>
      </c>
      <c r="E243" s="347" t="s">
        <v>121</v>
      </c>
      <c r="F243" s="318">
        <v>190354</v>
      </c>
      <c r="G243" s="318">
        <v>6268</v>
      </c>
      <c r="H243" s="347"/>
    </row>
    <row r="244" spans="2:8">
      <c r="B244" s="347">
        <v>200012</v>
      </c>
      <c r="C244" s="316">
        <v>2000</v>
      </c>
      <c r="D244" s="317">
        <v>12</v>
      </c>
      <c r="E244" s="347" t="s">
        <v>212</v>
      </c>
      <c r="F244" s="318">
        <v>432731</v>
      </c>
      <c r="G244" s="318">
        <v>7494</v>
      </c>
      <c r="H244" s="347"/>
    </row>
    <row r="245" spans="2:8">
      <c r="B245" s="347">
        <v>200012</v>
      </c>
      <c r="C245" s="316">
        <v>2000</v>
      </c>
      <c r="D245" s="317">
        <v>12</v>
      </c>
      <c r="E245" s="347" t="s">
        <v>119</v>
      </c>
      <c r="F245" s="318">
        <v>398656</v>
      </c>
      <c r="G245" s="318">
        <v>6618</v>
      </c>
      <c r="H245" s="347"/>
    </row>
    <row r="246" spans="2:8">
      <c r="B246" s="347">
        <v>200012</v>
      </c>
      <c r="C246" s="316">
        <v>2000</v>
      </c>
      <c r="D246" s="317">
        <v>12</v>
      </c>
      <c r="E246" s="347" t="s">
        <v>120</v>
      </c>
      <c r="F246" s="318">
        <v>421904</v>
      </c>
      <c r="G246" s="318">
        <v>6116</v>
      </c>
      <c r="H246" s="347"/>
    </row>
    <row r="247" spans="2:8">
      <c r="B247" s="347">
        <v>200012</v>
      </c>
      <c r="C247" s="316">
        <v>2000</v>
      </c>
      <c r="D247" s="317">
        <v>12</v>
      </c>
      <c r="E247" s="347" t="s">
        <v>102</v>
      </c>
      <c r="F247" s="318">
        <v>2056497</v>
      </c>
      <c r="G247" s="318">
        <v>18248</v>
      </c>
      <c r="H247" s="347"/>
    </row>
    <row r="248" spans="2:8">
      <c r="B248" s="347">
        <v>200012</v>
      </c>
      <c r="C248" s="316">
        <v>2000</v>
      </c>
      <c r="D248" s="317">
        <v>12</v>
      </c>
      <c r="E248" s="347" t="s">
        <v>117</v>
      </c>
      <c r="F248" s="318">
        <v>4758050</v>
      </c>
      <c r="G248" s="318">
        <v>36103</v>
      </c>
      <c r="H248" s="347"/>
    </row>
    <row r="249" spans="2:8">
      <c r="B249" s="347">
        <v>200012</v>
      </c>
      <c r="C249" s="316">
        <v>2000</v>
      </c>
      <c r="D249" s="317">
        <v>12</v>
      </c>
      <c r="E249" s="347" t="s">
        <v>104</v>
      </c>
      <c r="F249" s="318">
        <v>414494</v>
      </c>
      <c r="G249" s="318">
        <v>4131</v>
      </c>
      <c r="H249" s="347"/>
    </row>
    <row r="250" spans="2:8">
      <c r="B250" s="347">
        <v>200012</v>
      </c>
      <c r="C250" s="316">
        <v>2000</v>
      </c>
      <c r="D250" s="317">
        <v>12</v>
      </c>
      <c r="E250" s="347" t="s">
        <v>34</v>
      </c>
      <c r="F250" s="318">
        <v>1101027</v>
      </c>
      <c r="G250" s="318">
        <v>12027</v>
      </c>
      <c r="H250" s="347"/>
    </row>
    <row r="251" spans="2:8">
      <c r="B251" s="347">
        <v>200012</v>
      </c>
      <c r="C251" s="316">
        <v>2000</v>
      </c>
      <c r="D251" s="317">
        <v>12</v>
      </c>
      <c r="E251" s="347" t="s">
        <v>118</v>
      </c>
      <c r="F251" s="318">
        <v>60638</v>
      </c>
      <c r="G251" s="318">
        <v>1971</v>
      </c>
      <c r="H251" s="347"/>
    </row>
    <row r="252" spans="2:8">
      <c r="B252" s="347">
        <v>200012</v>
      </c>
      <c r="C252" s="316">
        <v>2000</v>
      </c>
      <c r="D252" s="317">
        <v>12</v>
      </c>
      <c r="E252" s="347" t="s">
        <v>103</v>
      </c>
      <c r="F252" s="318">
        <v>866402</v>
      </c>
      <c r="G252" s="318">
        <v>10668</v>
      </c>
      <c r="H252" s="347"/>
    </row>
    <row r="253" spans="2:8">
      <c r="B253" s="347">
        <v>200101</v>
      </c>
      <c r="C253" s="316">
        <v>2001</v>
      </c>
      <c r="D253" s="317">
        <v>1</v>
      </c>
      <c r="E253" s="347" t="s">
        <v>121</v>
      </c>
      <c r="F253" s="318">
        <v>182517</v>
      </c>
      <c r="G253" s="318">
        <v>6619</v>
      </c>
      <c r="H253" s="347"/>
    </row>
    <row r="254" spans="2:8">
      <c r="B254" s="347">
        <v>200101</v>
      </c>
      <c r="C254" s="316">
        <v>2001</v>
      </c>
      <c r="D254" s="317">
        <v>1</v>
      </c>
      <c r="E254" s="347" t="s">
        <v>212</v>
      </c>
      <c r="F254" s="318">
        <v>457933</v>
      </c>
      <c r="G254" s="318">
        <v>8440</v>
      </c>
      <c r="H254" s="347"/>
    </row>
    <row r="255" spans="2:8">
      <c r="B255" s="347">
        <v>200101</v>
      </c>
      <c r="C255" s="316">
        <v>2001</v>
      </c>
      <c r="D255" s="317">
        <v>1</v>
      </c>
      <c r="E255" s="347" t="s">
        <v>119</v>
      </c>
      <c r="F255" s="318">
        <v>389825</v>
      </c>
      <c r="G255" s="318">
        <v>7356</v>
      </c>
      <c r="H255" s="347"/>
    </row>
    <row r="256" spans="2:8">
      <c r="B256" s="347">
        <v>200101</v>
      </c>
      <c r="C256" s="316">
        <v>2001</v>
      </c>
      <c r="D256" s="317">
        <v>1</v>
      </c>
      <c r="E256" s="347" t="s">
        <v>120</v>
      </c>
      <c r="F256" s="318">
        <v>414421</v>
      </c>
      <c r="G256" s="318">
        <v>6891</v>
      </c>
      <c r="H256" s="347"/>
    </row>
    <row r="257" spans="2:8">
      <c r="B257" s="347">
        <v>200101</v>
      </c>
      <c r="C257" s="316">
        <v>2001</v>
      </c>
      <c r="D257" s="317">
        <v>1</v>
      </c>
      <c r="E257" s="347" t="s">
        <v>102</v>
      </c>
      <c r="F257" s="318">
        <v>1955921</v>
      </c>
      <c r="G257" s="318">
        <v>18988</v>
      </c>
      <c r="H257" s="347"/>
    </row>
    <row r="258" spans="2:8">
      <c r="B258" s="347">
        <v>200101</v>
      </c>
      <c r="C258" s="316">
        <v>2001</v>
      </c>
      <c r="D258" s="317">
        <v>1</v>
      </c>
      <c r="E258" s="347" t="s">
        <v>117</v>
      </c>
      <c r="F258" s="318">
        <v>4559363</v>
      </c>
      <c r="G258" s="318">
        <v>38297</v>
      </c>
      <c r="H258" s="347"/>
    </row>
    <row r="259" spans="2:8">
      <c r="B259" s="347">
        <v>200101</v>
      </c>
      <c r="C259" s="316">
        <v>2001</v>
      </c>
      <c r="D259" s="317">
        <v>1</v>
      </c>
      <c r="E259" s="347" t="s">
        <v>104</v>
      </c>
      <c r="F259" s="318">
        <v>416198</v>
      </c>
      <c r="G259" s="318">
        <v>4321</v>
      </c>
      <c r="H259" s="347"/>
    </row>
    <row r="260" spans="2:8">
      <c r="B260" s="347">
        <v>200101</v>
      </c>
      <c r="C260" s="316">
        <v>2001</v>
      </c>
      <c r="D260" s="317">
        <v>1</v>
      </c>
      <c r="E260" s="347" t="s">
        <v>34</v>
      </c>
      <c r="F260" s="318">
        <v>1089097</v>
      </c>
      <c r="G260" s="318">
        <v>12835</v>
      </c>
      <c r="H260" s="347"/>
    </row>
    <row r="261" spans="2:8">
      <c r="B261" s="347">
        <v>200101</v>
      </c>
      <c r="C261" s="316">
        <v>2001</v>
      </c>
      <c r="D261" s="317">
        <v>1</v>
      </c>
      <c r="E261" s="347" t="s">
        <v>118</v>
      </c>
      <c r="F261" s="318">
        <v>56421</v>
      </c>
      <c r="G261" s="318">
        <v>2128</v>
      </c>
      <c r="H261" s="347"/>
    </row>
    <row r="262" spans="2:8">
      <c r="B262" s="347">
        <v>200101</v>
      </c>
      <c r="C262" s="316">
        <v>2001</v>
      </c>
      <c r="D262" s="317">
        <v>1</v>
      </c>
      <c r="E262" s="347" t="s">
        <v>103</v>
      </c>
      <c r="F262" s="318">
        <v>751208</v>
      </c>
      <c r="G262" s="318">
        <v>11146</v>
      </c>
      <c r="H262" s="347"/>
    </row>
    <row r="263" spans="2:8">
      <c r="B263" s="347">
        <v>200102</v>
      </c>
      <c r="C263" s="316">
        <v>2001</v>
      </c>
      <c r="D263" s="317">
        <v>2</v>
      </c>
      <c r="E263" s="347" t="s">
        <v>121</v>
      </c>
      <c r="F263" s="318">
        <v>168126</v>
      </c>
      <c r="G263" s="318">
        <v>5742</v>
      </c>
      <c r="H263" s="347"/>
    </row>
    <row r="264" spans="2:8">
      <c r="B264" s="347">
        <v>200102</v>
      </c>
      <c r="C264" s="316">
        <v>2001</v>
      </c>
      <c r="D264" s="317">
        <v>2</v>
      </c>
      <c r="E264" s="347" t="s">
        <v>212</v>
      </c>
      <c r="F264" s="318">
        <v>486931</v>
      </c>
      <c r="G264" s="318">
        <v>8014</v>
      </c>
      <c r="H264" s="347"/>
    </row>
    <row r="265" spans="2:8">
      <c r="B265" s="347">
        <v>200102</v>
      </c>
      <c r="C265" s="316">
        <v>2001</v>
      </c>
      <c r="D265" s="317">
        <v>2</v>
      </c>
      <c r="E265" s="347" t="s">
        <v>119</v>
      </c>
      <c r="F265" s="318">
        <v>395407</v>
      </c>
      <c r="G265" s="318">
        <v>6982</v>
      </c>
      <c r="H265" s="347"/>
    </row>
    <row r="266" spans="2:8">
      <c r="B266" s="347">
        <v>200102</v>
      </c>
      <c r="C266" s="316">
        <v>2001</v>
      </c>
      <c r="D266" s="317">
        <v>2</v>
      </c>
      <c r="E266" s="347" t="s">
        <v>120</v>
      </c>
      <c r="F266" s="318">
        <v>413357</v>
      </c>
      <c r="G266" s="318">
        <v>6317</v>
      </c>
      <c r="H266" s="347"/>
    </row>
    <row r="267" spans="2:8">
      <c r="B267" s="347">
        <v>200102</v>
      </c>
      <c r="C267" s="316">
        <v>2001</v>
      </c>
      <c r="D267" s="317">
        <v>2</v>
      </c>
      <c r="E267" s="347" t="s">
        <v>102</v>
      </c>
      <c r="F267" s="318">
        <v>1926061</v>
      </c>
      <c r="G267" s="318">
        <v>17204</v>
      </c>
      <c r="H267" s="347"/>
    </row>
    <row r="268" spans="2:8">
      <c r="B268" s="347">
        <v>200102</v>
      </c>
      <c r="C268" s="316">
        <v>2001</v>
      </c>
      <c r="D268" s="317">
        <v>2</v>
      </c>
      <c r="E268" s="347" t="s">
        <v>117</v>
      </c>
      <c r="F268" s="318">
        <v>4394531</v>
      </c>
      <c r="G268" s="318">
        <v>34683</v>
      </c>
      <c r="H268" s="347"/>
    </row>
    <row r="269" spans="2:8">
      <c r="B269" s="347">
        <v>200102</v>
      </c>
      <c r="C269" s="316">
        <v>2001</v>
      </c>
      <c r="D269" s="317">
        <v>2</v>
      </c>
      <c r="E269" s="347" t="s">
        <v>104</v>
      </c>
      <c r="F269" s="318">
        <v>423221</v>
      </c>
      <c r="G269" s="318">
        <v>3914</v>
      </c>
      <c r="H269" s="347"/>
    </row>
    <row r="270" spans="2:8">
      <c r="B270" s="347">
        <v>200102</v>
      </c>
      <c r="C270" s="316">
        <v>2001</v>
      </c>
      <c r="D270" s="317">
        <v>2</v>
      </c>
      <c r="E270" s="347" t="s">
        <v>34</v>
      </c>
      <c r="F270" s="318">
        <v>1095990</v>
      </c>
      <c r="G270" s="318">
        <v>12080</v>
      </c>
      <c r="H270" s="347"/>
    </row>
    <row r="271" spans="2:8">
      <c r="B271" s="347">
        <v>200102</v>
      </c>
      <c r="C271" s="316">
        <v>2001</v>
      </c>
      <c r="D271" s="317">
        <v>2</v>
      </c>
      <c r="E271" s="347" t="s">
        <v>118</v>
      </c>
      <c r="F271" s="318">
        <v>58068</v>
      </c>
      <c r="G271" s="318">
        <v>2007</v>
      </c>
      <c r="H271" s="347"/>
    </row>
    <row r="272" spans="2:8">
      <c r="B272" s="347">
        <v>200102</v>
      </c>
      <c r="C272" s="316">
        <v>2001</v>
      </c>
      <c r="D272" s="317">
        <v>2</v>
      </c>
      <c r="E272" s="347" t="s">
        <v>103</v>
      </c>
      <c r="F272" s="318">
        <v>838435</v>
      </c>
      <c r="G272" s="318">
        <v>10317</v>
      </c>
      <c r="H272" s="347"/>
    </row>
    <row r="273" spans="2:8">
      <c r="B273" s="347">
        <v>200103</v>
      </c>
      <c r="C273" s="316">
        <v>2001</v>
      </c>
      <c r="D273" s="317">
        <v>3</v>
      </c>
      <c r="E273" s="347" t="s">
        <v>121</v>
      </c>
      <c r="F273" s="318">
        <v>205852</v>
      </c>
      <c r="G273" s="318">
        <v>7021</v>
      </c>
      <c r="H273" s="347"/>
    </row>
    <row r="274" spans="2:8">
      <c r="B274" s="347">
        <v>200103</v>
      </c>
      <c r="C274" s="316">
        <v>2001</v>
      </c>
      <c r="D274" s="317">
        <v>3</v>
      </c>
      <c r="E274" s="347" t="s">
        <v>212</v>
      </c>
      <c r="F274" s="318">
        <v>532636</v>
      </c>
      <c r="G274" s="318">
        <v>8945</v>
      </c>
      <c r="H274" s="347"/>
    </row>
    <row r="275" spans="2:8">
      <c r="B275" s="347">
        <v>200103</v>
      </c>
      <c r="C275" s="316">
        <v>2001</v>
      </c>
      <c r="D275" s="317">
        <v>3</v>
      </c>
      <c r="E275" s="347" t="s">
        <v>119</v>
      </c>
      <c r="F275" s="318">
        <v>460333</v>
      </c>
      <c r="G275" s="318">
        <v>7986</v>
      </c>
      <c r="H275" s="347"/>
    </row>
    <row r="276" spans="2:8">
      <c r="B276" s="347">
        <v>200103</v>
      </c>
      <c r="C276" s="316">
        <v>2001</v>
      </c>
      <c r="D276" s="317">
        <v>3</v>
      </c>
      <c r="E276" s="347" t="s">
        <v>120</v>
      </c>
      <c r="F276" s="318">
        <v>495921</v>
      </c>
      <c r="G276" s="318">
        <v>7309</v>
      </c>
      <c r="H276" s="347"/>
    </row>
    <row r="277" spans="2:8">
      <c r="B277" s="347">
        <v>200103</v>
      </c>
      <c r="C277" s="316">
        <v>2001</v>
      </c>
      <c r="D277" s="317">
        <v>3</v>
      </c>
      <c r="E277" s="347" t="s">
        <v>102</v>
      </c>
      <c r="F277" s="318">
        <v>2356951</v>
      </c>
      <c r="G277" s="318">
        <v>19528</v>
      </c>
      <c r="H277" s="347"/>
    </row>
    <row r="278" spans="2:8">
      <c r="B278" s="347">
        <v>200103</v>
      </c>
      <c r="C278" s="316">
        <v>2001</v>
      </c>
      <c r="D278" s="317">
        <v>3</v>
      </c>
      <c r="E278" s="347" t="s">
        <v>117</v>
      </c>
      <c r="F278" s="318">
        <v>5177992</v>
      </c>
      <c r="G278" s="318">
        <v>38943</v>
      </c>
      <c r="H278" s="347"/>
    </row>
    <row r="279" spans="2:8">
      <c r="B279" s="347">
        <v>200103</v>
      </c>
      <c r="C279" s="316">
        <v>2001</v>
      </c>
      <c r="D279" s="317">
        <v>3</v>
      </c>
      <c r="E279" s="347" t="s">
        <v>104</v>
      </c>
      <c r="F279" s="318">
        <v>496501</v>
      </c>
      <c r="G279" s="318">
        <v>4499</v>
      </c>
      <c r="H279" s="347"/>
    </row>
    <row r="280" spans="2:8">
      <c r="B280" s="347">
        <v>200103</v>
      </c>
      <c r="C280" s="316">
        <v>2001</v>
      </c>
      <c r="D280" s="317">
        <v>3</v>
      </c>
      <c r="E280" s="347" t="s">
        <v>34</v>
      </c>
      <c r="F280" s="318">
        <v>1280339</v>
      </c>
      <c r="G280" s="318">
        <v>13855</v>
      </c>
      <c r="H280" s="347"/>
    </row>
    <row r="281" spans="2:8">
      <c r="B281" s="347">
        <v>200103</v>
      </c>
      <c r="C281" s="316">
        <v>2001</v>
      </c>
      <c r="D281" s="317">
        <v>3</v>
      </c>
      <c r="E281" s="347" t="s">
        <v>118</v>
      </c>
      <c r="F281" s="318">
        <v>68083</v>
      </c>
      <c r="G281" s="318">
        <v>2292</v>
      </c>
      <c r="H281" s="347"/>
    </row>
    <row r="282" spans="2:8">
      <c r="B282" s="347">
        <v>200103</v>
      </c>
      <c r="C282" s="316">
        <v>2001</v>
      </c>
      <c r="D282" s="317">
        <v>3</v>
      </c>
      <c r="E282" s="347" t="s">
        <v>103</v>
      </c>
      <c r="F282" s="318">
        <v>967362</v>
      </c>
      <c r="G282" s="318">
        <v>12097</v>
      </c>
      <c r="H282" s="347"/>
    </row>
    <row r="283" spans="2:8">
      <c r="B283" s="347">
        <v>200104</v>
      </c>
      <c r="C283" s="316">
        <v>2001</v>
      </c>
      <c r="D283" s="317">
        <v>4</v>
      </c>
      <c r="E283" s="347" t="s">
        <v>121</v>
      </c>
      <c r="F283" s="318">
        <v>207280</v>
      </c>
      <c r="G283" s="318">
        <v>6684</v>
      </c>
      <c r="H283" s="347"/>
    </row>
    <row r="284" spans="2:8">
      <c r="B284" s="347">
        <v>200104</v>
      </c>
      <c r="C284" s="316">
        <v>2001</v>
      </c>
      <c r="D284" s="317">
        <v>4</v>
      </c>
      <c r="E284" s="347" t="s">
        <v>212</v>
      </c>
      <c r="F284" s="318">
        <v>566010</v>
      </c>
      <c r="G284" s="318">
        <v>8700</v>
      </c>
      <c r="H284" s="347"/>
    </row>
    <row r="285" spans="2:8">
      <c r="B285" s="347">
        <v>200104</v>
      </c>
      <c r="C285" s="316">
        <v>2001</v>
      </c>
      <c r="D285" s="317">
        <v>4</v>
      </c>
      <c r="E285" s="347" t="s">
        <v>119</v>
      </c>
      <c r="F285" s="318">
        <v>467627</v>
      </c>
      <c r="G285" s="318">
        <v>7848</v>
      </c>
      <c r="H285" s="347"/>
    </row>
    <row r="286" spans="2:8">
      <c r="B286" s="347">
        <v>200104</v>
      </c>
      <c r="C286" s="316">
        <v>2001</v>
      </c>
      <c r="D286" s="317">
        <v>4</v>
      </c>
      <c r="E286" s="347" t="s">
        <v>120</v>
      </c>
      <c r="F286" s="318">
        <v>523634</v>
      </c>
      <c r="G286" s="318">
        <v>7042</v>
      </c>
      <c r="H286" s="347"/>
    </row>
    <row r="287" spans="2:8">
      <c r="B287" s="347">
        <v>200104</v>
      </c>
      <c r="C287" s="316">
        <v>2001</v>
      </c>
      <c r="D287" s="317">
        <v>4</v>
      </c>
      <c r="E287" s="347" t="s">
        <v>102</v>
      </c>
      <c r="F287" s="318">
        <v>2538475</v>
      </c>
      <c r="G287" s="318">
        <v>19880</v>
      </c>
      <c r="H287" s="347"/>
    </row>
    <row r="288" spans="2:8">
      <c r="B288" s="347">
        <v>200104</v>
      </c>
      <c r="C288" s="316">
        <v>2001</v>
      </c>
      <c r="D288" s="317">
        <v>4</v>
      </c>
      <c r="E288" s="347" t="s">
        <v>117</v>
      </c>
      <c r="F288" s="318">
        <v>5257341</v>
      </c>
      <c r="G288" s="318">
        <v>38209</v>
      </c>
      <c r="H288" s="347"/>
    </row>
    <row r="289" spans="2:8">
      <c r="B289" s="347">
        <v>200104</v>
      </c>
      <c r="C289" s="316">
        <v>2001</v>
      </c>
      <c r="D289" s="317">
        <v>4</v>
      </c>
      <c r="E289" s="347" t="s">
        <v>104</v>
      </c>
      <c r="F289" s="318">
        <v>511950</v>
      </c>
      <c r="G289" s="318">
        <v>4364</v>
      </c>
      <c r="H289" s="347"/>
    </row>
    <row r="290" spans="2:8">
      <c r="B290" s="347">
        <v>200104</v>
      </c>
      <c r="C290" s="316">
        <v>2001</v>
      </c>
      <c r="D290" s="317">
        <v>4</v>
      </c>
      <c r="E290" s="347" t="s">
        <v>34</v>
      </c>
      <c r="F290" s="318">
        <v>1362493</v>
      </c>
      <c r="G290" s="318">
        <v>13979</v>
      </c>
      <c r="H290" s="347"/>
    </row>
    <row r="291" spans="2:8">
      <c r="B291" s="347">
        <v>200104</v>
      </c>
      <c r="C291" s="316">
        <v>2001</v>
      </c>
      <c r="D291" s="317">
        <v>4</v>
      </c>
      <c r="E291" s="347" t="s">
        <v>118</v>
      </c>
      <c r="F291" s="318">
        <v>69668</v>
      </c>
      <c r="G291" s="318">
        <v>2259</v>
      </c>
      <c r="H291" s="347"/>
    </row>
    <row r="292" spans="2:8">
      <c r="B292" s="347">
        <v>200104</v>
      </c>
      <c r="C292" s="316">
        <v>2001</v>
      </c>
      <c r="D292" s="317">
        <v>4</v>
      </c>
      <c r="E292" s="347" t="s">
        <v>103</v>
      </c>
      <c r="F292" s="318">
        <v>1132209</v>
      </c>
      <c r="G292" s="318">
        <v>12876</v>
      </c>
      <c r="H292" s="347"/>
    </row>
    <row r="293" spans="2:8">
      <c r="B293" s="347">
        <v>200105</v>
      </c>
      <c r="C293" s="316">
        <v>2001</v>
      </c>
      <c r="D293" s="317">
        <v>5</v>
      </c>
      <c r="E293" s="347" t="s">
        <v>121</v>
      </c>
      <c r="F293" s="318">
        <v>228989</v>
      </c>
      <c r="G293" s="318">
        <v>7610</v>
      </c>
      <c r="H293" s="347"/>
    </row>
    <row r="294" spans="2:8">
      <c r="B294" s="347">
        <v>200105</v>
      </c>
      <c r="C294" s="316">
        <v>2001</v>
      </c>
      <c r="D294" s="317">
        <v>5</v>
      </c>
      <c r="E294" s="347" t="s">
        <v>212</v>
      </c>
      <c r="F294" s="318">
        <v>749316</v>
      </c>
      <c r="G294" s="318">
        <v>10102</v>
      </c>
      <c r="H294" s="347"/>
    </row>
    <row r="295" spans="2:8">
      <c r="B295" s="347">
        <v>200105</v>
      </c>
      <c r="C295" s="316">
        <v>2001</v>
      </c>
      <c r="D295" s="317">
        <v>5</v>
      </c>
      <c r="E295" s="347" t="s">
        <v>119</v>
      </c>
      <c r="F295" s="318">
        <v>522706</v>
      </c>
      <c r="G295" s="318">
        <v>8551</v>
      </c>
      <c r="H295" s="347"/>
    </row>
    <row r="296" spans="2:8">
      <c r="B296" s="347">
        <v>200105</v>
      </c>
      <c r="C296" s="316">
        <v>2001</v>
      </c>
      <c r="D296" s="317">
        <v>5</v>
      </c>
      <c r="E296" s="347" t="s">
        <v>120</v>
      </c>
      <c r="F296" s="318">
        <v>661404</v>
      </c>
      <c r="G296" s="318">
        <v>8135</v>
      </c>
      <c r="H296" s="347"/>
    </row>
    <row r="297" spans="2:8">
      <c r="B297" s="347">
        <v>200105</v>
      </c>
      <c r="C297" s="316">
        <v>2001</v>
      </c>
      <c r="D297" s="317">
        <v>5</v>
      </c>
      <c r="E297" s="347" t="s">
        <v>102</v>
      </c>
      <c r="F297" s="318">
        <v>2843150</v>
      </c>
      <c r="G297" s="318">
        <v>22159</v>
      </c>
      <c r="H297" s="347"/>
    </row>
    <row r="298" spans="2:8">
      <c r="B298" s="347">
        <v>200105</v>
      </c>
      <c r="C298" s="316">
        <v>2001</v>
      </c>
      <c r="D298" s="317">
        <v>5</v>
      </c>
      <c r="E298" s="347" t="s">
        <v>117</v>
      </c>
      <c r="F298" s="318">
        <v>5064233</v>
      </c>
      <c r="G298" s="318">
        <v>39679</v>
      </c>
      <c r="H298" s="347"/>
    </row>
    <row r="299" spans="2:8">
      <c r="B299" s="347">
        <v>200105</v>
      </c>
      <c r="C299" s="316">
        <v>2001</v>
      </c>
      <c r="D299" s="317">
        <v>5</v>
      </c>
      <c r="E299" s="347" t="s">
        <v>104</v>
      </c>
      <c r="F299" s="318">
        <v>608303</v>
      </c>
      <c r="G299" s="318">
        <v>5126</v>
      </c>
      <c r="H299" s="347"/>
    </row>
    <row r="300" spans="2:8">
      <c r="B300" s="347">
        <v>200105</v>
      </c>
      <c r="C300" s="316">
        <v>2001</v>
      </c>
      <c r="D300" s="317">
        <v>5</v>
      </c>
      <c r="E300" s="347" t="s">
        <v>34</v>
      </c>
      <c r="F300" s="318">
        <v>1813329</v>
      </c>
      <c r="G300" s="318">
        <v>16898</v>
      </c>
      <c r="H300" s="347"/>
    </row>
    <row r="301" spans="2:8">
      <c r="B301" s="347">
        <v>200105</v>
      </c>
      <c r="C301" s="316">
        <v>2001</v>
      </c>
      <c r="D301" s="317">
        <v>5</v>
      </c>
      <c r="E301" s="347" t="s">
        <v>118</v>
      </c>
      <c r="F301" s="318">
        <v>79142</v>
      </c>
      <c r="G301" s="318">
        <v>2433</v>
      </c>
      <c r="H301" s="347"/>
    </row>
    <row r="302" spans="2:8">
      <c r="B302" s="347">
        <v>200105</v>
      </c>
      <c r="C302" s="316">
        <v>2001</v>
      </c>
      <c r="D302" s="317">
        <v>5</v>
      </c>
      <c r="E302" s="347" t="s">
        <v>103</v>
      </c>
      <c r="F302" s="318">
        <v>1180086</v>
      </c>
      <c r="G302" s="318">
        <v>14024</v>
      </c>
      <c r="H302" s="347"/>
    </row>
    <row r="303" spans="2:8">
      <c r="B303" s="347">
        <v>200106</v>
      </c>
      <c r="C303" s="316">
        <v>2001</v>
      </c>
      <c r="D303" s="317">
        <v>6</v>
      </c>
      <c r="E303" s="347" t="s">
        <v>121</v>
      </c>
      <c r="F303" s="318">
        <v>228583</v>
      </c>
      <c r="G303" s="318">
        <v>6990</v>
      </c>
      <c r="H303" s="347"/>
    </row>
    <row r="304" spans="2:8">
      <c r="B304" s="347">
        <v>200106</v>
      </c>
      <c r="C304" s="316">
        <v>2001</v>
      </c>
      <c r="D304" s="317">
        <v>6</v>
      </c>
      <c r="E304" s="347" t="s">
        <v>212</v>
      </c>
      <c r="F304" s="318">
        <v>810213</v>
      </c>
      <c r="G304" s="318">
        <v>10035</v>
      </c>
      <c r="H304" s="347"/>
    </row>
    <row r="305" spans="2:8">
      <c r="B305" s="347">
        <v>200106</v>
      </c>
      <c r="C305" s="316">
        <v>2001</v>
      </c>
      <c r="D305" s="317">
        <v>6</v>
      </c>
      <c r="E305" s="347" t="s">
        <v>119</v>
      </c>
      <c r="F305" s="318">
        <v>554610</v>
      </c>
      <c r="G305" s="318">
        <v>8483</v>
      </c>
      <c r="H305" s="347"/>
    </row>
    <row r="306" spans="2:8">
      <c r="B306" s="347">
        <v>200106</v>
      </c>
      <c r="C306" s="316">
        <v>2001</v>
      </c>
      <c r="D306" s="317">
        <v>6</v>
      </c>
      <c r="E306" s="347" t="s">
        <v>120</v>
      </c>
      <c r="F306" s="318">
        <v>745433</v>
      </c>
      <c r="G306" s="318">
        <v>8230</v>
      </c>
      <c r="H306" s="347"/>
    </row>
    <row r="307" spans="2:8">
      <c r="B307" s="347">
        <v>200106</v>
      </c>
      <c r="C307" s="316">
        <v>2001</v>
      </c>
      <c r="D307" s="317">
        <v>6</v>
      </c>
      <c r="E307" s="347" t="s">
        <v>102</v>
      </c>
      <c r="F307" s="318">
        <v>3258155</v>
      </c>
      <c r="G307" s="318">
        <v>22434</v>
      </c>
      <c r="H307" s="347"/>
    </row>
    <row r="308" spans="2:8">
      <c r="B308" s="347">
        <v>200106</v>
      </c>
      <c r="C308" s="316">
        <v>2001</v>
      </c>
      <c r="D308" s="317">
        <v>6</v>
      </c>
      <c r="E308" s="347" t="s">
        <v>117</v>
      </c>
      <c r="F308" s="318">
        <v>5599296</v>
      </c>
      <c r="G308" s="318">
        <v>38962</v>
      </c>
      <c r="H308" s="347"/>
    </row>
    <row r="309" spans="2:8">
      <c r="B309" s="347">
        <v>200106</v>
      </c>
      <c r="C309" s="316">
        <v>2001</v>
      </c>
      <c r="D309" s="317">
        <v>6</v>
      </c>
      <c r="E309" s="347" t="s">
        <v>104</v>
      </c>
      <c r="F309" s="318">
        <v>628069</v>
      </c>
      <c r="G309" s="318">
        <v>5050</v>
      </c>
      <c r="H309" s="347"/>
    </row>
    <row r="310" spans="2:8">
      <c r="B310" s="347">
        <v>200106</v>
      </c>
      <c r="C310" s="316">
        <v>2001</v>
      </c>
      <c r="D310" s="317">
        <v>6</v>
      </c>
      <c r="E310" s="347" t="s">
        <v>34</v>
      </c>
      <c r="F310" s="318">
        <v>2044483</v>
      </c>
      <c r="G310" s="318">
        <v>17365</v>
      </c>
      <c r="H310" s="347"/>
    </row>
    <row r="311" spans="2:8">
      <c r="B311" s="347">
        <v>200106</v>
      </c>
      <c r="C311" s="316">
        <v>2001</v>
      </c>
      <c r="D311" s="317">
        <v>6</v>
      </c>
      <c r="E311" s="347" t="s">
        <v>118</v>
      </c>
      <c r="F311" s="318">
        <v>80800</v>
      </c>
      <c r="G311" s="318">
        <v>2417</v>
      </c>
      <c r="H311" s="347"/>
    </row>
    <row r="312" spans="2:8">
      <c r="B312" s="347">
        <v>200106</v>
      </c>
      <c r="C312" s="316">
        <v>2001</v>
      </c>
      <c r="D312" s="317">
        <v>6</v>
      </c>
      <c r="E312" s="347" t="s">
        <v>103</v>
      </c>
      <c r="F312" s="318">
        <v>1315496</v>
      </c>
      <c r="G312" s="318">
        <v>13895</v>
      </c>
      <c r="H312" s="347"/>
    </row>
    <row r="313" spans="2:8">
      <c r="B313" s="347">
        <v>200107</v>
      </c>
      <c r="C313" s="316">
        <v>2001</v>
      </c>
      <c r="D313" s="317">
        <v>7</v>
      </c>
      <c r="E313" s="347" t="s">
        <v>121</v>
      </c>
      <c r="F313" s="318">
        <v>249276</v>
      </c>
      <c r="G313" s="318">
        <v>7419</v>
      </c>
      <c r="H313" s="347"/>
    </row>
    <row r="314" spans="2:8">
      <c r="B314" s="347">
        <v>200107</v>
      </c>
      <c r="C314" s="316">
        <v>2001</v>
      </c>
      <c r="D314" s="317">
        <v>7</v>
      </c>
      <c r="E314" s="347" t="s">
        <v>212</v>
      </c>
      <c r="F314" s="318">
        <v>841848</v>
      </c>
      <c r="G314" s="318">
        <v>10577</v>
      </c>
      <c r="H314" s="347"/>
    </row>
    <row r="315" spans="2:8">
      <c r="B315" s="347">
        <v>200107</v>
      </c>
      <c r="C315" s="316">
        <v>2001</v>
      </c>
      <c r="D315" s="317">
        <v>7</v>
      </c>
      <c r="E315" s="347" t="s">
        <v>119</v>
      </c>
      <c r="F315" s="318">
        <v>594203</v>
      </c>
      <c r="G315" s="318">
        <v>8787</v>
      </c>
      <c r="H315" s="347"/>
    </row>
    <row r="316" spans="2:8">
      <c r="B316" s="347">
        <v>200107</v>
      </c>
      <c r="C316" s="316">
        <v>2001</v>
      </c>
      <c r="D316" s="317">
        <v>7</v>
      </c>
      <c r="E316" s="347" t="s">
        <v>120</v>
      </c>
      <c r="F316" s="318">
        <v>830939</v>
      </c>
      <c r="G316" s="318">
        <v>8617</v>
      </c>
      <c r="H316" s="347"/>
    </row>
    <row r="317" spans="2:8">
      <c r="B317" s="347">
        <v>200107</v>
      </c>
      <c r="C317" s="316">
        <v>2001</v>
      </c>
      <c r="D317" s="317">
        <v>7</v>
      </c>
      <c r="E317" s="347" t="s">
        <v>102</v>
      </c>
      <c r="F317" s="318">
        <v>3524845</v>
      </c>
      <c r="G317" s="318">
        <v>23922</v>
      </c>
      <c r="H317" s="347"/>
    </row>
    <row r="318" spans="2:8">
      <c r="B318" s="347">
        <v>200107</v>
      </c>
      <c r="C318" s="316">
        <v>2001</v>
      </c>
      <c r="D318" s="317">
        <v>7</v>
      </c>
      <c r="E318" s="347" t="s">
        <v>117</v>
      </c>
      <c r="F318" s="318">
        <v>6068941</v>
      </c>
      <c r="G318" s="318">
        <v>40474</v>
      </c>
      <c r="H318" s="347"/>
    </row>
    <row r="319" spans="2:8">
      <c r="B319" s="347">
        <v>200107</v>
      </c>
      <c r="C319" s="316">
        <v>2001</v>
      </c>
      <c r="D319" s="317">
        <v>7</v>
      </c>
      <c r="E319" s="347" t="s">
        <v>104</v>
      </c>
      <c r="F319" s="318">
        <v>657013</v>
      </c>
      <c r="G319" s="318">
        <v>5339</v>
      </c>
      <c r="H319" s="347"/>
    </row>
    <row r="320" spans="2:8">
      <c r="B320" s="347">
        <v>200107</v>
      </c>
      <c r="C320" s="316">
        <v>2001</v>
      </c>
      <c r="D320" s="317">
        <v>7</v>
      </c>
      <c r="E320" s="347" t="s">
        <v>34</v>
      </c>
      <c r="F320" s="318">
        <v>2180078</v>
      </c>
      <c r="G320" s="318">
        <v>18143</v>
      </c>
      <c r="H320" s="347"/>
    </row>
    <row r="321" spans="2:8">
      <c r="B321" s="347">
        <v>200107</v>
      </c>
      <c r="C321" s="316">
        <v>2001</v>
      </c>
      <c r="D321" s="317">
        <v>7</v>
      </c>
      <c r="E321" s="347" t="s">
        <v>118</v>
      </c>
      <c r="F321" s="318">
        <v>82649</v>
      </c>
      <c r="G321" s="318">
        <v>2585</v>
      </c>
      <c r="H321" s="347"/>
    </row>
    <row r="322" spans="2:8">
      <c r="B322" s="347">
        <v>200107</v>
      </c>
      <c r="C322" s="316">
        <v>2001</v>
      </c>
      <c r="D322" s="317">
        <v>7</v>
      </c>
      <c r="E322" s="347" t="s">
        <v>103</v>
      </c>
      <c r="F322" s="318">
        <v>1483396</v>
      </c>
      <c r="G322" s="318">
        <v>14772</v>
      </c>
      <c r="H322" s="347"/>
    </row>
    <row r="323" spans="2:8">
      <c r="B323" s="347">
        <v>200108</v>
      </c>
      <c r="C323" s="316">
        <v>2001</v>
      </c>
      <c r="D323" s="317">
        <v>8</v>
      </c>
      <c r="E323" s="347" t="s">
        <v>121</v>
      </c>
      <c r="F323" s="318">
        <v>236648</v>
      </c>
      <c r="G323" s="318">
        <v>7713</v>
      </c>
      <c r="H323" s="347"/>
    </row>
    <row r="324" spans="2:8">
      <c r="B324" s="347">
        <v>200108</v>
      </c>
      <c r="C324" s="316">
        <v>2001</v>
      </c>
      <c r="D324" s="317">
        <v>8</v>
      </c>
      <c r="E324" s="347" t="s">
        <v>212</v>
      </c>
      <c r="F324" s="318">
        <v>867600</v>
      </c>
      <c r="G324" s="318">
        <v>10576</v>
      </c>
      <c r="H324" s="347"/>
    </row>
    <row r="325" spans="2:8">
      <c r="B325" s="347">
        <v>200108</v>
      </c>
      <c r="C325" s="316">
        <v>2001</v>
      </c>
      <c r="D325" s="317">
        <v>8</v>
      </c>
      <c r="E325" s="347" t="s">
        <v>119</v>
      </c>
      <c r="F325" s="318">
        <v>594687</v>
      </c>
      <c r="G325" s="318">
        <v>8722</v>
      </c>
      <c r="H325" s="347"/>
    </row>
    <row r="326" spans="2:8">
      <c r="B326" s="347">
        <v>200108</v>
      </c>
      <c r="C326" s="316">
        <v>2001</v>
      </c>
      <c r="D326" s="317">
        <v>8</v>
      </c>
      <c r="E326" s="347" t="s">
        <v>120</v>
      </c>
      <c r="F326" s="318">
        <v>750244</v>
      </c>
      <c r="G326" s="318">
        <v>8445</v>
      </c>
      <c r="H326" s="347"/>
    </row>
    <row r="327" spans="2:8">
      <c r="B327" s="347">
        <v>200108</v>
      </c>
      <c r="C327" s="316">
        <v>2001</v>
      </c>
      <c r="D327" s="317">
        <v>8</v>
      </c>
      <c r="E327" s="347" t="s">
        <v>102</v>
      </c>
      <c r="F327" s="318">
        <v>3647465</v>
      </c>
      <c r="G327" s="318">
        <v>24593</v>
      </c>
      <c r="H327" s="347"/>
    </row>
    <row r="328" spans="2:8">
      <c r="B328" s="347">
        <v>200108</v>
      </c>
      <c r="C328" s="316">
        <v>2001</v>
      </c>
      <c r="D328" s="317">
        <v>8</v>
      </c>
      <c r="E328" s="347" t="s">
        <v>117</v>
      </c>
      <c r="F328" s="318">
        <v>6044141</v>
      </c>
      <c r="G328" s="318">
        <v>40494</v>
      </c>
      <c r="H328" s="347"/>
    </row>
    <row r="329" spans="2:8">
      <c r="B329" s="347">
        <v>200108</v>
      </c>
      <c r="C329" s="316">
        <v>2001</v>
      </c>
      <c r="D329" s="317">
        <v>8</v>
      </c>
      <c r="E329" s="347" t="s">
        <v>104</v>
      </c>
      <c r="F329" s="318">
        <v>707063</v>
      </c>
      <c r="G329" s="318">
        <v>5463</v>
      </c>
      <c r="H329" s="347"/>
    </row>
    <row r="330" spans="2:8">
      <c r="B330" s="347">
        <v>200108</v>
      </c>
      <c r="C330" s="316">
        <v>2001</v>
      </c>
      <c r="D330" s="317">
        <v>8</v>
      </c>
      <c r="E330" s="347" t="s">
        <v>34</v>
      </c>
      <c r="F330" s="318">
        <v>2257997</v>
      </c>
      <c r="G330" s="318">
        <v>18336</v>
      </c>
      <c r="H330" s="347"/>
    </row>
    <row r="331" spans="2:8">
      <c r="B331" s="347">
        <v>200108</v>
      </c>
      <c r="C331" s="316">
        <v>2001</v>
      </c>
      <c r="D331" s="317">
        <v>8</v>
      </c>
      <c r="E331" s="347" t="s">
        <v>118</v>
      </c>
      <c r="F331" s="318">
        <v>86421</v>
      </c>
      <c r="G331" s="318">
        <v>2690</v>
      </c>
      <c r="H331" s="347"/>
    </row>
    <row r="332" spans="2:8">
      <c r="B332" s="347">
        <v>200108</v>
      </c>
      <c r="C332" s="316">
        <v>2001</v>
      </c>
      <c r="D332" s="317">
        <v>8</v>
      </c>
      <c r="E332" s="347" t="s">
        <v>103</v>
      </c>
      <c r="F332" s="318">
        <v>1566402</v>
      </c>
      <c r="G332" s="318">
        <v>14863</v>
      </c>
      <c r="H332" s="347"/>
    </row>
    <row r="333" spans="2:8">
      <c r="B333" s="347">
        <v>200109</v>
      </c>
      <c r="C333" s="316">
        <v>2001</v>
      </c>
      <c r="D333" s="317">
        <v>9</v>
      </c>
      <c r="E333" s="347" t="s">
        <v>121</v>
      </c>
      <c r="F333" s="318">
        <v>221907</v>
      </c>
      <c r="G333" s="318">
        <v>6924</v>
      </c>
      <c r="H333" s="347"/>
    </row>
    <row r="334" spans="2:8">
      <c r="B334" s="347">
        <v>200109</v>
      </c>
      <c r="C334" s="316">
        <v>2001</v>
      </c>
      <c r="D334" s="317">
        <v>9</v>
      </c>
      <c r="E334" s="347" t="s">
        <v>212</v>
      </c>
      <c r="F334" s="318">
        <v>827029</v>
      </c>
      <c r="G334" s="318">
        <v>10196</v>
      </c>
      <c r="H334" s="347"/>
    </row>
    <row r="335" spans="2:8">
      <c r="B335" s="347">
        <v>200109</v>
      </c>
      <c r="C335" s="316">
        <v>2001</v>
      </c>
      <c r="D335" s="317">
        <v>9</v>
      </c>
      <c r="E335" s="347" t="s">
        <v>119</v>
      </c>
      <c r="F335" s="318">
        <v>574480</v>
      </c>
      <c r="G335" s="318">
        <v>8526</v>
      </c>
      <c r="H335" s="347"/>
    </row>
    <row r="336" spans="2:8">
      <c r="B336" s="347">
        <v>200109</v>
      </c>
      <c r="C336" s="316">
        <v>2001</v>
      </c>
      <c r="D336" s="317">
        <v>9</v>
      </c>
      <c r="E336" s="347" t="s">
        <v>120</v>
      </c>
      <c r="F336" s="318">
        <v>746832</v>
      </c>
      <c r="G336" s="318">
        <v>8345</v>
      </c>
      <c r="H336" s="347"/>
    </row>
    <row r="337" spans="2:8">
      <c r="B337" s="347">
        <v>200109</v>
      </c>
      <c r="C337" s="316">
        <v>2001</v>
      </c>
      <c r="D337" s="317">
        <v>9</v>
      </c>
      <c r="E337" s="347" t="s">
        <v>102</v>
      </c>
      <c r="F337" s="318">
        <v>3159815</v>
      </c>
      <c r="G337" s="318">
        <v>23062</v>
      </c>
      <c r="H337" s="347"/>
    </row>
    <row r="338" spans="2:8">
      <c r="B338" s="347">
        <v>200109</v>
      </c>
      <c r="C338" s="316">
        <v>2001</v>
      </c>
      <c r="D338" s="317">
        <v>9</v>
      </c>
      <c r="E338" s="347" t="s">
        <v>117</v>
      </c>
      <c r="F338" s="318">
        <v>5108882</v>
      </c>
      <c r="G338" s="318">
        <v>37924</v>
      </c>
      <c r="H338" s="347"/>
    </row>
    <row r="339" spans="2:8">
      <c r="B339" s="347">
        <v>200109</v>
      </c>
      <c r="C339" s="316">
        <v>2001</v>
      </c>
      <c r="D339" s="317">
        <v>9</v>
      </c>
      <c r="E339" s="347" t="s">
        <v>104</v>
      </c>
      <c r="F339" s="318">
        <v>638800</v>
      </c>
      <c r="G339" s="318">
        <v>5090</v>
      </c>
      <c r="H339" s="347"/>
    </row>
    <row r="340" spans="2:8">
      <c r="B340" s="347">
        <v>200109</v>
      </c>
      <c r="C340" s="316">
        <v>2001</v>
      </c>
      <c r="D340" s="317">
        <v>9</v>
      </c>
      <c r="E340" s="347" t="s">
        <v>34</v>
      </c>
      <c r="F340" s="318">
        <v>2109743</v>
      </c>
      <c r="G340" s="318">
        <v>17414</v>
      </c>
      <c r="H340" s="347"/>
    </row>
    <row r="341" spans="2:8">
      <c r="B341" s="347">
        <v>200109</v>
      </c>
      <c r="C341" s="316">
        <v>2001</v>
      </c>
      <c r="D341" s="317">
        <v>9</v>
      </c>
      <c r="E341" s="347" t="s">
        <v>118</v>
      </c>
      <c r="F341" s="318">
        <v>81379</v>
      </c>
      <c r="G341" s="318">
        <v>2462</v>
      </c>
      <c r="H341" s="347"/>
    </row>
    <row r="342" spans="2:8">
      <c r="B342" s="347">
        <v>200109</v>
      </c>
      <c r="C342" s="316">
        <v>2001</v>
      </c>
      <c r="D342" s="317">
        <v>9</v>
      </c>
      <c r="E342" s="347" t="s">
        <v>103</v>
      </c>
      <c r="F342" s="318">
        <v>1346591</v>
      </c>
      <c r="G342" s="318">
        <v>13518</v>
      </c>
      <c r="H342" s="347"/>
    </row>
    <row r="343" spans="2:8">
      <c r="B343" s="347">
        <v>200110</v>
      </c>
      <c r="C343" s="316">
        <v>2001</v>
      </c>
      <c r="D343" s="317">
        <v>10</v>
      </c>
      <c r="E343" s="347" t="s">
        <v>121</v>
      </c>
      <c r="F343" s="318">
        <v>220140</v>
      </c>
      <c r="G343" s="318">
        <v>7298</v>
      </c>
      <c r="H343" s="347"/>
    </row>
    <row r="344" spans="2:8">
      <c r="B344" s="347">
        <v>200110</v>
      </c>
      <c r="C344" s="316">
        <v>2001</v>
      </c>
      <c r="D344" s="317">
        <v>10</v>
      </c>
      <c r="E344" s="347" t="s">
        <v>212</v>
      </c>
      <c r="F344" s="318">
        <v>705851</v>
      </c>
      <c r="G344" s="318">
        <v>10134</v>
      </c>
      <c r="H344" s="347"/>
    </row>
    <row r="345" spans="2:8">
      <c r="B345" s="347">
        <v>200110</v>
      </c>
      <c r="C345" s="316">
        <v>2001</v>
      </c>
      <c r="D345" s="317">
        <v>10</v>
      </c>
      <c r="E345" s="347" t="s">
        <v>119</v>
      </c>
      <c r="F345" s="318">
        <v>560312</v>
      </c>
      <c r="G345" s="318">
        <v>9275</v>
      </c>
      <c r="H345" s="347"/>
    </row>
    <row r="346" spans="2:8">
      <c r="B346" s="347">
        <v>200110</v>
      </c>
      <c r="C346" s="316">
        <v>2001</v>
      </c>
      <c r="D346" s="317">
        <v>10</v>
      </c>
      <c r="E346" s="347" t="s">
        <v>120</v>
      </c>
      <c r="F346" s="318">
        <v>709884</v>
      </c>
      <c r="G346" s="318">
        <v>8689</v>
      </c>
      <c r="H346" s="347"/>
    </row>
    <row r="347" spans="2:8">
      <c r="B347" s="347">
        <v>200110</v>
      </c>
      <c r="C347" s="316">
        <v>2001</v>
      </c>
      <c r="D347" s="317">
        <v>10</v>
      </c>
      <c r="E347" s="347" t="s">
        <v>102</v>
      </c>
      <c r="F347" s="318">
        <v>2529325</v>
      </c>
      <c r="G347" s="318">
        <v>21335</v>
      </c>
      <c r="H347" s="347"/>
    </row>
    <row r="348" spans="2:8">
      <c r="B348" s="347">
        <v>200110</v>
      </c>
      <c r="C348" s="316">
        <v>2001</v>
      </c>
      <c r="D348" s="317">
        <v>10</v>
      </c>
      <c r="E348" s="347" t="s">
        <v>117</v>
      </c>
      <c r="F348" s="318">
        <v>4486927</v>
      </c>
      <c r="G348" s="318">
        <v>37879</v>
      </c>
      <c r="H348" s="347"/>
    </row>
    <row r="349" spans="2:8">
      <c r="B349" s="347">
        <v>200110</v>
      </c>
      <c r="C349" s="316">
        <v>2001</v>
      </c>
      <c r="D349" s="317">
        <v>10</v>
      </c>
      <c r="E349" s="347" t="s">
        <v>104</v>
      </c>
      <c r="F349" s="318">
        <v>588782</v>
      </c>
      <c r="G349" s="318">
        <v>5056</v>
      </c>
      <c r="H349" s="347"/>
    </row>
    <row r="350" spans="2:8">
      <c r="B350" s="347">
        <v>200110</v>
      </c>
      <c r="C350" s="316">
        <v>2001</v>
      </c>
      <c r="D350" s="317">
        <v>10</v>
      </c>
      <c r="E350" s="347" t="s">
        <v>34</v>
      </c>
      <c r="F350" s="318">
        <v>1766242</v>
      </c>
      <c r="G350" s="318">
        <v>16668</v>
      </c>
      <c r="H350" s="347"/>
    </row>
    <row r="351" spans="2:8">
      <c r="B351" s="347">
        <v>200110</v>
      </c>
      <c r="C351" s="316">
        <v>2001</v>
      </c>
      <c r="D351" s="317">
        <v>10</v>
      </c>
      <c r="E351" s="347" t="s">
        <v>118</v>
      </c>
      <c r="F351" s="318">
        <v>73577</v>
      </c>
      <c r="G351" s="318">
        <v>2506</v>
      </c>
      <c r="H351" s="347"/>
    </row>
    <row r="352" spans="2:8">
      <c r="B352" s="347">
        <v>200110</v>
      </c>
      <c r="C352" s="316">
        <v>2001</v>
      </c>
      <c r="D352" s="317">
        <v>10</v>
      </c>
      <c r="E352" s="347" t="s">
        <v>103</v>
      </c>
      <c r="F352" s="318">
        <v>1205497</v>
      </c>
      <c r="G352" s="318">
        <v>13040</v>
      </c>
      <c r="H352" s="347"/>
    </row>
    <row r="353" spans="2:8">
      <c r="B353" s="347">
        <v>200111</v>
      </c>
      <c r="C353" s="316">
        <v>2001</v>
      </c>
      <c r="D353" s="317">
        <v>11</v>
      </c>
      <c r="E353" s="347" t="s">
        <v>121</v>
      </c>
      <c r="F353" s="318">
        <v>198816</v>
      </c>
      <c r="G353" s="318">
        <v>7012</v>
      </c>
      <c r="H353" s="347"/>
    </row>
    <row r="354" spans="2:8">
      <c r="B354" s="347">
        <v>200111</v>
      </c>
      <c r="C354" s="316">
        <v>2001</v>
      </c>
      <c r="D354" s="317">
        <v>11</v>
      </c>
      <c r="E354" s="347" t="s">
        <v>212</v>
      </c>
      <c r="F354" s="318">
        <v>461717</v>
      </c>
      <c r="G354" s="318">
        <v>8147</v>
      </c>
      <c r="H354" s="347"/>
    </row>
    <row r="355" spans="2:8">
      <c r="B355" s="347">
        <v>200111</v>
      </c>
      <c r="C355" s="316">
        <v>2001</v>
      </c>
      <c r="D355" s="317">
        <v>11</v>
      </c>
      <c r="E355" s="347" t="s">
        <v>119</v>
      </c>
      <c r="F355" s="318">
        <v>490722</v>
      </c>
      <c r="G355" s="318">
        <v>8463</v>
      </c>
      <c r="H355" s="347"/>
    </row>
    <row r="356" spans="2:8">
      <c r="B356" s="347">
        <v>200111</v>
      </c>
      <c r="C356" s="316">
        <v>2001</v>
      </c>
      <c r="D356" s="317">
        <v>11</v>
      </c>
      <c r="E356" s="347" t="s">
        <v>120</v>
      </c>
      <c r="F356" s="318">
        <v>504348</v>
      </c>
      <c r="G356" s="318">
        <v>7019</v>
      </c>
      <c r="H356" s="347"/>
    </row>
    <row r="357" spans="2:8">
      <c r="B357" s="347">
        <v>200111</v>
      </c>
      <c r="C357" s="316">
        <v>2001</v>
      </c>
      <c r="D357" s="317">
        <v>11</v>
      </c>
      <c r="E357" s="347" t="s">
        <v>102</v>
      </c>
      <c r="F357" s="318">
        <v>1636048</v>
      </c>
      <c r="G357" s="318">
        <v>15557</v>
      </c>
      <c r="H357" s="347"/>
    </row>
    <row r="358" spans="2:8">
      <c r="B358" s="347">
        <v>200111</v>
      </c>
      <c r="C358" s="316">
        <v>2001</v>
      </c>
      <c r="D358" s="317">
        <v>11</v>
      </c>
      <c r="E358" s="347" t="s">
        <v>117</v>
      </c>
      <c r="F358" s="318">
        <v>4258104</v>
      </c>
      <c r="G358" s="318">
        <v>36817</v>
      </c>
      <c r="H358" s="347"/>
    </row>
    <row r="359" spans="2:8">
      <c r="B359" s="347">
        <v>200111</v>
      </c>
      <c r="C359" s="316">
        <v>2001</v>
      </c>
      <c r="D359" s="317">
        <v>11</v>
      </c>
      <c r="E359" s="347" t="s">
        <v>104</v>
      </c>
      <c r="F359" s="318">
        <v>436913</v>
      </c>
      <c r="G359" s="318">
        <v>3864</v>
      </c>
      <c r="H359" s="347"/>
    </row>
    <row r="360" spans="2:8">
      <c r="B360" s="347">
        <v>200111</v>
      </c>
      <c r="C360" s="316">
        <v>2001</v>
      </c>
      <c r="D360" s="317">
        <v>11</v>
      </c>
      <c r="E360" s="347" t="s">
        <v>34</v>
      </c>
      <c r="F360" s="318">
        <v>1078235</v>
      </c>
      <c r="G360" s="318">
        <v>12774</v>
      </c>
      <c r="H360" s="347"/>
    </row>
    <row r="361" spans="2:8">
      <c r="B361" s="347">
        <v>200111</v>
      </c>
      <c r="C361" s="316">
        <v>2001</v>
      </c>
      <c r="D361" s="317">
        <v>11</v>
      </c>
      <c r="E361" s="347" t="s">
        <v>118</v>
      </c>
      <c r="F361" s="318">
        <v>65247</v>
      </c>
      <c r="G361" s="318">
        <v>2339</v>
      </c>
      <c r="H361" s="347"/>
    </row>
    <row r="362" spans="2:8">
      <c r="B362" s="347">
        <v>200111</v>
      </c>
      <c r="C362" s="316">
        <v>2001</v>
      </c>
      <c r="D362" s="317">
        <v>11</v>
      </c>
      <c r="E362" s="347" t="s">
        <v>103</v>
      </c>
      <c r="F362" s="318">
        <v>946218</v>
      </c>
      <c r="G362" s="318">
        <v>10267</v>
      </c>
      <c r="H362" s="347"/>
    </row>
    <row r="363" spans="2:8">
      <c r="B363" s="347">
        <v>200112</v>
      </c>
      <c r="C363" s="316">
        <v>2001</v>
      </c>
      <c r="D363" s="317">
        <v>12</v>
      </c>
      <c r="E363" s="347" t="s">
        <v>121</v>
      </c>
      <c r="F363" s="318">
        <v>178027</v>
      </c>
      <c r="G363" s="318">
        <v>6259</v>
      </c>
      <c r="H363" s="347"/>
    </row>
    <row r="364" spans="2:8">
      <c r="B364" s="347">
        <v>200112</v>
      </c>
      <c r="C364" s="316">
        <v>2001</v>
      </c>
      <c r="D364" s="317">
        <v>12</v>
      </c>
      <c r="E364" s="347" t="s">
        <v>212</v>
      </c>
      <c r="F364" s="318">
        <v>405057</v>
      </c>
      <c r="G364" s="318">
        <v>7142</v>
      </c>
      <c r="H364" s="347"/>
    </row>
    <row r="365" spans="2:8">
      <c r="B365" s="347">
        <v>200112</v>
      </c>
      <c r="C365" s="316">
        <v>2001</v>
      </c>
      <c r="D365" s="317">
        <v>12</v>
      </c>
      <c r="E365" s="347" t="s">
        <v>119</v>
      </c>
      <c r="F365" s="318">
        <v>433429</v>
      </c>
      <c r="G365" s="318">
        <v>7249</v>
      </c>
      <c r="H365" s="347"/>
    </row>
    <row r="366" spans="2:8">
      <c r="B366" s="347">
        <v>200112</v>
      </c>
      <c r="C366" s="316">
        <v>2001</v>
      </c>
      <c r="D366" s="317">
        <v>12</v>
      </c>
      <c r="E366" s="347" t="s">
        <v>120</v>
      </c>
      <c r="F366" s="318">
        <v>446454</v>
      </c>
      <c r="G366" s="318">
        <v>6158</v>
      </c>
      <c r="H366" s="347"/>
    </row>
    <row r="367" spans="2:8">
      <c r="B367" s="347">
        <v>200112</v>
      </c>
      <c r="C367" s="316">
        <v>2001</v>
      </c>
      <c r="D367" s="317">
        <v>12</v>
      </c>
      <c r="E367" s="347" t="s">
        <v>102</v>
      </c>
      <c r="F367" s="318">
        <v>1720352</v>
      </c>
      <c r="G367" s="318">
        <v>15319</v>
      </c>
      <c r="H367" s="347"/>
    </row>
    <row r="368" spans="2:8">
      <c r="B368" s="347">
        <v>200112</v>
      </c>
      <c r="C368" s="316">
        <v>2001</v>
      </c>
      <c r="D368" s="317">
        <v>12</v>
      </c>
      <c r="E368" s="347" t="s">
        <v>117</v>
      </c>
      <c r="F368" s="318">
        <v>4433579</v>
      </c>
      <c r="G368" s="318">
        <v>35278</v>
      </c>
      <c r="H368" s="347"/>
    </row>
    <row r="369" spans="2:8">
      <c r="B369" s="347">
        <v>200112</v>
      </c>
      <c r="C369" s="316">
        <v>2001</v>
      </c>
      <c r="D369" s="317">
        <v>12</v>
      </c>
      <c r="E369" s="347" t="s">
        <v>104</v>
      </c>
      <c r="F369" s="318">
        <v>427206</v>
      </c>
      <c r="G369" s="318">
        <v>3896</v>
      </c>
      <c r="H369" s="347"/>
    </row>
    <row r="370" spans="2:8">
      <c r="B370" s="347">
        <v>200112</v>
      </c>
      <c r="C370" s="316">
        <v>2001</v>
      </c>
      <c r="D370" s="317">
        <v>12</v>
      </c>
      <c r="E370" s="347" t="s">
        <v>34</v>
      </c>
      <c r="F370" s="318">
        <v>1004546</v>
      </c>
      <c r="G370" s="318">
        <v>11750</v>
      </c>
      <c r="H370" s="347"/>
    </row>
    <row r="371" spans="2:8">
      <c r="B371" s="347">
        <v>200112</v>
      </c>
      <c r="C371" s="316">
        <v>2001</v>
      </c>
      <c r="D371" s="317">
        <v>12</v>
      </c>
      <c r="E371" s="347" t="s">
        <v>118</v>
      </c>
      <c r="F371" s="318">
        <v>55156</v>
      </c>
      <c r="G371" s="318">
        <v>2022</v>
      </c>
      <c r="H371" s="347"/>
    </row>
    <row r="372" spans="2:8">
      <c r="B372" s="347">
        <v>200112</v>
      </c>
      <c r="C372" s="316">
        <v>2001</v>
      </c>
      <c r="D372" s="317">
        <v>12</v>
      </c>
      <c r="E372" s="347" t="s">
        <v>103</v>
      </c>
      <c r="F372" s="318">
        <v>920842</v>
      </c>
      <c r="G372" s="318">
        <v>9750</v>
      </c>
      <c r="H372" s="347"/>
    </row>
    <row r="373" spans="2:8">
      <c r="B373" s="347">
        <v>200201</v>
      </c>
      <c r="C373" s="316">
        <v>2002</v>
      </c>
      <c r="D373" s="317">
        <v>1</v>
      </c>
      <c r="E373" s="347" t="s">
        <v>121</v>
      </c>
      <c r="F373" s="318">
        <v>177597</v>
      </c>
      <c r="G373" s="318">
        <v>6584</v>
      </c>
      <c r="H373" s="347"/>
    </row>
    <row r="374" spans="2:8">
      <c r="B374" s="347">
        <v>200201</v>
      </c>
      <c r="C374" s="316">
        <v>2002</v>
      </c>
      <c r="D374" s="317">
        <v>1</v>
      </c>
      <c r="E374" s="347" t="s">
        <v>212</v>
      </c>
      <c r="F374" s="318">
        <v>402623</v>
      </c>
      <c r="G374" s="318">
        <v>7599</v>
      </c>
      <c r="H374" s="347"/>
    </row>
    <row r="375" spans="2:8">
      <c r="B375" s="347">
        <v>200201</v>
      </c>
      <c r="C375" s="316">
        <v>2002</v>
      </c>
      <c r="D375" s="317">
        <v>1</v>
      </c>
      <c r="E375" s="347" t="s">
        <v>119</v>
      </c>
      <c r="F375" s="318">
        <v>429561</v>
      </c>
      <c r="G375" s="318">
        <v>8148</v>
      </c>
      <c r="H375" s="347"/>
    </row>
    <row r="376" spans="2:8">
      <c r="B376" s="347">
        <v>200201</v>
      </c>
      <c r="C376" s="316">
        <v>2002</v>
      </c>
      <c r="D376" s="317">
        <v>1</v>
      </c>
      <c r="E376" s="347" t="s">
        <v>120</v>
      </c>
      <c r="F376" s="318">
        <v>432460</v>
      </c>
      <c r="G376" s="318">
        <v>6607</v>
      </c>
      <c r="H376" s="347"/>
    </row>
    <row r="377" spans="2:8">
      <c r="B377" s="347">
        <v>200201</v>
      </c>
      <c r="C377" s="316">
        <v>2002</v>
      </c>
      <c r="D377" s="317">
        <v>1</v>
      </c>
      <c r="E377" s="347" t="s">
        <v>102</v>
      </c>
      <c r="F377" s="318">
        <v>1634844</v>
      </c>
      <c r="G377" s="318">
        <v>15906</v>
      </c>
      <c r="H377" s="347"/>
    </row>
    <row r="378" spans="2:8">
      <c r="B378" s="347">
        <v>200201</v>
      </c>
      <c r="C378" s="316">
        <v>2002</v>
      </c>
      <c r="D378" s="317">
        <v>1</v>
      </c>
      <c r="E378" s="347" t="s">
        <v>117</v>
      </c>
      <c r="F378" s="318">
        <v>4382919</v>
      </c>
      <c r="G378" s="318">
        <v>37480</v>
      </c>
      <c r="H378" s="347"/>
    </row>
    <row r="379" spans="2:8">
      <c r="B379" s="347">
        <v>200201</v>
      </c>
      <c r="C379" s="316">
        <v>2002</v>
      </c>
      <c r="D379" s="317">
        <v>1</v>
      </c>
      <c r="E379" s="347" t="s">
        <v>104</v>
      </c>
      <c r="F379" s="318">
        <v>432348</v>
      </c>
      <c r="G379" s="318">
        <v>3951</v>
      </c>
      <c r="H379" s="347"/>
    </row>
    <row r="380" spans="2:8">
      <c r="B380" s="347">
        <v>200201</v>
      </c>
      <c r="C380" s="316">
        <v>2002</v>
      </c>
      <c r="D380" s="317">
        <v>1</v>
      </c>
      <c r="E380" s="347" t="s">
        <v>34</v>
      </c>
      <c r="F380" s="318">
        <v>1023611</v>
      </c>
      <c r="G380" s="318">
        <v>12804</v>
      </c>
      <c r="H380" s="347"/>
    </row>
    <row r="381" spans="2:8">
      <c r="B381" s="347">
        <v>200201</v>
      </c>
      <c r="C381" s="316">
        <v>2002</v>
      </c>
      <c r="D381" s="317">
        <v>1</v>
      </c>
      <c r="E381" s="347" t="s">
        <v>118</v>
      </c>
      <c r="F381" s="318">
        <v>50574</v>
      </c>
      <c r="G381" s="318">
        <v>2140</v>
      </c>
      <c r="H381" s="347"/>
    </row>
    <row r="382" spans="2:8">
      <c r="B382" s="347">
        <v>200201</v>
      </c>
      <c r="C382" s="316">
        <v>2002</v>
      </c>
      <c r="D382" s="317">
        <v>1</v>
      </c>
      <c r="E382" s="347" t="s">
        <v>103</v>
      </c>
      <c r="F382" s="318">
        <v>880676</v>
      </c>
      <c r="G382" s="318">
        <v>10410</v>
      </c>
      <c r="H382" s="347"/>
    </row>
    <row r="383" spans="2:8">
      <c r="B383" s="347">
        <v>200202</v>
      </c>
      <c r="C383" s="316">
        <v>2002</v>
      </c>
      <c r="D383" s="317">
        <v>2</v>
      </c>
      <c r="E383" s="347" t="s">
        <v>121</v>
      </c>
      <c r="F383" s="318">
        <v>171013</v>
      </c>
      <c r="G383" s="318">
        <v>6045</v>
      </c>
      <c r="H383" s="347"/>
    </row>
    <row r="384" spans="2:8">
      <c r="B384" s="347">
        <v>200202</v>
      </c>
      <c r="C384" s="316">
        <v>2002</v>
      </c>
      <c r="D384" s="317">
        <v>2</v>
      </c>
      <c r="E384" s="347" t="s">
        <v>212</v>
      </c>
      <c r="F384" s="318">
        <v>467660</v>
      </c>
      <c r="G384" s="318">
        <v>7570</v>
      </c>
      <c r="H384" s="347"/>
    </row>
    <row r="385" spans="2:8">
      <c r="B385" s="347">
        <v>200202</v>
      </c>
      <c r="C385" s="316">
        <v>2002</v>
      </c>
      <c r="D385" s="317">
        <v>2</v>
      </c>
      <c r="E385" s="347" t="s">
        <v>119</v>
      </c>
      <c r="F385" s="318">
        <v>470521</v>
      </c>
      <c r="G385" s="318">
        <v>8015</v>
      </c>
      <c r="H385" s="347"/>
    </row>
    <row r="386" spans="2:8">
      <c r="B386" s="347">
        <v>200202</v>
      </c>
      <c r="C386" s="316">
        <v>2002</v>
      </c>
      <c r="D386" s="317">
        <v>2</v>
      </c>
      <c r="E386" s="347" t="s">
        <v>120</v>
      </c>
      <c r="F386" s="318">
        <v>440089</v>
      </c>
      <c r="G386" s="318">
        <v>6006</v>
      </c>
      <c r="H386" s="347"/>
    </row>
    <row r="387" spans="2:8">
      <c r="B387" s="347">
        <v>200202</v>
      </c>
      <c r="C387" s="316">
        <v>2002</v>
      </c>
      <c r="D387" s="317">
        <v>2</v>
      </c>
      <c r="E387" s="347" t="s">
        <v>102</v>
      </c>
      <c r="F387" s="318">
        <v>1717928</v>
      </c>
      <c r="G387" s="318">
        <v>15197</v>
      </c>
      <c r="H387" s="347"/>
    </row>
    <row r="388" spans="2:8">
      <c r="B388" s="347">
        <v>200202</v>
      </c>
      <c r="C388" s="316">
        <v>2002</v>
      </c>
      <c r="D388" s="317">
        <v>2</v>
      </c>
      <c r="E388" s="347" t="s">
        <v>117</v>
      </c>
      <c r="F388" s="318">
        <v>4389223</v>
      </c>
      <c r="G388" s="318">
        <v>34404</v>
      </c>
      <c r="H388" s="347"/>
    </row>
    <row r="389" spans="2:8">
      <c r="B389" s="347">
        <v>200202</v>
      </c>
      <c r="C389" s="316">
        <v>2002</v>
      </c>
      <c r="D389" s="317">
        <v>2</v>
      </c>
      <c r="E389" s="347" t="s">
        <v>104</v>
      </c>
      <c r="F389" s="318">
        <v>425376</v>
      </c>
      <c r="G389" s="318">
        <v>3640</v>
      </c>
      <c r="H389" s="347"/>
    </row>
    <row r="390" spans="2:8">
      <c r="B390" s="347">
        <v>200202</v>
      </c>
      <c r="C390" s="316">
        <v>2002</v>
      </c>
      <c r="D390" s="317">
        <v>2</v>
      </c>
      <c r="E390" s="347" t="s">
        <v>34</v>
      </c>
      <c r="F390" s="318">
        <v>1061577</v>
      </c>
      <c r="G390" s="318">
        <v>11993</v>
      </c>
      <c r="H390" s="347"/>
    </row>
    <row r="391" spans="2:8">
      <c r="B391" s="347">
        <v>200202</v>
      </c>
      <c r="C391" s="316">
        <v>2002</v>
      </c>
      <c r="D391" s="317">
        <v>2</v>
      </c>
      <c r="E391" s="347" t="s">
        <v>118</v>
      </c>
      <c r="F391" s="318">
        <v>53647</v>
      </c>
      <c r="G391" s="318">
        <v>2044</v>
      </c>
      <c r="H391" s="347"/>
    </row>
    <row r="392" spans="2:8">
      <c r="B392" s="347">
        <v>200202</v>
      </c>
      <c r="C392" s="316">
        <v>2002</v>
      </c>
      <c r="D392" s="317">
        <v>2</v>
      </c>
      <c r="E392" s="347" t="s">
        <v>103</v>
      </c>
      <c r="F392" s="318">
        <v>976514</v>
      </c>
      <c r="G392" s="318">
        <v>9787</v>
      </c>
      <c r="H392" s="347"/>
    </row>
    <row r="393" spans="2:8">
      <c r="B393" s="347">
        <v>200203</v>
      </c>
      <c r="C393" s="316">
        <v>2002</v>
      </c>
      <c r="D393" s="317">
        <v>3</v>
      </c>
      <c r="E393" s="347" t="s">
        <v>121</v>
      </c>
      <c r="F393" s="318">
        <v>195069</v>
      </c>
      <c r="G393" s="318">
        <v>6423</v>
      </c>
      <c r="H393" s="347"/>
    </row>
    <row r="394" spans="2:8">
      <c r="B394" s="347">
        <v>200203</v>
      </c>
      <c r="C394" s="316">
        <v>2002</v>
      </c>
      <c r="D394" s="317">
        <v>3</v>
      </c>
      <c r="E394" s="347" t="s">
        <v>212</v>
      </c>
      <c r="F394" s="318">
        <v>552556</v>
      </c>
      <c r="G394" s="318">
        <v>8544</v>
      </c>
      <c r="H394" s="347"/>
    </row>
    <row r="395" spans="2:8">
      <c r="B395" s="347">
        <v>200203</v>
      </c>
      <c r="C395" s="316">
        <v>2002</v>
      </c>
      <c r="D395" s="317">
        <v>3</v>
      </c>
      <c r="E395" s="347" t="s">
        <v>119</v>
      </c>
      <c r="F395" s="318">
        <v>561340</v>
      </c>
      <c r="G395" s="318">
        <v>8704</v>
      </c>
      <c r="H395" s="347"/>
    </row>
    <row r="396" spans="2:8">
      <c r="B396" s="347">
        <v>200203</v>
      </c>
      <c r="C396" s="316">
        <v>2002</v>
      </c>
      <c r="D396" s="317">
        <v>3</v>
      </c>
      <c r="E396" s="347" t="s">
        <v>120</v>
      </c>
      <c r="F396" s="318">
        <v>535188</v>
      </c>
      <c r="G396" s="318">
        <v>6565</v>
      </c>
      <c r="H396" s="347"/>
    </row>
    <row r="397" spans="2:8">
      <c r="B397" s="347">
        <v>200203</v>
      </c>
      <c r="C397" s="316">
        <v>2002</v>
      </c>
      <c r="D397" s="317">
        <v>3</v>
      </c>
      <c r="E397" s="347" t="s">
        <v>102</v>
      </c>
      <c r="F397" s="318">
        <v>2277099</v>
      </c>
      <c r="G397" s="318">
        <v>18179</v>
      </c>
      <c r="H397" s="347"/>
    </row>
    <row r="398" spans="2:8">
      <c r="B398" s="347">
        <v>200203</v>
      </c>
      <c r="C398" s="316">
        <v>2002</v>
      </c>
      <c r="D398" s="317">
        <v>3</v>
      </c>
      <c r="E398" s="347" t="s">
        <v>117</v>
      </c>
      <c r="F398" s="318">
        <v>5291500</v>
      </c>
      <c r="G398" s="318">
        <v>38271</v>
      </c>
      <c r="H398" s="347"/>
    </row>
    <row r="399" spans="2:8">
      <c r="B399" s="347">
        <v>200203</v>
      </c>
      <c r="C399" s="316">
        <v>2002</v>
      </c>
      <c r="D399" s="317">
        <v>3</v>
      </c>
      <c r="E399" s="347" t="s">
        <v>104</v>
      </c>
      <c r="F399" s="318">
        <v>472165</v>
      </c>
      <c r="G399" s="318">
        <v>4064</v>
      </c>
      <c r="H399" s="347"/>
    </row>
    <row r="400" spans="2:8">
      <c r="B400" s="347">
        <v>200203</v>
      </c>
      <c r="C400" s="316">
        <v>2002</v>
      </c>
      <c r="D400" s="317">
        <v>3</v>
      </c>
      <c r="E400" s="347" t="s">
        <v>34</v>
      </c>
      <c r="F400" s="318">
        <v>1299706</v>
      </c>
      <c r="G400" s="318">
        <v>13260</v>
      </c>
      <c r="H400" s="347"/>
    </row>
    <row r="401" spans="2:8">
      <c r="B401" s="347">
        <v>200203</v>
      </c>
      <c r="C401" s="316">
        <v>2002</v>
      </c>
      <c r="D401" s="317">
        <v>3</v>
      </c>
      <c r="E401" s="347" t="s">
        <v>118</v>
      </c>
      <c r="F401" s="318">
        <v>61905</v>
      </c>
      <c r="G401" s="318">
        <v>2243</v>
      </c>
      <c r="H401" s="347"/>
    </row>
    <row r="402" spans="2:8">
      <c r="B402" s="347">
        <v>200203</v>
      </c>
      <c r="C402" s="316">
        <v>2002</v>
      </c>
      <c r="D402" s="317">
        <v>3</v>
      </c>
      <c r="E402" s="347" t="s">
        <v>103</v>
      </c>
      <c r="F402" s="318">
        <v>1134456</v>
      </c>
      <c r="G402" s="318">
        <v>11079</v>
      </c>
      <c r="H402" s="347"/>
    </row>
    <row r="403" spans="2:8">
      <c r="B403" s="347">
        <v>200204</v>
      </c>
      <c r="C403" s="316">
        <v>2002</v>
      </c>
      <c r="D403" s="317">
        <v>4</v>
      </c>
      <c r="E403" s="347" t="s">
        <v>121</v>
      </c>
      <c r="F403" s="318">
        <v>210926</v>
      </c>
      <c r="G403" s="318">
        <v>6699</v>
      </c>
      <c r="H403" s="347"/>
    </row>
    <row r="404" spans="2:8">
      <c r="B404" s="347">
        <v>200204</v>
      </c>
      <c r="C404" s="316">
        <v>2002</v>
      </c>
      <c r="D404" s="317">
        <v>4</v>
      </c>
      <c r="E404" s="347" t="s">
        <v>212</v>
      </c>
      <c r="F404" s="318">
        <v>571830</v>
      </c>
      <c r="G404" s="318">
        <v>8963</v>
      </c>
      <c r="H404" s="347"/>
    </row>
    <row r="405" spans="2:8">
      <c r="B405" s="347">
        <v>200204</v>
      </c>
      <c r="C405" s="316">
        <v>2002</v>
      </c>
      <c r="D405" s="317">
        <v>4</v>
      </c>
      <c r="E405" s="347" t="s">
        <v>119</v>
      </c>
      <c r="F405" s="318">
        <v>547840</v>
      </c>
      <c r="G405" s="318">
        <v>8744</v>
      </c>
      <c r="H405" s="347"/>
    </row>
    <row r="406" spans="2:8">
      <c r="B406" s="347">
        <v>200204</v>
      </c>
      <c r="C406" s="316">
        <v>2002</v>
      </c>
      <c r="D406" s="317">
        <v>4</v>
      </c>
      <c r="E406" s="347" t="s">
        <v>120</v>
      </c>
      <c r="F406" s="318">
        <v>545133</v>
      </c>
      <c r="G406" s="318">
        <v>6946</v>
      </c>
      <c r="H406" s="347"/>
    </row>
    <row r="407" spans="2:8">
      <c r="B407" s="347">
        <v>200204</v>
      </c>
      <c r="C407" s="316">
        <v>2002</v>
      </c>
      <c r="D407" s="317">
        <v>4</v>
      </c>
      <c r="E407" s="347" t="s">
        <v>102</v>
      </c>
      <c r="F407" s="318">
        <v>2074840</v>
      </c>
      <c r="G407" s="318">
        <v>17874</v>
      </c>
      <c r="H407" s="347"/>
    </row>
    <row r="408" spans="2:8">
      <c r="B408" s="347">
        <v>200204</v>
      </c>
      <c r="C408" s="316">
        <v>2002</v>
      </c>
      <c r="D408" s="317">
        <v>4</v>
      </c>
      <c r="E408" s="347" t="s">
        <v>117</v>
      </c>
      <c r="F408" s="318">
        <v>5076050</v>
      </c>
      <c r="G408" s="318">
        <v>38297</v>
      </c>
      <c r="H408" s="347"/>
    </row>
    <row r="409" spans="2:8">
      <c r="B409" s="347">
        <v>200204</v>
      </c>
      <c r="C409" s="316">
        <v>2002</v>
      </c>
      <c r="D409" s="317">
        <v>4</v>
      </c>
      <c r="E409" s="347" t="s">
        <v>104</v>
      </c>
      <c r="F409" s="318">
        <v>455941</v>
      </c>
      <c r="G409" s="318">
        <v>4169</v>
      </c>
      <c r="H409" s="347"/>
    </row>
    <row r="410" spans="2:8">
      <c r="B410" s="347">
        <v>200204</v>
      </c>
      <c r="C410" s="316">
        <v>2002</v>
      </c>
      <c r="D410" s="317">
        <v>4</v>
      </c>
      <c r="E410" s="347" t="s">
        <v>34</v>
      </c>
      <c r="F410" s="318">
        <v>1246307</v>
      </c>
      <c r="G410" s="318">
        <v>13504</v>
      </c>
      <c r="H410" s="347"/>
    </row>
    <row r="411" spans="2:8">
      <c r="B411" s="347">
        <v>200204</v>
      </c>
      <c r="C411" s="316">
        <v>2002</v>
      </c>
      <c r="D411" s="317">
        <v>4</v>
      </c>
      <c r="E411" s="347" t="s">
        <v>118</v>
      </c>
      <c r="F411" s="318">
        <v>62751</v>
      </c>
      <c r="G411" s="318">
        <v>2319</v>
      </c>
      <c r="H411" s="347"/>
    </row>
    <row r="412" spans="2:8">
      <c r="B412" s="347">
        <v>200204</v>
      </c>
      <c r="C412" s="316">
        <v>2002</v>
      </c>
      <c r="D412" s="317">
        <v>4</v>
      </c>
      <c r="E412" s="347" t="s">
        <v>103</v>
      </c>
      <c r="F412" s="318">
        <v>1218703</v>
      </c>
      <c r="G412" s="318">
        <v>12264</v>
      </c>
      <c r="H412" s="347"/>
    </row>
    <row r="413" spans="2:8">
      <c r="B413" s="347">
        <v>200205</v>
      </c>
      <c r="C413" s="316">
        <v>2002</v>
      </c>
      <c r="D413" s="317">
        <v>5</v>
      </c>
      <c r="E413" s="347" t="s">
        <v>121</v>
      </c>
      <c r="F413" s="318">
        <v>225972</v>
      </c>
      <c r="G413" s="318">
        <v>7062</v>
      </c>
      <c r="H413" s="347"/>
    </row>
    <row r="414" spans="2:8">
      <c r="B414" s="347">
        <v>200205</v>
      </c>
      <c r="C414" s="316">
        <v>2002</v>
      </c>
      <c r="D414" s="317">
        <v>5</v>
      </c>
      <c r="E414" s="347" t="s">
        <v>212</v>
      </c>
      <c r="F414" s="318">
        <v>729264</v>
      </c>
      <c r="G414" s="318">
        <v>10147</v>
      </c>
      <c r="H414" s="347"/>
    </row>
    <row r="415" spans="2:8">
      <c r="B415" s="347">
        <v>200205</v>
      </c>
      <c r="C415" s="316">
        <v>2002</v>
      </c>
      <c r="D415" s="317">
        <v>5</v>
      </c>
      <c r="E415" s="347" t="s">
        <v>119</v>
      </c>
      <c r="F415" s="318">
        <v>607262</v>
      </c>
      <c r="G415" s="318">
        <v>9277</v>
      </c>
      <c r="H415" s="347"/>
    </row>
    <row r="416" spans="2:8">
      <c r="B416" s="347">
        <v>200205</v>
      </c>
      <c r="C416" s="316">
        <v>2002</v>
      </c>
      <c r="D416" s="317">
        <v>5</v>
      </c>
      <c r="E416" s="347" t="s">
        <v>120</v>
      </c>
      <c r="F416" s="318">
        <v>734329</v>
      </c>
      <c r="G416" s="318">
        <v>7891</v>
      </c>
      <c r="H416" s="347"/>
    </row>
    <row r="417" spans="2:8">
      <c r="B417" s="347">
        <v>200205</v>
      </c>
      <c r="C417" s="316">
        <v>2002</v>
      </c>
      <c r="D417" s="317">
        <v>5</v>
      </c>
      <c r="E417" s="347" t="s">
        <v>102</v>
      </c>
      <c r="F417" s="318">
        <v>2510163</v>
      </c>
      <c r="G417" s="318">
        <v>20621</v>
      </c>
      <c r="H417" s="347"/>
    </row>
    <row r="418" spans="2:8">
      <c r="B418" s="347">
        <v>200205</v>
      </c>
      <c r="C418" s="316">
        <v>2002</v>
      </c>
      <c r="D418" s="317">
        <v>5</v>
      </c>
      <c r="E418" s="347" t="s">
        <v>117</v>
      </c>
      <c r="F418" s="318">
        <v>5135779</v>
      </c>
      <c r="G418" s="318">
        <v>39163</v>
      </c>
      <c r="H418" s="347"/>
    </row>
    <row r="419" spans="2:8">
      <c r="B419" s="347">
        <v>200205</v>
      </c>
      <c r="C419" s="316">
        <v>2002</v>
      </c>
      <c r="D419" s="317">
        <v>5</v>
      </c>
      <c r="E419" s="347" t="s">
        <v>104</v>
      </c>
      <c r="F419" s="318">
        <v>548042</v>
      </c>
      <c r="G419" s="318">
        <v>4724</v>
      </c>
      <c r="H419" s="347"/>
    </row>
    <row r="420" spans="2:8">
      <c r="B420" s="347">
        <v>200205</v>
      </c>
      <c r="C420" s="316">
        <v>2002</v>
      </c>
      <c r="D420" s="317">
        <v>5</v>
      </c>
      <c r="E420" s="347" t="s">
        <v>34</v>
      </c>
      <c r="F420" s="318">
        <v>1670592</v>
      </c>
      <c r="G420" s="318">
        <v>15791</v>
      </c>
      <c r="H420" s="347"/>
    </row>
    <row r="421" spans="2:8">
      <c r="B421" s="347">
        <v>200205</v>
      </c>
      <c r="C421" s="316">
        <v>2002</v>
      </c>
      <c r="D421" s="317">
        <v>5</v>
      </c>
      <c r="E421" s="347" t="s">
        <v>118</v>
      </c>
      <c r="F421" s="318">
        <v>73425</v>
      </c>
      <c r="G421" s="318">
        <v>2428</v>
      </c>
      <c r="H421" s="347"/>
    </row>
    <row r="422" spans="2:8">
      <c r="B422" s="347">
        <v>200205</v>
      </c>
      <c r="C422" s="316">
        <v>2002</v>
      </c>
      <c r="D422" s="317">
        <v>5</v>
      </c>
      <c r="E422" s="347" t="s">
        <v>103</v>
      </c>
      <c r="F422" s="318">
        <v>1378416</v>
      </c>
      <c r="G422" s="318">
        <v>13299</v>
      </c>
      <c r="H422" s="347"/>
    </row>
    <row r="423" spans="2:8">
      <c r="B423" s="347">
        <v>200206</v>
      </c>
      <c r="C423" s="316">
        <v>2002</v>
      </c>
      <c r="D423" s="317">
        <v>6</v>
      </c>
      <c r="E423" s="347" t="s">
        <v>121</v>
      </c>
      <c r="F423" s="318">
        <v>222048</v>
      </c>
      <c r="G423" s="318">
        <v>6472</v>
      </c>
      <c r="H423" s="347"/>
    </row>
    <row r="424" spans="2:8">
      <c r="B424" s="347">
        <v>200206</v>
      </c>
      <c r="C424" s="316">
        <v>2002</v>
      </c>
      <c r="D424" s="317">
        <v>6</v>
      </c>
      <c r="E424" s="347" t="s">
        <v>212</v>
      </c>
      <c r="F424" s="318">
        <v>794161</v>
      </c>
      <c r="G424" s="318">
        <v>9939</v>
      </c>
      <c r="H424" s="347"/>
    </row>
    <row r="425" spans="2:8">
      <c r="B425" s="347">
        <v>200206</v>
      </c>
      <c r="C425" s="316">
        <v>2002</v>
      </c>
      <c r="D425" s="317">
        <v>6</v>
      </c>
      <c r="E425" s="347" t="s">
        <v>119</v>
      </c>
      <c r="F425" s="318">
        <v>598865</v>
      </c>
      <c r="G425" s="318">
        <v>8608</v>
      </c>
      <c r="H425" s="347"/>
    </row>
    <row r="426" spans="2:8">
      <c r="B426" s="347">
        <v>200206</v>
      </c>
      <c r="C426" s="316">
        <v>2002</v>
      </c>
      <c r="D426" s="317">
        <v>6</v>
      </c>
      <c r="E426" s="347" t="s">
        <v>120</v>
      </c>
      <c r="F426" s="318">
        <v>784840</v>
      </c>
      <c r="G426" s="318">
        <v>7829</v>
      </c>
      <c r="H426" s="347"/>
    </row>
    <row r="427" spans="2:8">
      <c r="B427" s="347">
        <v>200206</v>
      </c>
      <c r="C427" s="316">
        <v>2002</v>
      </c>
      <c r="D427" s="317">
        <v>6</v>
      </c>
      <c r="E427" s="347" t="s">
        <v>102</v>
      </c>
      <c r="F427" s="318">
        <v>2976918</v>
      </c>
      <c r="G427" s="318">
        <v>21082</v>
      </c>
      <c r="H427" s="347"/>
    </row>
    <row r="428" spans="2:8">
      <c r="B428" s="347">
        <v>200206</v>
      </c>
      <c r="C428" s="316">
        <v>2002</v>
      </c>
      <c r="D428" s="317">
        <v>6</v>
      </c>
      <c r="E428" s="347" t="s">
        <v>117</v>
      </c>
      <c r="F428" s="318">
        <v>5495965</v>
      </c>
      <c r="G428" s="318">
        <v>38379</v>
      </c>
      <c r="H428" s="347"/>
    </row>
    <row r="429" spans="2:8">
      <c r="B429" s="347">
        <v>200206</v>
      </c>
      <c r="C429" s="316">
        <v>2002</v>
      </c>
      <c r="D429" s="317">
        <v>6</v>
      </c>
      <c r="E429" s="347" t="s">
        <v>104</v>
      </c>
      <c r="F429" s="318">
        <v>606697</v>
      </c>
      <c r="G429" s="318">
        <v>4842</v>
      </c>
      <c r="H429" s="347"/>
    </row>
    <row r="430" spans="2:8">
      <c r="B430" s="347">
        <v>200206</v>
      </c>
      <c r="C430" s="316">
        <v>2002</v>
      </c>
      <c r="D430" s="317">
        <v>6</v>
      </c>
      <c r="E430" s="347" t="s">
        <v>34</v>
      </c>
      <c r="F430" s="318">
        <v>1938384</v>
      </c>
      <c r="G430" s="318">
        <v>16022</v>
      </c>
      <c r="H430" s="347"/>
    </row>
    <row r="431" spans="2:8">
      <c r="B431" s="347">
        <v>200206</v>
      </c>
      <c r="C431" s="316">
        <v>2002</v>
      </c>
      <c r="D431" s="317">
        <v>6</v>
      </c>
      <c r="E431" s="347" t="s">
        <v>118</v>
      </c>
      <c r="F431" s="318">
        <v>71298</v>
      </c>
      <c r="G431" s="318">
        <v>2339</v>
      </c>
      <c r="H431" s="347"/>
    </row>
    <row r="432" spans="2:8">
      <c r="B432" s="347">
        <v>200206</v>
      </c>
      <c r="C432" s="316">
        <v>2002</v>
      </c>
      <c r="D432" s="317">
        <v>6</v>
      </c>
      <c r="E432" s="347" t="s">
        <v>103</v>
      </c>
      <c r="F432" s="318">
        <v>1471500</v>
      </c>
      <c r="G432" s="318">
        <v>13026</v>
      </c>
      <c r="H432" s="347"/>
    </row>
    <row r="433" spans="2:8">
      <c r="B433" s="347">
        <v>200207</v>
      </c>
      <c r="C433" s="316">
        <v>2002</v>
      </c>
      <c r="D433" s="317">
        <v>7</v>
      </c>
      <c r="E433" s="347" t="s">
        <v>121</v>
      </c>
      <c r="F433" s="318">
        <v>244279</v>
      </c>
      <c r="G433" s="318">
        <v>6943</v>
      </c>
      <c r="H433" s="347"/>
    </row>
    <row r="434" spans="2:8">
      <c r="B434" s="347">
        <v>200207</v>
      </c>
      <c r="C434" s="316">
        <v>2002</v>
      </c>
      <c r="D434" s="317">
        <v>7</v>
      </c>
      <c r="E434" s="347" t="s">
        <v>212</v>
      </c>
      <c r="F434" s="318">
        <v>843058</v>
      </c>
      <c r="G434" s="318">
        <v>10651</v>
      </c>
      <c r="H434" s="347"/>
    </row>
    <row r="435" spans="2:8">
      <c r="B435" s="347">
        <v>200207</v>
      </c>
      <c r="C435" s="316">
        <v>2002</v>
      </c>
      <c r="D435" s="317">
        <v>7</v>
      </c>
      <c r="E435" s="347" t="s">
        <v>119</v>
      </c>
      <c r="F435" s="318">
        <v>685109</v>
      </c>
      <c r="G435" s="318">
        <v>9545</v>
      </c>
      <c r="H435" s="347"/>
    </row>
    <row r="436" spans="2:8">
      <c r="B436" s="347">
        <v>200207</v>
      </c>
      <c r="C436" s="316">
        <v>2002</v>
      </c>
      <c r="D436" s="317">
        <v>7</v>
      </c>
      <c r="E436" s="347" t="s">
        <v>120</v>
      </c>
      <c r="F436" s="318">
        <v>885190</v>
      </c>
      <c r="G436" s="318">
        <v>8682</v>
      </c>
      <c r="H436" s="347"/>
    </row>
    <row r="437" spans="2:8">
      <c r="B437" s="347">
        <v>200207</v>
      </c>
      <c r="C437" s="316">
        <v>2002</v>
      </c>
      <c r="D437" s="317">
        <v>7</v>
      </c>
      <c r="E437" s="347" t="s">
        <v>102</v>
      </c>
      <c r="F437" s="318">
        <v>3254423</v>
      </c>
      <c r="G437" s="318">
        <v>22852</v>
      </c>
      <c r="H437" s="347"/>
    </row>
    <row r="438" spans="2:8">
      <c r="B438" s="347">
        <v>200207</v>
      </c>
      <c r="C438" s="316">
        <v>2002</v>
      </c>
      <c r="D438" s="317">
        <v>7</v>
      </c>
      <c r="E438" s="347" t="s">
        <v>117</v>
      </c>
      <c r="F438" s="318">
        <v>6063253</v>
      </c>
      <c r="G438" s="318">
        <v>40707</v>
      </c>
      <c r="H438" s="347"/>
    </row>
    <row r="439" spans="2:8">
      <c r="B439" s="347">
        <v>200207</v>
      </c>
      <c r="C439" s="316">
        <v>2002</v>
      </c>
      <c r="D439" s="317">
        <v>7</v>
      </c>
      <c r="E439" s="347" t="s">
        <v>104</v>
      </c>
      <c r="F439" s="318">
        <v>677613</v>
      </c>
      <c r="G439" s="318">
        <v>5310</v>
      </c>
      <c r="H439" s="347"/>
    </row>
    <row r="440" spans="2:8">
      <c r="B440" s="347">
        <v>200207</v>
      </c>
      <c r="C440" s="316">
        <v>2002</v>
      </c>
      <c r="D440" s="317">
        <v>7</v>
      </c>
      <c r="E440" s="347" t="s">
        <v>34</v>
      </c>
      <c r="F440" s="318">
        <v>2063185</v>
      </c>
      <c r="G440" s="318">
        <v>17070</v>
      </c>
      <c r="H440" s="347"/>
    </row>
    <row r="441" spans="2:8">
      <c r="B441" s="347">
        <v>200207</v>
      </c>
      <c r="C441" s="316">
        <v>2002</v>
      </c>
      <c r="D441" s="317">
        <v>7</v>
      </c>
      <c r="E441" s="347" t="s">
        <v>118</v>
      </c>
      <c r="F441" s="318">
        <v>76443</v>
      </c>
      <c r="G441" s="318">
        <v>2597</v>
      </c>
      <c r="H441" s="347"/>
    </row>
    <row r="442" spans="2:8">
      <c r="B442" s="347">
        <v>200207</v>
      </c>
      <c r="C442" s="316">
        <v>2002</v>
      </c>
      <c r="D442" s="317">
        <v>7</v>
      </c>
      <c r="E442" s="347" t="s">
        <v>103</v>
      </c>
      <c r="F442" s="318">
        <v>1671953</v>
      </c>
      <c r="G442" s="318">
        <v>14307</v>
      </c>
      <c r="H442" s="347"/>
    </row>
    <row r="443" spans="2:8">
      <c r="B443" s="347">
        <v>200208</v>
      </c>
      <c r="C443" s="316">
        <v>2002</v>
      </c>
      <c r="D443" s="317">
        <v>8</v>
      </c>
      <c r="E443" s="347" t="s">
        <v>121</v>
      </c>
      <c r="F443" s="318">
        <v>239973</v>
      </c>
      <c r="G443" s="318">
        <v>6969</v>
      </c>
      <c r="H443" s="347"/>
    </row>
    <row r="444" spans="2:8">
      <c r="B444" s="347">
        <v>200208</v>
      </c>
      <c r="C444" s="316">
        <v>2002</v>
      </c>
      <c r="D444" s="317">
        <v>8</v>
      </c>
      <c r="E444" s="347" t="s">
        <v>212</v>
      </c>
      <c r="F444" s="318">
        <v>884516</v>
      </c>
      <c r="G444" s="318">
        <v>10525</v>
      </c>
      <c r="H444" s="347"/>
    </row>
    <row r="445" spans="2:8">
      <c r="B445" s="347">
        <v>200208</v>
      </c>
      <c r="C445" s="316">
        <v>2002</v>
      </c>
      <c r="D445" s="317">
        <v>8</v>
      </c>
      <c r="E445" s="347" t="s">
        <v>119</v>
      </c>
      <c r="F445" s="318">
        <v>684784</v>
      </c>
      <c r="G445" s="318">
        <v>9125</v>
      </c>
      <c r="H445" s="347"/>
    </row>
    <row r="446" spans="2:8">
      <c r="B446" s="347">
        <v>200208</v>
      </c>
      <c r="C446" s="316">
        <v>2002</v>
      </c>
      <c r="D446" s="317">
        <v>8</v>
      </c>
      <c r="E446" s="347" t="s">
        <v>120</v>
      </c>
      <c r="F446" s="318">
        <v>825168</v>
      </c>
      <c r="G446" s="318">
        <v>8174</v>
      </c>
      <c r="H446" s="347"/>
    </row>
    <row r="447" spans="2:8">
      <c r="B447" s="347">
        <v>200208</v>
      </c>
      <c r="C447" s="316">
        <v>2002</v>
      </c>
      <c r="D447" s="317">
        <v>8</v>
      </c>
      <c r="E447" s="347" t="s">
        <v>102</v>
      </c>
      <c r="F447" s="318">
        <v>3550508</v>
      </c>
      <c r="G447" s="318">
        <v>23760</v>
      </c>
      <c r="H447" s="347"/>
    </row>
    <row r="448" spans="2:8">
      <c r="B448" s="347">
        <v>200208</v>
      </c>
      <c r="C448" s="316">
        <v>2002</v>
      </c>
      <c r="D448" s="317">
        <v>8</v>
      </c>
      <c r="E448" s="347" t="s">
        <v>117</v>
      </c>
      <c r="F448" s="318">
        <v>6101711</v>
      </c>
      <c r="G448" s="318">
        <v>40417</v>
      </c>
      <c r="H448" s="347"/>
    </row>
    <row r="449" spans="2:8">
      <c r="B449" s="347">
        <v>200208</v>
      </c>
      <c r="C449" s="316">
        <v>2002</v>
      </c>
      <c r="D449" s="317">
        <v>8</v>
      </c>
      <c r="E449" s="347" t="s">
        <v>104</v>
      </c>
      <c r="F449" s="318">
        <v>703690</v>
      </c>
      <c r="G449" s="318">
        <v>5343</v>
      </c>
      <c r="H449" s="347"/>
    </row>
    <row r="450" spans="2:8">
      <c r="B450" s="347">
        <v>200208</v>
      </c>
      <c r="C450" s="316">
        <v>2002</v>
      </c>
      <c r="D450" s="317">
        <v>8</v>
      </c>
      <c r="E450" s="347" t="s">
        <v>34</v>
      </c>
      <c r="F450" s="318">
        <v>2185118</v>
      </c>
      <c r="G450" s="318">
        <v>17469</v>
      </c>
      <c r="H450" s="347"/>
    </row>
    <row r="451" spans="2:8">
      <c r="B451" s="347">
        <v>200208</v>
      </c>
      <c r="C451" s="316">
        <v>2002</v>
      </c>
      <c r="D451" s="317">
        <v>8</v>
      </c>
      <c r="E451" s="347" t="s">
        <v>118</v>
      </c>
      <c r="F451" s="318">
        <v>77817</v>
      </c>
      <c r="G451" s="318">
        <v>2610</v>
      </c>
      <c r="H451" s="347"/>
    </row>
    <row r="452" spans="2:8">
      <c r="B452" s="347">
        <v>200208</v>
      </c>
      <c r="C452" s="316">
        <v>2002</v>
      </c>
      <c r="D452" s="317">
        <v>8</v>
      </c>
      <c r="E452" s="347" t="s">
        <v>103</v>
      </c>
      <c r="F452" s="318">
        <v>1743096</v>
      </c>
      <c r="G452" s="318">
        <v>14403</v>
      </c>
      <c r="H452" s="347"/>
    </row>
    <row r="453" spans="2:8">
      <c r="B453" s="347">
        <v>200209</v>
      </c>
      <c r="C453" s="316">
        <v>2002</v>
      </c>
      <c r="D453" s="317">
        <v>9</v>
      </c>
      <c r="E453" s="347" t="s">
        <v>121</v>
      </c>
      <c r="F453" s="318">
        <v>232590</v>
      </c>
      <c r="G453" s="318">
        <v>6751</v>
      </c>
      <c r="H453" s="347"/>
    </row>
    <row r="454" spans="2:8">
      <c r="B454" s="347">
        <v>200209</v>
      </c>
      <c r="C454" s="316">
        <v>2002</v>
      </c>
      <c r="D454" s="317">
        <v>9</v>
      </c>
      <c r="E454" s="347" t="s">
        <v>212</v>
      </c>
      <c r="F454" s="318">
        <v>858283</v>
      </c>
      <c r="G454" s="318">
        <v>10466</v>
      </c>
      <c r="H454" s="347"/>
    </row>
    <row r="455" spans="2:8">
      <c r="B455" s="347">
        <v>200209</v>
      </c>
      <c r="C455" s="316">
        <v>2002</v>
      </c>
      <c r="D455" s="317">
        <v>9</v>
      </c>
      <c r="E455" s="347" t="s">
        <v>119</v>
      </c>
      <c r="F455" s="318">
        <v>624850</v>
      </c>
      <c r="G455" s="318">
        <v>8892</v>
      </c>
      <c r="H455" s="347"/>
    </row>
    <row r="456" spans="2:8">
      <c r="B456" s="347">
        <v>200209</v>
      </c>
      <c r="C456" s="316">
        <v>2002</v>
      </c>
      <c r="D456" s="317">
        <v>9</v>
      </c>
      <c r="E456" s="347" t="s">
        <v>120</v>
      </c>
      <c r="F456" s="318">
        <v>785778</v>
      </c>
      <c r="G456" s="318">
        <v>7789</v>
      </c>
      <c r="H456" s="347"/>
    </row>
    <row r="457" spans="2:8">
      <c r="B457" s="347">
        <v>200209</v>
      </c>
      <c r="C457" s="316">
        <v>2002</v>
      </c>
      <c r="D457" s="317">
        <v>9</v>
      </c>
      <c r="E457" s="347" t="s">
        <v>102</v>
      </c>
      <c r="F457" s="318">
        <v>3171630</v>
      </c>
      <c r="G457" s="318">
        <v>22591</v>
      </c>
      <c r="H457" s="347"/>
    </row>
    <row r="458" spans="2:8">
      <c r="B458" s="347">
        <v>200209</v>
      </c>
      <c r="C458" s="316">
        <v>2002</v>
      </c>
      <c r="D458" s="317">
        <v>9</v>
      </c>
      <c r="E458" s="347" t="s">
        <v>117</v>
      </c>
      <c r="F458" s="318">
        <v>5723602</v>
      </c>
      <c r="G458" s="318">
        <v>39120</v>
      </c>
      <c r="H458" s="347"/>
    </row>
    <row r="459" spans="2:8">
      <c r="B459" s="347">
        <v>200209</v>
      </c>
      <c r="C459" s="316">
        <v>2002</v>
      </c>
      <c r="D459" s="317">
        <v>9</v>
      </c>
      <c r="E459" s="347" t="s">
        <v>104</v>
      </c>
      <c r="F459" s="318">
        <v>643869</v>
      </c>
      <c r="G459" s="318">
        <v>5207</v>
      </c>
      <c r="H459" s="347"/>
    </row>
    <row r="460" spans="2:8">
      <c r="B460" s="347">
        <v>200209</v>
      </c>
      <c r="C460" s="316">
        <v>2002</v>
      </c>
      <c r="D460" s="317">
        <v>9</v>
      </c>
      <c r="E460" s="347" t="s">
        <v>34</v>
      </c>
      <c r="F460" s="318">
        <v>2077189</v>
      </c>
      <c r="G460" s="318">
        <v>17123</v>
      </c>
      <c r="H460" s="347"/>
    </row>
    <row r="461" spans="2:8">
      <c r="B461" s="347">
        <v>200209</v>
      </c>
      <c r="C461" s="316">
        <v>2002</v>
      </c>
      <c r="D461" s="317">
        <v>9</v>
      </c>
      <c r="E461" s="347" t="s">
        <v>118</v>
      </c>
      <c r="F461" s="318">
        <v>75743</v>
      </c>
      <c r="G461" s="318">
        <v>2378</v>
      </c>
      <c r="H461" s="347"/>
    </row>
    <row r="462" spans="2:8">
      <c r="B462" s="347">
        <v>200209</v>
      </c>
      <c r="C462" s="316">
        <v>2002</v>
      </c>
      <c r="D462" s="317">
        <v>9</v>
      </c>
      <c r="E462" s="347" t="s">
        <v>103</v>
      </c>
      <c r="F462" s="318">
        <v>1531942</v>
      </c>
      <c r="G462" s="318">
        <v>13749</v>
      </c>
      <c r="H462" s="347"/>
    </row>
    <row r="463" spans="2:8">
      <c r="B463" s="347">
        <v>200210</v>
      </c>
      <c r="C463" s="316">
        <v>2002</v>
      </c>
      <c r="D463" s="317">
        <v>10</v>
      </c>
      <c r="E463" s="347" t="s">
        <v>121</v>
      </c>
      <c r="F463" s="318">
        <v>237373</v>
      </c>
      <c r="G463" s="318">
        <v>7097</v>
      </c>
      <c r="H463" s="347"/>
    </row>
    <row r="464" spans="2:8">
      <c r="B464" s="347">
        <v>200210</v>
      </c>
      <c r="C464" s="316">
        <v>2002</v>
      </c>
      <c r="D464" s="317">
        <v>10</v>
      </c>
      <c r="E464" s="347" t="s">
        <v>212</v>
      </c>
      <c r="F464" s="318">
        <v>779961</v>
      </c>
      <c r="G464" s="318">
        <v>10489</v>
      </c>
      <c r="H464" s="347"/>
    </row>
    <row r="465" spans="2:8">
      <c r="B465" s="347">
        <v>200210</v>
      </c>
      <c r="C465" s="316">
        <v>2002</v>
      </c>
      <c r="D465" s="317">
        <v>10</v>
      </c>
      <c r="E465" s="347" t="s">
        <v>119</v>
      </c>
      <c r="F465" s="318">
        <v>630982</v>
      </c>
      <c r="G465" s="318">
        <v>9266</v>
      </c>
      <c r="H465" s="347"/>
    </row>
    <row r="466" spans="2:8">
      <c r="B466" s="347">
        <v>200210</v>
      </c>
      <c r="C466" s="316">
        <v>2002</v>
      </c>
      <c r="D466" s="317">
        <v>10</v>
      </c>
      <c r="E466" s="347" t="s">
        <v>120</v>
      </c>
      <c r="F466" s="318">
        <v>777317</v>
      </c>
      <c r="G466" s="318">
        <v>7974</v>
      </c>
      <c r="H466" s="347"/>
    </row>
    <row r="467" spans="2:8">
      <c r="B467" s="347">
        <v>200210</v>
      </c>
      <c r="C467" s="316">
        <v>2002</v>
      </c>
      <c r="D467" s="317">
        <v>10</v>
      </c>
      <c r="E467" s="347" t="s">
        <v>102</v>
      </c>
      <c r="F467" s="318">
        <v>2668832</v>
      </c>
      <c r="G467" s="318">
        <v>21271</v>
      </c>
      <c r="H467" s="347"/>
    </row>
    <row r="468" spans="2:8">
      <c r="B468" s="347">
        <v>200210</v>
      </c>
      <c r="C468" s="316">
        <v>2002</v>
      </c>
      <c r="D468" s="317">
        <v>10</v>
      </c>
      <c r="E468" s="347" t="s">
        <v>117</v>
      </c>
      <c r="F468" s="318">
        <v>5494334</v>
      </c>
      <c r="G468" s="318">
        <v>39804</v>
      </c>
      <c r="H468" s="347"/>
    </row>
    <row r="469" spans="2:8">
      <c r="B469" s="347">
        <v>200210</v>
      </c>
      <c r="C469" s="316">
        <v>2002</v>
      </c>
      <c r="D469" s="317">
        <v>10</v>
      </c>
      <c r="E469" s="347" t="s">
        <v>104</v>
      </c>
      <c r="F469" s="318">
        <v>599236</v>
      </c>
      <c r="G469" s="318">
        <v>5118</v>
      </c>
      <c r="H469" s="347"/>
    </row>
    <row r="470" spans="2:8">
      <c r="B470" s="347">
        <v>200210</v>
      </c>
      <c r="C470" s="316">
        <v>2002</v>
      </c>
      <c r="D470" s="317">
        <v>10</v>
      </c>
      <c r="E470" s="347" t="s">
        <v>34</v>
      </c>
      <c r="F470" s="318">
        <v>1803751</v>
      </c>
      <c r="G470" s="318">
        <v>16338</v>
      </c>
      <c r="H470" s="347"/>
    </row>
    <row r="471" spans="2:8">
      <c r="B471" s="347">
        <v>200210</v>
      </c>
      <c r="C471" s="316">
        <v>2002</v>
      </c>
      <c r="D471" s="317">
        <v>10</v>
      </c>
      <c r="E471" s="347" t="s">
        <v>118</v>
      </c>
      <c r="F471" s="318">
        <v>71742</v>
      </c>
      <c r="G471" s="318">
        <v>2412</v>
      </c>
      <c r="H471" s="347"/>
    </row>
    <row r="472" spans="2:8">
      <c r="B472" s="347">
        <v>200210</v>
      </c>
      <c r="C472" s="316">
        <v>2002</v>
      </c>
      <c r="D472" s="317">
        <v>10</v>
      </c>
      <c r="E472" s="347" t="s">
        <v>103</v>
      </c>
      <c r="F472" s="318">
        <v>1497351</v>
      </c>
      <c r="G472" s="318">
        <v>13998</v>
      </c>
      <c r="H472" s="347"/>
    </row>
    <row r="473" spans="2:8">
      <c r="B473" s="347">
        <v>200211</v>
      </c>
      <c r="C473" s="316">
        <v>2002</v>
      </c>
      <c r="D473" s="317">
        <v>11</v>
      </c>
      <c r="E473" s="347" t="s">
        <v>121</v>
      </c>
      <c r="F473" s="318">
        <v>201718</v>
      </c>
      <c r="G473" s="318">
        <v>6458</v>
      </c>
      <c r="H473" s="347"/>
    </row>
    <row r="474" spans="2:8">
      <c r="B474" s="347">
        <v>200211</v>
      </c>
      <c r="C474" s="316">
        <v>2002</v>
      </c>
      <c r="D474" s="317">
        <v>11</v>
      </c>
      <c r="E474" s="347" t="s">
        <v>212</v>
      </c>
      <c r="F474" s="318">
        <v>538547</v>
      </c>
      <c r="G474" s="318">
        <v>9013</v>
      </c>
      <c r="H474" s="347"/>
    </row>
    <row r="475" spans="2:8">
      <c r="B475" s="347">
        <v>200211</v>
      </c>
      <c r="C475" s="316">
        <v>2002</v>
      </c>
      <c r="D475" s="317">
        <v>11</v>
      </c>
      <c r="E475" s="347" t="s">
        <v>119</v>
      </c>
      <c r="F475" s="318">
        <v>556583</v>
      </c>
      <c r="G475" s="318">
        <v>8646</v>
      </c>
      <c r="H475" s="347"/>
    </row>
    <row r="476" spans="2:8">
      <c r="B476" s="347">
        <v>200211</v>
      </c>
      <c r="C476" s="316">
        <v>2002</v>
      </c>
      <c r="D476" s="317">
        <v>11</v>
      </c>
      <c r="E476" s="347" t="s">
        <v>120</v>
      </c>
      <c r="F476" s="318">
        <v>532667</v>
      </c>
      <c r="G476" s="318">
        <v>6641</v>
      </c>
      <c r="H476" s="347"/>
    </row>
    <row r="477" spans="2:8">
      <c r="B477" s="347">
        <v>200211</v>
      </c>
      <c r="C477" s="316">
        <v>2002</v>
      </c>
      <c r="D477" s="317">
        <v>11</v>
      </c>
      <c r="E477" s="347" t="s">
        <v>102</v>
      </c>
      <c r="F477" s="318">
        <v>1795991</v>
      </c>
      <c r="G477" s="318">
        <v>17104</v>
      </c>
      <c r="H477" s="347"/>
    </row>
    <row r="478" spans="2:8">
      <c r="B478" s="347">
        <v>200211</v>
      </c>
      <c r="C478" s="316">
        <v>2002</v>
      </c>
      <c r="D478" s="317">
        <v>11</v>
      </c>
      <c r="E478" s="347" t="s">
        <v>117</v>
      </c>
      <c r="F478" s="318">
        <v>4849900</v>
      </c>
      <c r="G478" s="318">
        <v>37502</v>
      </c>
      <c r="H478" s="347"/>
    </row>
    <row r="479" spans="2:8">
      <c r="B479" s="347">
        <v>200211</v>
      </c>
      <c r="C479" s="316">
        <v>2002</v>
      </c>
      <c r="D479" s="317">
        <v>11</v>
      </c>
      <c r="E479" s="347" t="s">
        <v>104</v>
      </c>
      <c r="F479" s="318">
        <v>451967</v>
      </c>
      <c r="G479" s="318">
        <v>4253</v>
      </c>
      <c r="H479" s="347"/>
    </row>
    <row r="480" spans="2:8">
      <c r="B480" s="347">
        <v>200211</v>
      </c>
      <c r="C480" s="316">
        <v>2002</v>
      </c>
      <c r="D480" s="317">
        <v>11</v>
      </c>
      <c r="E480" s="347" t="s">
        <v>34</v>
      </c>
      <c r="F480" s="318">
        <v>1163248</v>
      </c>
      <c r="G480" s="318">
        <v>13490</v>
      </c>
      <c r="H480" s="347"/>
    </row>
    <row r="481" spans="2:8">
      <c r="B481" s="347">
        <v>200211</v>
      </c>
      <c r="C481" s="316">
        <v>2002</v>
      </c>
      <c r="D481" s="317">
        <v>11</v>
      </c>
      <c r="E481" s="347" t="s">
        <v>118</v>
      </c>
      <c r="F481" s="318">
        <v>57834</v>
      </c>
      <c r="G481" s="318">
        <v>2133</v>
      </c>
      <c r="H481" s="347"/>
    </row>
    <row r="482" spans="2:8">
      <c r="B482" s="347">
        <v>200211</v>
      </c>
      <c r="C482" s="316">
        <v>2002</v>
      </c>
      <c r="D482" s="317">
        <v>11</v>
      </c>
      <c r="E482" s="347" t="s">
        <v>103</v>
      </c>
      <c r="F482" s="318">
        <v>1267018</v>
      </c>
      <c r="G482" s="318">
        <v>13157</v>
      </c>
      <c r="H482" s="347"/>
    </row>
    <row r="483" spans="2:8">
      <c r="B483" s="347">
        <v>200212</v>
      </c>
      <c r="C483" s="316">
        <v>2002</v>
      </c>
      <c r="D483" s="317">
        <v>12</v>
      </c>
      <c r="E483" s="347" t="s">
        <v>121</v>
      </c>
      <c r="F483" s="318">
        <v>190775</v>
      </c>
      <c r="G483" s="318">
        <v>6013</v>
      </c>
      <c r="H483" s="347"/>
    </row>
    <row r="484" spans="2:8">
      <c r="B484" s="347">
        <v>200212</v>
      </c>
      <c r="C484" s="316">
        <v>2002</v>
      </c>
      <c r="D484" s="317">
        <v>12</v>
      </c>
      <c r="E484" s="347" t="s">
        <v>212</v>
      </c>
      <c r="F484" s="318">
        <v>488834</v>
      </c>
      <c r="G484" s="318">
        <v>8378</v>
      </c>
      <c r="H484" s="347"/>
    </row>
    <row r="485" spans="2:8">
      <c r="B485" s="347">
        <v>200212</v>
      </c>
      <c r="C485" s="316">
        <v>2002</v>
      </c>
      <c r="D485" s="317">
        <v>12</v>
      </c>
      <c r="E485" s="347" t="s">
        <v>119</v>
      </c>
      <c r="F485" s="318">
        <v>513455</v>
      </c>
      <c r="G485" s="318">
        <v>7869</v>
      </c>
      <c r="H485" s="347"/>
    </row>
    <row r="486" spans="2:8">
      <c r="B486" s="347">
        <v>200212</v>
      </c>
      <c r="C486" s="316">
        <v>2002</v>
      </c>
      <c r="D486" s="317">
        <v>12</v>
      </c>
      <c r="E486" s="347" t="s">
        <v>120</v>
      </c>
      <c r="F486" s="318">
        <v>490414</v>
      </c>
      <c r="G486" s="318">
        <v>6208</v>
      </c>
      <c r="H486" s="347"/>
    </row>
    <row r="487" spans="2:8">
      <c r="B487" s="347">
        <v>200212</v>
      </c>
      <c r="C487" s="316">
        <v>2002</v>
      </c>
      <c r="D487" s="317">
        <v>12</v>
      </c>
      <c r="E487" s="347" t="s">
        <v>102</v>
      </c>
      <c r="F487" s="318">
        <v>1884718</v>
      </c>
      <c r="G487" s="318">
        <v>17206</v>
      </c>
      <c r="H487" s="347"/>
    </row>
    <row r="488" spans="2:8">
      <c r="B488" s="347">
        <v>200212</v>
      </c>
      <c r="C488" s="316">
        <v>2002</v>
      </c>
      <c r="D488" s="317">
        <v>12</v>
      </c>
      <c r="E488" s="347" t="s">
        <v>117</v>
      </c>
      <c r="F488" s="318">
        <v>5031253</v>
      </c>
      <c r="G488" s="318">
        <v>36748</v>
      </c>
      <c r="H488" s="347"/>
    </row>
    <row r="489" spans="2:8">
      <c r="B489" s="347">
        <v>200212</v>
      </c>
      <c r="C489" s="316">
        <v>2002</v>
      </c>
      <c r="D489" s="317">
        <v>12</v>
      </c>
      <c r="E489" s="347" t="s">
        <v>104</v>
      </c>
      <c r="F489" s="318">
        <v>457280</v>
      </c>
      <c r="G489" s="318">
        <v>4388</v>
      </c>
      <c r="H489" s="347"/>
    </row>
    <row r="490" spans="2:8">
      <c r="B490" s="347">
        <v>200212</v>
      </c>
      <c r="C490" s="316">
        <v>2002</v>
      </c>
      <c r="D490" s="317">
        <v>12</v>
      </c>
      <c r="E490" s="347" t="s">
        <v>34</v>
      </c>
      <c r="F490" s="318">
        <v>1085713</v>
      </c>
      <c r="G490" s="318">
        <v>12679</v>
      </c>
      <c r="H490" s="347"/>
    </row>
    <row r="491" spans="2:8">
      <c r="B491" s="347">
        <v>200212</v>
      </c>
      <c r="C491" s="316">
        <v>2002</v>
      </c>
      <c r="D491" s="317">
        <v>12</v>
      </c>
      <c r="E491" s="347" t="s">
        <v>118</v>
      </c>
      <c r="F491" s="318">
        <v>55137</v>
      </c>
      <c r="G491" s="318">
        <v>2019</v>
      </c>
      <c r="H491" s="347"/>
    </row>
    <row r="492" spans="2:8">
      <c r="B492" s="347">
        <v>200212</v>
      </c>
      <c r="C492" s="316">
        <v>2002</v>
      </c>
      <c r="D492" s="317">
        <v>12</v>
      </c>
      <c r="E492" s="347" t="s">
        <v>103</v>
      </c>
      <c r="F492" s="318">
        <v>1277075</v>
      </c>
      <c r="G492" s="318">
        <v>12956</v>
      </c>
      <c r="H492" s="347"/>
    </row>
    <row r="493" spans="2:8">
      <c r="B493" s="347">
        <v>200301</v>
      </c>
      <c r="C493" s="316">
        <v>2003</v>
      </c>
      <c r="D493" s="317">
        <v>1</v>
      </c>
      <c r="E493" s="347" t="s">
        <v>121</v>
      </c>
      <c r="F493" s="318">
        <v>173659</v>
      </c>
      <c r="G493" s="318">
        <v>5940</v>
      </c>
      <c r="H493" s="347"/>
    </row>
    <row r="494" spans="2:8">
      <c r="B494" s="347">
        <v>200301</v>
      </c>
      <c r="C494" s="316">
        <v>2003</v>
      </c>
      <c r="D494" s="317">
        <v>1</v>
      </c>
      <c r="E494" s="347" t="s">
        <v>212</v>
      </c>
      <c r="F494" s="318">
        <v>505483</v>
      </c>
      <c r="G494" s="318">
        <v>8856</v>
      </c>
      <c r="H494" s="347"/>
    </row>
    <row r="495" spans="2:8">
      <c r="B495" s="347">
        <v>200301</v>
      </c>
      <c r="C495" s="316">
        <v>2003</v>
      </c>
      <c r="D495" s="317">
        <v>1</v>
      </c>
      <c r="E495" s="347" t="s">
        <v>119</v>
      </c>
      <c r="F495" s="318">
        <v>498929</v>
      </c>
      <c r="G495" s="318">
        <v>8532</v>
      </c>
      <c r="H495" s="347"/>
    </row>
    <row r="496" spans="2:8">
      <c r="B496" s="347">
        <v>200301</v>
      </c>
      <c r="C496" s="316">
        <v>2003</v>
      </c>
      <c r="D496" s="317">
        <v>1</v>
      </c>
      <c r="E496" s="347" t="s">
        <v>120</v>
      </c>
      <c r="F496" s="318">
        <v>476766</v>
      </c>
      <c r="G496" s="318">
        <v>6588</v>
      </c>
      <c r="H496" s="347"/>
    </row>
    <row r="497" spans="2:8">
      <c r="B497" s="347">
        <v>200301</v>
      </c>
      <c r="C497" s="316">
        <v>2003</v>
      </c>
      <c r="D497" s="317">
        <v>1</v>
      </c>
      <c r="E497" s="347" t="s">
        <v>102</v>
      </c>
      <c r="F497" s="318">
        <v>1796716</v>
      </c>
      <c r="G497" s="318">
        <v>17532</v>
      </c>
      <c r="H497" s="347"/>
    </row>
    <row r="498" spans="2:8">
      <c r="B498" s="347">
        <v>200301</v>
      </c>
      <c r="C498" s="316">
        <v>2003</v>
      </c>
      <c r="D498" s="317">
        <v>1</v>
      </c>
      <c r="E498" s="347" t="s">
        <v>117</v>
      </c>
      <c r="F498" s="318">
        <v>4691750</v>
      </c>
      <c r="G498" s="318">
        <v>37728</v>
      </c>
      <c r="H498" s="347"/>
    </row>
    <row r="499" spans="2:8">
      <c r="B499" s="347">
        <v>200301</v>
      </c>
      <c r="C499" s="316">
        <v>2003</v>
      </c>
      <c r="D499" s="317">
        <v>1</v>
      </c>
      <c r="E499" s="347" t="s">
        <v>104</v>
      </c>
      <c r="F499" s="318">
        <v>443957</v>
      </c>
      <c r="G499" s="318">
        <v>4430</v>
      </c>
      <c r="H499" s="347"/>
    </row>
    <row r="500" spans="2:8">
      <c r="B500" s="347">
        <v>200301</v>
      </c>
      <c r="C500" s="316">
        <v>2003</v>
      </c>
      <c r="D500" s="317">
        <v>1</v>
      </c>
      <c r="E500" s="347" t="s">
        <v>34</v>
      </c>
      <c r="F500" s="318">
        <v>1075920</v>
      </c>
      <c r="G500" s="318">
        <v>13395</v>
      </c>
      <c r="H500" s="347"/>
    </row>
    <row r="501" spans="2:8">
      <c r="B501" s="347">
        <v>200301</v>
      </c>
      <c r="C501" s="316">
        <v>2003</v>
      </c>
      <c r="D501" s="317">
        <v>1</v>
      </c>
      <c r="E501" s="347" t="s">
        <v>118</v>
      </c>
      <c r="F501" s="318">
        <v>52075</v>
      </c>
      <c r="G501" s="318">
        <v>2137</v>
      </c>
      <c r="H501" s="347"/>
    </row>
    <row r="502" spans="2:8">
      <c r="B502" s="347">
        <v>200301</v>
      </c>
      <c r="C502" s="316">
        <v>2003</v>
      </c>
      <c r="D502" s="317">
        <v>1</v>
      </c>
      <c r="E502" s="347" t="s">
        <v>103</v>
      </c>
      <c r="F502" s="318">
        <v>1149418</v>
      </c>
      <c r="G502" s="318">
        <v>12858</v>
      </c>
      <c r="H502" s="347"/>
    </row>
    <row r="503" spans="2:8">
      <c r="B503" s="347">
        <v>200302</v>
      </c>
      <c r="C503" s="316">
        <v>2003</v>
      </c>
      <c r="D503" s="317">
        <v>2</v>
      </c>
      <c r="E503" s="347" t="s">
        <v>121</v>
      </c>
      <c r="F503" s="318">
        <v>176778</v>
      </c>
      <c r="G503" s="318">
        <v>5818</v>
      </c>
      <c r="H503" s="347"/>
    </row>
    <row r="504" spans="2:8">
      <c r="B504" s="347">
        <v>200302</v>
      </c>
      <c r="C504" s="316">
        <v>2003</v>
      </c>
      <c r="D504" s="317">
        <v>2</v>
      </c>
      <c r="E504" s="347" t="s">
        <v>212</v>
      </c>
      <c r="F504" s="318">
        <v>541876</v>
      </c>
      <c r="G504" s="318">
        <v>8491</v>
      </c>
      <c r="H504" s="347"/>
    </row>
    <row r="505" spans="2:8">
      <c r="B505" s="347">
        <v>200302</v>
      </c>
      <c r="C505" s="316">
        <v>2003</v>
      </c>
      <c r="D505" s="317">
        <v>2</v>
      </c>
      <c r="E505" s="347" t="s">
        <v>119</v>
      </c>
      <c r="F505" s="318">
        <v>527311</v>
      </c>
      <c r="G505" s="318">
        <v>8079</v>
      </c>
      <c r="H505" s="347"/>
    </row>
    <row r="506" spans="2:8">
      <c r="B506" s="347">
        <v>200302</v>
      </c>
      <c r="C506" s="316">
        <v>2003</v>
      </c>
      <c r="D506" s="317">
        <v>2</v>
      </c>
      <c r="E506" s="347" t="s">
        <v>120</v>
      </c>
      <c r="F506" s="318">
        <v>499905</v>
      </c>
      <c r="G506" s="318">
        <v>6263</v>
      </c>
      <c r="H506" s="347"/>
    </row>
    <row r="507" spans="2:8">
      <c r="B507" s="347">
        <v>200302</v>
      </c>
      <c r="C507" s="316">
        <v>2003</v>
      </c>
      <c r="D507" s="317">
        <v>2</v>
      </c>
      <c r="E507" s="347" t="s">
        <v>102</v>
      </c>
      <c r="F507" s="318">
        <v>1819496</v>
      </c>
      <c r="G507" s="318">
        <v>16221</v>
      </c>
      <c r="H507" s="347"/>
    </row>
    <row r="508" spans="2:8">
      <c r="B508" s="347">
        <v>200302</v>
      </c>
      <c r="C508" s="316">
        <v>2003</v>
      </c>
      <c r="D508" s="317">
        <v>2</v>
      </c>
      <c r="E508" s="347" t="s">
        <v>117</v>
      </c>
      <c r="F508" s="318">
        <v>4451326</v>
      </c>
      <c r="G508" s="318">
        <v>34984</v>
      </c>
      <c r="H508" s="347"/>
    </row>
    <row r="509" spans="2:8">
      <c r="B509" s="347">
        <v>200302</v>
      </c>
      <c r="C509" s="316">
        <v>2003</v>
      </c>
      <c r="D509" s="317">
        <v>2</v>
      </c>
      <c r="E509" s="347" t="s">
        <v>104</v>
      </c>
      <c r="F509" s="318">
        <v>468853</v>
      </c>
      <c r="G509" s="318">
        <v>4138</v>
      </c>
      <c r="H509" s="347"/>
    </row>
    <row r="510" spans="2:8">
      <c r="B510" s="347">
        <v>200302</v>
      </c>
      <c r="C510" s="316">
        <v>2003</v>
      </c>
      <c r="D510" s="317">
        <v>2</v>
      </c>
      <c r="E510" s="347" t="s">
        <v>34</v>
      </c>
      <c r="F510" s="318">
        <v>1090909</v>
      </c>
      <c r="G510" s="318">
        <v>12497</v>
      </c>
      <c r="H510" s="347"/>
    </row>
    <row r="511" spans="2:8">
      <c r="B511" s="347">
        <v>200302</v>
      </c>
      <c r="C511" s="316">
        <v>2003</v>
      </c>
      <c r="D511" s="317">
        <v>2</v>
      </c>
      <c r="E511" s="347" t="s">
        <v>118</v>
      </c>
      <c r="F511" s="318">
        <v>54817</v>
      </c>
      <c r="G511" s="318">
        <v>1991</v>
      </c>
      <c r="H511" s="347"/>
    </row>
    <row r="512" spans="2:8">
      <c r="B512" s="347">
        <v>200302</v>
      </c>
      <c r="C512" s="316">
        <v>2003</v>
      </c>
      <c r="D512" s="317">
        <v>2</v>
      </c>
      <c r="E512" s="347" t="s">
        <v>103</v>
      </c>
      <c r="F512" s="318">
        <v>1211827</v>
      </c>
      <c r="G512" s="318">
        <v>12242</v>
      </c>
      <c r="H512" s="347"/>
    </row>
    <row r="513" spans="2:8">
      <c r="B513" s="347">
        <v>200303</v>
      </c>
      <c r="C513" s="316">
        <v>2003</v>
      </c>
      <c r="D513" s="317">
        <v>3</v>
      </c>
      <c r="E513" s="347" t="s">
        <v>121</v>
      </c>
      <c r="F513" s="318">
        <v>193968</v>
      </c>
      <c r="G513" s="318">
        <v>6170</v>
      </c>
      <c r="H513" s="347"/>
    </row>
    <row r="514" spans="2:8">
      <c r="B514" s="347">
        <v>200303</v>
      </c>
      <c r="C514" s="316">
        <v>2003</v>
      </c>
      <c r="D514" s="317">
        <v>3</v>
      </c>
      <c r="E514" s="347" t="s">
        <v>212</v>
      </c>
      <c r="F514" s="318">
        <v>600247</v>
      </c>
      <c r="G514" s="318">
        <v>9268</v>
      </c>
      <c r="H514" s="347"/>
    </row>
    <row r="515" spans="2:8">
      <c r="B515" s="347">
        <v>200303</v>
      </c>
      <c r="C515" s="316">
        <v>2003</v>
      </c>
      <c r="D515" s="317">
        <v>3</v>
      </c>
      <c r="E515" s="347" t="s">
        <v>119</v>
      </c>
      <c r="F515" s="318">
        <v>595593</v>
      </c>
      <c r="G515" s="318">
        <v>8647</v>
      </c>
      <c r="H515" s="347"/>
    </row>
    <row r="516" spans="2:8">
      <c r="B516" s="347">
        <v>200303</v>
      </c>
      <c r="C516" s="316">
        <v>2003</v>
      </c>
      <c r="D516" s="317">
        <v>3</v>
      </c>
      <c r="E516" s="347" t="s">
        <v>120</v>
      </c>
      <c r="F516" s="318">
        <v>560364</v>
      </c>
      <c r="G516" s="318">
        <v>6845</v>
      </c>
      <c r="H516" s="347"/>
    </row>
    <row r="517" spans="2:8">
      <c r="B517" s="347">
        <v>200303</v>
      </c>
      <c r="C517" s="316">
        <v>2003</v>
      </c>
      <c r="D517" s="317">
        <v>3</v>
      </c>
      <c r="E517" s="347" t="s">
        <v>102</v>
      </c>
      <c r="F517" s="318">
        <v>2135592</v>
      </c>
      <c r="G517" s="318">
        <v>18385</v>
      </c>
      <c r="H517" s="347"/>
    </row>
    <row r="518" spans="2:8">
      <c r="B518" s="347">
        <v>200303</v>
      </c>
      <c r="C518" s="316">
        <v>2003</v>
      </c>
      <c r="D518" s="317">
        <v>3</v>
      </c>
      <c r="E518" s="347" t="s">
        <v>117</v>
      </c>
      <c r="F518" s="318">
        <v>4864414</v>
      </c>
      <c r="G518" s="318">
        <v>38269</v>
      </c>
      <c r="H518" s="347"/>
    </row>
    <row r="519" spans="2:8">
      <c r="B519" s="347">
        <v>200303</v>
      </c>
      <c r="C519" s="316">
        <v>2003</v>
      </c>
      <c r="D519" s="317">
        <v>3</v>
      </c>
      <c r="E519" s="347" t="s">
        <v>104</v>
      </c>
      <c r="F519" s="318">
        <v>509174</v>
      </c>
      <c r="G519" s="318">
        <v>4577</v>
      </c>
      <c r="H519" s="347"/>
    </row>
    <row r="520" spans="2:8">
      <c r="B520" s="347">
        <v>200303</v>
      </c>
      <c r="C520" s="316">
        <v>2003</v>
      </c>
      <c r="D520" s="317">
        <v>3</v>
      </c>
      <c r="E520" s="347" t="s">
        <v>34</v>
      </c>
      <c r="F520" s="318">
        <v>1196697</v>
      </c>
      <c r="G520" s="318">
        <v>13867</v>
      </c>
      <c r="H520" s="347"/>
    </row>
    <row r="521" spans="2:8">
      <c r="B521" s="347">
        <v>200303</v>
      </c>
      <c r="C521" s="316">
        <v>2003</v>
      </c>
      <c r="D521" s="317">
        <v>3</v>
      </c>
      <c r="E521" s="347" t="s">
        <v>118</v>
      </c>
      <c r="F521" s="318">
        <v>63135</v>
      </c>
      <c r="G521" s="318">
        <v>2155</v>
      </c>
      <c r="H521" s="347"/>
    </row>
    <row r="522" spans="2:8">
      <c r="B522" s="347">
        <v>200303</v>
      </c>
      <c r="C522" s="316">
        <v>2003</v>
      </c>
      <c r="D522" s="317">
        <v>3</v>
      </c>
      <c r="E522" s="347" t="s">
        <v>103</v>
      </c>
      <c r="F522" s="318">
        <v>1332305</v>
      </c>
      <c r="G522" s="318">
        <v>13480</v>
      </c>
      <c r="H522" s="347"/>
    </row>
    <row r="523" spans="2:8">
      <c r="B523" s="347">
        <v>200304</v>
      </c>
      <c r="C523" s="316">
        <v>2003</v>
      </c>
      <c r="D523" s="317">
        <v>4</v>
      </c>
      <c r="E523" s="347" t="s">
        <v>121</v>
      </c>
      <c r="F523" s="318">
        <v>205440</v>
      </c>
      <c r="G523" s="318">
        <v>6411</v>
      </c>
      <c r="H523" s="347"/>
    </row>
    <row r="524" spans="2:8">
      <c r="B524" s="347">
        <v>200304</v>
      </c>
      <c r="C524" s="316">
        <v>2003</v>
      </c>
      <c r="D524" s="317">
        <v>4</v>
      </c>
      <c r="E524" s="347" t="s">
        <v>212</v>
      </c>
      <c r="F524" s="318">
        <v>647960</v>
      </c>
      <c r="G524" s="318">
        <v>9317</v>
      </c>
      <c r="H524" s="347"/>
    </row>
    <row r="525" spans="2:8">
      <c r="B525" s="347">
        <v>200304</v>
      </c>
      <c r="C525" s="316">
        <v>2003</v>
      </c>
      <c r="D525" s="317">
        <v>4</v>
      </c>
      <c r="E525" s="347" t="s">
        <v>119</v>
      </c>
      <c r="F525" s="318">
        <v>605439</v>
      </c>
      <c r="G525" s="318">
        <v>8567</v>
      </c>
      <c r="H525" s="347"/>
    </row>
    <row r="526" spans="2:8">
      <c r="B526" s="347">
        <v>200304</v>
      </c>
      <c r="C526" s="316">
        <v>2003</v>
      </c>
      <c r="D526" s="317">
        <v>4</v>
      </c>
      <c r="E526" s="347" t="s">
        <v>120</v>
      </c>
      <c r="F526" s="318">
        <v>594765</v>
      </c>
      <c r="G526" s="318">
        <v>6951</v>
      </c>
      <c r="H526" s="347"/>
    </row>
    <row r="527" spans="2:8">
      <c r="B527" s="347">
        <v>200304</v>
      </c>
      <c r="C527" s="316">
        <v>2003</v>
      </c>
      <c r="D527" s="317">
        <v>4</v>
      </c>
      <c r="E527" s="347" t="s">
        <v>102</v>
      </c>
      <c r="F527" s="318">
        <v>2239752</v>
      </c>
      <c r="G527" s="318">
        <v>17977</v>
      </c>
      <c r="H527" s="347"/>
    </row>
    <row r="528" spans="2:8">
      <c r="B528" s="347">
        <v>200304</v>
      </c>
      <c r="C528" s="316">
        <v>2003</v>
      </c>
      <c r="D528" s="317">
        <v>4</v>
      </c>
      <c r="E528" s="347" t="s">
        <v>117</v>
      </c>
      <c r="F528" s="318">
        <v>4889357</v>
      </c>
      <c r="G528" s="318">
        <v>36730</v>
      </c>
      <c r="H528" s="347"/>
    </row>
    <row r="529" spans="2:8">
      <c r="B529" s="347">
        <v>200304</v>
      </c>
      <c r="C529" s="316">
        <v>2003</v>
      </c>
      <c r="D529" s="317">
        <v>4</v>
      </c>
      <c r="E529" s="347" t="s">
        <v>104</v>
      </c>
      <c r="F529" s="318">
        <v>539955</v>
      </c>
      <c r="G529" s="318">
        <v>4637</v>
      </c>
      <c r="H529" s="347"/>
    </row>
    <row r="530" spans="2:8">
      <c r="B530" s="347">
        <v>200304</v>
      </c>
      <c r="C530" s="316">
        <v>2003</v>
      </c>
      <c r="D530" s="317">
        <v>4</v>
      </c>
      <c r="E530" s="347" t="s">
        <v>34</v>
      </c>
      <c r="F530" s="318">
        <v>1299790</v>
      </c>
      <c r="G530" s="318">
        <v>14192</v>
      </c>
      <c r="H530" s="347"/>
    </row>
    <row r="531" spans="2:8">
      <c r="B531" s="347">
        <v>200304</v>
      </c>
      <c r="C531" s="316">
        <v>2003</v>
      </c>
      <c r="D531" s="317">
        <v>4</v>
      </c>
      <c r="E531" s="347" t="s">
        <v>118</v>
      </c>
      <c r="F531" s="318">
        <v>89448</v>
      </c>
      <c r="G531" s="318">
        <v>2604</v>
      </c>
      <c r="H531" s="347"/>
    </row>
    <row r="532" spans="2:8">
      <c r="B532" s="347">
        <v>200304</v>
      </c>
      <c r="C532" s="316">
        <v>2003</v>
      </c>
      <c r="D532" s="317">
        <v>4</v>
      </c>
      <c r="E532" s="347" t="s">
        <v>103</v>
      </c>
      <c r="F532" s="318">
        <v>1271283</v>
      </c>
      <c r="G532" s="318">
        <v>11812</v>
      </c>
      <c r="H532" s="347"/>
    </row>
    <row r="533" spans="2:8">
      <c r="B533" s="347">
        <v>200305</v>
      </c>
      <c r="C533" s="316">
        <v>2003</v>
      </c>
      <c r="D533" s="317">
        <v>5</v>
      </c>
      <c r="E533" s="347" t="s">
        <v>121</v>
      </c>
      <c r="F533" s="318">
        <v>216761</v>
      </c>
      <c r="G533" s="318">
        <v>6709</v>
      </c>
      <c r="H533" s="347"/>
    </row>
    <row r="534" spans="2:8">
      <c r="B534" s="347">
        <v>200305</v>
      </c>
      <c r="C534" s="316">
        <v>2003</v>
      </c>
      <c r="D534" s="317">
        <v>5</v>
      </c>
      <c r="E534" s="347" t="s">
        <v>212</v>
      </c>
      <c r="F534" s="318">
        <v>827915</v>
      </c>
      <c r="G534" s="318">
        <v>10293</v>
      </c>
      <c r="H534" s="347"/>
    </row>
    <row r="535" spans="2:8">
      <c r="B535" s="347">
        <v>200305</v>
      </c>
      <c r="C535" s="316">
        <v>2003</v>
      </c>
      <c r="D535" s="317">
        <v>5</v>
      </c>
      <c r="E535" s="347" t="s">
        <v>119</v>
      </c>
      <c r="F535" s="318">
        <v>643417</v>
      </c>
      <c r="G535" s="318">
        <v>8868</v>
      </c>
      <c r="H535" s="347"/>
    </row>
    <row r="536" spans="2:8">
      <c r="B536" s="347">
        <v>200305</v>
      </c>
      <c r="C536" s="316">
        <v>2003</v>
      </c>
      <c r="D536" s="317">
        <v>5</v>
      </c>
      <c r="E536" s="347" t="s">
        <v>120</v>
      </c>
      <c r="F536" s="318">
        <v>772096</v>
      </c>
      <c r="G536" s="318">
        <v>7945</v>
      </c>
      <c r="H536" s="347"/>
    </row>
    <row r="537" spans="2:8">
      <c r="B537" s="347">
        <v>200305</v>
      </c>
      <c r="C537" s="316">
        <v>2003</v>
      </c>
      <c r="D537" s="317">
        <v>5</v>
      </c>
      <c r="E537" s="347" t="s">
        <v>102</v>
      </c>
      <c r="F537" s="318">
        <v>2617826</v>
      </c>
      <c r="G537" s="318">
        <v>20593</v>
      </c>
      <c r="H537" s="347"/>
    </row>
    <row r="538" spans="2:8">
      <c r="B538" s="347">
        <v>200305</v>
      </c>
      <c r="C538" s="316">
        <v>2003</v>
      </c>
      <c r="D538" s="317">
        <v>5</v>
      </c>
      <c r="E538" s="347" t="s">
        <v>117</v>
      </c>
      <c r="F538" s="318">
        <v>4917022</v>
      </c>
      <c r="G538" s="318">
        <v>37681</v>
      </c>
      <c r="H538" s="347"/>
    </row>
    <row r="539" spans="2:8">
      <c r="B539" s="347">
        <v>200305</v>
      </c>
      <c r="C539" s="316">
        <v>2003</v>
      </c>
      <c r="D539" s="317">
        <v>5</v>
      </c>
      <c r="E539" s="347" t="s">
        <v>104</v>
      </c>
      <c r="F539" s="318">
        <v>617454</v>
      </c>
      <c r="G539" s="318">
        <v>5237</v>
      </c>
      <c r="H539" s="347"/>
    </row>
    <row r="540" spans="2:8">
      <c r="B540" s="347">
        <v>200305</v>
      </c>
      <c r="C540" s="316">
        <v>2003</v>
      </c>
      <c r="D540" s="317">
        <v>5</v>
      </c>
      <c r="E540" s="347" t="s">
        <v>34</v>
      </c>
      <c r="F540" s="318">
        <v>1835482</v>
      </c>
      <c r="G540" s="318">
        <v>17330</v>
      </c>
      <c r="H540" s="347"/>
    </row>
    <row r="541" spans="2:8">
      <c r="B541" s="347">
        <v>200305</v>
      </c>
      <c r="C541" s="316">
        <v>2003</v>
      </c>
      <c r="D541" s="317">
        <v>5</v>
      </c>
      <c r="E541" s="347" t="s">
        <v>118</v>
      </c>
      <c r="F541" s="318">
        <v>103665</v>
      </c>
      <c r="G541" s="318">
        <v>2772</v>
      </c>
      <c r="H541" s="347"/>
    </row>
    <row r="542" spans="2:8">
      <c r="B542" s="347">
        <v>200305</v>
      </c>
      <c r="C542" s="316">
        <v>2003</v>
      </c>
      <c r="D542" s="317">
        <v>5</v>
      </c>
      <c r="E542" s="347" t="s">
        <v>103</v>
      </c>
      <c r="F542" s="318">
        <v>1609290</v>
      </c>
      <c r="G542" s="318">
        <v>15266</v>
      </c>
      <c r="H542" s="347"/>
    </row>
    <row r="543" spans="2:8">
      <c r="B543" s="347">
        <v>200306</v>
      </c>
      <c r="C543" s="316">
        <v>2003</v>
      </c>
      <c r="D543" s="317">
        <v>6</v>
      </c>
      <c r="E543" s="347" t="s">
        <v>121</v>
      </c>
      <c r="F543" s="318">
        <v>223607</v>
      </c>
      <c r="G543" s="318">
        <v>6575</v>
      </c>
      <c r="H543" s="347"/>
    </row>
    <row r="544" spans="2:8">
      <c r="B544" s="347">
        <v>200306</v>
      </c>
      <c r="C544" s="316">
        <v>2003</v>
      </c>
      <c r="D544" s="317">
        <v>6</v>
      </c>
      <c r="E544" s="347" t="s">
        <v>212</v>
      </c>
      <c r="F544" s="318">
        <v>894307</v>
      </c>
      <c r="G544" s="318">
        <v>10301</v>
      </c>
      <c r="H544" s="347"/>
    </row>
    <row r="545" spans="2:8">
      <c r="B545" s="347">
        <v>200306</v>
      </c>
      <c r="C545" s="316">
        <v>2003</v>
      </c>
      <c r="D545" s="317">
        <v>6</v>
      </c>
      <c r="E545" s="347" t="s">
        <v>119</v>
      </c>
      <c r="F545" s="318">
        <v>669070</v>
      </c>
      <c r="G545" s="318">
        <v>8819</v>
      </c>
      <c r="H545" s="347"/>
    </row>
    <row r="546" spans="2:8">
      <c r="B546" s="347">
        <v>200306</v>
      </c>
      <c r="C546" s="316">
        <v>2003</v>
      </c>
      <c r="D546" s="317">
        <v>6</v>
      </c>
      <c r="E546" s="347" t="s">
        <v>120</v>
      </c>
      <c r="F546" s="318">
        <v>809153</v>
      </c>
      <c r="G546" s="318">
        <v>8017</v>
      </c>
      <c r="H546" s="347"/>
    </row>
    <row r="547" spans="2:8">
      <c r="B547" s="347">
        <v>200306</v>
      </c>
      <c r="C547" s="316">
        <v>2003</v>
      </c>
      <c r="D547" s="317">
        <v>6</v>
      </c>
      <c r="E547" s="347" t="s">
        <v>102</v>
      </c>
      <c r="F547" s="318">
        <v>2929130</v>
      </c>
      <c r="G547" s="318">
        <v>21081</v>
      </c>
      <c r="H547" s="347"/>
    </row>
    <row r="548" spans="2:8">
      <c r="B548" s="347">
        <v>200306</v>
      </c>
      <c r="C548" s="316">
        <v>2003</v>
      </c>
      <c r="D548" s="317">
        <v>6</v>
      </c>
      <c r="E548" s="347" t="s">
        <v>117</v>
      </c>
      <c r="F548" s="318">
        <v>5543635</v>
      </c>
      <c r="G548" s="318">
        <v>38182</v>
      </c>
      <c r="H548" s="347"/>
    </row>
    <row r="549" spans="2:8">
      <c r="B549" s="347">
        <v>200306</v>
      </c>
      <c r="C549" s="316">
        <v>2003</v>
      </c>
      <c r="D549" s="317">
        <v>6</v>
      </c>
      <c r="E549" s="347" t="s">
        <v>104</v>
      </c>
      <c r="F549" s="318">
        <v>617876</v>
      </c>
      <c r="G549" s="318">
        <v>5106</v>
      </c>
      <c r="H549" s="347"/>
    </row>
    <row r="550" spans="2:8">
      <c r="B550" s="347">
        <v>200306</v>
      </c>
      <c r="C550" s="316">
        <v>2003</v>
      </c>
      <c r="D550" s="317">
        <v>6</v>
      </c>
      <c r="E550" s="347" t="s">
        <v>34</v>
      </c>
      <c r="F550" s="318">
        <v>1973126</v>
      </c>
      <c r="G550" s="318">
        <v>17503</v>
      </c>
      <c r="H550" s="347"/>
    </row>
    <row r="551" spans="2:8">
      <c r="B551" s="347">
        <v>200306</v>
      </c>
      <c r="C551" s="316">
        <v>2003</v>
      </c>
      <c r="D551" s="317">
        <v>6</v>
      </c>
      <c r="E551" s="347" t="s">
        <v>118</v>
      </c>
      <c r="F551" s="318">
        <v>121508</v>
      </c>
      <c r="G551" s="318">
        <v>2930</v>
      </c>
      <c r="H551" s="347"/>
    </row>
    <row r="552" spans="2:8">
      <c r="B552" s="347">
        <v>200306</v>
      </c>
      <c r="C552" s="316">
        <v>2003</v>
      </c>
      <c r="D552" s="317">
        <v>6</v>
      </c>
      <c r="E552" s="347" t="s">
        <v>103</v>
      </c>
      <c r="F552" s="318">
        <v>1664171</v>
      </c>
      <c r="G552" s="318">
        <v>14913</v>
      </c>
      <c r="H552" s="347"/>
    </row>
    <row r="553" spans="2:8">
      <c r="B553" s="347">
        <v>200307</v>
      </c>
      <c r="C553" s="316">
        <v>2003</v>
      </c>
      <c r="D553" s="317">
        <v>7</v>
      </c>
      <c r="E553" s="347" t="s">
        <v>121</v>
      </c>
      <c r="F553" s="318">
        <v>242044</v>
      </c>
      <c r="G553" s="318">
        <v>6933</v>
      </c>
      <c r="H553" s="347"/>
    </row>
    <row r="554" spans="2:8">
      <c r="B554" s="347">
        <v>200307</v>
      </c>
      <c r="C554" s="316">
        <v>2003</v>
      </c>
      <c r="D554" s="317">
        <v>7</v>
      </c>
      <c r="E554" s="347" t="s">
        <v>212</v>
      </c>
      <c r="F554" s="318">
        <v>974591</v>
      </c>
      <c r="G554" s="318">
        <v>10781</v>
      </c>
      <c r="H554" s="347"/>
    </row>
    <row r="555" spans="2:8">
      <c r="B555" s="347">
        <v>200307</v>
      </c>
      <c r="C555" s="316">
        <v>2003</v>
      </c>
      <c r="D555" s="317">
        <v>7</v>
      </c>
      <c r="E555" s="347" t="s">
        <v>119</v>
      </c>
      <c r="F555" s="318">
        <v>721961</v>
      </c>
      <c r="G555" s="318">
        <v>9262</v>
      </c>
      <c r="H555" s="347"/>
    </row>
    <row r="556" spans="2:8">
      <c r="B556" s="347">
        <v>200307</v>
      </c>
      <c r="C556" s="316">
        <v>2003</v>
      </c>
      <c r="D556" s="317">
        <v>7</v>
      </c>
      <c r="E556" s="347" t="s">
        <v>120</v>
      </c>
      <c r="F556" s="318">
        <v>916786</v>
      </c>
      <c r="G556" s="318">
        <v>8622</v>
      </c>
      <c r="H556" s="347"/>
    </row>
    <row r="557" spans="2:8">
      <c r="B557" s="347">
        <v>200307</v>
      </c>
      <c r="C557" s="316">
        <v>2003</v>
      </c>
      <c r="D557" s="317">
        <v>7</v>
      </c>
      <c r="E557" s="347" t="s">
        <v>102</v>
      </c>
      <c r="F557" s="318">
        <v>3257284</v>
      </c>
      <c r="G557" s="318">
        <v>22739</v>
      </c>
      <c r="H557" s="347"/>
    </row>
    <row r="558" spans="2:8">
      <c r="B558" s="347">
        <v>200307</v>
      </c>
      <c r="C558" s="316">
        <v>2003</v>
      </c>
      <c r="D558" s="317">
        <v>7</v>
      </c>
      <c r="E558" s="347" t="s">
        <v>117</v>
      </c>
      <c r="F558" s="318">
        <v>6021666</v>
      </c>
      <c r="G558" s="318">
        <v>39824</v>
      </c>
      <c r="H558" s="347"/>
    </row>
    <row r="559" spans="2:8">
      <c r="B559" s="347">
        <v>200307</v>
      </c>
      <c r="C559" s="316">
        <v>2003</v>
      </c>
      <c r="D559" s="317">
        <v>7</v>
      </c>
      <c r="E559" s="347" t="s">
        <v>104</v>
      </c>
      <c r="F559" s="318">
        <v>677925</v>
      </c>
      <c r="G559" s="318">
        <v>5372</v>
      </c>
      <c r="H559" s="347"/>
    </row>
    <row r="560" spans="2:8">
      <c r="B560" s="347">
        <v>200307</v>
      </c>
      <c r="C560" s="316">
        <v>2003</v>
      </c>
      <c r="D560" s="317">
        <v>7</v>
      </c>
      <c r="E560" s="347" t="s">
        <v>34</v>
      </c>
      <c r="F560" s="318">
        <v>2169945</v>
      </c>
      <c r="G560" s="318">
        <v>18813</v>
      </c>
      <c r="H560" s="347"/>
    </row>
    <row r="561" spans="2:8">
      <c r="B561" s="347">
        <v>200307</v>
      </c>
      <c r="C561" s="316">
        <v>2003</v>
      </c>
      <c r="D561" s="317">
        <v>7</v>
      </c>
      <c r="E561" s="347" t="s">
        <v>118</v>
      </c>
      <c r="F561" s="318">
        <v>137039</v>
      </c>
      <c r="G561" s="318">
        <v>3300</v>
      </c>
      <c r="H561" s="347"/>
    </row>
    <row r="562" spans="2:8">
      <c r="B562" s="347">
        <v>200307</v>
      </c>
      <c r="C562" s="316">
        <v>2003</v>
      </c>
      <c r="D562" s="317">
        <v>7</v>
      </c>
      <c r="E562" s="347" t="s">
        <v>103</v>
      </c>
      <c r="F562" s="318">
        <v>1860631</v>
      </c>
      <c r="G562" s="318">
        <v>15477</v>
      </c>
      <c r="H562" s="347"/>
    </row>
    <row r="563" spans="2:8">
      <c r="B563" s="347">
        <v>200308</v>
      </c>
      <c r="C563" s="316">
        <v>2003</v>
      </c>
      <c r="D563" s="317">
        <v>8</v>
      </c>
      <c r="E563" s="347" t="s">
        <v>121</v>
      </c>
      <c r="F563" s="318">
        <v>224500</v>
      </c>
      <c r="G563" s="318">
        <v>6582</v>
      </c>
      <c r="H563" s="347"/>
    </row>
    <row r="564" spans="2:8">
      <c r="B564" s="347">
        <v>200308</v>
      </c>
      <c r="C564" s="316">
        <v>2003</v>
      </c>
      <c r="D564" s="317">
        <v>8</v>
      </c>
      <c r="E564" s="347" t="s">
        <v>212</v>
      </c>
      <c r="F564" s="318">
        <v>1000147</v>
      </c>
      <c r="G564" s="318">
        <v>10511</v>
      </c>
      <c r="H564" s="347"/>
    </row>
    <row r="565" spans="2:8">
      <c r="B565" s="347">
        <v>200308</v>
      </c>
      <c r="C565" s="316">
        <v>2003</v>
      </c>
      <c r="D565" s="317">
        <v>8</v>
      </c>
      <c r="E565" s="347" t="s">
        <v>119</v>
      </c>
      <c r="F565" s="318">
        <v>717373</v>
      </c>
      <c r="G565" s="318">
        <v>8996</v>
      </c>
      <c r="H565" s="347"/>
    </row>
    <row r="566" spans="2:8">
      <c r="B566" s="347">
        <v>200308</v>
      </c>
      <c r="C566" s="316">
        <v>2003</v>
      </c>
      <c r="D566" s="317">
        <v>8</v>
      </c>
      <c r="E566" s="347" t="s">
        <v>120</v>
      </c>
      <c r="F566" s="318">
        <v>833766</v>
      </c>
      <c r="G566" s="318">
        <v>8114</v>
      </c>
      <c r="H566" s="347"/>
    </row>
    <row r="567" spans="2:8">
      <c r="B567" s="347">
        <v>200308</v>
      </c>
      <c r="C567" s="316">
        <v>2003</v>
      </c>
      <c r="D567" s="317">
        <v>8</v>
      </c>
      <c r="E567" s="347" t="s">
        <v>102</v>
      </c>
      <c r="F567" s="318">
        <v>3619939</v>
      </c>
      <c r="G567" s="318">
        <v>23865</v>
      </c>
      <c r="H567" s="347"/>
    </row>
    <row r="568" spans="2:8">
      <c r="B568" s="347">
        <v>200308</v>
      </c>
      <c r="C568" s="316">
        <v>2003</v>
      </c>
      <c r="D568" s="317">
        <v>8</v>
      </c>
      <c r="E568" s="347" t="s">
        <v>117</v>
      </c>
      <c r="F568" s="318">
        <v>6185621</v>
      </c>
      <c r="G568" s="318">
        <v>40035</v>
      </c>
      <c r="H568" s="347"/>
    </row>
    <row r="569" spans="2:8">
      <c r="B569" s="347">
        <v>200308</v>
      </c>
      <c r="C569" s="316">
        <v>2003</v>
      </c>
      <c r="D569" s="317">
        <v>8</v>
      </c>
      <c r="E569" s="347" t="s">
        <v>104</v>
      </c>
      <c r="F569" s="318">
        <v>710694</v>
      </c>
      <c r="G569" s="318">
        <v>5422</v>
      </c>
      <c r="H569" s="347"/>
    </row>
    <row r="570" spans="2:8">
      <c r="B570" s="347">
        <v>200308</v>
      </c>
      <c r="C570" s="316">
        <v>2003</v>
      </c>
      <c r="D570" s="317">
        <v>8</v>
      </c>
      <c r="E570" s="347" t="s">
        <v>34</v>
      </c>
      <c r="F570" s="318">
        <v>2351647</v>
      </c>
      <c r="G570" s="318">
        <v>19061</v>
      </c>
      <c r="H570" s="347"/>
    </row>
    <row r="571" spans="2:8">
      <c r="B571" s="347">
        <v>200308</v>
      </c>
      <c r="C571" s="316">
        <v>2003</v>
      </c>
      <c r="D571" s="317">
        <v>8</v>
      </c>
      <c r="E571" s="347" t="s">
        <v>118</v>
      </c>
      <c r="F571" s="318">
        <v>140134</v>
      </c>
      <c r="G571" s="318">
        <v>3234</v>
      </c>
      <c r="H571" s="347"/>
    </row>
    <row r="572" spans="2:8">
      <c r="B572" s="347">
        <v>200308</v>
      </c>
      <c r="C572" s="316">
        <v>2003</v>
      </c>
      <c r="D572" s="317">
        <v>8</v>
      </c>
      <c r="E572" s="347" t="s">
        <v>103</v>
      </c>
      <c r="F572" s="318">
        <v>1978464</v>
      </c>
      <c r="G572" s="318">
        <v>15556</v>
      </c>
      <c r="H572" s="347"/>
    </row>
    <row r="573" spans="2:8">
      <c r="B573" s="347">
        <v>200309</v>
      </c>
      <c r="C573" s="316">
        <v>2003</v>
      </c>
      <c r="D573" s="317">
        <v>9</v>
      </c>
      <c r="E573" s="347" t="s">
        <v>121</v>
      </c>
      <c r="F573" s="318">
        <v>233192</v>
      </c>
      <c r="G573" s="318">
        <v>6666</v>
      </c>
      <c r="H573" s="347"/>
    </row>
    <row r="574" spans="2:8">
      <c r="B574" s="347">
        <v>200309</v>
      </c>
      <c r="C574" s="316">
        <v>2003</v>
      </c>
      <c r="D574" s="317">
        <v>9</v>
      </c>
      <c r="E574" s="347" t="s">
        <v>212</v>
      </c>
      <c r="F574" s="318">
        <v>951883</v>
      </c>
      <c r="G574" s="318">
        <v>10493</v>
      </c>
      <c r="H574" s="347"/>
    </row>
    <row r="575" spans="2:8">
      <c r="B575" s="347">
        <v>200309</v>
      </c>
      <c r="C575" s="316">
        <v>2003</v>
      </c>
      <c r="D575" s="317">
        <v>9</v>
      </c>
      <c r="E575" s="347" t="s">
        <v>119</v>
      </c>
      <c r="F575" s="318">
        <v>686720</v>
      </c>
      <c r="G575" s="318">
        <v>8975</v>
      </c>
      <c r="H575" s="347"/>
    </row>
    <row r="576" spans="2:8">
      <c r="B576" s="347">
        <v>200309</v>
      </c>
      <c r="C576" s="316">
        <v>2003</v>
      </c>
      <c r="D576" s="317">
        <v>9</v>
      </c>
      <c r="E576" s="347" t="s">
        <v>120</v>
      </c>
      <c r="F576" s="318">
        <v>814930</v>
      </c>
      <c r="G576" s="318">
        <v>7969</v>
      </c>
      <c r="H576" s="347"/>
    </row>
    <row r="577" spans="2:8">
      <c r="B577" s="347">
        <v>200309</v>
      </c>
      <c r="C577" s="316">
        <v>2003</v>
      </c>
      <c r="D577" s="317">
        <v>9</v>
      </c>
      <c r="E577" s="347" t="s">
        <v>102</v>
      </c>
      <c r="F577" s="318">
        <v>3044806</v>
      </c>
      <c r="G577" s="318">
        <v>22057</v>
      </c>
      <c r="H577" s="347"/>
    </row>
    <row r="578" spans="2:8">
      <c r="B578" s="347">
        <v>200309</v>
      </c>
      <c r="C578" s="316">
        <v>2003</v>
      </c>
      <c r="D578" s="317">
        <v>9</v>
      </c>
      <c r="E578" s="347" t="s">
        <v>117</v>
      </c>
      <c r="F578" s="318">
        <v>5747998</v>
      </c>
      <c r="G578" s="318">
        <v>38802</v>
      </c>
      <c r="H578" s="347"/>
    </row>
    <row r="579" spans="2:8">
      <c r="B579" s="347">
        <v>200309</v>
      </c>
      <c r="C579" s="316">
        <v>2003</v>
      </c>
      <c r="D579" s="317">
        <v>9</v>
      </c>
      <c r="E579" s="347" t="s">
        <v>104</v>
      </c>
      <c r="F579" s="318">
        <v>644515</v>
      </c>
      <c r="G579" s="318">
        <v>5214</v>
      </c>
      <c r="H579" s="347"/>
    </row>
    <row r="580" spans="2:8">
      <c r="B580" s="347">
        <v>200309</v>
      </c>
      <c r="C580" s="316">
        <v>2003</v>
      </c>
      <c r="D580" s="317">
        <v>9</v>
      </c>
      <c r="E580" s="347" t="s">
        <v>34</v>
      </c>
      <c r="F580" s="318">
        <v>2136976</v>
      </c>
      <c r="G580" s="318">
        <v>18465</v>
      </c>
      <c r="H580" s="347"/>
    </row>
    <row r="581" spans="2:8">
      <c r="B581" s="347">
        <v>200309</v>
      </c>
      <c r="C581" s="316">
        <v>2003</v>
      </c>
      <c r="D581" s="317">
        <v>9</v>
      </c>
      <c r="E581" s="347" t="s">
        <v>118</v>
      </c>
      <c r="F581" s="318">
        <v>129565</v>
      </c>
      <c r="G581" s="318">
        <v>2947</v>
      </c>
      <c r="H581" s="347"/>
    </row>
    <row r="582" spans="2:8">
      <c r="B582" s="347">
        <v>200309</v>
      </c>
      <c r="C582" s="316">
        <v>2003</v>
      </c>
      <c r="D582" s="317">
        <v>9</v>
      </c>
      <c r="E582" s="347" t="s">
        <v>103</v>
      </c>
      <c r="F582" s="318">
        <v>1811120</v>
      </c>
      <c r="G582" s="318">
        <v>15148</v>
      </c>
      <c r="H582" s="347"/>
    </row>
    <row r="583" spans="2:8">
      <c r="B583" s="347">
        <v>200310</v>
      </c>
      <c r="C583" s="316">
        <v>2003</v>
      </c>
      <c r="D583" s="317">
        <v>10</v>
      </c>
      <c r="E583" s="347" t="s">
        <v>121</v>
      </c>
      <c r="F583" s="318">
        <v>233205</v>
      </c>
      <c r="G583" s="318">
        <v>6807</v>
      </c>
      <c r="H583" s="347"/>
    </row>
    <row r="584" spans="2:8">
      <c r="B584" s="347">
        <v>200310</v>
      </c>
      <c r="C584" s="316">
        <v>2003</v>
      </c>
      <c r="D584" s="317">
        <v>10</v>
      </c>
      <c r="E584" s="347" t="s">
        <v>212</v>
      </c>
      <c r="F584" s="318">
        <v>871543</v>
      </c>
      <c r="G584" s="318">
        <v>10431</v>
      </c>
      <c r="H584" s="347"/>
    </row>
    <row r="585" spans="2:8">
      <c r="B585" s="347">
        <v>200310</v>
      </c>
      <c r="C585" s="316">
        <v>2003</v>
      </c>
      <c r="D585" s="317">
        <v>10</v>
      </c>
      <c r="E585" s="347" t="s">
        <v>119</v>
      </c>
      <c r="F585" s="318">
        <v>679987</v>
      </c>
      <c r="G585" s="318">
        <v>9301</v>
      </c>
      <c r="H585" s="347"/>
    </row>
    <row r="586" spans="2:8">
      <c r="B586" s="347">
        <v>200310</v>
      </c>
      <c r="C586" s="316">
        <v>2003</v>
      </c>
      <c r="D586" s="317">
        <v>10</v>
      </c>
      <c r="E586" s="347" t="s">
        <v>120</v>
      </c>
      <c r="F586" s="318">
        <v>791635</v>
      </c>
      <c r="G586" s="318">
        <v>7906</v>
      </c>
      <c r="H586" s="347"/>
    </row>
    <row r="587" spans="2:8">
      <c r="B587" s="347">
        <v>200310</v>
      </c>
      <c r="C587" s="316">
        <v>2003</v>
      </c>
      <c r="D587" s="317">
        <v>10</v>
      </c>
      <c r="E587" s="347" t="s">
        <v>102</v>
      </c>
      <c r="F587" s="318">
        <v>2605373</v>
      </c>
      <c r="G587" s="318">
        <v>20452</v>
      </c>
      <c r="H587" s="347"/>
    </row>
    <row r="588" spans="2:8">
      <c r="B588" s="347">
        <v>200310</v>
      </c>
      <c r="C588" s="316">
        <v>2003</v>
      </c>
      <c r="D588" s="317">
        <v>10</v>
      </c>
      <c r="E588" s="347" t="s">
        <v>117</v>
      </c>
      <c r="F588" s="318">
        <v>5636240</v>
      </c>
      <c r="G588" s="318">
        <v>39738</v>
      </c>
      <c r="H588" s="347"/>
    </row>
    <row r="589" spans="2:8">
      <c r="B589" s="347">
        <v>200310</v>
      </c>
      <c r="C589" s="316">
        <v>2003</v>
      </c>
      <c r="D589" s="317">
        <v>10</v>
      </c>
      <c r="E589" s="347" t="s">
        <v>104</v>
      </c>
      <c r="F589" s="318">
        <v>606060</v>
      </c>
      <c r="G589" s="318">
        <v>5146</v>
      </c>
      <c r="H589" s="347"/>
    </row>
    <row r="590" spans="2:8">
      <c r="B590" s="347">
        <v>200310</v>
      </c>
      <c r="C590" s="316">
        <v>2003</v>
      </c>
      <c r="D590" s="317">
        <v>10</v>
      </c>
      <c r="E590" s="347" t="s">
        <v>34</v>
      </c>
      <c r="F590" s="318">
        <v>1890380</v>
      </c>
      <c r="G590" s="318">
        <v>17852</v>
      </c>
      <c r="H590" s="347"/>
    </row>
    <row r="591" spans="2:8">
      <c r="B591" s="347">
        <v>200310</v>
      </c>
      <c r="C591" s="316">
        <v>2003</v>
      </c>
      <c r="D591" s="317">
        <v>10</v>
      </c>
      <c r="E591" s="347" t="s">
        <v>118</v>
      </c>
      <c r="F591" s="318">
        <v>120810</v>
      </c>
      <c r="G591" s="318">
        <v>2976</v>
      </c>
      <c r="H591" s="347"/>
    </row>
    <row r="592" spans="2:8">
      <c r="B592" s="347">
        <v>200310</v>
      </c>
      <c r="C592" s="316">
        <v>2003</v>
      </c>
      <c r="D592" s="317">
        <v>10</v>
      </c>
      <c r="E592" s="347" t="s">
        <v>103</v>
      </c>
      <c r="F592" s="318">
        <v>1765731</v>
      </c>
      <c r="G592" s="318">
        <v>15162</v>
      </c>
      <c r="H592" s="347"/>
    </row>
    <row r="593" spans="2:8">
      <c r="B593" s="347">
        <v>200311</v>
      </c>
      <c r="C593" s="316">
        <v>2003</v>
      </c>
      <c r="D593" s="317">
        <v>11</v>
      </c>
      <c r="E593" s="347" t="s">
        <v>121</v>
      </c>
      <c r="F593" s="318">
        <v>195117</v>
      </c>
      <c r="G593" s="318">
        <v>6136</v>
      </c>
      <c r="H593" s="347"/>
    </row>
    <row r="594" spans="2:8">
      <c r="B594" s="347">
        <v>200311</v>
      </c>
      <c r="C594" s="316">
        <v>2003</v>
      </c>
      <c r="D594" s="317">
        <v>11</v>
      </c>
      <c r="E594" s="347" t="s">
        <v>212</v>
      </c>
      <c r="F594" s="318">
        <v>575768</v>
      </c>
      <c r="G594" s="318">
        <v>8815</v>
      </c>
      <c r="H594" s="347"/>
    </row>
    <row r="595" spans="2:8">
      <c r="B595" s="347">
        <v>200311</v>
      </c>
      <c r="C595" s="316">
        <v>2003</v>
      </c>
      <c r="D595" s="317">
        <v>11</v>
      </c>
      <c r="E595" s="347" t="s">
        <v>119</v>
      </c>
      <c r="F595" s="318">
        <v>589738</v>
      </c>
      <c r="G595" s="318">
        <v>8881</v>
      </c>
      <c r="H595" s="347"/>
    </row>
    <row r="596" spans="2:8">
      <c r="B596" s="347">
        <v>200311</v>
      </c>
      <c r="C596" s="316">
        <v>2003</v>
      </c>
      <c r="D596" s="317">
        <v>11</v>
      </c>
      <c r="E596" s="347" t="s">
        <v>120</v>
      </c>
      <c r="F596" s="318">
        <v>554726</v>
      </c>
      <c r="G596" s="318">
        <v>6553</v>
      </c>
      <c r="H596" s="347"/>
    </row>
    <row r="597" spans="2:8">
      <c r="B597" s="347">
        <v>200311</v>
      </c>
      <c r="C597" s="316">
        <v>2003</v>
      </c>
      <c r="D597" s="317">
        <v>11</v>
      </c>
      <c r="E597" s="347" t="s">
        <v>102</v>
      </c>
      <c r="F597" s="318">
        <v>1870160</v>
      </c>
      <c r="G597" s="318">
        <v>16650</v>
      </c>
      <c r="H597" s="347"/>
    </row>
    <row r="598" spans="2:8">
      <c r="B598" s="347">
        <v>200311</v>
      </c>
      <c r="C598" s="316">
        <v>2003</v>
      </c>
      <c r="D598" s="317">
        <v>11</v>
      </c>
      <c r="E598" s="347" t="s">
        <v>117</v>
      </c>
      <c r="F598" s="318">
        <v>5058679</v>
      </c>
      <c r="G598" s="318">
        <v>37943</v>
      </c>
      <c r="H598" s="347"/>
    </row>
    <row r="599" spans="2:8">
      <c r="B599" s="347">
        <v>200311</v>
      </c>
      <c r="C599" s="316">
        <v>2003</v>
      </c>
      <c r="D599" s="317">
        <v>11</v>
      </c>
      <c r="E599" s="347" t="s">
        <v>104</v>
      </c>
      <c r="F599" s="318">
        <v>489922</v>
      </c>
      <c r="G599" s="318">
        <v>4620</v>
      </c>
      <c r="H599" s="347"/>
    </row>
    <row r="600" spans="2:8">
      <c r="B600" s="347">
        <v>200311</v>
      </c>
      <c r="C600" s="316">
        <v>2003</v>
      </c>
      <c r="D600" s="317">
        <v>11</v>
      </c>
      <c r="E600" s="347" t="s">
        <v>34</v>
      </c>
      <c r="F600" s="318">
        <v>1281621</v>
      </c>
      <c r="G600" s="318">
        <v>14590</v>
      </c>
      <c r="H600" s="347"/>
    </row>
    <row r="601" spans="2:8">
      <c r="B601" s="347">
        <v>200311</v>
      </c>
      <c r="C601" s="316">
        <v>2003</v>
      </c>
      <c r="D601" s="317">
        <v>11</v>
      </c>
      <c r="E601" s="347" t="s">
        <v>118</v>
      </c>
      <c r="F601" s="318">
        <v>105662</v>
      </c>
      <c r="G601" s="318">
        <v>2806</v>
      </c>
      <c r="H601" s="347"/>
    </row>
    <row r="602" spans="2:8">
      <c r="B602" s="347">
        <v>200311</v>
      </c>
      <c r="C602" s="316">
        <v>2003</v>
      </c>
      <c r="D602" s="317">
        <v>11</v>
      </c>
      <c r="E602" s="347" t="s">
        <v>103</v>
      </c>
      <c r="F602" s="318">
        <v>1512765</v>
      </c>
      <c r="G602" s="318">
        <v>13764</v>
      </c>
      <c r="H602" s="347"/>
    </row>
    <row r="603" spans="2:8">
      <c r="B603" s="347">
        <v>200312</v>
      </c>
      <c r="C603" s="316">
        <v>2003</v>
      </c>
      <c r="D603" s="317">
        <v>12</v>
      </c>
      <c r="E603" s="347" t="s">
        <v>121</v>
      </c>
      <c r="F603" s="318">
        <v>189607</v>
      </c>
      <c r="G603" s="318">
        <v>6071</v>
      </c>
      <c r="H603" s="347"/>
    </row>
    <row r="604" spans="2:8">
      <c r="B604" s="347">
        <v>200312</v>
      </c>
      <c r="C604" s="316">
        <v>2003</v>
      </c>
      <c r="D604" s="317">
        <v>12</v>
      </c>
      <c r="E604" s="347" t="s">
        <v>212</v>
      </c>
      <c r="F604" s="318">
        <v>532182</v>
      </c>
      <c r="G604" s="318">
        <v>8483</v>
      </c>
      <c r="H604" s="347"/>
    </row>
    <row r="605" spans="2:8">
      <c r="B605" s="347">
        <v>200312</v>
      </c>
      <c r="C605" s="316">
        <v>2003</v>
      </c>
      <c r="D605" s="317">
        <v>12</v>
      </c>
      <c r="E605" s="347" t="s">
        <v>119</v>
      </c>
      <c r="F605" s="318">
        <v>540819</v>
      </c>
      <c r="G605" s="318">
        <v>8252</v>
      </c>
      <c r="H605" s="347"/>
    </row>
    <row r="606" spans="2:8">
      <c r="B606" s="347">
        <v>200312</v>
      </c>
      <c r="C606" s="316">
        <v>2003</v>
      </c>
      <c r="D606" s="317">
        <v>12</v>
      </c>
      <c r="E606" s="347" t="s">
        <v>120</v>
      </c>
      <c r="F606" s="318">
        <v>490430</v>
      </c>
      <c r="G606" s="318">
        <v>6303</v>
      </c>
      <c r="H606" s="347"/>
    </row>
    <row r="607" spans="2:8">
      <c r="B607" s="347">
        <v>200312</v>
      </c>
      <c r="C607" s="316">
        <v>2003</v>
      </c>
      <c r="D607" s="317">
        <v>12</v>
      </c>
      <c r="E607" s="347" t="s">
        <v>102</v>
      </c>
      <c r="F607" s="318">
        <v>1957212</v>
      </c>
      <c r="G607" s="318">
        <v>16903</v>
      </c>
      <c r="H607" s="347"/>
    </row>
    <row r="608" spans="2:8">
      <c r="B608" s="347">
        <v>200312</v>
      </c>
      <c r="C608" s="316">
        <v>2003</v>
      </c>
      <c r="D608" s="317">
        <v>12</v>
      </c>
      <c r="E608" s="347" t="s">
        <v>117</v>
      </c>
      <c r="F608" s="318">
        <v>5200334</v>
      </c>
      <c r="G608" s="318">
        <v>37161</v>
      </c>
      <c r="H608" s="347"/>
    </row>
    <row r="609" spans="2:8">
      <c r="B609" s="347">
        <v>200312</v>
      </c>
      <c r="C609" s="316">
        <v>2003</v>
      </c>
      <c r="D609" s="317">
        <v>12</v>
      </c>
      <c r="E609" s="347" t="s">
        <v>104</v>
      </c>
      <c r="F609" s="318">
        <v>459285</v>
      </c>
      <c r="G609" s="318">
        <v>4522</v>
      </c>
      <c r="H609" s="347"/>
    </row>
    <row r="610" spans="2:8">
      <c r="B610" s="347">
        <v>200312</v>
      </c>
      <c r="C610" s="316">
        <v>2003</v>
      </c>
      <c r="D610" s="317">
        <v>12</v>
      </c>
      <c r="E610" s="347" t="s">
        <v>34</v>
      </c>
      <c r="F610" s="318">
        <v>1217402</v>
      </c>
      <c r="G610" s="318">
        <v>13953</v>
      </c>
      <c r="H610" s="347"/>
    </row>
    <row r="611" spans="2:8">
      <c r="B611" s="347">
        <v>200312</v>
      </c>
      <c r="C611" s="316">
        <v>2003</v>
      </c>
      <c r="D611" s="317">
        <v>12</v>
      </c>
      <c r="E611" s="347" t="s">
        <v>118</v>
      </c>
      <c r="F611" s="318">
        <v>100033</v>
      </c>
      <c r="G611" s="318">
        <v>2579</v>
      </c>
      <c r="H611" s="347"/>
    </row>
    <row r="612" spans="2:8">
      <c r="B612" s="347">
        <v>200312</v>
      </c>
      <c r="C612" s="316">
        <v>2003</v>
      </c>
      <c r="D612" s="317">
        <v>12</v>
      </c>
      <c r="E612" s="347" t="s">
        <v>103</v>
      </c>
      <c r="F612" s="318">
        <v>1549260</v>
      </c>
      <c r="G612" s="318">
        <v>13541</v>
      </c>
      <c r="H612" s="347"/>
    </row>
    <row r="613" spans="2:8">
      <c r="B613" s="347">
        <v>200401</v>
      </c>
      <c r="C613" s="316">
        <v>2004</v>
      </c>
      <c r="D613" s="317">
        <v>1</v>
      </c>
      <c r="E613" s="347" t="s">
        <v>121</v>
      </c>
      <c r="F613" s="318">
        <v>171016</v>
      </c>
      <c r="G613" s="318">
        <v>6003</v>
      </c>
      <c r="H613" s="347"/>
    </row>
    <row r="614" spans="2:8">
      <c r="B614" s="347">
        <v>200401</v>
      </c>
      <c r="C614" s="316">
        <v>2004</v>
      </c>
      <c r="D614" s="317">
        <v>1</v>
      </c>
      <c r="E614" s="347" t="s">
        <v>212</v>
      </c>
      <c r="F614" s="318">
        <v>533333</v>
      </c>
      <c r="G614" s="318">
        <v>8663</v>
      </c>
      <c r="H614" s="347"/>
    </row>
    <row r="615" spans="2:8">
      <c r="B615" s="347">
        <v>200401</v>
      </c>
      <c r="C615" s="316">
        <v>2004</v>
      </c>
      <c r="D615" s="317">
        <v>1</v>
      </c>
      <c r="E615" s="347" t="s">
        <v>119</v>
      </c>
      <c r="F615" s="318">
        <v>508339</v>
      </c>
      <c r="G615" s="318">
        <v>8736</v>
      </c>
      <c r="H615" s="347"/>
    </row>
    <row r="616" spans="2:8">
      <c r="B616" s="347">
        <v>200401</v>
      </c>
      <c r="C616" s="316">
        <v>2004</v>
      </c>
      <c r="D616" s="317">
        <v>1</v>
      </c>
      <c r="E616" s="347" t="s">
        <v>120</v>
      </c>
      <c r="F616" s="318">
        <v>471599</v>
      </c>
      <c r="G616" s="318">
        <v>6532</v>
      </c>
      <c r="H616" s="347"/>
    </row>
    <row r="617" spans="2:8">
      <c r="B617" s="347">
        <v>200401</v>
      </c>
      <c r="C617" s="316">
        <v>2004</v>
      </c>
      <c r="D617" s="317">
        <v>1</v>
      </c>
      <c r="E617" s="347" t="s">
        <v>102</v>
      </c>
      <c r="F617" s="318">
        <v>1849893</v>
      </c>
      <c r="G617" s="318">
        <v>17135</v>
      </c>
      <c r="H617" s="347"/>
    </row>
    <row r="618" spans="2:8">
      <c r="B618" s="347">
        <v>200401</v>
      </c>
      <c r="C618" s="316">
        <v>2004</v>
      </c>
      <c r="D618" s="317">
        <v>1</v>
      </c>
      <c r="E618" s="347" t="s">
        <v>117</v>
      </c>
      <c r="F618" s="318">
        <v>4847605</v>
      </c>
      <c r="G618" s="318">
        <v>38266</v>
      </c>
      <c r="H618" s="347"/>
    </row>
    <row r="619" spans="2:8">
      <c r="B619" s="347">
        <v>200401</v>
      </c>
      <c r="C619" s="316">
        <v>2004</v>
      </c>
      <c r="D619" s="317">
        <v>1</v>
      </c>
      <c r="E619" s="347" t="s">
        <v>104</v>
      </c>
      <c r="F619" s="318">
        <v>447545</v>
      </c>
      <c r="G619" s="318">
        <v>4553</v>
      </c>
      <c r="H619" s="347"/>
    </row>
    <row r="620" spans="2:8">
      <c r="B620" s="347">
        <v>200401</v>
      </c>
      <c r="C620" s="316">
        <v>2004</v>
      </c>
      <c r="D620" s="317">
        <v>1</v>
      </c>
      <c r="E620" s="347" t="s">
        <v>34</v>
      </c>
      <c r="F620" s="318">
        <v>1225709</v>
      </c>
      <c r="G620" s="318">
        <v>14557</v>
      </c>
      <c r="H620" s="347"/>
    </row>
    <row r="621" spans="2:8">
      <c r="B621" s="347">
        <v>200401</v>
      </c>
      <c r="C621" s="316">
        <v>2004</v>
      </c>
      <c r="D621" s="317">
        <v>1</v>
      </c>
      <c r="E621" s="347" t="s">
        <v>118</v>
      </c>
      <c r="F621" s="318">
        <v>95650</v>
      </c>
      <c r="G621" s="318">
        <v>2789</v>
      </c>
      <c r="H621" s="347"/>
    </row>
    <row r="622" spans="2:8">
      <c r="B622" s="347">
        <v>200401</v>
      </c>
      <c r="C622" s="316">
        <v>2004</v>
      </c>
      <c r="D622" s="317">
        <v>1</v>
      </c>
      <c r="E622" s="347" t="s">
        <v>103</v>
      </c>
      <c r="F622" s="318">
        <v>1319138</v>
      </c>
      <c r="G622" s="318">
        <v>13287</v>
      </c>
      <c r="H622" s="347"/>
    </row>
    <row r="623" spans="2:8">
      <c r="B623" s="347">
        <v>200402</v>
      </c>
      <c r="C623" s="316">
        <v>2004</v>
      </c>
      <c r="D623" s="317">
        <v>2</v>
      </c>
      <c r="E623" s="347" t="s">
        <v>121</v>
      </c>
      <c r="F623" s="318">
        <v>176266</v>
      </c>
      <c r="G623" s="318">
        <v>5775</v>
      </c>
      <c r="H623" s="347"/>
    </row>
    <row r="624" spans="2:8">
      <c r="B624" s="347">
        <v>200402</v>
      </c>
      <c r="C624" s="316">
        <v>2004</v>
      </c>
      <c r="D624" s="317">
        <v>2</v>
      </c>
      <c r="E624" s="347" t="s">
        <v>212</v>
      </c>
      <c r="F624" s="318">
        <v>591695</v>
      </c>
      <c r="G624" s="318">
        <v>8663</v>
      </c>
      <c r="H624" s="347"/>
    </row>
    <row r="625" spans="2:8">
      <c r="B625" s="347">
        <v>200402</v>
      </c>
      <c r="C625" s="316">
        <v>2004</v>
      </c>
      <c r="D625" s="317">
        <v>2</v>
      </c>
      <c r="E625" s="347" t="s">
        <v>119</v>
      </c>
      <c r="F625" s="318">
        <v>565909</v>
      </c>
      <c r="G625" s="318">
        <v>8599</v>
      </c>
      <c r="H625" s="347"/>
    </row>
    <row r="626" spans="2:8">
      <c r="B626" s="347">
        <v>200402</v>
      </c>
      <c r="C626" s="316">
        <v>2004</v>
      </c>
      <c r="D626" s="317">
        <v>2</v>
      </c>
      <c r="E626" s="347" t="s">
        <v>120</v>
      </c>
      <c r="F626" s="318">
        <v>505054</v>
      </c>
      <c r="G626" s="318">
        <v>6287</v>
      </c>
      <c r="H626" s="347"/>
    </row>
    <row r="627" spans="2:8">
      <c r="B627" s="347">
        <v>200402</v>
      </c>
      <c r="C627" s="316">
        <v>2004</v>
      </c>
      <c r="D627" s="317">
        <v>2</v>
      </c>
      <c r="E627" s="347" t="s">
        <v>102</v>
      </c>
      <c r="F627" s="318">
        <v>1914294</v>
      </c>
      <c r="G627" s="318">
        <v>16468</v>
      </c>
      <c r="H627" s="347"/>
    </row>
    <row r="628" spans="2:8">
      <c r="B628" s="347">
        <v>200402</v>
      </c>
      <c r="C628" s="316">
        <v>2004</v>
      </c>
      <c r="D628" s="317">
        <v>2</v>
      </c>
      <c r="E628" s="347" t="s">
        <v>117</v>
      </c>
      <c r="F628" s="318">
        <v>4784869</v>
      </c>
      <c r="G628" s="318">
        <v>36810</v>
      </c>
      <c r="H628" s="347"/>
    </row>
    <row r="629" spans="2:8">
      <c r="B629" s="347">
        <v>200402</v>
      </c>
      <c r="C629" s="316">
        <v>2004</v>
      </c>
      <c r="D629" s="317">
        <v>2</v>
      </c>
      <c r="E629" s="347" t="s">
        <v>104</v>
      </c>
      <c r="F629" s="318">
        <v>506411</v>
      </c>
      <c r="G629" s="318">
        <v>4445</v>
      </c>
      <c r="H629" s="347"/>
    </row>
    <row r="630" spans="2:8">
      <c r="B630" s="347">
        <v>200402</v>
      </c>
      <c r="C630" s="316">
        <v>2004</v>
      </c>
      <c r="D630" s="317">
        <v>2</v>
      </c>
      <c r="E630" s="347" t="s">
        <v>34</v>
      </c>
      <c r="F630" s="318">
        <v>1293467</v>
      </c>
      <c r="G630" s="318">
        <v>14538</v>
      </c>
      <c r="H630" s="347"/>
    </row>
    <row r="631" spans="2:8">
      <c r="B631" s="347">
        <v>200402</v>
      </c>
      <c r="C631" s="316">
        <v>2004</v>
      </c>
      <c r="D631" s="317">
        <v>2</v>
      </c>
      <c r="E631" s="347" t="s">
        <v>118</v>
      </c>
      <c r="F631" s="318">
        <v>109493</v>
      </c>
      <c r="G631" s="318">
        <v>2766</v>
      </c>
      <c r="H631" s="347"/>
    </row>
    <row r="632" spans="2:8">
      <c r="B632" s="347">
        <v>200402</v>
      </c>
      <c r="C632" s="316">
        <v>2004</v>
      </c>
      <c r="D632" s="317">
        <v>2</v>
      </c>
      <c r="E632" s="347" t="s">
        <v>103</v>
      </c>
      <c r="F632" s="318">
        <v>1458184</v>
      </c>
      <c r="G632" s="318">
        <v>13113</v>
      </c>
      <c r="H632" s="347"/>
    </row>
    <row r="633" spans="2:8">
      <c r="B633" s="347">
        <v>200403</v>
      </c>
      <c r="C633" s="316">
        <v>2004</v>
      </c>
      <c r="D633" s="317">
        <v>3</v>
      </c>
      <c r="E633" s="347" t="s">
        <v>121</v>
      </c>
      <c r="F633" s="318">
        <v>209975</v>
      </c>
      <c r="G633" s="318">
        <v>6786</v>
      </c>
      <c r="H633" s="347"/>
    </row>
    <row r="634" spans="2:8">
      <c r="B634" s="347">
        <v>200403</v>
      </c>
      <c r="C634" s="316">
        <v>2004</v>
      </c>
      <c r="D634" s="317">
        <v>3</v>
      </c>
      <c r="E634" s="347" t="s">
        <v>212</v>
      </c>
      <c r="F634" s="318">
        <v>656853</v>
      </c>
      <c r="G634" s="318">
        <v>9387</v>
      </c>
      <c r="H634" s="347"/>
    </row>
    <row r="635" spans="2:8">
      <c r="B635" s="347">
        <v>200403</v>
      </c>
      <c r="C635" s="316">
        <v>2004</v>
      </c>
      <c r="D635" s="317">
        <v>3</v>
      </c>
      <c r="E635" s="347" t="s">
        <v>119</v>
      </c>
      <c r="F635" s="318">
        <v>647420</v>
      </c>
      <c r="G635" s="318">
        <v>9523</v>
      </c>
      <c r="H635" s="347"/>
    </row>
    <row r="636" spans="2:8">
      <c r="B636" s="347">
        <v>200403</v>
      </c>
      <c r="C636" s="316">
        <v>2004</v>
      </c>
      <c r="D636" s="317">
        <v>3</v>
      </c>
      <c r="E636" s="347" t="s">
        <v>120</v>
      </c>
      <c r="F636" s="318">
        <v>587425</v>
      </c>
      <c r="G636" s="318">
        <v>7083</v>
      </c>
      <c r="H636" s="347"/>
    </row>
    <row r="637" spans="2:8">
      <c r="B637" s="347">
        <v>200403</v>
      </c>
      <c r="C637" s="316">
        <v>2004</v>
      </c>
      <c r="D637" s="317">
        <v>3</v>
      </c>
      <c r="E637" s="347" t="s">
        <v>102</v>
      </c>
      <c r="F637" s="318">
        <v>2146281</v>
      </c>
      <c r="G637" s="318">
        <v>17694</v>
      </c>
      <c r="H637" s="347"/>
    </row>
    <row r="638" spans="2:8">
      <c r="B638" s="347">
        <v>200403</v>
      </c>
      <c r="C638" s="316">
        <v>2004</v>
      </c>
      <c r="D638" s="317">
        <v>3</v>
      </c>
      <c r="E638" s="347" t="s">
        <v>117</v>
      </c>
      <c r="F638" s="318">
        <v>5427369</v>
      </c>
      <c r="G638" s="318">
        <v>39615</v>
      </c>
      <c r="H638" s="347"/>
    </row>
    <row r="639" spans="2:8">
      <c r="B639" s="347">
        <v>200403</v>
      </c>
      <c r="C639" s="316">
        <v>2004</v>
      </c>
      <c r="D639" s="317">
        <v>3</v>
      </c>
      <c r="E639" s="347" t="s">
        <v>104</v>
      </c>
      <c r="F639" s="318">
        <v>554166</v>
      </c>
      <c r="G639" s="318">
        <v>4848</v>
      </c>
      <c r="H639" s="347"/>
    </row>
    <row r="640" spans="2:8">
      <c r="B640" s="347">
        <v>200403</v>
      </c>
      <c r="C640" s="316">
        <v>2004</v>
      </c>
      <c r="D640" s="317">
        <v>3</v>
      </c>
      <c r="E640" s="347" t="s">
        <v>34</v>
      </c>
      <c r="F640" s="318">
        <v>1424565</v>
      </c>
      <c r="G640" s="318">
        <v>15869</v>
      </c>
      <c r="H640" s="347"/>
    </row>
    <row r="641" spans="2:8">
      <c r="B641" s="347">
        <v>200403</v>
      </c>
      <c r="C641" s="316">
        <v>2004</v>
      </c>
      <c r="D641" s="317">
        <v>3</v>
      </c>
      <c r="E641" s="347" t="s">
        <v>118</v>
      </c>
      <c r="F641" s="318">
        <v>118060</v>
      </c>
      <c r="G641" s="318">
        <v>3042</v>
      </c>
      <c r="H641" s="347"/>
    </row>
    <row r="642" spans="2:8">
      <c r="B642" s="347">
        <v>200403</v>
      </c>
      <c r="C642" s="316">
        <v>2004</v>
      </c>
      <c r="D642" s="317">
        <v>3</v>
      </c>
      <c r="E642" s="347" t="s">
        <v>103</v>
      </c>
      <c r="F642" s="318">
        <v>1612538</v>
      </c>
      <c r="G642" s="318">
        <v>14453</v>
      </c>
      <c r="H642" s="347"/>
    </row>
    <row r="643" spans="2:8">
      <c r="B643" s="347">
        <v>200404</v>
      </c>
      <c r="C643" s="316">
        <v>2004</v>
      </c>
      <c r="D643" s="317">
        <v>4</v>
      </c>
      <c r="E643" s="347" t="s">
        <v>121</v>
      </c>
      <c r="F643" s="318">
        <v>218417</v>
      </c>
      <c r="G643" s="318">
        <v>6629</v>
      </c>
      <c r="H643" s="347"/>
    </row>
    <row r="644" spans="2:8">
      <c r="B644" s="347">
        <v>200404</v>
      </c>
      <c r="C644" s="316">
        <v>2004</v>
      </c>
      <c r="D644" s="317">
        <v>4</v>
      </c>
      <c r="E644" s="347" t="s">
        <v>212</v>
      </c>
      <c r="F644" s="318">
        <v>673817</v>
      </c>
      <c r="G644" s="318">
        <v>9150</v>
      </c>
      <c r="H644" s="347"/>
    </row>
    <row r="645" spans="2:8">
      <c r="B645" s="347">
        <v>200404</v>
      </c>
      <c r="C645" s="316">
        <v>2004</v>
      </c>
      <c r="D645" s="317">
        <v>4</v>
      </c>
      <c r="E645" s="347" t="s">
        <v>119</v>
      </c>
      <c r="F645" s="318">
        <v>662140</v>
      </c>
      <c r="G645" s="318">
        <v>9537</v>
      </c>
      <c r="H645" s="347"/>
    </row>
    <row r="646" spans="2:8">
      <c r="B646" s="347">
        <v>200404</v>
      </c>
      <c r="C646" s="316">
        <v>2004</v>
      </c>
      <c r="D646" s="317">
        <v>4</v>
      </c>
      <c r="E646" s="347" t="s">
        <v>120</v>
      </c>
      <c r="F646" s="318">
        <v>635684</v>
      </c>
      <c r="G646" s="318">
        <v>7333</v>
      </c>
      <c r="H646" s="347"/>
    </row>
    <row r="647" spans="2:8">
      <c r="B647" s="347">
        <v>200404</v>
      </c>
      <c r="C647" s="316">
        <v>2004</v>
      </c>
      <c r="D647" s="317">
        <v>4</v>
      </c>
      <c r="E647" s="347" t="s">
        <v>102</v>
      </c>
      <c r="F647" s="318">
        <v>2426394</v>
      </c>
      <c r="G647" s="318">
        <v>18814</v>
      </c>
      <c r="H647" s="347"/>
    </row>
    <row r="648" spans="2:8">
      <c r="B648" s="347">
        <v>200404</v>
      </c>
      <c r="C648" s="316">
        <v>2004</v>
      </c>
      <c r="D648" s="317">
        <v>4</v>
      </c>
      <c r="E648" s="347" t="s">
        <v>117</v>
      </c>
      <c r="F648" s="318">
        <v>5616804</v>
      </c>
      <c r="G648" s="318">
        <v>38564</v>
      </c>
      <c r="H648" s="347"/>
    </row>
    <row r="649" spans="2:8">
      <c r="B649" s="347">
        <v>200404</v>
      </c>
      <c r="C649" s="316">
        <v>2004</v>
      </c>
      <c r="D649" s="317">
        <v>4</v>
      </c>
      <c r="E649" s="347" t="s">
        <v>104</v>
      </c>
      <c r="F649" s="318">
        <v>559375</v>
      </c>
      <c r="G649" s="318">
        <v>4945</v>
      </c>
      <c r="H649" s="347"/>
    </row>
    <row r="650" spans="2:8">
      <c r="B650" s="347">
        <v>200404</v>
      </c>
      <c r="C650" s="316">
        <v>2004</v>
      </c>
      <c r="D650" s="317">
        <v>4</v>
      </c>
      <c r="E650" s="347" t="s">
        <v>34</v>
      </c>
      <c r="F650" s="318">
        <v>1520544</v>
      </c>
      <c r="G650" s="318">
        <v>15975</v>
      </c>
      <c r="H650" s="347"/>
    </row>
    <row r="651" spans="2:8">
      <c r="B651" s="347">
        <v>200404</v>
      </c>
      <c r="C651" s="316">
        <v>2004</v>
      </c>
      <c r="D651" s="317">
        <v>4</v>
      </c>
      <c r="E651" s="347" t="s">
        <v>118</v>
      </c>
      <c r="F651" s="318">
        <v>121770</v>
      </c>
      <c r="G651" s="318">
        <v>2998</v>
      </c>
      <c r="H651" s="347"/>
    </row>
    <row r="652" spans="2:8">
      <c r="B652" s="347">
        <v>200404</v>
      </c>
      <c r="C652" s="316">
        <v>2004</v>
      </c>
      <c r="D652" s="317">
        <v>4</v>
      </c>
      <c r="E652" s="347" t="s">
        <v>103</v>
      </c>
      <c r="F652" s="318">
        <v>1702216</v>
      </c>
      <c r="G652" s="318">
        <v>14678</v>
      </c>
      <c r="H652" s="347"/>
    </row>
    <row r="653" spans="2:8">
      <c r="B653" s="347">
        <v>200405</v>
      </c>
      <c r="C653" s="316">
        <v>2004</v>
      </c>
      <c r="D653" s="317">
        <v>5</v>
      </c>
      <c r="E653" s="347" t="s">
        <v>121</v>
      </c>
      <c r="F653" s="318">
        <v>217877</v>
      </c>
      <c r="G653" s="318">
        <v>6713</v>
      </c>
      <c r="H653" s="347"/>
    </row>
    <row r="654" spans="2:8">
      <c r="B654" s="347">
        <v>200405</v>
      </c>
      <c r="C654" s="316">
        <v>2004</v>
      </c>
      <c r="D654" s="317">
        <v>5</v>
      </c>
      <c r="E654" s="347" t="s">
        <v>212</v>
      </c>
      <c r="F654" s="318">
        <v>790739</v>
      </c>
      <c r="G654" s="318">
        <v>9254</v>
      </c>
      <c r="H654" s="347"/>
    </row>
    <row r="655" spans="2:8">
      <c r="B655" s="347">
        <v>200405</v>
      </c>
      <c r="C655" s="316">
        <v>2004</v>
      </c>
      <c r="D655" s="317">
        <v>5</v>
      </c>
      <c r="E655" s="347" t="s">
        <v>119</v>
      </c>
      <c r="F655" s="318">
        <v>667396</v>
      </c>
      <c r="G655" s="318">
        <v>9349</v>
      </c>
      <c r="H655" s="347"/>
    </row>
    <row r="656" spans="2:8">
      <c r="B656" s="347">
        <v>200405</v>
      </c>
      <c r="C656" s="316">
        <v>2004</v>
      </c>
      <c r="D656" s="317">
        <v>5</v>
      </c>
      <c r="E656" s="347" t="s">
        <v>120</v>
      </c>
      <c r="F656" s="318">
        <v>775016</v>
      </c>
      <c r="G656" s="318">
        <v>8226</v>
      </c>
      <c r="H656" s="347"/>
    </row>
    <row r="657" spans="2:8">
      <c r="B657" s="347">
        <v>200405</v>
      </c>
      <c r="C657" s="316">
        <v>2004</v>
      </c>
      <c r="D657" s="317">
        <v>5</v>
      </c>
      <c r="E657" s="347" t="s">
        <v>102</v>
      </c>
      <c r="F657" s="318">
        <v>2693048</v>
      </c>
      <c r="G657" s="318">
        <v>21424</v>
      </c>
      <c r="H657" s="347"/>
    </row>
    <row r="658" spans="2:8">
      <c r="B658" s="347">
        <v>200405</v>
      </c>
      <c r="C658" s="316">
        <v>2004</v>
      </c>
      <c r="D658" s="317">
        <v>5</v>
      </c>
      <c r="E658" s="347" t="s">
        <v>117</v>
      </c>
      <c r="F658" s="318">
        <v>5526620</v>
      </c>
      <c r="G658" s="318">
        <v>40011</v>
      </c>
      <c r="H658" s="347"/>
    </row>
    <row r="659" spans="2:8">
      <c r="B659" s="347">
        <v>200405</v>
      </c>
      <c r="C659" s="316">
        <v>2004</v>
      </c>
      <c r="D659" s="317">
        <v>5</v>
      </c>
      <c r="E659" s="347" t="s">
        <v>104</v>
      </c>
      <c r="F659" s="318">
        <v>620617</v>
      </c>
      <c r="G659" s="318">
        <v>5440</v>
      </c>
      <c r="H659" s="347"/>
    </row>
    <row r="660" spans="2:8">
      <c r="B660" s="347">
        <v>200405</v>
      </c>
      <c r="C660" s="316">
        <v>2004</v>
      </c>
      <c r="D660" s="317">
        <v>5</v>
      </c>
      <c r="E660" s="347" t="s">
        <v>34</v>
      </c>
      <c r="F660" s="318">
        <v>1845987</v>
      </c>
      <c r="G660" s="318">
        <v>18180</v>
      </c>
      <c r="H660" s="347"/>
    </row>
    <row r="661" spans="2:8">
      <c r="B661" s="347">
        <v>200405</v>
      </c>
      <c r="C661" s="316">
        <v>2004</v>
      </c>
      <c r="D661" s="317">
        <v>5</v>
      </c>
      <c r="E661" s="347" t="s">
        <v>118</v>
      </c>
      <c r="F661" s="318">
        <v>129248</v>
      </c>
      <c r="G661" s="318">
        <v>3078</v>
      </c>
      <c r="H661" s="347"/>
    </row>
    <row r="662" spans="2:8">
      <c r="B662" s="347">
        <v>200405</v>
      </c>
      <c r="C662" s="316">
        <v>2004</v>
      </c>
      <c r="D662" s="317">
        <v>5</v>
      </c>
      <c r="E662" s="347" t="s">
        <v>103</v>
      </c>
      <c r="F662" s="318">
        <v>1717490</v>
      </c>
      <c r="G662" s="318">
        <v>15133</v>
      </c>
      <c r="H662" s="347"/>
    </row>
    <row r="663" spans="2:8">
      <c r="B663" s="347">
        <v>200406</v>
      </c>
      <c r="C663" s="316">
        <v>2004</v>
      </c>
      <c r="D663" s="317">
        <v>6</v>
      </c>
      <c r="E663" s="347" t="s">
        <v>121</v>
      </c>
      <c r="F663" s="318">
        <v>234798</v>
      </c>
      <c r="G663" s="318">
        <v>6954</v>
      </c>
      <c r="H663" s="347"/>
    </row>
    <row r="664" spans="2:8">
      <c r="B664" s="347">
        <v>200406</v>
      </c>
      <c r="C664" s="316">
        <v>2004</v>
      </c>
      <c r="D664" s="317">
        <v>6</v>
      </c>
      <c r="E664" s="347" t="s">
        <v>212</v>
      </c>
      <c r="F664" s="318">
        <v>875241</v>
      </c>
      <c r="G664" s="318">
        <v>9681</v>
      </c>
      <c r="H664" s="347"/>
    </row>
    <row r="665" spans="2:8">
      <c r="B665" s="347">
        <v>200406</v>
      </c>
      <c r="C665" s="316">
        <v>2004</v>
      </c>
      <c r="D665" s="317">
        <v>6</v>
      </c>
      <c r="E665" s="347" t="s">
        <v>119</v>
      </c>
      <c r="F665" s="318">
        <v>720768</v>
      </c>
      <c r="G665" s="318">
        <v>9678</v>
      </c>
      <c r="H665" s="347"/>
    </row>
    <row r="666" spans="2:8">
      <c r="B666" s="347">
        <v>200406</v>
      </c>
      <c r="C666" s="316">
        <v>2004</v>
      </c>
      <c r="D666" s="317">
        <v>6</v>
      </c>
      <c r="E666" s="347" t="s">
        <v>120</v>
      </c>
      <c r="F666" s="318">
        <v>853777</v>
      </c>
      <c r="G666" s="318">
        <v>8439</v>
      </c>
      <c r="H666" s="347"/>
    </row>
    <row r="667" spans="2:8">
      <c r="B667" s="347">
        <v>200406</v>
      </c>
      <c r="C667" s="316">
        <v>2004</v>
      </c>
      <c r="D667" s="317">
        <v>6</v>
      </c>
      <c r="E667" s="347" t="s">
        <v>102</v>
      </c>
      <c r="F667" s="318">
        <v>3091972</v>
      </c>
      <c r="G667" s="318">
        <v>22137</v>
      </c>
      <c r="H667" s="347"/>
    </row>
    <row r="668" spans="2:8">
      <c r="B668" s="347">
        <v>200406</v>
      </c>
      <c r="C668" s="316">
        <v>2004</v>
      </c>
      <c r="D668" s="317">
        <v>6</v>
      </c>
      <c r="E668" s="347" t="s">
        <v>117</v>
      </c>
      <c r="F668" s="318">
        <v>5933968</v>
      </c>
      <c r="G668" s="318">
        <v>39507</v>
      </c>
      <c r="H668" s="347"/>
    </row>
    <row r="669" spans="2:8">
      <c r="B669" s="347">
        <v>200406</v>
      </c>
      <c r="C669" s="316">
        <v>2004</v>
      </c>
      <c r="D669" s="317">
        <v>6</v>
      </c>
      <c r="E669" s="347" t="s">
        <v>104</v>
      </c>
      <c r="F669" s="318">
        <v>678461</v>
      </c>
      <c r="G669" s="318">
        <v>5555</v>
      </c>
      <c r="H669" s="347"/>
    </row>
    <row r="670" spans="2:8">
      <c r="B670" s="347">
        <v>200406</v>
      </c>
      <c r="C670" s="316">
        <v>2004</v>
      </c>
      <c r="D670" s="317">
        <v>6</v>
      </c>
      <c r="E670" s="347" t="s">
        <v>34</v>
      </c>
      <c r="F670" s="318">
        <v>2111314</v>
      </c>
      <c r="G670" s="318">
        <v>19168</v>
      </c>
      <c r="H670" s="347"/>
    </row>
    <row r="671" spans="2:8">
      <c r="B671" s="347">
        <v>200406</v>
      </c>
      <c r="C671" s="316">
        <v>2004</v>
      </c>
      <c r="D671" s="317">
        <v>6</v>
      </c>
      <c r="E671" s="347" t="s">
        <v>118</v>
      </c>
      <c r="F671" s="318">
        <v>137380</v>
      </c>
      <c r="G671" s="318">
        <v>3121</v>
      </c>
      <c r="H671" s="347"/>
    </row>
    <row r="672" spans="2:8">
      <c r="B672" s="347">
        <v>200406</v>
      </c>
      <c r="C672" s="316">
        <v>2004</v>
      </c>
      <c r="D672" s="317">
        <v>6</v>
      </c>
      <c r="E672" s="347" t="s">
        <v>103</v>
      </c>
      <c r="F672" s="318">
        <v>1842358</v>
      </c>
      <c r="G672" s="318">
        <v>15155</v>
      </c>
      <c r="H672" s="347"/>
    </row>
    <row r="673" spans="2:8">
      <c r="B673" s="347">
        <v>200407</v>
      </c>
      <c r="C673" s="316">
        <v>2004</v>
      </c>
      <c r="D673" s="317">
        <v>7</v>
      </c>
      <c r="E673" s="347" t="s">
        <v>121</v>
      </c>
      <c r="F673" s="318">
        <v>254373</v>
      </c>
      <c r="G673" s="318">
        <v>7060</v>
      </c>
      <c r="H673" s="347"/>
    </row>
    <row r="674" spans="2:8">
      <c r="B674" s="347">
        <v>200407</v>
      </c>
      <c r="C674" s="316">
        <v>2004</v>
      </c>
      <c r="D674" s="317">
        <v>7</v>
      </c>
      <c r="E674" s="347" t="s">
        <v>212</v>
      </c>
      <c r="F674" s="318">
        <v>943953</v>
      </c>
      <c r="G674" s="318">
        <v>10005</v>
      </c>
      <c r="H674" s="347"/>
    </row>
    <row r="675" spans="2:8">
      <c r="B675" s="347">
        <v>200407</v>
      </c>
      <c r="C675" s="316">
        <v>2004</v>
      </c>
      <c r="D675" s="317">
        <v>7</v>
      </c>
      <c r="E675" s="347" t="s">
        <v>119</v>
      </c>
      <c r="F675" s="318">
        <v>794697</v>
      </c>
      <c r="G675" s="318">
        <v>9984</v>
      </c>
      <c r="H675" s="347"/>
    </row>
    <row r="676" spans="2:8">
      <c r="B676" s="347">
        <v>200407</v>
      </c>
      <c r="C676" s="316">
        <v>2004</v>
      </c>
      <c r="D676" s="317">
        <v>7</v>
      </c>
      <c r="E676" s="347" t="s">
        <v>120</v>
      </c>
      <c r="F676" s="318">
        <v>1006393</v>
      </c>
      <c r="G676" s="318">
        <v>9017</v>
      </c>
      <c r="H676" s="347"/>
    </row>
    <row r="677" spans="2:8">
      <c r="B677" s="347">
        <v>200407</v>
      </c>
      <c r="C677" s="316">
        <v>2004</v>
      </c>
      <c r="D677" s="317">
        <v>7</v>
      </c>
      <c r="E677" s="347" t="s">
        <v>102</v>
      </c>
      <c r="F677" s="318">
        <v>3456578</v>
      </c>
      <c r="G677" s="318">
        <v>23533</v>
      </c>
      <c r="H677" s="347"/>
    </row>
    <row r="678" spans="2:8">
      <c r="B678" s="347">
        <v>200407</v>
      </c>
      <c r="C678" s="316">
        <v>2004</v>
      </c>
      <c r="D678" s="317">
        <v>7</v>
      </c>
      <c r="E678" s="347" t="s">
        <v>117</v>
      </c>
      <c r="F678" s="318">
        <v>6496665</v>
      </c>
      <c r="G678" s="318">
        <v>41125</v>
      </c>
      <c r="H678" s="347"/>
    </row>
    <row r="679" spans="2:8">
      <c r="B679" s="347">
        <v>200407</v>
      </c>
      <c r="C679" s="316">
        <v>2004</v>
      </c>
      <c r="D679" s="317">
        <v>7</v>
      </c>
      <c r="E679" s="347" t="s">
        <v>104</v>
      </c>
      <c r="F679" s="318">
        <v>749133</v>
      </c>
      <c r="G679" s="318">
        <v>5988</v>
      </c>
      <c r="H679" s="347"/>
    </row>
    <row r="680" spans="2:8">
      <c r="B680" s="347">
        <v>200407</v>
      </c>
      <c r="C680" s="316">
        <v>2004</v>
      </c>
      <c r="D680" s="317">
        <v>7</v>
      </c>
      <c r="E680" s="347" t="s">
        <v>34</v>
      </c>
      <c r="F680" s="318">
        <v>2271838</v>
      </c>
      <c r="G680" s="318">
        <v>20029</v>
      </c>
      <c r="H680" s="347"/>
    </row>
    <row r="681" spans="2:8">
      <c r="B681" s="347">
        <v>200407</v>
      </c>
      <c r="C681" s="316">
        <v>2004</v>
      </c>
      <c r="D681" s="317">
        <v>7</v>
      </c>
      <c r="E681" s="347" t="s">
        <v>118</v>
      </c>
      <c r="F681" s="318">
        <v>148644</v>
      </c>
      <c r="G681" s="318">
        <v>3360</v>
      </c>
      <c r="H681" s="347"/>
    </row>
    <row r="682" spans="2:8">
      <c r="B682" s="347">
        <v>200407</v>
      </c>
      <c r="C682" s="316">
        <v>2004</v>
      </c>
      <c r="D682" s="317">
        <v>7</v>
      </c>
      <c r="E682" s="347" t="s">
        <v>103</v>
      </c>
      <c r="F682" s="318">
        <v>2050436</v>
      </c>
      <c r="G682" s="318">
        <v>15903</v>
      </c>
      <c r="H682" s="347"/>
    </row>
    <row r="683" spans="2:8">
      <c r="B683" s="347">
        <v>200408</v>
      </c>
      <c r="C683" s="316">
        <v>2004</v>
      </c>
      <c r="D683" s="317">
        <v>8</v>
      </c>
      <c r="E683" s="347" t="s">
        <v>121</v>
      </c>
      <c r="F683" s="318">
        <v>240093</v>
      </c>
      <c r="G683" s="318">
        <v>6983</v>
      </c>
      <c r="H683" s="347"/>
    </row>
    <row r="684" spans="2:8">
      <c r="B684" s="347">
        <v>200408</v>
      </c>
      <c r="C684" s="316">
        <v>2004</v>
      </c>
      <c r="D684" s="317">
        <v>8</v>
      </c>
      <c r="E684" s="347" t="s">
        <v>212</v>
      </c>
      <c r="F684" s="318">
        <v>961681</v>
      </c>
      <c r="G684" s="318">
        <v>9849</v>
      </c>
      <c r="H684" s="347"/>
    </row>
    <row r="685" spans="2:8">
      <c r="B685" s="347">
        <v>200408</v>
      </c>
      <c r="C685" s="316">
        <v>2004</v>
      </c>
      <c r="D685" s="317">
        <v>8</v>
      </c>
      <c r="E685" s="347" t="s">
        <v>119</v>
      </c>
      <c r="F685" s="318">
        <v>772772</v>
      </c>
      <c r="G685" s="318">
        <v>9749</v>
      </c>
      <c r="H685" s="347"/>
    </row>
    <row r="686" spans="2:8">
      <c r="B686" s="347">
        <v>200408</v>
      </c>
      <c r="C686" s="316">
        <v>2004</v>
      </c>
      <c r="D686" s="317">
        <v>8</v>
      </c>
      <c r="E686" s="347" t="s">
        <v>120</v>
      </c>
      <c r="F686" s="318">
        <v>870326</v>
      </c>
      <c r="G686" s="318">
        <v>8484</v>
      </c>
      <c r="H686" s="347"/>
    </row>
    <row r="687" spans="2:8">
      <c r="B687" s="347">
        <v>200408</v>
      </c>
      <c r="C687" s="316">
        <v>2004</v>
      </c>
      <c r="D687" s="317">
        <v>8</v>
      </c>
      <c r="E687" s="347" t="s">
        <v>102</v>
      </c>
      <c r="F687" s="318">
        <v>3696067</v>
      </c>
      <c r="G687" s="318">
        <v>24204</v>
      </c>
      <c r="H687" s="347"/>
    </row>
    <row r="688" spans="2:8">
      <c r="B688" s="347">
        <v>200408</v>
      </c>
      <c r="C688" s="316">
        <v>2004</v>
      </c>
      <c r="D688" s="317">
        <v>8</v>
      </c>
      <c r="E688" s="347" t="s">
        <v>117</v>
      </c>
      <c r="F688" s="318">
        <v>6310601</v>
      </c>
      <c r="G688" s="318">
        <v>40567</v>
      </c>
      <c r="H688" s="347"/>
    </row>
    <row r="689" spans="2:8">
      <c r="B689" s="347">
        <v>200408</v>
      </c>
      <c r="C689" s="316">
        <v>2004</v>
      </c>
      <c r="D689" s="317">
        <v>8</v>
      </c>
      <c r="E689" s="347" t="s">
        <v>104</v>
      </c>
      <c r="F689" s="318">
        <v>807695</v>
      </c>
      <c r="G689" s="318">
        <v>6197</v>
      </c>
      <c r="H689" s="347"/>
    </row>
    <row r="690" spans="2:8">
      <c r="B690" s="347">
        <v>200408</v>
      </c>
      <c r="C690" s="316">
        <v>2004</v>
      </c>
      <c r="D690" s="317">
        <v>8</v>
      </c>
      <c r="E690" s="347" t="s">
        <v>34</v>
      </c>
      <c r="F690" s="318">
        <v>2389757</v>
      </c>
      <c r="G690" s="318">
        <v>20363</v>
      </c>
      <c r="H690" s="347"/>
    </row>
    <row r="691" spans="2:8">
      <c r="B691" s="347">
        <v>200408</v>
      </c>
      <c r="C691" s="316">
        <v>2004</v>
      </c>
      <c r="D691" s="317">
        <v>8</v>
      </c>
      <c r="E691" s="347" t="s">
        <v>118</v>
      </c>
      <c r="F691" s="318">
        <v>151909</v>
      </c>
      <c r="G691" s="318">
        <v>3363</v>
      </c>
      <c r="H691" s="347"/>
    </row>
    <row r="692" spans="2:8">
      <c r="B692" s="347">
        <v>200408</v>
      </c>
      <c r="C692" s="316">
        <v>2004</v>
      </c>
      <c r="D692" s="317">
        <v>8</v>
      </c>
      <c r="E692" s="347" t="s">
        <v>103</v>
      </c>
      <c r="F692" s="318">
        <v>2163569</v>
      </c>
      <c r="G692" s="318">
        <v>16206</v>
      </c>
      <c r="H692" s="347"/>
    </row>
    <row r="693" spans="2:8">
      <c r="B693" s="347">
        <v>200409</v>
      </c>
      <c r="C693" s="316">
        <v>2004</v>
      </c>
      <c r="D693" s="317">
        <v>9</v>
      </c>
      <c r="E693" s="347" t="s">
        <v>121</v>
      </c>
      <c r="F693" s="318">
        <v>242776</v>
      </c>
      <c r="G693" s="318">
        <v>7196</v>
      </c>
      <c r="H693" s="347"/>
    </row>
    <row r="694" spans="2:8">
      <c r="B694" s="347">
        <v>200409</v>
      </c>
      <c r="C694" s="316">
        <v>2004</v>
      </c>
      <c r="D694" s="317">
        <v>9</v>
      </c>
      <c r="E694" s="347" t="s">
        <v>212</v>
      </c>
      <c r="F694" s="318">
        <v>922083</v>
      </c>
      <c r="G694" s="318">
        <v>9835</v>
      </c>
      <c r="H694" s="347"/>
    </row>
    <row r="695" spans="2:8">
      <c r="B695" s="347">
        <v>200409</v>
      </c>
      <c r="C695" s="316">
        <v>2004</v>
      </c>
      <c r="D695" s="317">
        <v>9</v>
      </c>
      <c r="E695" s="347" t="s">
        <v>119</v>
      </c>
      <c r="F695" s="318">
        <v>731316</v>
      </c>
      <c r="G695" s="318">
        <v>9527</v>
      </c>
      <c r="H695" s="347"/>
    </row>
    <row r="696" spans="2:8">
      <c r="B696" s="347">
        <v>200409</v>
      </c>
      <c r="C696" s="316">
        <v>2004</v>
      </c>
      <c r="D696" s="317">
        <v>9</v>
      </c>
      <c r="E696" s="347" t="s">
        <v>120</v>
      </c>
      <c r="F696" s="318">
        <v>882603</v>
      </c>
      <c r="G696" s="318">
        <v>8576</v>
      </c>
      <c r="H696" s="347"/>
    </row>
    <row r="697" spans="2:8">
      <c r="B697" s="347">
        <v>200409</v>
      </c>
      <c r="C697" s="316">
        <v>2004</v>
      </c>
      <c r="D697" s="317">
        <v>9</v>
      </c>
      <c r="E697" s="347" t="s">
        <v>102</v>
      </c>
      <c r="F697" s="318">
        <v>3230730</v>
      </c>
      <c r="G697" s="318">
        <v>22835</v>
      </c>
      <c r="H697" s="347"/>
    </row>
    <row r="698" spans="2:8">
      <c r="B698" s="347">
        <v>200409</v>
      </c>
      <c r="C698" s="316">
        <v>2004</v>
      </c>
      <c r="D698" s="317">
        <v>9</v>
      </c>
      <c r="E698" s="347" t="s">
        <v>117</v>
      </c>
      <c r="F698" s="318">
        <v>5958372</v>
      </c>
      <c r="G698" s="318">
        <v>39339</v>
      </c>
      <c r="H698" s="347"/>
    </row>
    <row r="699" spans="2:8">
      <c r="B699" s="347">
        <v>200409</v>
      </c>
      <c r="C699" s="316">
        <v>2004</v>
      </c>
      <c r="D699" s="317">
        <v>9</v>
      </c>
      <c r="E699" s="347" t="s">
        <v>104</v>
      </c>
      <c r="F699" s="318">
        <v>739339</v>
      </c>
      <c r="G699" s="318">
        <v>6045</v>
      </c>
      <c r="H699" s="347"/>
    </row>
    <row r="700" spans="2:8">
      <c r="B700" s="347">
        <v>200409</v>
      </c>
      <c r="C700" s="316">
        <v>2004</v>
      </c>
      <c r="D700" s="317">
        <v>9</v>
      </c>
      <c r="E700" s="347" t="s">
        <v>34</v>
      </c>
      <c r="F700" s="318">
        <v>2253452</v>
      </c>
      <c r="G700" s="318">
        <v>19813</v>
      </c>
      <c r="H700" s="347"/>
    </row>
    <row r="701" spans="2:8">
      <c r="B701" s="347">
        <v>200409</v>
      </c>
      <c r="C701" s="316">
        <v>2004</v>
      </c>
      <c r="D701" s="317">
        <v>9</v>
      </c>
      <c r="E701" s="347" t="s">
        <v>118</v>
      </c>
      <c r="F701" s="318">
        <v>154326</v>
      </c>
      <c r="G701" s="318">
        <v>3468</v>
      </c>
      <c r="H701" s="347"/>
    </row>
    <row r="702" spans="2:8">
      <c r="B702" s="347">
        <v>200409</v>
      </c>
      <c r="C702" s="316">
        <v>2004</v>
      </c>
      <c r="D702" s="317">
        <v>9</v>
      </c>
      <c r="E702" s="347" t="s">
        <v>103</v>
      </c>
      <c r="F702" s="318">
        <v>1938742</v>
      </c>
      <c r="G702" s="318">
        <v>15610</v>
      </c>
      <c r="H702" s="347"/>
    </row>
    <row r="703" spans="2:8">
      <c r="B703" s="347">
        <v>200410</v>
      </c>
      <c r="C703" s="316">
        <v>2004</v>
      </c>
      <c r="D703" s="317">
        <v>10</v>
      </c>
      <c r="E703" s="347" t="s">
        <v>121</v>
      </c>
      <c r="F703" s="318">
        <v>244826</v>
      </c>
      <c r="G703" s="318">
        <v>6877</v>
      </c>
      <c r="H703" s="347"/>
    </row>
    <row r="704" spans="2:8">
      <c r="B704" s="347">
        <v>200410</v>
      </c>
      <c r="C704" s="316">
        <v>2004</v>
      </c>
      <c r="D704" s="317">
        <v>10</v>
      </c>
      <c r="E704" s="347" t="s">
        <v>212</v>
      </c>
      <c r="F704" s="318">
        <v>826123</v>
      </c>
      <c r="G704" s="318">
        <v>9517</v>
      </c>
      <c r="H704" s="347"/>
    </row>
    <row r="705" spans="2:8">
      <c r="B705" s="347">
        <v>200410</v>
      </c>
      <c r="C705" s="316">
        <v>2004</v>
      </c>
      <c r="D705" s="317">
        <v>10</v>
      </c>
      <c r="E705" s="347" t="s">
        <v>119</v>
      </c>
      <c r="F705" s="318">
        <v>727954</v>
      </c>
      <c r="G705" s="318">
        <v>9603</v>
      </c>
      <c r="H705" s="347"/>
    </row>
    <row r="706" spans="2:8">
      <c r="B706" s="347">
        <v>200410</v>
      </c>
      <c r="C706" s="316">
        <v>2004</v>
      </c>
      <c r="D706" s="317">
        <v>10</v>
      </c>
      <c r="E706" s="347" t="s">
        <v>120</v>
      </c>
      <c r="F706" s="318">
        <v>857737</v>
      </c>
      <c r="G706" s="318">
        <v>8443</v>
      </c>
      <c r="H706" s="347"/>
    </row>
    <row r="707" spans="2:8">
      <c r="B707" s="347">
        <v>200410</v>
      </c>
      <c r="C707" s="316">
        <v>2004</v>
      </c>
      <c r="D707" s="317">
        <v>10</v>
      </c>
      <c r="E707" s="347" t="s">
        <v>102</v>
      </c>
      <c r="F707" s="318">
        <v>2816223</v>
      </c>
      <c r="G707" s="318">
        <v>21558</v>
      </c>
      <c r="H707" s="347"/>
    </row>
    <row r="708" spans="2:8">
      <c r="B708" s="347">
        <v>200410</v>
      </c>
      <c r="C708" s="316">
        <v>2004</v>
      </c>
      <c r="D708" s="317">
        <v>10</v>
      </c>
      <c r="E708" s="347" t="s">
        <v>117</v>
      </c>
      <c r="F708" s="318">
        <v>5756329</v>
      </c>
      <c r="G708" s="318">
        <v>40229</v>
      </c>
      <c r="H708" s="347"/>
    </row>
    <row r="709" spans="2:8">
      <c r="B709" s="347">
        <v>200410</v>
      </c>
      <c r="C709" s="316">
        <v>2004</v>
      </c>
      <c r="D709" s="317">
        <v>10</v>
      </c>
      <c r="E709" s="347" t="s">
        <v>104</v>
      </c>
      <c r="F709" s="318">
        <v>711652</v>
      </c>
      <c r="G709" s="318">
        <v>5899</v>
      </c>
      <c r="H709" s="347"/>
    </row>
    <row r="710" spans="2:8">
      <c r="B710" s="347">
        <v>200410</v>
      </c>
      <c r="C710" s="316">
        <v>2004</v>
      </c>
      <c r="D710" s="317">
        <v>10</v>
      </c>
      <c r="E710" s="347" t="s">
        <v>34</v>
      </c>
      <c r="F710" s="318">
        <v>1968442</v>
      </c>
      <c r="G710" s="318">
        <v>18750</v>
      </c>
      <c r="H710" s="347"/>
    </row>
    <row r="711" spans="2:8">
      <c r="B711" s="347">
        <v>200410</v>
      </c>
      <c r="C711" s="316">
        <v>2004</v>
      </c>
      <c r="D711" s="317">
        <v>10</v>
      </c>
      <c r="E711" s="347" t="s">
        <v>118</v>
      </c>
      <c r="F711" s="318">
        <v>141169</v>
      </c>
      <c r="G711" s="318">
        <v>3372</v>
      </c>
      <c r="H711" s="347"/>
    </row>
    <row r="712" spans="2:8">
      <c r="B712" s="347">
        <v>200410</v>
      </c>
      <c r="C712" s="316">
        <v>2004</v>
      </c>
      <c r="D712" s="317">
        <v>10</v>
      </c>
      <c r="E712" s="347" t="s">
        <v>103</v>
      </c>
      <c r="F712" s="318">
        <v>1905278</v>
      </c>
      <c r="G712" s="318">
        <v>15563</v>
      </c>
      <c r="H712" s="347"/>
    </row>
    <row r="713" spans="2:8">
      <c r="B713" s="347">
        <v>200411</v>
      </c>
      <c r="C713" s="316">
        <v>2004</v>
      </c>
      <c r="D713" s="317">
        <v>11</v>
      </c>
      <c r="E713" s="347" t="s">
        <v>121</v>
      </c>
      <c r="F713" s="318">
        <v>216798</v>
      </c>
      <c r="G713" s="318">
        <v>7102</v>
      </c>
      <c r="H713" s="347"/>
    </row>
    <row r="714" spans="2:8">
      <c r="B714" s="347">
        <v>200411</v>
      </c>
      <c r="C714" s="316">
        <v>2004</v>
      </c>
      <c r="D714" s="317">
        <v>11</v>
      </c>
      <c r="E714" s="347" t="s">
        <v>212</v>
      </c>
      <c r="F714" s="318">
        <v>528751</v>
      </c>
      <c r="G714" s="318">
        <v>7889</v>
      </c>
      <c r="H714" s="347"/>
    </row>
    <row r="715" spans="2:8">
      <c r="B715" s="347">
        <v>200411</v>
      </c>
      <c r="C715" s="316">
        <v>2004</v>
      </c>
      <c r="D715" s="317">
        <v>11</v>
      </c>
      <c r="E715" s="347" t="s">
        <v>119</v>
      </c>
      <c r="F715" s="318">
        <v>615270</v>
      </c>
      <c r="G715" s="318">
        <v>9054</v>
      </c>
      <c r="H715" s="347"/>
    </row>
    <row r="716" spans="2:8">
      <c r="B716" s="347">
        <v>200411</v>
      </c>
      <c r="C716" s="316">
        <v>2004</v>
      </c>
      <c r="D716" s="317">
        <v>11</v>
      </c>
      <c r="E716" s="347" t="s">
        <v>120</v>
      </c>
      <c r="F716" s="318">
        <v>585185</v>
      </c>
      <c r="G716" s="318">
        <v>7122</v>
      </c>
      <c r="H716" s="347"/>
    </row>
    <row r="717" spans="2:8">
      <c r="B717" s="347">
        <v>200411</v>
      </c>
      <c r="C717" s="316">
        <v>2004</v>
      </c>
      <c r="D717" s="317">
        <v>11</v>
      </c>
      <c r="E717" s="347" t="s">
        <v>102</v>
      </c>
      <c r="F717" s="318">
        <v>1955699</v>
      </c>
      <c r="G717" s="318">
        <v>17328</v>
      </c>
      <c r="H717" s="347"/>
    </row>
    <row r="718" spans="2:8">
      <c r="B718" s="347">
        <v>200411</v>
      </c>
      <c r="C718" s="316">
        <v>2004</v>
      </c>
      <c r="D718" s="317">
        <v>11</v>
      </c>
      <c r="E718" s="347" t="s">
        <v>117</v>
      </c>
      <c r="F718" s="318">
        <v>5119221</v>
      </c>
      <c r="G718" s="318">
        <v>38026</v>
      </c>
      <c r="H718" s="347"/>
    </row>
    <row r="719" spans="2:8">
      <c r="B719" s="347">
        <v>200411</v>
      </c>
      <c r="C719" s="316">
        <v>2004</v>
      </c>
      <c r="D719" s="317">
        <v>11</v>
      </c>
      <c r="E719" s="347" t="s">
        <v>104</v>
      </c>
      <c r="F719" s="318">
        <v>565566</v>
      </c>
      <c r="G719" s="318">
        <v>5141</v>
      </c>
      <c r="H719" s="347"/>
    </row>
    <row r="720" spans="2:8">
      <c r="B720" s="347">
        <v>200411</v>
      </c>
      <c r="C720" s="316">
        <v>2004</v>
      </c>
      <c r="D720" s="317">
        <v>11</v>
      </c>
      <c r="E720" s="347" t="s">
        <v>34</v>
      </c>
      <c r="F720" s="318">
        <v>1335648</v>
      </c>
      <c r="G720" s="318">
        <v>16004</v>
      </c>
      <c r="H720" s="347"/>
    </row>
    <row r="721" spans="2:8">
      <c r="B721" s="347">
        <v>200411</v>
      </c>
      <c r="C721" s="316">
        <v>2004</v>
      </c>
      <c r="D721" s="317">
        <v>11</v>
      </c>
      <c r="E721" s="347" t="s">
        <v>118</v>
      </c>
      <c r="F721" s="318">
        <v>116028</v>
      </c>
      <c r="G721" s="318">
        <v>3100</v>
      </c>
      <c r="H721" s="347"/>
    </row>
    <row r="722" spans="2:8">
      <c r="B722" s="347">
        <v>200411</v>
      </c>
      <c r="C722" s="316">
        <v>2004</v>
      </c>
      <c r="D722" s="317">
        <v>11</v>
      </c>
      <c r="E722" s="347" t="s">
        <v>103</v>
      </c>
      <c r="F722" s="318">
        <v>1575715</v>
      </c>
      <c r="G722" s="318">
        <v>14027</v>
      </c>
      <c r="H722" s="347"/>
    </row>
    <row r="723" spans="2:8">
      <c r="B723" s="347">
        <v>200412</v>
      </c>
      <c r="C723" s="316">
        <v>2004</v>
      </c>
      <c r="D723" s="317">
        <v>12</v>
      </c>
      <c r="E723" s="347" t="s">
        <v>121</v>
      </c>
      <c r="F723" s="318">
        <v>206593</v>
      </c>
      <c r="G723" s="318">
        <v>6606</v>
      </c>
      <c r="H723" s="347"/>
    </row>
    <row r="724" spans="2:8">
      <c r="B724" s="347">
        <v>200412</v>
      </c>
      <c r="C724" s="316">
        <v>2004</v>
      </c>
      <c r="D724" s="317">
        <v>12</v>
      </c>
      <c r="E724" s="347" t="s">
        <v>212</v>
      </c>
      <c r="F724" s="318">
        <v>492443</v>
      </c>
      <c r="G724" s="318">
        <v>7309</v>
      </c>
      <c r="H724" s="347"/>
    </row>
    <row r="725" spans="2:8">
      <c r="B725" s="347">
        <v>200412</v>
      </c>
      <c r="C725" s="316">
        <v>2004</v>
      </c>
      <c r="D725" s="317">
        <v>12</v>
      </c>
      <c r="E725" s="347" t="s">
        <v>119</v>
      </c>
      <c r="F725" s="318">
        <v>578472</v>
      </c>
      <c r="G725" s="318">
        <v>8429</v>
      </c>
      <c r="H725" s="347"/>
    </row>
    <row r="726" spans="2:8">
      <c r="B726" s="347">
        <v>200412</v>
      </c>
      <c r="C726" s="316">
        <v>2004</v>
      </c>
      <c r="D726" s="317">
        <v>12</v>
      </c>
      <c r="E726" s="347" t="s">
        <v>120</v>
      </c>
      <c r="F726" s="318">
        <v>526248</v>
      </c>
      <c r="G726" s="318">
        <v>6604</v>
      </c>
      <c r="H726" s="347"/>
    </row>
    <row r="727" spans="2:8">
      <c r="B727" s="347">
        <v>200412</v>
      </c>
      <c r="C727" s="316">
        <v>2004</v>
      </c>
      <c r="D727" s="317">
        <v>12</v>
      </c>
      <c r="E727" s="347" t="s">
        <v>102</v>
      </c>
      <c r="F727" s="318">
        <v>2114540</v>
      </c>
      <c r="G727" s="318">
        <v>18044</v>
      </c>
      <c r="H727" s="347"/>
    </row>
    <row r="728" spans="2:8">
      <c r="B728" s="347">
        <v>200412</v>
      </c>
      <c r="C728" s="316">
        <v>2004</v>
      </c>
      <c r="D728" s="317">
        <v>12</v>
      </c>
      <c r="E728" s="347" t="s">
        <v>117</v>
      </c>
      <c r="F728" s="318">
        <v>5330751</v>
      </c>
      <c r="G728" s="318">
        <v>37727</v>
      </c>
      <c r="H728" s="347"/>
    </row>
    <row r="729" spans="2:8">
      <c r="B729" s="347">
        <v>200412</v>
      </c>
      <c r="C729" s="316">
        <v>2004</v>
      </c>
      <c r="D729" s="317">
        <v>12</v>
      </c>
      <c r="E729" s="347" t="s">
        <v>104</v>
      </c>
      <c r="F729" s="318">
        <v>580507</v>
      </c>
      <c r="G729" s="318">
        <v>5187</v>
      </c>
      <c r="H729" s="347"/>
    </row>
    <row r="730" spans="2:8">
      <c r="B730" s="347">
        <v>200412</v>
      </c>
      <c r="C730" s="316">
        <v>2004</v>
      </c>
      <c r="D730" s="317">
        <v>12</v>
      </c>
      <c r="E730" s="347" t="s">
        <v>34</v>
      </c>
      <c r="F730" s="318">
        <v>1329353</v>
      </c>
      <c r="G730" s="318">
        <v>15247</v>
      </c>
      <c r="H730" s="347"/>
    </row>
    <row r="731" spans="2:8">
      <c r="B731" s="347">
        <v>200412</v>
      </c>
      <c r="C731" s="316">
        <v>2004</v>
      </c>
      <c r="D731" s="317">
        <v>12</v>
      </c>
      <c r="E731" s="347" t="s">
        <v>118</v>
      </c>
      <c r="F731" s="318">
        <v>107059</v>
      </c>
      <c r="G731" s="318">
        <v>2742</v>
      </c>
      <c r="H731" s="347"/>
    </row>
    <row r="732" spans="2:8">
      <c r="B732" s="347">
        <v>200412</v>
      </c>
      <c r="C732" s="316">
        <v>2004</v>
      </c>
      <c r="D732" s="317">
        <v>12</v>
      </c>
      <c r="E732" s="347" t="s">
        <v>103</v>
      </c>
      <c r="F732" s="318">
        <v>1621359</v>
      </c>
      <c r="G732" s="318">
        <v>13640</v>
      </c>
      <c r="H732" s="347"/>
    </row>
    <row r="733" spans="2:8">
      <c r="B733" s="347">
        <v>200501</v>
      </c>
      <c r="C733" s="316">
        <v>2005</v>
      </c>
      <c r="D733" s="317">
        <v>1</v>
      </c>
      <c r="E733" s="347" t="s">
        <v>121</v>
      </c>
      <c r="F733" s="318">
        <v>185376</v>
      </c>
      <c r="G733" s="318">
        <v>6405</v>
      </c>
      <c r="H733" s="347"/>
    </row>
    <row r="734" spans="2:8">
      <c r="B734" s="347">
        <v>200501</v>
      </c>
      <c r="C734" s="316">
        <v>2005</v>
      </c>
      <c r="D734" s="317">
        <v>1</v>
      </c>
      <c r="E734" s="347" t="s">
        <v>212</v>
      </c>
      <c r="F734" s="318">
        <v>530435</v>
      </c>
      <c r="G734" s="318">
        <v>8008</v>
      </c>
      <c r="H734" s="347"/>
    </row>
    <row r="735" spans="2:8">
      <c r="B735" s="347">
        <v>200501</v>
      </c>
      <c r="C735" s="316">
        <v>2005</v>
      </c>
      <c r="D735" s="317">
        <v>1</v>
      </c>
      <c r="E735" s="347" t="s">
        <v>119</v>
      </c>
      <c r="F735" s="318">
        <v>533539</v>
      </c>
      <c r="G735" s="318">
        <v>8725</v>
      </c>
      <c r="H735" s="347"/>
    </row>
    <row r="736" spans="2:8">
      <c r="B736" s="347">
        <v>200501</v>
      </c>
      <c r="C736" s="316">
        <v>2005</v>
      </c>
      <c r="D736" s="317">
        <v>1</v>
      </c>
      <c r="E736" s="347" t="s">
        <v>120</v>
      </c>
      <c r="F736" s="318">
        <v>504004</v>
      </c>
      <c r="G736" s="318">
        <v>6803</v>
      </c>
      <c r="H736" s="347"/>
    </row>
    <row r="737" spans="2:8">
      <c r="B737" s="347">
        <v>200501</v>
      </c>
      <c r="C737" s="316">
        <v>2005</v>
      </c>
      <c r="D737" s="317">
        <v>1</v>
      </c>
      <c r="E737" s="347" t="s">
        <v>102</v>
      </c>
      <c r="F737" s="318">
        <v>2050065</v>
      </c>
      <c r="G737" s="318">
        <v>18324</v>
      </c>
      <c r="H737" s="347"/>
    </row>
    <row r="738" spans="2:8">
      <c r="B738" s="347">
        <v>200501</v>
      </c>
      <c r="C738" s="316">
        <v>2005</v>
      </c>
      <c r="D738" s="317">
        <v>1</v>
      </c>
      <c r="E738" s="347" t="s">
        <v>117</v>
      </c>
      <c r="F738" s="318">
        <v>5141164</v>
      </c>
      <c r="G738" s="318">
        <v>39151</v>
      </c>
      <c r="H738" s="347"/>
    </row>
    <row r="739" spans="2:8">
      <c r="B739" s="347">
        <v>200501</v>
      </c>
      <c r="C739" s="316">
        <v>2005</v>
      </c>
      <c r="D739" s="317">
        <v>1</v>
      </c>
      <c r="E739" s="347" t="s">
        <v>104</v>
      </c>
      <c r="F739" s="318">
        <v>577536</v>
      </c>
      <c r="G739" s="318">
        <v>5446</v>
      </c>
      <c r="H739" s="347"/>
    </row>
    <row r="740" spans="2:8">
      <c r="B740" s="347">
        <v>200501</v>
      </c>
      <c r="C740" s="316">
        <v>2005</v>
      </c>
      <c r="D740" s="317">
        <v>1</v>
      </c>
      <c r="E740" s="347" t="s">
        <v>34</v>
      </c>
      <c r="F740" s="318">
        <v>1333961</v>
      </c>
      <c r="G740" s="318">
        <v>15738</v>
      </c>
      <c r="H740" s="347"/>
    </row>
    <row r="741" spans="2:8">
      <c r="B741" s="347">
        <v>200501</v>
      </c>
      <c r="C741" s="316">
        <v>2005</v>
      </c>
      <c r="D741" s="317">
        <v>1</v>
      </c>
      <c r="E741" s="347" t="s">
        <v>118</v>
      </c>
      <c r="F741" s="318">
        <v>99562</v>
      </c>
      <c r="G741" s="318">
        <v>2932</v>
      </c>
      <c r="H741" s="347"/>
    </row>
    <row r="742" spans="2:8">
      <c r="B742" s="347">
        <v>200501</v>
      </c>
      <c r="C742" s="316">
        <v>2005</v>
      </c>
      <c r="D742" s="317">
        <v>1</v>
      </c>
      <c r="E742" s="347" t="s">
        <v>103</v>
      </c>
      <c r="F742" s="318">
        <v>1433400</v>
      </c>
      <c r="G742" s="318">
        <v>13527</v>
      </c>
      <c r="H742" s="347"/>
    </row>
    <row r="743" spans="2:8">
      <c r="B743" s="347">
        <v>200502</v>
      </c>
      <c r="C743" s="316">
        <v>2005</v>
      </c>
      <c r="D743" s="317">
        <v>2</v>
      </c>
      <c r="E743" s="347" t="s">
        <v>121</v>
      </c>
      <c r="F743" s="318">
        <v>188666</v>
      </c>
      <c r="G743" s="318">
        <v>6402</v>
      </c>
      <c r="H743" s="347"/>
    </row>
    <row r="744" spans="2:8">
      <c r="B744" s="347">
        <v>200502</v>
      </c>
      <c r="C744" s="316">
        <v>2005</v>
      </c>
      <c r="D744" s="317">
        <v>2</v>
      </c>
      <c r="E744" s="347" t="s">
        <v>212</v>
      </c>
      <c r="F744" s="318">
        <v>567571</v>
      </c>
      <c r="G744" s="318">
        <v>7962</v>
      </c>
      <c r="H744" s="347"/>
    </row>
    <row r="745" spans="2:8">
      <c r="B745" s="347">
        <v>200502</v>
      </c>
      <c r="C745" s="316">
        <v>2005</v>
      </c>
      <c r="D745" s="317">
        <v>2</v>
      </c>
      <c r="E745" s="347" t="s">
        <v>119</v>
      </c>
      <c r="F745" s="318">
        <v>566100</v>
      </c>
      <c r="G745" s="318">
        <v>8615</v>
      </c>
      <c r="H745" s="347"/>
    </row>
    <row r="746" spans="2:8">
      <c r="B746" s="347">
        <v>200502</v>
      </c>
      <c r="C746" s="316">
        <v>2005</v>
      </c>
      <c r="D746" s="317">
        <v>2</v>
      </c>
      <c r="E746" s="347" t="s">
        <v>120</v>
      </c>
      <c r="F746" s="318">
        <v>506474</v>
      </c>
      <c r="G746" s="318">
        <v>6482</v>
      </c>
      <c r="H746" s="347"/>
    </row>
    <row r="747" spans="2:8">
      <c r="B747" s="347">
        <v>200502</v>
      </c>
      <c r="C747" s="316">
        <v>2005</v>
      </c>
      <c r="D747" s="317">
        <v>2</v>
      </c>
      <c r="E747" s="347" t="s">
        <v>102</v>
      </c>
      <c r="F747" s="318">
        <v>2003699</v>
      </c>
      <c r="G747" s="318">
        <v>17103</v>
      </c>
      <c r="H747" s="347"/>
    </row>
    <row r="748" spans="2:8">
      <c r="B748" s="347">
        <v>200502</v>
      </c>
      <c r="C748" s="316">
        <v>2005</v>
      </c>
      <c r="D748" s="317">
        <v>2</v>
      </c>
      <c r="E748" s="347" t="s">
        <v>117</v>
      </c>
      <c r="F748" s="318">
        <v>4753297</v>
      </c>
      <c r="G748" s="318">
        <v>35724</v>
      </c>
      <c r="H748" s="347"/>
    </row>
    <row r="749" spans="2:8">
      <c r="B749" s="347">
        <v>200502</v>
      </c>
      <c r="C749" s="316">
        <v>2005</v>
      </c>
      <c r="D749" s="317">
        <v>2</v>
      </c>
      <c r="E749" s="347" t="s">
        <v>104</v>
      </c>
      <c r="F749" s="318">
        <v>621325</v>
      </c>
      <c r="G749" s="318">
        <v>5291</v>
      </c>
      <c r="H749" s="347"/>
    </row>
    <row r="750" spans="2:8">
      <c r="B750" s="347">
        <v>200502</v>
      </c>
      <c r="C750" s="316">
        <v>2005</v>
      </c>
      <c r="D750" s="317">
        <v>2</v>
      </c>
      <c r="E750" s="347" t="s">
        <v>34</v>
      </c>
      <c r="F750" s="318">
        <v>1334162</v>
      </c>
      <c r="G750" s="318">
        <v>15366</v>
      </c>
      <c r="H750" s="347"/>
    </row>
    <row r="751" spans="2:8">
      <c r="B751" s="347">
        <v>200502</v>
      </c>
      <c r="C751" s="316">
        <v>2005</v>
      </c>
      <c r="D751" s="317">
        <v>2</v>
      </c>
      <c r="E751" s="347" t="s">
        <v>118</v>
      </c>
      <c r="F751" s="318">
        <v>108842</v>
      </c>
      <c r="G751" s="318">
        <v>2873</v>
      </c>
      <c r="H751" s="347"/>
    </row>
    <row r="752" spans="2:8">
      <c r="B752" s="347">
        <v>200502</v>
      </c>
      <c r="C752" s="316">
        <v>2005</v>
      </c>
      <c r="D752" s="317">
        <v>2</v>
      </c>
      <c r="E752" s="347" t="s">
        <v>103</v>
      </c>
      <c r="F752" s="318">
        <v>1461648</v>
      </c>
      <c r="G752" s="318">
        <v>12480</v>
      </c>
      <c r="H752" s="347"/>
    </row>
    <row r="753" spans="2:8">
      <c r="B753" s="347">
        <v>200503</v>
      </c>
      <c r="C753" s="316">
        <v>2005</v>
      </c>
      <c r="D753" s="317">
        <v>3</v>
      </c>
      <c r="E753" s="347" t="s">
        <v>121</v>
      </c>
      <c r="F753" s="318">
        <v>226273</v>
      </c>
      <c r="G753" s="318">
        <v>7321</v>
      </c>
      <c r="H753" s="347"/>
    </row>
    <row r="754" spans="2:8">
      <c r="B754" s="347">
        <v>200503</v>
      </c>
      <c r="C754" s="316">
        <v>2005</v>
      </c>
      <c r="D754" s="317">
        <v>3</v>
      </c>
      <c r="E754" s="347" t="s">
        <v>212</v>
      </c>
      <c r="F754" s="318">
        <v>654135</v>
      </c>
      <c r="G754" s="318">
        <v>8800</v>
      </c>
      <c r="H754" s="347"/>
    </row>
    <row r="755" spans="2:8">
      <c r="B755" s="347">
        <v>200503</v>
      </c>
      <c r="C755" s="316">
        <v>2005</v>
      </c>
      <c r="D755" s="317">
        <v>3</v>
      </c>
      <c r="E755" s="347" t="s">
        <v>119</v>
      </c>
      <c r="F755" s="318">
        <v>670551</v>
      </c>
      <c r="G755" s="318">
        <v>9472</v>
      </c>
      <c r="H755" s="347"/>
    </row>
    <row r="756" spans="2:8">
      <c r="B756" s="347">
        <v>200503</v>
      </c>
      <c r="C756" s="316">
        <v>2005</v>
      </c>
      <c r="D756" s="317">
        <v>3</v>
      </c>
      <c r="E756" s="347" t="s">
        <v>120</v>
      </c>
      <c r="F756" s="318">
        <v>602835</v>
      </c>
      <c r="G756" s="318">
        <v>7237</v>
      </c>
      <c r="H756" s="347"/>
    </row>
    <row r="757" spans="2:8">
      <c r="B757" s="347">
        <v>200503</v>
      </c>
      <c r="C757" s="316">
        <v>2005</v>
      </c>
      <c r="D757" s="317">
        <v>3</v>
      </c>
      <c r="E757" s="347" t="s">
        <v>102</v>
      </c>
      <c r="F757" s="318">
        <v>2478817</v>
      </c>
      <c r="G757" s="318">
        <v>19637</v>
      </c>
      <c r="H757" s="347"/>
    </row>
    <row r="758" spans="2:8">
      <c r="B758" s="347">
        <v>200503</v>
      </c>
      <c r="C758" s="316">
        <v>2005</v>
      </c>
      <c r="D758" s="317">
        <v>3</v>
      </c>
      <c r="E758" s="347" t="s">
        <v>117</v>
      </c>
      <c r="F758" s="318">
        <v>5707771</v>
      </c>
      <c r="G758" s="318">
        <v>39637</v>
      </c>
      <c r="H758" s="347"/>
    </row>
    <row r="759" spans="2:8">
      <c r="B759" s="347">
        <v>200503</v>
      </c>
      <c r="C759" s="316">
        <v>2005</v>
      </c>
      <c r="D759" s="317">
        <v>3</v>
      </c>
      <c r="E759" s="347" t="s">
        <v>104</v>
      </c>
      <c r="F759" s="318">
        <v>739958</v>
      </c>
      <c r="G759" s="318">
        <v>5928</v>
      </c>
      <c r="H759" s="347"/>
    </row>
    <row r="760" spans="2:8">
      <c r="B760" s="347">
        <v>200503</v>
      </c>
      <c r="C760" s="316">
        <v>2005</v>
      </c>
      <c r="D760" s="317">
        <v>3</v>
      </c>
      <c r="E760" s="347" t="s">
        <v>34</v>
      </c>
      <c r="F760" s="318">
        <v>1596302</v>
      </c>
      <c r="G760" s="318">
        <v>17267</v>
      </c>
      <c r="H760" s="347"/>
    </row>
    <row r="761" spans="2:8">
      <c r="B761" s="347">
        <v>200503</v>
      </c>
      <c r="C761" s="316">
        <v>2005</v>
      </c>
      <c r="D761" s="317">
        <v>3</v>
      </c>
      <c r="E761" s="347" t="s">
        <v>118</v>
      </c>
      <c r="F761" s="318">
        <v>131809</v>
      </c>
      <c r="G761" s="318">
        <v>3322</v>
      </c>
      <c r="H761" s="347"/>
    </row>
    <row r="762" spans="2:8">
      <c r="B762" s="347">
        <v>200503</v>
      </c>
      <c r="C762" s="316">
        <v>2005</v>
      </c>
      <c r="D762" s="317">
        <v>3</v>
      </c>
      <c r="E762" s="347" t="s">
        <v>103</v>
      </c>
      <c r="F762" s="318">
        <v>1758804</v>
      </c>
      <c r="G762" s="318">
        <v>14397</v>
      </c>
      <c r="H762" s="347"/>
    </row>
    <row r="763" spans="2:8">
      <c r="B763" s="347">
        <v>200504</v>
      </c>
      <c r="C763" s="316">
        <v>2005</v>
      </c>
      <c r="D763" s="317">
        <v>4</v>
      </c>
      <c r="E763" s="347" t="s">
        <v>121</v>
      </c>
      <c r="F763" s="318">
        <v>231435</v>
      </c>
      <c r="G763" s="318">
        <v>7235</v>
      </c>
      <c r="H763" s="347"/>
    </row>
    <row r="764" spans="2:8">
      <c r="B764" s="347">
        <v>200504</v>
      </c>
      <c r="C764" s="316">
        <v>2005</v>
      </c>
      <c r="D764" s="317">
        <v>4</v>
      </c>
      <c r="E764" s="347" t="s">
        <v>212</v>
      </c>
      <c r="F764" s="318">
        <v>666926</v>
      </c>
      <c r="G764" s="318">
        <v>9019</v>
      </c>
      <c r="H764" s="347"/>
    </row>
    <row r="765" spans="2:8">
      <c r="B765" s="347">
        <v>200504</v>
      </c>
      <c r="C765" s="316">
        <v>2005</v>
      </c>
      <c r="D765" s="317">
        <v>4</v>
      </c>
      <c r="E765" s="347" t="s">
        <v>119</v>
      </c>
      <c r="F765" s="318">
        <v>688114</v>
      </c>
      <c r="G765" s="318">
        <v>9690</v>
      </c>
      <c r="H765" s="347"/>
    </row>
    <row r="766" spans="2:8">
      <c r="B766" s="347">
        <v>200504</v>
      </c>
      <c r="C766" s="316">
        <v>2005</v>
      </c>
      <c r="D766" s="317">
        <v>4</v>
      </c>
      <c r="E766" s="347" t="s">
        <v>120</v>
      </c>
      <c r="F766" s="318">
        <v>640578</v>
      </c>
      <c r="G766" s="318">
        <v>7380</v>
      </c>
      <c r="H766" s="347"/>
    </row>
    <row r="767" spans="2:8">
      <c r="B767" s="347">
        <v>200504</v>
      </c>
      <c r="C767" s="316">
        <v>2005</v>
      </c>
      <c r="D767" s="317">
        <v>4</v>
      </c>
      <c r="E767" s="347" t="s">
        <v>102</v>
      </c>
      <c r="F767" s="318">
        <v>2437319</v>
      </c>
      <c r="G767" s="318">
        <v>19685</v>
      </c>
      <c r="H767" s="347"/>
    </row>
    <row r="768" spans="2:8">
      <c r="B768" s="347">
        <v>200504</v>
      </c>
      <c r="C768" s="316">
        <v>2005</v>
      </c>
      <c r="D768" s="317">
        <v>4</v>
      </c>
      <c r="E768" s="347" t="s">
        <v>117</v>
      </c>
      <c r="F768" s="318">
        <v>5573003</v>
      </c>
      <c r="G768" s="318">
        <v>39119</v>
      </c>
      <c r="H768" s="347"/>
    </row>
    <row r="769" spans="2:8">
      <c r="B769" s="347">
        <v>200504</v>
      </c>
      <c r="C769" s="316">
        <v>2005</v>
      </c>
      <c r="D769" s="317">
        <v>4</v>
      </c>
      <c r="E769" s="347" t="s">
        <v>104</v>
      </c>
      <c r="F769" s="318">
        <v>717453</v>
      </c>
      <c r="G769" s="318">
        <v>5924</v>
      </c>
      <c r="H769" s="347"/>
    </row>
    <row r="770" spans="2:8">
      <c r="B770" s="347">
        <v>200504</v>
      </c>
      <c r="C770" s="316">
        <v>2005</v>
      </c>
      <c r="D770" s="317">
        <v>4</v>
      </c>
      <c r="E770" s="347" t="s">
        <v>34</v>
      </c>
      <c r="F770" s="318">
        <v>1535108</v>
      </c>
      <c r="G770" s="318">
        <v>16874</v>
      </c>
      <c r="H770" s="347"/>
    </row>
    <row r="771" spans="2:8">
      <c r="B771" s="347">
        <v>200504</v>
      </c>
      <c r="C771" s="316">
        <v>2005</v>
      </c>
      <c r="D771" s="317">
        <v>4</v>
      </c>
      <c r="E771" s="347" t="s">
        <v>118</v>
      </c>
      <c r="F771" s="318">
        <v>145458</v>
      </c>
      <c r="G771" s="318">
        <v>3608</v>
      </c>
      <c r="H771" s="347"/>
    </row>
    <row r="772" spans="2:8">
      <c r="B772" s="347">
        <v>200504</v>
      </c>
      <c r="C772" s="316">
        <v>2005</v>
      </c>
      <c r="D772" s="317">
        <v>4</v>
      </c>
      <c r="E772" s="347" t="s">
        <v>103</v>
      </c>
      <c r="F772" s="318">
        <v>1759817</v>
      </c>
      <c r="G772" s="318">
        <v>14551</v>
      </c>
      <c r="H772" s="347"/>
    </row>
    <row r="773" spans="2:8">
      <c r="B773" s="347">
        <v>200505</v>
      </c>
      <c r="C773" s="316">
        <v>2005</v>
      </c>
      <c r="D773" s="317">
        <v>5</v>
      </c>
      <c r="E773" s="347" t="s">
        <v>121</v>
      </c>
      <c r="F773" s="318">
        <v>241417</v>
      </c>
      <c r="G773" s="318">
        <v>7565</v>
      </c>
      <c r="H773" s="347"/>
    </row>
    <row r="774" spans="2:8">
      <c r="B774" s="347">
        <v>200505</v>
      </c>
      <c r="C774" s="316">
        <v>2005</v>
      </c>
      <c r="D774" s="317">
        <v>5</v>
      </c>
      <c r="E774" s="347" t="s">
        <v>212</v>
      </c>
      <c r="F774" s="318">
        <v>847647</v>
      </c>
      <c r="G774" s="318">
        <v>10288</v>
      </c>
      <c r="H774" s="347"/>
    </row>
    <row r="775" spans="2:8">
      <c r="B775" s="347">
        <v>200505</v>
      </c>
      <c r="C775" s="316">
        <v>2005</v>
      </c>
      <c r="D775" s="317">
        <v>5</v>
      </c>
      <c r="E775" s="347" t="s">
        <v>119</v>
      </c>
      <c r="F775" s="318">
        <v>749490</v>
      </c>
      <c r="G775" s="318">
        <v>10101</v>
      </c>
      <c r="H775" s="347"/>
    </row>
    <row r="776" spans="2:8">
      <c r="B776" s="347">
        <v>200505</v>
      </c>
      <c r="C776" s="316">
        <v>2005</v>
      </c>
      <c r="D776" s="317">
        <v>5</v>
      </c>
      <c r="E776" s="347" t="s">
        <v>120</v>
      </c>
      <c r="F776" s="318">
        <v>795207</v>
      </c>
      <c r="G776" s="318">
        <v>8477</v>
      </c>
      <c r="H776" s="347"/>
    </row>
    <row r="777" spans="2:8">
      <c r="B777" s="347">
        <v>200505</v>
      </c>
      <c r="C777" s="316">
        <v>2005</v>
      </c>
      <c r="D777" s="317">
        <v>5</v>
      </c>
      <c r="E777" s="347" t="s">
        <v>102</v>
      </c>
      <c r="F777" s="318">
        <v>2824186</v>
      </c>
      <c r="G777" s="318">
        <v>22367</v>
      </c>
      <c r="H777" s="347"/>
    </row>
    <row r="778" spans="2:8">
      <c r="B778" s="347">
        <v>200505</v>
      </c>
      <c r="C778" s="316">
        <v>2005</v>
      </c>
      <c r="D778" s="317">
        <v>5</v>
      </c>
      <c r="E778" s="347" t="s">
        <v>117</v>
      </c>
      <c r="F778" s="318">
        <v>5636710</v>
      </c>
      <c r="G778" s="318">
        <v>40441</v>
      </c>
      <c r="H778" s="347"/>
    </row>
    <row r="779" spans="2:8">
      <c r="B779" s="347">
        <v>200505</v>
      </c>
      <c r="C779" s="316">
        <v>2005</v>
      </c>
      <c r="D779" s="317">
        <v>5</v>
      </c>
      <c r="E779" s="347" t="s">
        <v>104</v>
      </c>
      <c r="F779" s="318">
        <v>801231</v>
      </c>
      <c r="G779" s="318">
        <v>6574</v>
      </c>
      <c r="H779" s="347"/>
    </row>
    <row r="780" spans="2:8">
      <c r="B780" s="347">
        <v>200505</v>
      </c>
      <c r="C780" s="316">
        <v>2005</v>
      </c>
      <c r="D780" s="317">
        <v>5</v>
      </c>
      <c r="E780" s="347" t="s">
        <v>34</v>
      </c>
      <c r="F780" s="318">
        <v>1976965</v>
      </c>
      <c r="G780" s="318">
        <v>19530</v>
      </c>
      <c r="H780" s="347"/>
    </row>
    <row r="781" spans="2:8">
      <c r="B781" s="347">
        <v>200505</v>
      </c>
      <c r="C781" s="316">
        <v>2005</v>
      </c>
      <c r="D781" s="317">
        <v>5</v>
      </c>
      <c r="E781" s="347" t="s">
        <v>118</v>
      </c>
      <c r="F781" s="318">
        <v>168742</v>
      </c>
      <c r="G781" s="318">
        <v>3929</v>
      </c>
      <c r="H781" s="347"/>
    </row>
    <row r="782" spans="2:8">
      <c r="B782" s="347">
        <v>200505</v>
      </c>
      <c r="C782" s="316">
        <v>2005</v>
      </c>
      <c r="D782" s="317">
        <v>5</v>
      </c>
      <c r="E782" s="347" t="s">
        <v>103</v>
      </c>
      <c r="F782" s="318">
        <v>1900031</v>
      </c>
      <c r="G782" s="318">
        <v>15468</v>
      </c>
      <c r="H782" s="347"/>
    </row>
    <row r="783" spans="2:8">
      <c r="B783" s="347">
        <v>200506</v>
      </c>
      <c r="C783" s="316">
        <v>2005</v>
      </c>
      <c r="D783" s="317">
        <v>6</v>
      </c>
      <c r="E783" s="347" t="s">
        <v>121</v>
      </c>
      <c r="F783" s="318">
        <v>256585</v>
      </c>
      <c r="G783" s="318">
        <v>7884</v>
      </c>
      <c r="H783" s="347"/>
    </row>
    <row r="784" spans="2:8">
      <c r="B784" s="347">
        <v>200506</v>
      </c>
      <c r="C784" s="316">
        <v>2005</v>
      </c>
      <c r="D784" s="317">
        <v>6</v>
      </c>
      <c r="E784" s="347" t="s">
        <v>212</v>
      </c>
      <c r="F784" s="318">
        <v>952755</v>
      </c>
      <c r="G784" s="318">
        <v>10675</v>
      </c>
      <c r="H784" s="347"/>
    </row>
    <row r="785" spans="2:8">
      <c r="B785" s="347">
        <v>200506</v>
      </c>
      <c r="C785" s="316">
        <v>2005</v>
      </c>
      <c r="D785" s="317">
        <v>6</v>
      </c>
      <c r="E785" s="347" t="s">
        <v>119</v>
      </c>
      <c r="F785" s="318">
        <v>790256</v>
      </c>
      <c r="G785" s="318">
        <v>10379</v>
      </c>
      <c r="H785" s="347"/>
    </row>
    <row r="786" spans="2:8">
      <c r="B786" s="347">
        <v>200506</v>
      </c>
      <c r="C786" s="316">
        <v>2005</v>
      </c>
      <c r="D786" s="317">
        <v>6</v>
      </c>
      <c r="E786" s="347" t="s">
        <v>120</v>
      </c>
      <c r="F786" s="318">
        <v>890648</v>
      </c>
      <c r="G786" s="318">
        <v>9105</v>
      </c>
      <c r="H786" s="347"/>
    </row>
    <row r="787" spans="2:8">
      <c r="B787" s="347">
        <v>200506</v>
      </c>
      <c r="C787" s="316">
        <v>2005</v>
      </c>
      <c r="D787" s="317">
        <v>6</v>
      </c>
      <c r="E787" s="347" t="s">
        <v>102</v>
      </c>
      <c r="F787" s="318">
        <v>3219576</v>
      </c>
      <c r="G787" s="318">
        <v>23065</v>
      </c>
      <c r="H787" s="347"/>
    </row>
    <row r="788" spans="2:8">
      <c r="B788" s="347">
        <v>200506</v>
      </c>
      <c r="C788" s="316">
        <v>2005</v>
      </c>
      <c r="D788" s="317">
        <v>6</v>
      </c>
      <c r="E788" s="347" t="s">
        <v>117</v>
      </c>
      <c r="F788" s="318">
        <v>6000287</v>
      </c>
      <c r="G788" s="318">
        <v>39633</v>
      </c>
      <c r="H788" s="347"/>
    </row>
    <row r="789" spans="2:8">
      <c r="B789" s="347">
        <v>200506</v>
      </c>
      <c r="C789" s="316">
        <v>2005</v>
      </c>
      <c r="D789" s="317">
        <v>6</v>
      </c>
      <c r="E789" s="347" t="s">
        <v>104</v>
      </c>
      <c r="F789" s="318">
        <v>845236</v>
      </c>
      <c r="G789" s="318">
        <v>6731</v>
      </c>
      <c r="H789" s="347"/>
    </row>
    <row r="790" spans="2:8">
      <c r="B790" s="347">
        <v>200506</v>
      </c>
      <c r="C790" s="316">
        <v>2005</v>
      </c>
      <c r="D790" s="317">
        <v>6</v>
      </c>
      <c r="E790" s="347" t="s">
        <v>34</v>
      </c>
      <c r="F790" s="318">
        <v>2232750</v>
      </c>
      <c r="G790" s="318">
        <v>20294</v>
      </c>
      <c r="H790" s="347"/>
    </row>
    <row r="791" spans="2:8">
      <c r="B791" s="347">
        <v>200506</v>
      </c>
      <c r="C791" s="316">
        <v>2005</v>
      </c>
      <c r="D791" s="317">
        <v>6</v>
      </c>
      <c r="E791" s="347" t="s">
        <v>118</v>
      </c>
      <c r="F791" s="318">
        <v>180808</v>
      </c>
      <c r="G791" s="318">
        <v>4032</v>
      </c>
      <c r="H791" s="347"/>
    </row>
    <row r="792" spans="2:8">
      <c r="B792" s="347">
        <v>200506</v>
      </c>
      <c r="C792" s="316">
        <v>2005</v>
      </c>
      <c r="D792" s="317">
        <v>6</v>
      </c>
      <c r="E792" s="347" t="s">
        <v>103</v>
      </c>
      <c r="F792" s="318">
        <v>2011011</v>
      </c>
      <c r="G792" s="318">
        <v>15665</v>
      </c>
      <c r="H792" s="347"/>
    </row>
    <row r="793" spans="2:8">
      <c r="B793" s="347">
        <v>200507</v>
      </c>
      <c r="C793" s="316">
        <v>2005</v>
      </c>
      <c r="D793" s="317">
        <v>7</v>
      </c>
      <c r="E793" s="347" t="s">
        <v>121</v>
      </c>
      <c r="F793" s="318">
        <v>274208</v>
      </c>
      <c r="G793" s="318">
        <v>7787</v>
      </c>
      <c r="H793" s="347"/>
    </row>
    <row r="794" spans="2:8">
      <c r="B794" s="347">
        <v>200507</v>
      </c>
      <c r="C794" s="316">
        <v>2005</v>
      </c>
      <c r="D794" s="317">
        <v>7</v>
      </c>
      <c r="E794" s="347" t="s">
        <v>212</v>
      </c>
      <c r="F794" s="318">
        <v>1013813</v>
      </c>
      <c r="G794" s="318">
        <v>10763</v>
      </c>
      <c r="H794" s="347"/>
    </row>
    <row r="795" spans="2:8">
      <c r="B795" s="347">
        <v>200507</v>
      </c>
      <c r="C795" s="316">
        <v>2005</v>
      </c>
      <c r="D795" s="317">
        <v>7</v>
      </c>
      <c r="E795" s="347" t="s">
        <v>119</v>
      </c>
      <c r="F795" s="318">
        <v>845351</v>
      </c>
      <c r="G795" s="318">
        <v>10490</v>
      </c>
      <c r="H795" s="347"/>
    </row>
    <row r="796" spans="2:8">
      <c r="B796" s="347">
        <v>200507</v>
      </c>
      <c r="C796" s="316">
        <v>2005</v>
      </c>
      <c r="D796" s="317">
        <v>7</v>
      </c>
      <c r="E796" s="347" t="s">
        <v>120</v>
      </c>
      <c r="F796" s="318">
        <v>1054888</v>
      </c>
      <c r="G796" s="318">
        <v>9903</v>
      </c>
      <c r="H796" s="347"/>
    </row>
    <row r="797" spans="2:8">
      <c r="B797" s="347">
        <v>200507</v>
      </c>
      <c r="C797" s="316">
        <v>2005</v>
      </c>
      <c r="D797" s="317">
        <v>7</v>
      </c>
      <c r="E797" s="347" t="s">
        <v>102</v>
      </c>
      <c r="F797" s="318">
        <v>3571169</v>
      </c>
      <c r="G797" s="318">
        <v>24566</v>
      </c>
      <c r="H797" s="347"/>
    </row>
    <row r="798" spans="2:8">
      <c r="B798" s="347">
        <v>200507</v>
      </c>
      <c r="C798" s="316">
        <v>2005</v>
      </c>
      <c r="D798" s="317">
        <v>7</v>
      </c>
      <c r="E798" s="347" t="s">
        <v>117</v>
      </c>
      <c r="F798" s="318">
        <v>6456692</v>
      </c>
      <c r="G798" s="318">
        <v>41044</v>
      </c>
      <c r="H798" s="347"/>
    </row>
    <row r="799" spans="2:8">
      <c r="B799" s="347">
        <v>200507</v>
      </c>
      <c r="C799" s="316">
        <v>2005</v>
      </c>
      <c r="D799" s="317">
        <v>7</v>
      </c>
      <c r="E799" s="347" t="s">
        <v>104</v>
      </c>
      <c r="F799" s="318">
        <v>911311</v>
      </c>
      <c r="G799" s="318">
        <v>7003</v>
      </c>
      <c r="H799" s="347"/>
    </row>
    <row r="800" spans="2:8">
      <c r="B800" s="347">
        <v>200507</v>
      </c>
      <c r="C800" s="316">
        <v>2005</v>
      </c>
      <c r="D800" s="317">
        <v>7</v>
      </c>
      <c r="E800" s="347" t="s">
        <v>34</v>
      </c>
      <c r="F800" s="318">
        <v>2397605</v>
      </c>
      <c r="G800" s="318">
        <v>20979</v>
      </c>
      <c r="H800" s="347"/>
    </row>
    <row r="801" spans="2:8">
      <c r="B801" s="347">
        <v>200507</v>
      </c>
      <c r="C801" s="316">
        <v>2005</v>
      </c>
      <c r="D801" s="317">
        <v>7</v>
      </c>
      <c r="E801" s="347" t="s">
        <v>118</v>
      </c>
      <c r="F801" s="318">
        <v>194250</v>
      </c>
      <c r="G801" s="318">
        <v>4226</v>
      </c>
      <c r="H801" s="347"/>
    </row>
    <row r="802" spans="2:8">
      <c r="B802" s="347">
        <v>200507</v>
      </c>
      <c r="C802" s="316">
        <v>2005</v>
      </c>
      <c r="D802" s="317">
        <v>7</v>
      </c>
      <c r="E802" s="347" t="s">
        <v>103</v>
      </c>
      <c r="F802" s="318">
        <v>2174607</v>
      </c>
      <c r="G802" s="318">
        <v>16262</v>
      </c>
      <c r="H802" s="347"/>
    </row>
    <row r="803" spans="2:8">
      <c r="B803" s="347">
        <v>200508</v>
      </c>
      <c r="C803" s="316">
        <v>2005</v>
      </c>
      <c r="D803" s="317">
        <v>8</v>
      </c>
      <c r="E803" s="347" t="s">
        <v>121</v>
      </c>
      <c r="F803" s="318">
        <v>256932</v>
      </c>
      <c r="G803" s="318">
        <v>8091</v>
      </c>
      <c r="H803" s="347"/>
    </row>
    <row r="804" spans="2:8">
      <c r="B804" s="347">
        <v>200508</v>
      </c>
      <c r="C804" s="316">
        <v>2005</v>
      </c>
      <c r="D804" s="317">
        <v>8</v>
      </c>
      <c r="E804" s="347" t="s">
        <v>212</v>
      </c>
      <c r="F804" s="318">
        <v>1039470</v>
      </c>
      <c r="G804" s="318">
        <v>10674</v>
      </c>
      <c r="H804" s="347"/>
    </row>
    <row r="805" spans="2:8">
      <c r="B805" s="347">
        <v>200508</v>
      </c>
      <c r="C805" s="316">
        <v>2005</v>
      </c>
      <c r="D805" s="317">
        <v>8</v>
      </c>
      <c r="E805" s="347" t="s">
        <v>119</v>
      </c>
      <c r="F805" s="318">
        <v>823856</v>
      </c>
      <c r="G805" s="318">
        <v>10487</v>
      </c>
      <c r="H805" s="347"/>
    </row>
    <row r="806" spans="2:8">
      <c r="B806" s="347">
        <v>200508</v>
      </c>
      <c r="C806" s="316">
        <v>2005</v>
      </c>
      <c r="D806" s="317">
        <v>8</v>
      </c>
      <c r="E806" s="347" t="s">
        <v>120</v>
      </c>
      <c r="F806" s="318">
        <v>883226</v>
      </c>
      <c r="G806" s="318">
        <v>9237</v>
      </c>
      <c r="H806" s="347"/>
    </row>
    <row r="807" spans="2:8">
      <c r="B807" s="347">
        <v>200508</v>
      </c>
      <c r="C807" s="316">
        <v>2005</v>
      </c>
      <c r="D807" s="317">
        <v>8</v>
      </c>
      <c r="E807" s="347" t="s">
        <v>102</v>
      </c>
      <c r="F807" s="318">
        <v>3736447</v>
      </c>
      <c r="G807" s="318">
        <v>25109</v>
      </c>
      <c r="H807" s="347"/>
    </row>
    <row r="808" spans="2:8">
      <c r="B808" s="347">
        <v>200508</v>
      </c>
      <c r="C808" s="316">
        <v>2005</v>
      </c>
      <c r="D808" s="317">
        <v>8</v>
      </c>
      <c r="E808" s="347" t="s">
        <v>117</v>
      </c>
      <c r="F808" s="318">
        <v>6118950</v>
      </c>
      <c r="G808" s="318">
        <v>40258</v>
      </c>
      <c r="H808" s="347"/>
    </row>
    <row r="809" spans="2:8">
      <c r="B809" s="347">
        <v>200508</v>
      </c>
      <c r="C809" s="316">
        <v>2005</v>
      </c>
      <c r="D809" s="317">
        <v>8</v>
      </c>
      <c r="E809" s="347" t="s">
        <v>104</v>
      </c>
      <c r="F809" s="318">
        <v>933540</v>
      </c>
      <c r="G809" s="318">
        <v>7019</v>
      </c>
      <c r="H809" s="347"/>
    </row>
    <row r="810" spans="2:8">
      <c r="B810" s="347">
        <v>200508</v>
      </c>
      <c r="C810" s="316">
        <v>2005</v>
      </c>
      <c r="D810" s="317">
        <v>8</v>
      </c>
      <c r="E810" s="347" t="s">
        <v>34</v>
      </c>
      <c r="F810" s="318">
        <v>2536307</v>
      </c>
      <c r="G810" s="318">
        <v>21514</v>
      </c>
      <c r="H810" s="347"/>
    </row>
    <row r="811" spans="2:8">
      <c r="B811" s="347">
        <v>200508</v>
      </c>
      <c r="C811" s="316">
        <v>2005</v>
      </c>
      <c r="D811" s="317">
        <v>8</v>
      </c>
      <c r="E811" s="347" t="s">
        <v>118</v>
      </c>
      <c r="F811" s="318">
        <v>196979</v>
      </c>
      <c r="G811" s="318">
        <v>4284</v>
      </c>
      <c r="H811" s="347"/>
    </row>
    <row r="812" spans="2:8">
      <c r="B812" s="347">
        <v>200508</v>
      </c>
      <c r="C812" s="316">
        <v>2005</v>
      </c>
      <c r="D812" s="317">
        <v>8</v>
      </c>
      <c r="E812" s="347" t="s">
        <v>103</v>
      </c>
      <c r="F812" s="318">
        <v>2238502</v>
      </c>
      <c r="G812" s="318">
        <v>16450</v>
      </c>
      <c r="H812" s="347"/>
    </row>
    <row r="813" spans="2:8">
      <c r="B813" s="347">
        <v>200509</v>
      </c>
      <c r="C813" s="316">
        <v>2005</v>
      </c>
      <c r="D813" s="317">
        <v>9</v>
      </c>
      <c r="E813" s="347" t="s">
        <v>121</v>
      </c>
      <c r="F813" s="318">
        <v>266043</v>
      </c>
      <c r="G813" s="318">
        <v>7877</v>
      </c>
      <c r="H813" s="347"/>
    </row>
    <row r="814" spans="2:8">
      <c r="B814" s="347">
        <v>200509</v>
      </c>
      <c r="C814" s="316">
        <v>2005</v>
      </c>
      <c r="D814" s="317">
        <v>9</v>
      </c>
      <c r="E814" s="347" t="s">
        <v>212</v>
      </c>
      <c r="F814" s="318">
        <v>1014787</v>
      </c>
      <c r="G814" s="318">
        <v>10701</v>
      </c>
      <c r="H814" s="347"/>
    </row>
    <row r="815" spans="2:8">
      <c r="B815" s="347">
        <v>200509</v>
      </c>
      <c r="C815" s="316">
        <v>2005</v>
      </c>
      <c r="D815" s="317">
        <v>9</v>
      </c>
      <c r="E815" s="347" t="s">
        <v>119</v>
      </c>
      <c r="F815" s="318">
        <v>782626</v>
      </c>
      <c r="G815" s="318">
        <v>10194</v>
      </c>
      <c r="H815" s="347"/>
    </row>
    <row r="816" spans="2:8">
      <c r="B816" s="347">
        <v>200509</v>
      </c>
      <c r="C816" s="316">
        <v>2005</v>
      </c>
      <c r="D816" s="317">
        <v>9</v>
      </c>
      <c r="E816" s="347" t="s">
        <v>120</v>
      </c>
      <c r="F816" s="318">
        <v>900593</v>
      </c>
      <c r="G816" s="318">
        <v>8930</v>
      </c>
      <c r="H816" s="347"/>
    </row>
    <row r="817" spans="2:8">
      <c r="B817" s="347">
        <v>200509</v>
      </c>
      <c r="C817" s="316">
        <v>2005</v>
      </c>
      <c r="D817" s="317">
        <v>9</v>
      </c>
      <c r="E817" s="347" t="s">
        <v>102</v>
      </c>
      <c r="F817" s="318">
        <v>3324301</v>
      </c>
      <c r="G817" s="318">
        <v>23546</v>
      </c>
      <c r="H817" s="347"/>
    </row>
    <row r="818" spans="2:8">
      <c r="B818" s="347">
        <v>200509</v>
      </c>
      <c r="C818" s="316">
        <v>2005</v>
      </c>
      <c r="D818" s="317">
        <v>9</v>
      </c>
      <c r="E818" s="347" t="s">
        <v>117</v>
      </c>
      <c r="F818" s="318">
        <v>6041231</v>
      </c>
      <c r="G818" s="318">
        <v>39933</v>
      </c>
      <c r="H818" s="347"/>
    </row>
    <row r="819" spans="2:8">
      <c r="B819" s="347">
        <v>200509</v>
      </c>
      <c r="C819" s="316">
        <v>2005</v>
      </c>
      <c r="D819" s="317">
        <v>9</v>
      </c>
      <c r="E819" s="347" t="s">
        <v>104</v>
      </c>
      <c r="F819" s="318">
        <v>862532</v>
      </c>
      <c r="G819" s="318">
        <v>6757</v>
      </c>
      <c r="H819" s="347"/>
    </row>
    <row r="820" spans="2:8">
      <c r="B820" s="347">
        <v>200509</v>
      </c>
      <c r="C820" s="316">
        <v>2005</v>
      </c>
      <c r="D820" s="317">
        <v>9</v>
      </c>
      <c r="E820" s="347" t="s">
        <v>34</v>
      </c>
      <c r="F820" s="318">
        <v>2380136</v>
      </c>
      <c r="G820" s="318">
        <v>20602</v>
      </c>
      <c r="H820" s="347"/>
    </row>
    <row r="821" spans="2:8">
      <c r="B821" s="347">
        <v>200509</v>
      </c>
      <c r="C821" s="316">
        <v>2005</v>
      </c>
      <c r="D821" s="317">
        <v>9</v>
      </c>
      <c r="E821" s="347" t="s">
        <v>118</v>
      </c>
      <c r="F821" s="318">
        <v>182741</v>
      </c>
      <c r="G821" s="318">
        <v>4093</v>
      </c>
      <c r="H821" s="347"/>
    </row>
    <row r="822" spans="2:8">
      <c r="B822" s="347">
        <v>200509</v>
      </c>
      <c r="C822" s="316">
        <v>2005</v>
      </c>
      <c r="D822" s="317">
        <v>9</v>
      </c>
      <c r="E822" s="347" t="s">
        <v>103</v>
      </c>
      <c r="F822" s="318">
        <v>2029207</v>
      </c>
      <c r="G822" s="318">
        <v>15807</v>
      </c>
      <c r="H822" s="347"/>
    </row>
    <row r="823" spans="2:8">
      <c r="B823" s="347">
        <v>200510</v>
      </c>
      <c r="C823" s="316">
        <v>2005</v>
      </c>
      <c r="D823" s="317">
        <v>10</v>
      </c>
      <c r="E823" s="347" t="s">
        <v>121</v>
      </c>
      <c r="F823" s="318">
        <v>261252</v>
      </c>
      <c r="G823" s="318">
        <v>7815</v>
      </c>
      <c r="H823" s="347"/>
    </row>
    <row r="824" spans="2:8">
      <c r="B824" s="347">
        <v>200510</v>
      </c>
      <c r="C824" s="316">
        <v>2005</v>
      </c>
      <c r="D824" s="317">
        <v>10</v>
      </c>
      <c r="E824" s="347" t="s">
        <v>212</v>
      </c>
      <c r="F824" s="318">
        <v>886558</v>
      </c>
      <c r="G824" s="318">
        <v>10188</v>
      </c>
      <c r="H824" s="347"/>
    </row>
    <row r="825" spans="2:8">
      <c r="B825" s="347">
        <v>200510</v>
      </c>
      <c r="C825" s="316">
        <v>2005</v>
      </c>
      <c r="D825" s="317">
        <v>10</v>
      </c>
      <c r="E825" s="347" t="s">
        <v>119</v>
      </c>
      <c r="F825" s="318">
        <v>765582</v>
      </c>
      <c r="G825" s="318">
        <v>10090</v>
      </c>
      <c r="H825" s="347"/>
    </row>
    <row r="826" spans="2:8">
      <c r="B826" s="347">
        <v>200510</v>
      </c>
      <c r="C826" s="316">
        <v>2005</v>
      </c>
      <c r="D826" s="317">
        <v>10</v>
      </c>
      <c r="E826" s="347" t="s">
        <v>120</v>
      </c>
      <c r="F826" s="318">
        <v>867533</v>
      </c>
      <c r="G826" s="318">
        <v>8751</v>
      </c>
      <c r="H826" s="347"/>
    </row>
    <row r="827" spans="2:8">
      <c r="B827" s="347">
        <v>200510</v>
      </c>
      <c r="C827" s="316">
        <v>2005</v>
      </c>
      <c r="D827" s="317">
        <v>10</v>
      </c>
      <c r="E827" s="347" t="s">
        <v>102</v>
      </c>
      <c r="F827" s="318">
        <v>2886053</v>
      </c>
      <c r="G827" s="318">
        <v>22230</v>
      </c>
      <c r="H827" s="347"/>
    </row>
    <row r="828" spans="2:8">
      <c r="B828" s="347">
        <v>200510</v>
      </c>
      <c r="C828" s="316">
        <v>2005</v>
      </c>
      <c r="D828" s="317">
        <v>10</v>
      </c>
      <c r="E828" s="347" t="s">
        <v>117</v>
      </c>
      <c r="F828" s="318">
        <v>5713129</v>
      </c>
      <c r="G828" s="318">
        <v>40608</v>
      </c>
      <c r="H828" s="347"/>
    </row>
    <row r="829" spans="2:8">
      <c r="B829" s="347">
        <v>200510</v>
      </c>
      <c r="C829" s="316">
        <v>2005</v>
      </c>
      <c r="D829" s="317">
        <v>10</v>
      </c>
      <c r="E829" s="347" t="s">
        <v>104</v>
      </c>
      <c r="F829" s="318">
        <v>817598</v>
      </c>
      <c r="G829" s="318">
        <v>6736</v>
      </c>
      <c r="H829" s="347"/>
    </row>
    <row r="830" spans="2:8">
      <c r="B830" s="347">
        <v>200510</v>
      </c>
      <c r="C830" s="316">
        <v>2005</v>
      </c>
      <c r="D830" s="317">
        <v>10</v>
      </c>
      <c r="E830" s="347" t="s">
        <v>34</v>
      </c>
      <c r="F830" s="318">
        <v>2072284</v>
      </c>
      <c r="G830" s="318">
        <v>19634</v>
      </c>
      <c r="H830" s="347"/>
    </row>
    <row r="831" spans="2:8">
      <c r="B831" s="347">
        <v>200510</v>
      </c>
      <c r="C831" s="316">
        <v>2005</v>
      </c>
      <c r="D831" s="317">
        <v>10</v>
      </c>
      <c r="E831" s="347" t="s">
        <v>118</v>
      </c>
      <c r="F831" s="318">
        <v>166031</v>
      </c>
      <c r="G831" s="318">
        <v>3827</v>
      </c>
      <c r="H831" s="347"/>
    </row>
    <row r="832" spans="2:8">
      <c r="B832" s="347">
        <v>200510</v>
      </c>
      <c r="C832" s="316">
        <v>2005</v>
      </c>
      <c r="D832" s="317">
        <v>10</v>
      </c>
      <c r="E832" s="347" t="s">
        <v>103</v>
      </c>
      <c r="F832" s="318">
        <v>1916663</v>
      </c>
      <c r="G832" s="318">
        <v>15324</v>
      </c>
      <c r="H832" s="347"/>
    </row>
    <row r="833" spans="2:8">
      <c r="B833" s="347">
        <v>200511</v>
      </c>
      <c r="C833" s="316">
        <v>2005</v>
      </c>
      <c r="D833" s="317">
        <v>11</v>
      </c>
      <c r="E833" s="347" t="s">
        <v>121</v>
      </c>
      <c r="F833" s="318">
        <v>235946</v>
      </c>
      <c r="G833" s="318">
        <v>7849</v>
      </c>
      <c r="H833" s="347"/>
    </row>
    <row r="834" spans="2:8">
      <c r="B834" s="347">
        <v>200511</v>
      </c>
      <c r="C834" s="316">
        <v>2005</v>
      </c>
      <c r="D834" s="317">
        <v>11</v>
      </c>
      <c r="E834" s="347" t="s">
        <v>212</v>
      </c>
      <c r="F834" s="318">
        <v>580113</v>
      </c>
      <c r="G834" s="318">
        <v>8168</v>
      </c>
      <c r="H834" s="347"/>
    </row>
    <row r="835" spans="2:8">
      <c r="B835" s="347">
        <v>200511</v>
      </c>
      <c r="C835" s="316">
        <v>2005</v>
      </c>
      <c r="D835" s="317">
        <v>11</v>
      </c>
      <c r="E835" s="347" t="s">
        <v>119</v>
      </c>
      <c r="F835" s="318">
        <v>634559</v>
      </c>
      <c r="G835" s="318">
        <v>9272</v>
      </c>
      <c r="H835" s="347"/>
    </row>
    <row r="836" spans="2:8">
      <c r="B836" s="347">
        <v>200511</v>
      </c>
      <c r="C836" s="316">
        <v>2005</v>
      </c>
      <c r="D836" s="317">
        <v>11</v>
      </c>
      <c r="E836" s="347" t="s">
        <v>120</v>
      </c>
      <c r="F836" s="318">
        <v>593238</v>
      </c>
      <c r="G836" s="318">
        <v>7343</v>
      </c>
      <c r="H836" s="347"/>
    </row>
    <row r="837" spans="2:8">
      <c r="B837" s="347">
        <v>200511</v>
      </c>
      <c r="C837" s="316">
        <v>2005</v>
      </c>
      <c r="D837" s="317">
        <v>11</v>
      </c>
      <c r="E837" s="347" t="s">
        <v>102</v>
      </c>
      <c r="F837" s="318">
        <v>1992303</v>
      </c>
      <c r="G837" s="318">
        <v>17663</v>
      </c>
      <c r="H837" s="347"/>
    </row>
    <row r="838" spans="2:8">
      <c r="B838" s="347">
        <v>200511</v>
      </c>
      <c r="C838" s="316">
        <v>2005</v>
      </c>
      <c r="D838" s="317">
        <v>11</v>
      </c>
      <c r="E838" s="347" t="s">
        <v>117</v>
      </c>
      <c r="F838" s="318">
        <v>5208161</v>
      </c>
      <c r="G838" s="318">
        <v>38469</v>
      </c>
      <c r="H838" s="347"/>
    </row>
    <row r="839" spans="2:8">
      <c r="B839" s="347">
        <v>200511</v>
      </c>
      <c r="C839" s="316">
        <v>2005</v>
      </c>
      <c r="D839" s="317">
        <v>11</v>
      </c>
      <c r="E839" s="347" t="s">
        <v>104</v>
      </c>
      <c r="F839" s="318">
        <v>651820</v>
      </c>
      <c r="G839" s="318">
        <v>6027</v>
      </c>
      <c r="H839" s="347"/>
    </row>
    <row r="840" spans="2:8">
      <c r="B840" s="347">
        <v>200511</v>
      </c>
      <c r="C840" s="316">
        <v>2005</v>
      </c>
      <c r="D840" s="317">
        <v>11</v>
      </c>
      <c r="E840" s="347" t="s">
        <v>34</v>
      </c>
      <c r="F840" s="318">
        <v>1354125</v>
      </c>
      <c r="G840" s="318">
        <v>15252</v>
      </c>
      <c r="H840" s="347"/>
    </row>
    <row r="841" spans="2:8">
      <c r="B841" s="347">
        <v>200511</v>
      </c>
      <c r="C841" s="316">
        <v>2005</v>
      </c>
      <c r="D841" s="317">
        <v>11</v>
      </c>
      <c r="E841" s="347" t="s">
        <v>118</v>
      </c>
      <c r="F841" s="318">
        <v>132930</v>
      </c>
      <c r="G841" s="318">
        <v>3490</v>
      </c>
      <c r="H841" s="347"/>
    </row>
    <row r="842" spans="2:8">
      <c r="B842" s="347">
        <v>200511</v>
      </c>
      <c r="C842" s="316">
        <v>2005</v>
      </c>
      <c r="D842" s="317">
        <v>11</v>
      </c>
      <c r="E842" s="347" t="s">
        <v>103</v>
      </c>
      <c r="F842" s="318">
        <v>1608428</v>
      </c>
      <c r="G842" s="318">
        <v>13911</v>
      </c>
      <c r="H842" s="347"/>
    </row>
    <row r="843" spans="2:8">
      <c r="B843" s="347">
        <v>200512</v>
      </c>
      <c r="C843" s="316">
        <v>2005</v>
      </c>
      <c r="D843" s="317">
        <v>12</v>
      </c>
      <c r="E843" s="347" t="s">
        <v>121</v>
      </c>
      <c r="F843" s="318">
        <v>227651</v>
      </c>
      <c r="G843" s="318">
        <v>7249</v>
      </c>
      <c r="H843" s="347"/>
    </row>
    <row r="844" spans="2:8">
      <c r="B844" s="347">
        <v>200512</v>
      </c>
      <c r="C844" s="316">
        <v>2005</v>
      </c>
      <c r="D844" s="317">
        <v>12</v>
      </c>
      <c r="E844" s="347" t="s">
        <v>212</v>
      </c>
      <c r="F844" s="318">
        <v>557193</v>
      </c>
      <c r="G844" s="318">
        <v>7717</v>
      </c>
      <c r="H844" s="347"/>
    </row>
    <row r="845" spans="2:8">
      <c r="B845" s="347">
        <v>200512</v>
      </c>
      <c r="C845" s="316">
        <v>2005</v>
      </c>
      <c r="D845" s="317">
        <v>12</v>
      </c>
      <c r="E845" s="347" t="s">
        <v>119</v>
      </c>
      <c r="F845" s="318">
        <v>598580</v>
      </c>
      <c r="G845" s="318">
        <v>8444</v>
      </c>
      <c r="H845" s="347"/>
    </row>
    <row r="846" spans="2:8">
      <c r="B846" s="347">
        <v>200512</v>
      </c>
      <c r="C846" s="316">
        <v>2005</v>
      </c>
      <c r="D846" s="317">
        <v>12</v>
      </c>
      <c r="E846" s="347" t="s">
        <v>120</v>
      </c>
      <c r="F846" s="318">
        <v>536131</v>
      </c>
      <c r="G846" s="318">
        <v>6907</v>
      </c>
      <c r="H846" s="347"/>
    </row>
    <row r="847" spans="2:8">
      <c r="B847" s="347">
        <v>200512</v>
      </c>
      <c r="C847" s="316">
        <v>2005</v>
      </c>
      <c r="D847" s="317">
        <v>12</v>
      </c>
      <c r="E847" s="347" t="s">
        <v>102</v>
      </c>
      <c r="F847" s="318">
        <v>2169070</v>
      </c>
      <c r="G847" s="318">
        <v>18658</v>
      </c>
      <c r="H847" s="347"/>
    </row>
    <row r="848" spans="2:8">
      <c r="B848" s="347">
        <v>200512</v>
      </c>
      <c r="C848" s="316">
        <v>2005</v>
      </c>
      <c r="D848" s="317">
        <v>12</v>
      </c>
      <c r="E848" s="347" t="s">
        <v>117</v>
      </c>
      <c r="F848" s="318">
        <v>5332922</v>
      </c>
      <c r="G848" s="318">
        <v>38024</v>
      </c>
      <c r="H848" s="347"/>
    </row>
    <row r="849" spans="2:8">
      <c r="B849" s="347">
        <v>200512</v>
      </c>
      <c r="C849" s="316">
        <v>2005</v>
      </c>
      <c r="D849" s="317">
        <v>12</v>
      </c>
      <c r="E849" s="347" t="s">
        <v>104</v>
      </c>
      <c r="F849" s="318">
        <v>655208</v>
      </c>
      <c r="G849" s="318">
        <v>5988</v>
      </c>
      <c r="H849" s="347"/>
    </row>
    <row r="850" spans="2:8">
      <c r="B850" s="347">
        <v>200512</v>
      </c>
      <c r="C850" s="316">
        <v>2005</v>
      </c>
      <c r="D850" s="317">
        <v>12</v>
      </c>
      <c r="E850" s="347" t="s">
        <v>34</v>
      </c>
      <c r="F850" s="318">
        <v>1332909</v>
      </c>
      <c r="G850" s="318">
        <v>14937</v>
      </c>
      <c r="H850" s="347"/>
    </row>
    <row r="851" spans="2:8">
      <c r="B851" s="347">
        <v>200512</v>
      </c>
      <c r="C851" s="316">
        <v>2005</v>
      </c>
      <c r="D851" s="317">
        <v>12</v>
      </c>
      <c r="E851" s="347" t="s">
        <v>118</v>
      </c>
      <c r="F851" s="318">
        <v>126877</v>
      </c>
      <c r="G851" s="318">
        <v>3213</v>
      </c>
      <c r="H851" s="347"/>
    </row>
    <row r="852" spans="2:8">
      <c r="B852" s="347">
        <v>200512</v>
      </c>
      <c r="C852" s="316">
        <v>2005</v>
      </c>
      <c r="D852" s="317">
        <v>12</v>
      </c>
      <c r="E852" s="347" t="s">
        <v>103</v>
      </c>
      <c r="F852" s="318">
        <v>1699615</v>
      </c>
      <c r="G852" s="318">
        <v>14170</v>
      </c>
      <c r="H852" s="347"/>
    </row>
    <row r="853" spans="2:8">
      <c r="B853" s="347">
        <v>200601</v>
      </c>
      <c r="C853" s="316">
        <v>2006</v>
      </c>
      <c r="D853" s="317">
        <v>1</v>
      </c>
      <c r="E853" s="347" t="s">
        <v>121</v>
      </c>
      <c r="F853" s="318">
        <v>214400</v>
      </c>
      <c r="G853" s="318">
        <v>7551</v>
      </c>
      <c r="H853" s="347"/>
    </row>
    <row r="854" spans="2:8">
      <c r="B854" s="347">
        <v>200601</v>
      </c>
      <c r="C854" s="316">
        <v>2006</v>
      </c>
      <c r="D854" s="317">
        <v>1</v>
      </c>
      <c r="E854" s="347" t="s">
        <v>212</v>
      </c>
      <c r="F854" s="318">
        <v>559024</v>
      </c>
      <c r="G854" s="318">
        <v>8112</v>
      </c>
      <c r="H854" s="347"/>
    </row>
    <row r="855" spans="2:8">
      <c r="B855" s="347">
        <v>200601</v>
      </c>
      <c r="C855" s="316">
        <v>2006</v>
      </c>
      <c r="D855" s="317">
        <v>1</v>
      </c>
      <c r="E855" s="347" t="s">
        <v>119</v>
      </c>
      <c r="F855" s="318">
        <v>552654</v>
      </c>
      <c r="G855" s="318">
        <v>8957</v>
      </c>
      <c r="H855" s="347"/>
    </row>
    <row r="856" spans="2:8">
      <c r="B856" s="347">
        <v>200601</v>
      </c>
      <c r="C856" s="316">
        <v>2006</v>
      </c>
      <c r="D856" s="317">
        <v>1</v>
      </c>
      <c r="E856" s="347" t="s">
        <v>120</v>
      </c>
      <c r="F856" s="318">
        <v>525596</v>
      </c>
      <c r="G856" s="318">
        <v>7088</v>
      </c>
      <c r="H856" s="347"/>
    </row>
    <row r="857" spans="2:8">
      <c r="B857" s="347">
        <v>200601</v>
      </c>
      <c r="C857" s="316">
        <v>2006</v>
      </c>
      <c r="D857" s="317">
        <v>1</v>
      </c>
      <c r="E857" s="347" t="s">
        <v>102</v>
      </c>
      <c r="F857" s="318">
        <v>2093384</v>
      </c>
      <c r="G857" s="318">
        <v>19231</v>
      </c>
      <c r="H857" s="347"/>
    </row>
    <row r="858" spans="2:8">
      <c r="B858" s="347">
        <v>200601</v>
      </c>
      <c r="C858" s="316">
        <v>2006</v>
      </c>
      <c r="D858" s="317">
        <v>1</v>
      </c>
      <c r="E858" s="347" t="s">
        <v>117</v>
      </c>
      <c r="F858" s="318">
        <v>5112743</v>
      </c>
      <c r="G858" s="318">
        <v>39444</v>
      </c>
      <c r="H858" s="347"/>
    </row>
    <row r="859" spans="2:8">
      <c r="B859" s="347">
        <v>200601</v>
      </c>
      <c r="C859" s="316">
        <v>2006</v>
      </c>
      <c r="D859" s="317">
        <v>1</v>
      </c>
      <c r="E859" s="347" t="s">
        <v>104</v>
      </c>
      <c r="F859" s="318">
        <v>622256</v>
      </c>
      <c r="G859" s="318">
        <v>6148</v>
      </c>
      <c r="H859" s="347"/>
    </row>
    <row r="860" spans="2:8">
      <c r="B860" s="347">
        <v>200601</v>
      </c>
      <c r="C860" s="316">
        <v>2006</v>
      </c>
      <c r="D860" s="317">
        <v>1</v>
      </c>
      <c r="E860" s="347" t="s">
        <v>34</v>
      </c>
      <c r="F860" s="318">
        <v>1331824</v>
      </c>
      <c r="G860" s="318">
        <v>15818</v>
      </c>
      <c r="H860" s="347"/>
    </row>
    <row r="861" spans="2:8">
      <c r="B861" s="347">
        <v>200601</v>
      </c>
      <c r="C861" s="316">
        <v>2006</v>
      </c>
      <c r="D861" s="317">
        <v>1</v>
      </c>
      <c r="E861" s="347" t="s">
        <v>118</v>
      </c>
      <c r="F861" s="318">
        <v>109196</v>
      </c>
      <c r="G861" s="318">
        <v>3385</v>
      </c>
      <c r="H861" s="347"/>
    </row>
    <row r="862" spans="2:8">
      <c r="B862" s="347">
        <v>200601</v>
      </c>
      <c r="C862" s="316">
        <v>2006</v>
      </c>
      <c r="D862" s="317">
        <v>1</v>
      </c>
      <c r="E862" s="347" t="s">
        <v>103</v>
      </c>
      <c r="F862" s="318">
        <v>1531381</v>
      </c>
      <c r="G862" s="318">
        <v>14324</v>
      </c>
      <c r="H862" s="347"/>
    </row>
    <row r="863" spans="2:8">
      <c r="B863" s="347">
        <v>200602</v>
      </c>
      <c r="C863" s="316">
        <v>2006</v>
      </c>
      <c r="D863" s="317">
        <v>2</v>
      </c>
      <c r="E863" s="347" t="s">
        <v>121</v>
      </c>
      <c r="F863" s="318">
        <v>209599</v>
      </c>
      <c r="G863" s="318">
        <v>7082</v>
      </c>
      <c r="H863" s="347"/>
    </row>
    <row r="864" spans="2:8">
      <c r="B864" s="347">
        <v>200602</v>
      </c>
      <c r="C864" s="316">
        <v>2006</v>
      </c>
      <c r="D864" s="317">
        <v>2</v>
      </c>
      <c r="E864" s="347" t="s">
        <v>212</v>
      </c>
      <c r="F864" s="318">
        <v>593387</v>
      </c>
      <c r="G864" s="318">
        <v>7829</v>
      </c>
      <c r="H864" s="347"/>
    </row>
    <row r="865" spans="2:8">
      <c r="B865" s="347">
        <v>200602</v>
      </c>
      <c r="C865" s="316">
        <v>2006</v>
      </c>
      <c r="D865" s="317">
        <v>2</v>
      </c>
      <c r="E865" s="347" t="s">
        <v>119</v>
      </c>
      <c r="F865" s="318">
        <v>585108</v>
      </c>
      <c r="G865" s="318">
        <v>8613</v>
      </c>
      <c r="H865" s="347"/>
    </row>
    <row r="866" spans="2:8">
      <c r="B866" s="347">
        <v>200602</v>
      </c>
      <c r="C866" s="316">
        <v>2006</v>
      </c>
      <c r="D866" s="317">
        <v>2</v>
      </c>
      <c r="E866" s="347" t="s">
        <v>120</v>
      </c>
      <c r="F866" s="318">
        <v>515649</v>
      </c>
      <c r="G866" s="318">
        <v>6656</v>
      </c>
      <c r="H866" s="347"/>
    </row>
    <row r="867" spans="2:8">
      <c r="B867" s="347">
        <v>200602</v>
      </c>
      <c r="C867" s="316">
        <v>2006</v>
      </c>
      <c r="D867" s="317">
        <v>2</v>
      </c>
      <c r="E867" s="347" t="s">
        <v>102</v>
      </c>
      <c r="F867" s="318">
        <v>2102778</v>
      </c>
      <c r="G867" s="318">
        <v>17774</v>
      </c>
      <c r="H867" s="347"/>
    </row>
    <row r="868" spans="2:8">
      <c r="B868" s="347">
        <v>200602</v>
      </c>
      <c r="C868" s="316">
        <v>2006</v>
      </c>
      <c r="D868" s="317">
        <v>2</v>
      </c>
      <c r="E868" s="347" t="s">
        <v>117</v>
      </c>
      <c r="F868" s="318">
        <v>4734533</v>
      </c>
      <c r="G868" s="318">
        <v>36116</v>
      </c>
      <c r="H868" s="347"/>
    </row>
    <row r="869" spans="2:8">
      <c r="B869" s="347">
        <v>200602</v>
      </c>
      <c r="C869" s="316">
        <v>2006</v>
      </c>
      <c r="D869" s="317">
        <v>2</v>
      </c>
      <c r="E869" s="347" t="s">
        <v>104</v>
      </c>
      <c r="F869" s="318">
        <v>633020</v>
      </c>
      <c r="G869" s="318">
        <v>5609</v>
      </c>
      <c r="H869" s="347"/>
    </row>
    <row r="870" spans="2:8">
      <c r="B870" s="347">
        <v>200602</v>
      </c>
      <c r="C870" s="316">
        <v>2006</v>
      </c>
      <c r="D870" s="317">
        <v>2</v>
      </c>
      <c r="E870" s="347" t="s">
        <v>34</v>
      </c>
      <c r="F870" s="318">
        <v>1349315</v>
      </c>
      <c r="G870" s="318">
        <v>15011</v>
      </c>
      <c r="H870" s="347"/>
    </row>
    <row r="871" spans="2:8">
      <c r="B871" s="347">
        <v>200602</v>
      </c>
      <c r="C871" s="316">
        <v>2006</v>
      </c>
      <c r="D871" s="317">
        <v>2</v>
      </c>
      <c r="E871" s="347" t="s">
        <v>118</v>
      </c>
      <c r="F871" s="318">
        <v>116551</v>
      </c>
      <c r="G871" s="318">
        <v>3202</v>
      </c>
      <c r="H871" s="347"/>
    </row>
    <row r="872" spans="2:8">
      <c r="B872" s="347">
        <v>200602</v>
      </c>
      <c r="C872" s="316">
        <v>2006</v>
      </c>
      <c r="D872" s="317">
        <v>2</v>
      </c>
      <c r="E872" s="347" t="s">
        <v>103</v>
      </c>
      <c r="F872" s="318">
        <v>1563488</v>
      </c>
      <c r="G872" s="318">
        <v>13314</v>
      </c>
      <c r="H872" s="347"/>
    </row>
    <row r="873" spans="2:8">
      <c r="B873" s="347">
        <v>200603</v>
      </c>
      <c r="C873" s="316">
        <v>2006</v>
      </c>
      <c r="D873" s="317">
        <v>3</v>
      </c>
      <c r="E873" s="347" t="s">
        <v>121</v>
      </c>
      <c r="F873" s="318">
        <v>251490</v>
      </c>
      <c r="G873" s="318">
        <v>8107</v>
      </c>
      <c r="H873" s="347"/>
    </row>
    <row r="874" spans="2:8">
      <c r="B874" s="347">
        <v>200603</v>
      </c>
      <c r="C874" s="316">
        <v>2006</v>
      </c>
      <c r="D874" s="317">
        <v>3</v>
      </c>
      <c r="E874" s="347" t="s">
        <v>212</v>
      </c>
      <c r="F874" s="318">
        <v>667463</v>
      </c>
      <c r="G874" s="318">
        <v>8826</v>
      </c>
      <c r="H874" s="347"/>
    </row>
    <row r="875" spans="2:8">
      <c r="B875" s="347">
        <v>200603</v>
      </c>
      <c r="C875" s="316">
        <v>2006</v>
      </c>
      <c r="D875" s="317">
        <v>3</v>
      </c>
      <c r="E875" s="347" t="s">
        <v>119</v>
      </c>
      <c r="F875" s="318">
        <v>676090</v>
      </c>
      <c r="G875" s="318">
        <v>9725</v>
      </c>
      <c r="H875" s="347"/>
    </row>
    <row r="876" spans="2:8">
      <c r="B876" s="347">
        <v>200603</v>
      </c>
      <c r="C876" s="316">
        <v>2006</v>
      </c>
      <c r="D876" s="317">
        <v>3</v>
      </c>
      <c r="E876" s="347" t="s">
        <v>120</v>
      </c>
      <c r="F876" s="318">
        <v>610374</v>
      </c>
      <c r="G876" s="318">
        <v>7502</v>
      </c>
      <c r="H876" s="347"/>
    </row>
    <row r="877" spans="2:8">
      <c r="B877" s="347">
        <v>200603</v>
      </c>
      <c r="C877" s="316">
        <v>2006</v>
      </c>
      <c r="D877" s="317">
        <v>3</v>
      </c>
      <c r="E877" s="347" t="s">
        <v>102</v>
      </c>
      <c r="F877" s="318">
        <v>2474928</v>
      </c>
      <c r="G877" s="318">
        <v>19895</v>
      </c>
      <c r="H877" s="347"/>
    </row>
    <row r="878" spans="2:8">
      <c r="B878" s="347">
        <v>200603</v>
      </c>
      <c r="C878" s="316">
        <v>2006</v>
      </c>
      <c r="D878" s="317">
        <v>3</v>
      </c>
      <c r="E878" s="347" t="s">
        <v>117</v>
      </c>
      <c r="F878" s="318">
        <v>5491029</v>
      </c>
      <c r="G878" s="318">
        <v>39930</v>
      </c>
      <c r="H878" s="347"/>
    </row>
    <row r="879" spans="2:8">
      <c r="B879" s="347">
        <v>200603</v>
      </c>
      <c r="C879" s="316">
        <v>2006</v>
      </c>
      <c r="D879" s="317">
        <v>3</v>
      </c>
      <c r="E879" s="347" t="s">
        <v>104</v>
      </c>
      <c r="F879" s="318">
        <v>731951</v>
      </c>
      <c r="G879" s="318">
        <v>6291</v>
      </c>
      <c r="H879" s="347"/>
    </row>
    <row r="880" spans="2:8">
      <c r="B880" s="347">
        <v>200603</v>
      </c>
      <c r="C880" s="316">
        <v>2006</v>
      </c>
      <c r="D880" s="317">
        <v>3</v>
      </c>
      <c r="E880" s="347" t="s">
        <v>34</v>
      </c>
      <c r="F880" s="318">
        <v>1537201</v>
      </c>
      <c r="G880" s="318">
        <v>16670</v>
      </c>
      <c r="H880" s="347"/>
    </row>
    <row r="881" spans="2:8">
      <c r="B881" s="347">
        <v>200603</v>
      </c>
      <c r="C881" s="316">
        <v>2006</v>
      </c>
      <c r="D881" s="317">
        <v>3</v>
      </c>
      <c r="E881" s="347" t="s">
        <v>118</v>
      </c>
      <c r="F881" s="318">
        <v>138588</v>
      </c>
      <c r="G881" s="318">
        <v>3755</v>
      </c>
      <c r="H881" s="347"/>
    </row>
    <row r="882" spans="2:8">
      <c r="B882" s="347">
        <v>200603</v>
      </c>
      <c r="C882" s="316">
        <v>2006</v>
      </c>
      <c r="D882" s="317">
        <v>3</v>
      </c>
      <c r="E882" s="347" t="s">
        <v>103</v>
      </c>
      <c r="F882" s="318">
        <v>1780557</v>
      </c>
      <c r="G882" s="318">
        <v>15086</v>
      </c>
      <c r="H882" s="347"/>
    </row>
    <row r="883" spans="2:8">
      <c r="B883" s="347">
        <v>200604</v>
      </c>
      <c r="C883" s="316">
        <v>2006</v>
      </c>
      <c r="D883" s="317">
        <v>4</v>
      </c>
      <c r="E883" s="347" t="s">
        <v>121</v>
      </c>
      <c r="F883" s="318">
        <v>254502</v>
      </c>
      <c r="G883" s="318">
        <v>7608</v>
      </c>
      <c r="H883" s="347"/>
    </row>
    <row r="884" spans="2:8">
      <c r="B884" s="347">
        <v>200604</v>
      </c>
      <c r="C884" s="316">
        <v>2006</v>
      </c>
      <c r="D884" s="317">
        <v>4</v>
      </c>
      <c r="E884" s="347" t="s">
        <v>212</v>
      </c>
      <c r="F884" s="318">
        <v>690742</v>
      </c>
      <c r="G884" s="318">
        <v>8340</v>
      </c>
      <c r="H884" s="347"/>
    </row>
    <row r="885" spans="2:8">
      <c r="B885" s="347">
        <v>200604</v>
      </c>
      <c r="C885" s="316">
        <v>2006</v>
      </c>
      <c r="D885" s="317">
        <v>4</v>
      </c>
      <c r="E885" s="347" t="s">
        <v>119</v>
      </c>
      <c r="F885" s="318">
        <v>700111</v>
      </c>
      <c r="G885" s="318">
        <v>9171</v>
      </c>
      <c r="H885" s="347"/>
    </row>
    <row r="886" spans="2:8">
      <c r="B886" s="347">
        <v>200604</v>
      </c>
      <c r="C886" s="316">
        <v>2006</v>
      </c>
      <c r="D886" s="317">
        <v>4</v>
      </c>
      <c r="E886" s="347" t="s">
        <v>120</v>
      </c>
      <c r="F886" s="318">
        <v>654947</v>
      </c>
      <c r="G886" s="318">
        <v>7452</v>
      </c>
      <c r="H886" s="347"/>
    </row>
    <row r="887" spans="2:8">
      <c r="B887" s="347">
        <v>200604</v>
      </c>
      <c r="C887" s="316">
        <v>2006</v>
      </c>
      <c r="D887" s="317">
        <v>4</v>
      </c>
      <c r="E887" s="347" t="s">
        <v>102</v>
      </c>
      <c r="F887" s="318">
        <v>2743103</v>
      </c>
      <c r="G887" s="318">
        <v>20119</v>
      </c>
      <c r="H887" s="347"/>
    </row>
    <row r="888" spans="2:8">
      <c r="B888" s="347">
        <v>200604</v>
      </c>
      <c r="C888" s="316">
        <v>2006</v>
      </c>
      <c r="D888" s="317">
        <v>4</v>
      </c>
      <c r="E888" s="347" t="s">
        <v>117</v>
      </c>
      <c r="F888" s="318">
        <v>5812029</v>
      </c>
      <c r="G888" s="318">
        <v>38724</v>
      </c>
      <c r="H888" s="347"/>
    </row>
    <row r="889" spans="2:8">
      <c r="B889" s="347">
        <v>200604</v>
      </c>
      <c r="C889" s="316">
        <v>2006</v>
      </c>
      <c r="D889" s="317">
        <v>4</v>
      </c>
      <c r="E889" s="347" t="s">
        <v>104</v>
      </c>
      <c r="F889" s="318">
        <v>778725</v>
      </c>
      <c r="G889" s="318">
        <v>6387</v>
      </c>
      <c r="H889" s="347"/>
    </row>
    <row r="890" spans="2:8">
      <c r="B890" s="347">
        <v>200604</v>
      </c>
      <c r="C890" s="316">
        <v>2006</v>
      </c>
      <c r="D890" s="317">
        <v>4</v>
      </c>
      <c r="E890" s="347" t="s">
        <v>34</v>
      </c>
      <c r="F890" s="318">
        <v>1671288</v>
      </c>
      <c r="G890" s="318">
        <v>16337</v>
      </c>
      <c r="H890" s="347"/>
    </row>
    <row r="891" spans="2:8">
      <c r="B891" s="347">
        <v>200604</v>
      </c>
      <c r="C891" s="316">
        <v>2006</v>
      </c>
      <c r="D891" s="317">
        <v>4</v>
      </c>
      <c r="E891" s="347" t="s">
        <v>118</v>
      </c>
      <c r="F891" s="318">
        <v>160772</v>
      </c>
      <c r="G891" s="318">
        <v>3860</v>
      </c>
      <c r="H891" s="347"/>
    </row>
    <row r="892" spans="2:8">
      <c r="B892" s="347">
        <v>200604</v>
      </c>
      <c r="C892" s="316">
        <v>2006</v>
      </c>
      <c r="D892" s="317">
        <v>4</v>
      </c>
      <c r="E892" s="347" t="s">
        <v>103</v>
      </c>
      <c r="F892" s="318">
        <v>2044329</v>
      </c>
      <c r="G892" s="318">
        <v>15708</v>
      </c>
      <c r="H892" s="347"/>
    </row>
    <row r="893" spans="2:8">
      <c r="B893" s="347">
        <v>200605</v>
      </c>
      <c r="C893" s="316">
        <v>2006</v>
      </c>
      <c r="D893" s="317">
        <v>5</v>
      </c>
      <c r="E893" s="347" t="s">
        <v>121</v>
      </c>
      <c r="F893" s="318">
        <v>272526</v>
      </c>
      <c r="G893" s="318">
        <v>8411</v>
      </c>
      <c r="H893" s="347"/>
    </row>
    <row r="894" spans="2:8">
      <c r="B894" s="347">
        <v>200605</v>
      </c>
      <c r="C894" s="316">
        <v>2006</v>
      </c>
      <c r="D894" s="317">
        <v>5</v>
      </c>
      <c r="E894" s="347" t="s">
        <v>212</v>
      </c>
      <c r="F894" s="318">
        <v>827472</v>
      </c>
      <c r="G894" s="318">
        <v>9965</v>
      </c>
      <c r="H894" s="347"/>
    </row>
    <row r="895" spans="2:8">
      <c r="B895" s="347">
        <v>200605</v>
      </c>
      <c r="C895" s="316">
        <v>2006</v>
      </c>
      <c r="D895" s="317">
        <v>5</v>
      </c>
      <c r="E895" s="347" t="s">
        <v>119</v>
      </c>
      <c r="F895" s="318">
        <v>760253</v>
      </c>
      <c r="G895" s="318">
        <v>10117</v>
      </c>
      <c r="H895" s="347"/>
    </row>
    <row r="896" spans="2:8">
      <c r="B896" s="347">
        <v>200605</v>
      </c>
      <c r="C896" s="316">
        <v>2006</v>
      </c>
      <c r="D896" s="317">
        <v>5</v>
      </c>
      <c r="E896" s="347" t="s">
        <v>120</v>
      </c>
      <c r="F896" s="318">
        <v>779528</v>
      </c>
      <c r="G896" s="318">
        <v>8634</v>
      </c>
      <c r="H896" s="347"/>
    </row>
    <row r="897" spans="2:8">
      <c r="B897" s="347">
        <v>200605</v>
      </c>
      <c r="C897" s="316">
        <v>2006</v>
      </c>
      <c r="D897" s="317">
        <v>5</v>
      </c>
      <c r="E897" s="347" t="s">
        <v>102</v>
      </c>
      <c r="F897" s="318">
        <v>2945386</v>
      </c>
      <c r="G897" s="318">
        <v>22363</v>
      </c>
      <c r="H897" s="347"/>
    </row>
    <row r="898" spans="2:8">
      <c r="B898" s="347">
        <v>200605</v>
      </c>
      <c r="C898" s="316">
        <v>2006</v>
      </c>
      <c r="D898" s="317">
        <v>5</v>
      </c>
      <c r="E898" s="347" t="s">
        <v>117</v>
      </c>
      <c r="F898" s="318">
        <v>5716552</v>
      </c>
      <c r="G898" s="318">
        <v>40630</v>
      </c>
      <c r="H898" s="347"/>
    </row>
    <row r="899" spans="2:8">
      <c r="B899" s="347">
        <v>200605</v>
      </c>
      <c r="C899" s="316">
        <v>2006</v>
      </c>
      <c r="D899" s="317">
        <v>5</v>
      </c>
      <c r="E899" s="347" t="s">
        <v>104</v>
      </c>
      <c r="F899" s="318">
        <v>825985</v>
      </c>
      <c r="G899" s="318">
        <v>6930</v>
      </c>
      <c r="H899" s="347"/>
    </row>
    <row r="900" spans="2:8">
      <c r="B900" s="347">
        <v>200605</v>
      </c>
      <c r="C900" s="316">
        <v>2006</v>
      </c>
      <c r="D900" s="317">
        <v>5</v>
      </c>
      <c r="E900" s="347" t="s">
        <v>34</v>
      </c>
      <c r="F900" s="318">
        <v>1999212</v>
      </c>
      <c r="G900" s="318">
        <v>19145</v>
      </c>
      <c r="H900" s="347"/>
    </row>
    <row r="901" spans="2:8">
      <c r="B901" s="347">
        <v>200605</v>
      </c>
      <c r="C901" s="316">
        <v>2006</v>
      </c>
      <c r="D901" s="317">
        <v>5</v>
      </c>
      <c r="E901" s="347" t="s">
        <v>118</v>
      </c>
      <c r="F901" s="318">
        <v>173838</v>
      </c>
      <c r="G901" s="318">
        <v>4149</v>
      </c>
      <c r="H901" s="347"/>
    </row>
    <row r="902" spans="2:8">
      <c r="B902" s="347">
        <v>200605</v>
      </c>
      <c r="C902" s="316">
        <v>2006</v>
      </c>
      <c r="D902" s="317">
        <v>5</v>
      </c>
      <c r="E902" s="347" t="s">
        <v>103</v>
      </c>
      <c r="F902" s="318">
        <v>2114328</v>
      </c>
      <c r="G902" s="318">
        <v>17207</v>
      </c>
      <c r="H902" s="347"/>
    </row>
    <row r="903" spans="2:8">
      <c r="B903" s="347">
        <v>200606</v>
      </c>
      <c r="C903" s="316">
        <v>2006</v>
      </c>
      <c r="D903" s="317">
        <v>6</v>
      </c>
      <c r="E903" s="347" t="s">
        <v>121</v>
      </c>
      <c r="F903" s="318">
        <v>284635</v>
      </c>
      <c r="G903" s="318">
        <v>8359</v>
      </c>
      <c r="H903" s="347"/>
    </row>
    <row r="904" spans="2:8">
      <c r="B904" s="347">
        <v>200606</v>
      </c>
      <c r="C904" s="316">
        <v>2006</v>
      </c>
      <c r="D904" s="317">
        <v>6</v>
      </c>
      <c r="E904" s="347" t="s">
        <v>212</v>
      </c>
      <c r="F904" s="318">
        <v>883599</v>
      </c>
      <c r="G904" s="318">
        <v>9950</v>
      </c>
      <c r="H904" s="347"/>
    </row>
    <row r="905" spans="2:8">
      <c r="B905" s="347">
        <v>200606</v>
      </c>
      <c r="C905" s="316">
        <v>2006</v>
      </c>
      <c r="D905" s="317">
        <v>6</v>
      </c>
      <c r="E905" s="347" t="s">
        <v>119</v>
      </c>
      <c r="F905" s="318">
        <v>817276</v>
      </c>
      <c r="G905" s="318">
        <v>10317</v>
      </c>
      <c r="H905" s="347"/>
    </row>
    <row r="906" spans="2:8">
      <c r="B906" s="347">
        <v>200606</v>
      </c>
      <c r="C906" s="316">
        <v>2006</v>
      </c>
      <c r="D906" s="317">
        <v>6</v>
      </c>
      <c r="E906" s="347" t="s">
        <v>120</v>
      </c>
      <c r="F906" s="318">
        <v>889377</v>
      </c>
      <c r="G906" s="318">
        <v>8893</v>
      </c>
      <c r="H906" s="347"/>
    </row>
    <row r="907" spans="2:8">
      <c r="B907" s="347">
        <v>200606</v>
      </c>
      <c r="C907" s="316">
        <v>2006</v>
      </c>
      <c r="D907" s="317">
        <v>6</v>
      </c>
      <c r="E907" s="347" t="s">
        <v>102</v>
      </c>
      <c r="F907" s="318">
        <v>3315622</v>
      </c>
      <c r="G907" s="318">
        <v>23017</v>
      </c>
      <c r="H907" s="347"/>
    </row>
    <row r="908" spans="2:8">
      <c r="B908" s="347">
        <v>200606</v>
      </c>
      <c r="C908" s="316">
        <v>2006</v>
      </c>
      <c r="D908" s="317">
        <v>6</v>
      </c>
      <c r="E908" s="347" t="s">
        <v>117</v>
      </c>
      <c r="F908" s="318">
        <v>6121053</v>
      </c>
      <c r="G908" s="318">
        <v>39812</v>
      </c>
      <c r="H908" s="347"/>
    </row>
    <row r="909" spans="2:8">
      <c r="B909" s="347">
        <v>200606</v>
      </c>
      <c r="C909" s="316">
        <v>2006</v>
      </c>
      <c r="D909" s="317">
        <v>6</v>
      </c>
      <c r="E909" s="347" t="s">
        <v>104</v>
      </c>
      <c r="F909" s="318">
        <v>881456</v>
      </c>
      <c r="G909" s="318">
        <v>7043</v>
      </c>
      <c r="H909" s="347"/>
    </row>
    <row r="910" spans="2:8">
      <c r="B910" s="347">
        <v>200606</v>
      </c>
      <c r="C910" s="316">
        <v>2006</v>
      </c>
      <c r="D910" s="317">
        <v>6</v>
      </c>
      <c r="E910" s="347" t="s">
        <v>34</v>
      </c>
      <c r="F910" s="318">
        <v>2258414</v>
      </c>
      <c r="G910" s="318">
        <v>19746</v>
      </c>
      <c r="H910" s="347"/>
    </row>
    <row r="911" spans="2:8">
      <c r="B911" s="347">
        <v>200606</v>
      </c>
      <c r="C911" s="316">
        <v>2006</v>
      </c>
      <c r="D911" s="317">
        <v>6</v>
      </c>
      <c r="E911" s="347" t="s">
        <v>118</v>
      </c>
      <c r="F911" s="318">
        <v>186633</v>
      </c>
      <c r="G911" s="318">
        <v>4262</v>
      </c>
      <c r="H911" s="347"/>
    </row>
    <row r="912" spans="2:8">
      <c r="B912" s="347">
        <v>200606</v>
      </c>
      <c r="C912" s="316">
        <v>2006</v>
      </c>
      <c r="D912" s="317">
        <v>6</v>
      </c>
      <c r="E912" s="347" t="s">
        <v>103</v>
      </c>
      <c r="F912" s="318">
        <v>2247490</v>
      </c>
      <c r="G912" s="318">
        <v>17072</v>
      </c>
      <c r="H912" s="347"/>
    </row>
    <row r="913" spans="2:8">
      <c r="B913" s="347">
        <v>200607</v>
      </c>
      <c r="C913" s="316">
        <v>2006</v>
      </c>
      <c r="D913" s="317">
        <v>7</v>
      </c>
      <c r="E913" s="347" t="s">
        <v>121</v>
      </c>
      <c r="F913" s="318">
        <v>291999</v>
      </c>
      <c r="G913" s="318">
        <v>8146</v>
      </c>
      <c r="H913" s="347"/>
    </row>
    <row r="914" spans="2:8">
      <c r="B914" s="347">
        <v>200607</v>
      </c>
      <c r="C914" s="316">
        <v>2006</v>
      </c>
      <c r="D914" s="317">
        <v>7</v>
      </c>
      <c r="E914" s="347" t="s">
        <v>212</v>
      </c>
      <c r="F914" s="318">
        <v>945560</v>
      </c>
      <c r="G914" s="318">
        <v>10170</v>
      </c>
      <c r="H914" s="347"/>
    </row>
    <row r="915" spans="2:8">
      <c r="B915" s="347">
        <v>200607</v>
      </c>
      <c r="C915" s="316">
        <v>2006</v>
      </c>
      <c r="D915" s="317">
        <v>7</v>
      </c>
      <c r="E915" s="347" t="s">
        <v>119</v>
      </c>
      <c r="F915" s="318">
        <v>862472</v>
      </c>
      <c r="G915" s="318">
        <v>10348</v>
      </c>
      <c r="H915" s="347"/>
    </row>
    <row r="916" spans="2:8">
      <c r="B916" s="347">
        <v>200607</v>
      </c>
      <c r="C916" s="316">
        <v>2006</v>
      </c>
      <c r="D916" s="317">
        <v>7</v>
      </c>
      <c r="E916" s="347" t="s">
        <v>120</v>
      </c>
      <c r="F916" s="318">
        <v>1032526</v>
      </c>
      <c r="G916" s="318">
        <v>9449</v>
      </c>
      <c r="H916" s="347"/>
    </row>
    <row r="917" spans="2:8">
      <c r="B917" s="347">
        <v>200607</v>
      </c>
      <c r="C917" s="316">
        <v>2006</v>
      </c>
      <c r="D917" s="317">
        <v>7</v>
      </c>
      <c r="E917" s="347" t="s">
        <v>102</v>
      </c>
      <c r="F917" s="318">
        <v>3718335</v>
      </c>
      <c r="G917" s="318">
        <v>24646</v>
      </c>
      <c r="H917" s="347"/>
    </row>
    <row r="918" spans="2:8">
      <c r="B918" s="347">
        <v>200607</v>
      </c>
      <c r="C918" s="316">
        <v>2006</v>
      </c>
      <c r="D918" s="317">
        <v>7</v>
      </c>
      <c r="E918" s="347" t="s">
        <v>117</v>
      </c>
      <c r="F918" s="318">
        <v>6533042</v>
      </c>
      <c r="G918" s="318">
        <v>41002</v>
      </c>
      <c r="H918" s="347"/>
    </row>
    <row r="919" spans="2:8">
      <c r="B919" s="347">
        <v>200607</v>
      </c>
      <c r="C919" s="316">
        <v>2006</v>
      </c>
      <c r="D919" s="317">
        <v>7</v>
      </c>
      <c r="E919" s="347" t="s">
        <v>104</v>
      </c>
      <c r="F919" s="318">
        <v>958782</v>
      </c>
      <c r="G919" s="318">
        <v>7330</v>
      </c>
      <c r="H919" s="347"/>
    </row>
    <row r="920" spans="2:8">
      <c r="B920" s="347">
        <v>200607</v>
      </c>
      <c r="C920" s="316">
        <v>2006</v>
      </c>
      <c r="D920" s="317">
        <v>7</v>
      </c>
      <c r="E920" s="347" t="s">
        <v>34</v>
      </c>
      <c r="F920" s="318">
        <v>2422158</v>
      </c>
      <c r="G920" s="318">
        <v>20420</v>
      </c>
      <c r="H920" s="347"/>
    </row>
    <row r="921" spans="2:8">
      <c r="B921" s="347">
        <v>200607</v>
      </c>
      <c r="C921" s="316">
        <v>2006</v>
      </c>
      <c r="D921" s="317">
        <v>7</v>
      </c>
      <c r="E921" s="347" t="s">
        <v>118</v>
      </c>
      <c r="F921" s="318">
        <v>196793</v>
      </c>
      <c r="G921" s="318">
        <v>4282</v>
      </c>
      <c r="H921" s="347"/>
    </row>
    <row r="922" spans="2:8">
      <c r="B922" s="347">
        <v>200607</v>
      </c>
      <c r="C922" s="316">
        <v>2006</v>
      </c>
      <c r="D922" s="317">
        <v>7</v>
      </c>
      <c r="E922" s="347" t="s">
        <v>103</v>
      </c>
      <c r="F922" s="318">
        <v>2391022</v>
      </c>
      <c r="G922" s="318">
        <v>17263</v>
      </c>
      <c r="H922" s="347"/>
    </row>
    <row r="923" spans="2:8">
      <c r="B923" s="347">
        <v>200608</v>
      </c>
      <c r="C923" s="316">
        <v>2006</v>
      </c>
      <c r="D923" s="317">
        <v>8</v>
      </c>
      <c r="E923" s="347" t="s">
        <v>121</v>
      </c>
      <c r="F923" s="318">
        <v>278415</v>
      </c>
      <c r="G923" s="318">
        <v>8765</v>
      </c>
      <c r="H923" s="347"/>
    </row>
    <row r="924" spans="2:8">
      <c r="B924" s="347">
        <v>200608</v>
      </c>
      <c r="C924" s="316">
        <v>2006</v>
      </c>
      <c r="D924" s="317">
        <v>8</v>
      </c>
      <c r="E924" s="347" t="s">
        <v>212</v>
      </c>
      <c r="F924" s="318">
        <v>975042</v>
      </c>
      <c r="G924" s="318">
        <v>10166</v>
      </c>
      <c r="H924" s="347"/>
    </row>
    <row r="925" spans="2:8">
      <c r="B925" s="347">
        <v>200608</v>
      </c>
      <c r="C925" s="316">
        <v>2006</v>
      </c>
      <c r="D925" s="317">
        <v>8</v>
      </c>
      <c r="E925" s="347" t="s">
        <v>119</v>
      </c>
      <c r="F925" s="318">
        <v>812936</v>
      </c>
      <c r="G925" s="318">
        <v>10384</v>
      </c>
      <c r="H925" s="347"/>
    </row>
    <row r="926" spans="2:8">
      <c r="B926" s="347">
        <v>200608</v>
      </c>
      <c r="C926" s="316">
        <v>2006</v>
      </c>
      <c r="D926" s="317">
        <v>8</v>
      </c>
      <c r="E926" s="347" t="s">
        <v>120</v>
      </c>
      <c r="F926" s="318">
        <v>864488</v>
      </c>
      <c r="G926" s="318">
        <v>8981</v>
      </c>
      <c r="H926" s="347"/>
    </row>
    <row r="927" spans="2:8">
      <c r="B927" s="347">
        <v>200608</v>
      </c>
      <c r="C927" s="316">
        <v>2006</v>
      </c>
      <c r="D927" s="317">
        <v>8</v>
      </c>
      <c r="E927" s="347" t="s">
        <v>102</v>
      </c>
      <c r="F927" s="318">
        <v>3812736</v>
      </c>
      <c r="G927" s="318">
        <v>24946</v>
      </c>
      <c r="H927" s="347"/>
    </row>
    <row r="928" spans="2:8">
      <c r="B928" s="347">
        <v>200608</v>
      </c>
      <c r="C928" s="316">
        <v>2006</v>
      </c>
      <c r="D928" s="317">
        <v>8</v>
      </c>
      <c r="E928" s="347" t="s">
        <v>117</v>
      </c>
      <c r="F928" s="318">
        <v>5987419</v>
      </c>
      <c r="G928" s="318">
        <v>39618</v>
      </c>
      <c r="H928" s="347"/>
    </row>
    <row r="929" spans="2:8">
      <c r="B929" s="347">
        <v>200608</v>
      </c>
      <c r="C929" s="316">
        <v>2006</v>
      </c>
      <c r="D929" s="317">
        <v>8</v>
      </c>
      <c r="E929" s="347" t="s">
        <v>104</v>
      </c>
      <c r="F929" s="318">
        <v>974939</v>
      </c>
      <c r="G929" s="318">
        <v>7346</v>
      </c>
      <c r="H929" s="347"/>
    </row>
    <row r="930" spans="2:8">
      <c r="B930" s="347">
        <v>200608</v>
      </c>
      <c r="C930" s="316">
        <v>2006</v>
      </c>
      <c r="D930" s="317">
        <v>8</v>
      </c>
      <c r="E930" s="347" t="s">
        <v>34</v>
      </c>
      <c r="F930" s="318">
        <v>2473881</v>
      </c>
      <c r="G930" s="318">
        <v>20830</v>
      </c>
      <c r="H930" s="347"/>
    </row>
    <row r="931" spans="2:8">
      <c r="B931" s="347">
        <v>200608</v>
      </c>
      <c r="C931" s="316">
        <v>2006</v>
      </c>
      <c r="D931" s="317">
        <v>8</v>
      </c>
      <c r="E931" s="347" t="s">
        <v>118</v>
      </c>
      <c r="F931" s="318">
        <v>199315</v>
      </c>
      <c r="G931" s="318">
        <v>4421</v>
      </c>
      <c r="H931" s="347"/>
    </row>
    <row r="932" spans="2:8">
      <c r="B932" s="347">
        <v>200608</v>
      </c>
      <c r="C932" s="316">
        <v>2006</v>
      </c>
      <c r="D932" s="317">
        <v>8</v>
      </c>
      <c r="E932" s="347" t="s">
        <v>103</v>
      </c>
      <c r="F932" s="318">
        <v>2365989</v>
      </c>
      <c r="G932" s="318">
        <v>17230</v>
      </c>
      <c r="H932" s="347"/>
    </row>
    <row r="933" spans="2:8">
      <c r="B933" s="347">
        <v>200609</v>
      </c>
      <c r="C933" s="316">
        <v>2006</v>
      </c>
      <c r="D933" s="317">
        <v>9</v>
      </c>
      <c r="E933" s="347" t="s">
        <v>121</v>
      </c>
      <c r="F933" s="318">
        <v>279746</v>
      </c>
      <c r="G933" s="318">
        <v>8426</v>
      </c>
      <c r="H933" s="347"/>
    </row>
    <row r="934" spans="2:8">
      <c r="B934" s="347">
        <v>200609</v>
      </c>
      <c r="C934" s="316">
        <v>2006</v>
      </c>
      <c r="D934" s="317">
        <v>9</v>
      </c>
      <c r="E934" s="347" t="s">
        <v>212</v>
      </c>
      <c r="F934" s="318">
        <v>941798</v>
      </c>
      <c r="G934" s="318">
        <v>9910</v>
      </c>
      <c r="H934" s="347"/>
    </row>
    <row r="935" spans="2:8">
      <c r="B935" s="347">
        <v>200609</v>
      </c>
      <c r="C935" s="316">
        <v>2006</v>
      </c>
      <c r="D935" s="317">
        <v>9</v>
      </c>
      <c r="E935" s="347" t="s">
        <v>119</v>
      </c>
      <c r="F935" s="318">
        <v>796502</v>
      </c>
      <c r="G935" s="318">
        <v>10061</v>
      </c>
      <c r="H935" s="347"/>
    </row>
    <row r="936" spans="2:8">
      <c r="B936" s="347">
        <v>200609</v>
      </c>
      <c r="C936" s="316">
        <v>2006</v>
      </c>
      <c r="D936" s="317">
        <v>9</v>
      </c>
      <c r="E936" s="347" t="s">
        <v>120</v>
      </c>
      <c r="F936" s="318">
        <v>891083</v>
      </c>
      <c r="G936" s="318">
        <v>8792</v>
      </c>
      <c r="H936" s="347"/>
    </row>
    <row r="937" spans="2:8">
      <c r="B937" s="347">
        <v>200609</v>
      </c>
      <c r="C937" s="316">
        <v>2006</v>
      </c>
      <c r="D937" s="317">
        <v>9</v>
      </c>
      <c r="E937" s="347" t="s">
        <v>102</v>
      </c>
      <c r="F937" s="318">
        <v>3415394</v>
      </c>
      <c r="G937" s="318">
        <v>23750</v>
      </c>
      <c r="H937" s="347"/>
    </row>
    <row r="938" spans="2:8">
      <c r="B938" s="347">
        <v>200609</v>
      </c>
      <c r="C938" s="316">
        <v>2006</v>
      </c>
      <c r="D938" s="317">
        <v>9</v>
      </c>
      <c r="E938" s="347" t="s">
        <v>117</v>
      </c>
      <c r="F938" s="318">
        <v>5896114</v>
      </c>
      <c r="G938" s="318">
        <v>39785</v>
      </c>
      <c r="H938" s="347"/>
    </row>
    <row r="939" spans="2:8">
      <c r="B939" s="347">
        <v>200609</v>
      </c>
      <c r="C939" s="316">
        <v>2006</v>
      </c>
      <c r="D939" s="317">
        <v>9</v>
      </c>
      <c r="E939" s="347" t="s">
        <v>104</v>
      </c>
      <c r="F939" s="318">
        <v>895812</v>
      </c>
      <c r="G939" s="318">
        <v>7340</v>
      </c>
      <c r="H939" s="347"/>
    </row>
    <row r="940" spans="2:8">
      <c r="B940" s="347">
        <v>200609</v>
      </c>
      <c r="C940" s="316">
        <v>2006</v>
      </c>
      <c r="D940" s="317">
        <v>9</v>
      </c>
      <c r="E940" s="347" t="s">
        <v>34</v>
      </c>
      <c r="F940" s="318">
        <v>2309500</v>
      </c>
      <c r="G940" s="318">
        <v>20009</v>
      </c>
      <c r="H940" s="347"/>
    </row>
    <row r="941" spans="2:8">
      <c r="B941" s="347">
        <v>200609</v>
      </c>
      <c r="C941" s="316">
        <v>2006</v>
      </c>
      <c r="D941" s="317">
        <v>9</v>
      </c>
      <c r="E941" s="347" t="s">
        <v>118</v>
      </c>
      <c r="F941" s="318">
        <v>185703</v>
      </c>
      <c r="G941" s="318">
        <v>4203</v>
      </c>
      <c r="H941" s="347"/>
    </row>
    <row r="942" spans="2:8">
      <c r="B942" s="347">
        <v>200609</v>
      </c>
      <c r="C942" s="316">
        <v>2006</v>
      </c>
      <c r="D942" s="317">
        <v>9</v>
      </c>
      <c r="E942" s="347" t="s">
        <v>103</v>
      </c>
      <c r="F942" s="318">
        <v>2149736</v>
      </c>
      <c r="G942" s="318">
        <v>16817</v>
      </c>
      <c r="H942" s="347"/>
    </row>
    <row r="943" spans="2:8">
      <c r="B943" s="347">
        <v>200610</v>
      </c>
      <c r="C943" s="316">
        <v>2006</v>
      </c>
      <c r="D943" s="317">
        <v>10</v>
      </c>
      <c r="E943" s="347" t="s">
        <v>121</v>
      </c>
      <c r="F943" s="318">
        <v>298358</v>
      </c>
      <c r="G943" s="318">
        <v>8815</v>
      </c>
      <c r="H943" s="347"/>
    </row>
    <row r="944" spans="2:8">
      <c r="B944" s="347">
        <v>200610</v>
      </c>
      <c r="C944" s="316">
        <v>2006</v>
      </c>
      <c r="D944" s="317">
        <v>10</v>
      </c>
      <c r="E944" s="347" t="s">
        <v>212</v>
      </c>
      <c r="F944" s="318">
        <v>817595</v>
      </c>
      <c r="G944" s="318">
        <v>9582</v>
      </c>
      <c r="H944" s="347"/>
    </row>
    <row r="945" spans="2:8">
      <c r="B945" s="347">
        <v>200610</v>
      </c>
      <c r="C945" s="316">
        <v>2006</v>
      </c>
      <c r="D945" s="317">
        <v>10</v>
      </c>
      <c r="E945" s="347" t="s">
        <v>119</v>
      </c>
      <c r="F945" s="318">
        <v>780226</v>
      </c>
      <c r="G945" s="318">
        <v>10276</v>
      </c>
      <c r="H945" s="347"/>
    </row>
    <row r="946" spans="2:8">
      <c r="B946" s="347">
        <v>200610</v>
      </c>
      <c r="C946" s="316">
        <v>2006</v>
      </c>
      <c r="D946" s="317">
        <v>10</v>
      </c>
      <c r="E946" s="347" t="s">
        <v>120</v>
      </c>
      <c r="F946" s="318">
        <v>881326</v>
      </c>
      <c r="G946" s="318">
        <v>8905</v>
      </c>
      <c r="H946" s="347"/>
    </row>
    <row r="947" spans="2:8">
      <c r="B947" s="347">
        <v>200610</v>
      </c>
      <c r="C947" s="316">
        <v>2006</v>
      </c>
      <c r="D947" s="317">
        <v>10</v>
      </c>
      <c r="E947" s="347" t="s">
        <v>102</v>
      </c>
      <c r="F947" s="318">
        <v>2947276</v>
      </c>
      <c r="G947" s="318">
        <v>22293</v>
      </c>
      <c r="H947" s="347"/>
    </row>
    <row r="948" spans="2:8">
      <c r="B948" s="347">
        <v>200610</v>
      </c>
      <c r="C948" s="316">
        <v>2006</v>
      </c>
      <c r="D948" s="317">
        <v>10</v>
      </c>
      <c r="E948" s="347" t="s">
        <v>117</v>
      </c>
      <c r="F948" s="318">
        <v>5630001</v>
      </c>
      <c r="G948" s="318">
        <v>40446</v>
      </c>
      <c r="H948" s="347"/>
    </row>
    <row r="949" spans="2:8">
      <c r="B949" s="347">
        <v>200610</v>
      </c>
      <c r="C949" s="316">
        <v>2006</v>
      </c>
      <c r="D949" s="317">
        <v>10</v>
      </c>
      <c r="E949" s="347" t="s">
        <v>104</v>
      </c>
      <c r="F949" s="318">
        <v>816594</v>
      </c>
      <c r="G949" s="318">
        <v>6948</v>
      </c>
      <c r="H949" s="347"/>
    </row>
    <row r="950" spans="2:8">
      <c r="B950" s="347">
        <v>200610</v>
      </c>
      <c r="C950" s="316">
        <v>2006</v>
      </c>
      <c r="D950" s="317">
        <v>10</v>
      </c>
      <c r="E950" s="347" t="s">
        <v>34</v>
      </c>
      <c r="F950" s="318">
        <v>2007186</v>
      </c>
      <c r="G950" s="318">
        <v>19062</v>
      </c>
      <c r="H950" s="347"/>
    </row>
    <row r="951" spans="2:8">
      <c r="B951" s="347">
        <v>200610</v>
      </c>
      <c r="C951" s="316">
        <v>2006</v>
      </c>
      <c r="D951" s="317">
        <v>10</v>
      </c>
      <c r="E951" s="347" t="s">
        <v>118</v>
      </c>
      <c r="F951" s="318">
        <v>169315</v>
      </c>
      <c r="G951" s="318">
        <v>4012</v>
      </c>
      <c r="H951" s="347"/>
    </row>
    <row r="952" spans="2:8">
      <c r="B952" s="347">
        <v>200610</v>
      </c>
      <c r="C952" s="316">
        <v>2006</v>
      </c>
      <c r="D952" s="317">
        <v>10</v>
      </c>
      <c r="E952" s="347" t="s">
        <v>103</v>
      </c>
      <c r="F952" s="318">
        <v>2071520</v>
      </c>
      <c r="G952" s="318">
        <v>16894</v>
      </c>
      <c r="H952" s="347"/>
    </row>
    <row r="953" spans="2:8">
      <c r="B953" s="347">
        <v>200611</v>
      </c>
      <c r="C953" s="316">
        <v>2006</v>
      </c>
      <c r="D953" s="317">
        <v>11</v>
      </c>
      <c r="E953" s="347" t="s">
        <v>121</v>
      </c>
      <c r="F953" s="318">
        <v>277500</v>
      </c>
      <c r="G953" s="318">
        <v>8914</v>
      </c>
      <c r="H953" s="347"/>
    </row>
    <row r="954" spans="2:8">
      <c r="B954" s="347">
        <v>200611</v>
      </c>
      <c r="C954" s="316">
        <v>2006</v>
      </c>
      <c r="D954" s="317">
        <v>11</v>
      </c>
      <c r="E954" s="347" t="s">
        <v>212</v>
      </c>
      <c r="F954" s="318">
        <v>589592</v>
      </c>
      <c r="G954" s="318">
        <v>8267</v>
      </c>
      <c r="H954" s="347"/>
    </row>
    <row r="955" spans="2:8">
      <c r="B955" s="347">
        <v>200611</v>
      </c>
      <c r="C955" s="316">
        <v>2006</v>
      </c>
      <c r="D955" s="317">
        <v>11</v>
      </c>
      <c r="E955" s="347" t="s">
        <v>119</v>
      </c>
      <c r="F955" s="318">
        <v>663692</v>
      </c>
      <c r="G955" s="318">
        <v>9550</v>
      </c>
      <c r="H955" s="347"/>
    </row>
    <row r="956" spans="2:8">
      <c r="B956" s="347">
        <v>200611</v>
      </c>
      <c r="C956" s="316">
        <v>2006</v>
      </c>
      <c r="D956" s="317">
        <v>11</v>
      </c>
      <c r="E956" s="347" t="s">
        <v>120</v>
      </c>
      <c r="F956" s="318">
        <v>627076</v>
      </c>
      <c r="G956" s="318">
        <v>7621</v>
      </c>
      <c r="H956" s="347"/>
    </row>
    <row r="957" spans="2:8">
      <c r="B957" s="347">
        <v>200611</v>
      </c>
      <c r="C957" s="316">
        <v>2006</v>
      </c>
      <c r="D957" s="317">
        <v>11</v>
      </c>
      <c r="E957" s="347" t="s">
        <v>102</v>
      </c>
      <c r="F957" s="318">
        <v>2151248</v>
      </c>
      <c r="G957" s="318">
        <v>17869</v>
      </c>
      <c r="H957" s="347"/>
    </row>
    <row r="958" spans="2:8">
      <c r="B958" s="347">
        <v>200611</v>
      </c>
      <c r="C958" s="316">
        <v>2006</v>
      </c>
      <c r="D958" s="317">
        <v>11</v>
      </c>
      <c r="E958" s="347" t="s">
        <v>117</v>
      </c>
      <c r="F958" s="318">
        <v>5099392</v>
      </c>
      <c r="G958" s="318">
        <v>38560</v>
      </c>
      <c r="H958" s="347"/>
    </row>
    <row r="959" spans="2:8">
      <c r="B959" s="347">
        <v>200611</v>
      </c>
      <c r="C959" s="316">
        <v>2006</v>
      </c>
      <c r="D959" s="317">
        <v>11</v>
      </c>
      <c r="E959" s="347" t="s">
        <v>104</v>
      </c>
      <c r="F959" s="318">
        <v>635742</v>
      </c>
      <c r="G959" s="318">
        <v>5641</v>
      </c>
      <c r="H959" s="347"/>
    </row>
    <row r="960" spans="2:8">
      <c r="B960" s="347">
        <v>200611</v>
      </c>
      <c r="C960" s="316">
        <v>2006</v>
      </c>
      <c r="D960" s="317">
        <v>11</v>
      </c>
      <c r="E960" s="347" t="s">
        <v>34</v>
      </c>
      <c r="F960" s="318">
        <v>1377945</v>
      </c>
      <c r="G960" s="318">
        <v>15437</v>
      </c>
      <c r="H960" s="347"/>
    </row>
    <row r="961" spans="2:8">
      <c r="B961" s="347">
        <v>200611</v>
      </c>
      <c r="C961" s="316">
        <v>2006</v>
      </c>
      <c r="D961" s="317">
        <v>11</v>
      </c>
      <c r="E961" s="347" t="s">
        <v>118</v>
      </c>
      <c r="F961" s="318">
        <v>146318</v>
      </c>
      <c r="G961" s="318">
        <v>3673</v>
      </c>
      <c r="H961" s="347"/>
    </row>
    <row r="962" spans="2:8">
      <c r="B962" s="347">
        <v>200611</v>
      </c>
      <c r="C962" s="316">
        <v>2006</v>
      </c>
      <c r="D962" s="317">
        <v>11</v>
      </c>
      <c r="E962" s="347" t="s">
        <v>103</v>
      </c>
      <c r="F962" s="318">
        <v>1655651</v>
      </c>
      <c r="G962" s="318">
        <v>14604</v>
      </c>
      <c r="H962" s="347"/>
    </row>
    <row r="963" spans="2:8">
      <c r="B963" s="347">
        <v>200612</v>
      </c>
      <c r="C963" s="316">
        <v>2006</v>
      </c>
      <c r="D963" s="317">
        <v>12</v>
      </c>
      <c r="E963" s="347" t="s">
        <v>121</v>
      </c>
      <c r="F963" s="318">
        <v>249454</v>
      </c>
      <c r="G963" s="318">
        <v>7679</v>
      </c>
      <c r="H963" s="347"/>
    </row>
    <row r="964" spans="2:8">
      <c r="B964" s="347">
        <v>200612</v>
      </c>
      <c r="C964" s="316">
        <v>2006</v>
      </c>
      <c r="D964" s="317">
        <v>12</v>
      </c>
      <c r="E964" s="347" t="s">
        <v>212</v>
      </c>
      <c r="F964" s="318">
        <v>564730</v>
      </c>
      <c r="G964" s="318">
        <v>7541</v>
      </c>
      <c r="H964" s="347"/>
    </row>
    <row r="965" spans="2:8">
      <c r="B965" s="347">
        <v>200612</v>
      </c>
      <c r="C965" s="316">
        <v>2006</v>
      </c>
      <c r="D965" s="317">
        <v>12</v>
      </c>
      <c r="E965" s="347" t="s">
        <v>119</v>
      </c>
      <c r="F965" s="318">
        <v>599331</v>
      </c>
      <c r="G965" s="318">
        <v>8327</v>
      </c>
      <c r="H965" s="347"/>
    </row>
    <row r="966" spans="2:8">
      <c r="B966" s="347">
        <v>200612</v>
      </c>
      <c r="C966" s="316">
        <v>2006</v>
      </c>
      <c r="D966" s="317">
        <v>12</v>
      </c>
      <c r="E966" s="347" t="s">
        <v>120</v>
      </c>
      <c r="F966" s="318">
        <v>548492</v>
      </c>
      <c r="G966" s="318">
        <v>6781</v>
      </c>
      <c r="H966" s="347"/>
    </row>
    <row r="967" spans="2:8">
      <c r="B967" s="347">
        <v>200612</v>
      </c>
      <c r="C967" s="316">
        <v>2006</v>
      </c>
      <c r="D967" s="317">
        <v>12</v>
      </c>
      <c r="E967" s="347" t="s">
        <v>102</v>
      </c>
      <c r="F967" s="318">
        <v>2360155</v>
      </c>
      <c r="G967" s="318">
        <v>18511</v>
      </c>
      <c r="H967" s="347"/>
    </row>
    <row r="968" spans="2:8">
      <c r="B968" s="347">
        <v>200612</v>
      </c>
      <c r="C968" s="316">
        <v>2006</v>
      </c>
      <c r="D968" s="317">
        <v>12</v>
      </c>
      <c r="E968" s="347" t="s">
        <v>117</v>
      </c>
      <c r="F968" s="318">
        <v>5205320</v>
      </c>
      <c r="G968" s="318">
        <v>36824</v>
      </c>
      <c r="H968" s="347"/>
    </row>
    <row r="969" spans="2:8">
      <c r="B969" s="347">
        <v>200612</v>
      </c>
      <c r="C969" s="316">
        <v>2006</v>
      </c>
      <c r="D969" s="317">
        <v>12</v>
      </c>
      <c r="E969" s="347" t="s">
        <v>104</v>
      </c>
      <c r="F969" s="318">
        <v>659567</v>
      </c>
      <c r="G969" s="318">
        <v>5827</v>
      </c>
      <c r="H969" s="347"/>
    </row>
    <row r="970" spans="2:8">
      <c r="B970" s="347">
        <v>200612</v>
      </c>
      <c r="C970" s="316">
        <v>2006</v>
      </c>
      <c r="D970" s="317">
        <v>12</v>
      </c>
      <c r="E970" s="347" t="s">
        <v>34</v>
      </c>
      <c r="F970" s="318">
        <v>1385838</v>
      </c>
      <c r="G970" s="318">
        <v>14541</v>
      </c>
      <c r="H970" s="347"/>
    </row>
    <row r="971" spans="2:8">
      <c r="B971" s="347">
        <v>200612</v>
      </c>
      <c r="C971" s="316">
        <v>2006</v>
      </c>
      <c r="D971" s="317">
        <v>12</v>
      </c>
      <c r="E971" s="347" t="s">
        <v>118</v>
      </c>
      <c r="F971" s="318">
        <v>129680</v>
      </c>
      <c r="G971" s="318">
        <v>3110</v>
      </c>
      <c r="H971" s="347"/>
    </row>
    <row r="972" spans="2:8">
      <c r="B972" s="347">
        <v>200612</v>
      </c>
      <c r="C972" s="316">
        <v>2006</v>
      </c>
      <c r="D972" s="317">
        <v>12</v>
      </c>
      <c r="E972" s="347" t="s">
        <v>103</v>
      </c>
      <c r="F972" s="318">
        <v>1764996</v>
      </c>
      <c r="G972" s="318">
        <v>14476</v>
      </c>
      <c r="H972" s="347"/>
    </row>
    <row r="973" spans="2:8">
      <c r="B973" s="347">
        <v>200701</v>
      </c>
      <c r="C973" s="316">
        <v>2007</v>
      </c>
      <c r="D973" s="317">
        <v>1</v>
      </c>
      <c r="E973" s="347" t="s">
        <v>121</v>
      </c>
      <c r="F973" s="318">
        <v>241652</v>
      </c>
      <c r="G973" s="318">
        <v>8380</v>
      </c>
      <c r="H973" s="347"/>
    </row>
    <row r="974" spans="2:8">
      <c r="B974" s="347">
        <v>200701</v>
      </c>
      <c r="C974" s="316">
        <v>2007</v>
      </c>
      <c r="D974" s="317">
        <v>1</v>
      </c>
      <c r="E974" s="347" t="s">
        <v>212</v>
      </c>
      <c r="F974" s="318">
        <v>565421</v>
      </c>
      <c r="G974" s="318">
        <v>8171</v>
      </c>
      <c r="H974" s="347"/>
    </row>
    <row r="975" spans="2:8">
      <c r="B975" s="347">
        <v>200701</v>
      </c>
      <c r="C975" s="316">
        <v>2007</v>
      </c>
      <c r="D975" s="317">
        <v>1</v>
      </c>
      <c r="E975" s="347" t="s">
        <v>119</v>
      </c>
      <c r="F975" s="318">
        <v>564833</v>
      </c>
      <c r="G975" s="318">
        <v>9108</v>
      </c>
      <c r="H975" s="347"/>
    </row>
    <row r="976" spans="2:8">
      <c r="B976" s="347">
        <v>200701</v>
      </c>
      <c r="C976" s="316">
        <v>2007</v>
      </c>
      <c r="D976" s="317">
        <v>1</v>
      </c>
      <c r="E976" s="347" t="s">
        <v>120</v>
      </c>
      <c r="F976" s="318">
        <v>533881</v>
      </c>
      <c r="G976" s="318">
        <v>7256</v>
      </c>
      <c r="H976" s="347"/>
    </row>
    <row r="977" spans="2:8">
      <c r="B977" s="347">
        <v>200701</v>
      </c>
      <c r="C977" s="316">
        <v>2007</v>
      </c>
      <c r="D977" s="317">
        <v>1</v>
      </c>
      <c r="E977" s="347" t="s">
        <v>102</v>
      </c>
      <c r="F977" s="318">
        <v>2198905</v>
      </c>
      <c r="G977" s="318">
        <v>19102</v>
      </c>
      <c r="H977" s="347"/>
    </row>
    <row r="978" spans="2:8">
      <c r="B978" s="347">
        <v>200701</v>
      </c>
      <c r="C978" s="316">
        <v>2007</v>
      </c>
      <c r="D978" s="317">
        <v>1</v>
      </c>
      <c r="E978" s="347" t="s">
        <v>117</v>
      </c>
      <c r="F978" s="318">
        <v>5013097</v>
      </c>
      <c r="G978" s="318">
        <v>39145</v>
      </c>
      <c r="H978" s="347"/>
    </row>
    <row r="979" spans="2:8">
      <c r="B979" s="347">
        <v>200701</v>
      </c>
      <c r="C979" s="316">
        <v>2007</v>
      </c>
      <c r="D979" s="317">
        <v>1</v>
      </c>
      <c r="E979" s="347" t="s">
        <v>104</v>
      </c>
      <c r="F979" s="318">
        <v>614083</v>
      </c>
      <c r="G979" s="318">
        <v>6059</v>
      </c>
      <c r="H979" s="347"/>
    </row>
    <row r="980" spans="2:8">
      <c r="B980" s="347">
        <v>200701</v>
      </c>
      <c r="C980" s="316">
        <v>2007</v>
      </c>
      <c r="D980" s="317">
        <v>1</v>
      </c>
      <c r="E980" s="347" t="s">
        <v>34</v>
      </c>
      <c r="F980" s="318">
        <v>1327676</v>
      </c>
      <c r="G980" s="318">
        <v>15184</v>
      </c>
      <c r="H980" s="347"/>
    </row>
    <row r="981" spans="2:8">
      <c r="B981" s="347">
        <v>200701</v>
      </c>
      <c r="C981" s="316">
        <v>2007</v>
      </c>
      <c r="D981" s="317">
        <v>1</v>
      </c>
      <c r="E981" s="347" t="s">
        <v>118</v>
      </c>
      <c r="F981" s="318">
        <v>122483</v>
      </c>
      <c r="G981" s="318">
        <v>3638</v>
      </c>
      <c r="H981" s="347"/>
    </row>
    <row r="982" spans="2:8">
      <c r="B982" s="347">
        <v>200701</v>
      </c>
      <c r="C982" s="316">
        <v>2007</v>
      </c>
      <c r="D982" s="317">
        <v>1</v>
      </c>
      <c r="E982" s="347" t="s">
        <v>103</v>
      </c>
      <c r="F982" s="318">
        <v>1596807</v>
      </c>
      <c r="G982" s="318">
        <v>15212</v>
      </c>
      <c r="H982" s="347"/>
    </row>
    <row r="983" spans="2:8">
      <c r="B983" s="347">
        <v>200702</v>
      </c>
      <c r="C983" s="316">
        <v>2007</v>
      </c>
      <c r="D983" s="317">
        <v>2</v>
      </c>
      <c r="E983" s="347" t="s">
        <v>121</v>
      </c>
      <c r="F983" s="318">
        <v>234340</v>
      </c>
      <c r="G983" s="318">
        <v>7763</v>
      </c>
      <c r="H983" s="347"/>
    </row>
    <row r="984" spans="2:8">
      <c r="B984" s="347">
        <v>200702</v>
      </c>
      <c r="C984" s="316">
        <v>2007</v>
      </c>
      <c r="D984" s="317">
        <v>2</v>
      </c>
      <c r="E984" s="347" t="s">
        <v>212</v>
      </c>
      <c r="F984" s="318">
        <v>572028</v>
      </c>
      <c r="G984" s="318">
        <v>7614</v>
      </c>
      <c r="H984" s="347"/>
    </row>
    <row r="985" spans="2:8">
      <c r="B985" s="347">
        <v>200702</v>
      </c>
      <c r="C985" s="316">
        <v>2007</v>
      </c>
      <c r="D985" s="317">
        <v>2</v>
      </c>
      <c r="E985" s="347" t="s">
        <v>119</v>
      </c>
      <c r="F985" s="318">
        <v>588253</v>
      </c>
      <c r="G985" s="318">
        <v>8606</v>
      </c>
      <c r="H985" s="347"/>
    </row>
    <row r="986" spans="2:8">
      <c r="B986" s="347">
        <v>200702</v>
      </c>
      <c r="C986" s="316">
        <v>2007</v>
      </c>
      <c r="D986" s="317">
        <v>2</v>
      </c>
      <c r="E986" s="347" t="s">
        <v>120</v>
      </c>
      <c r="F986" s="318">
        <v>520251</v>
      </c>
      <c r="G986" s="318">
        <v>6651</v>
      </c>
      <c r="H986" s="347"/>
    </row>
    <row r="987" spans="2:8">
      <c r="B987" s="347">
        <v>200702</v>
      </c>
      <c r="C987" s="316">
        <v>2007</v>
      </c>
      <c r="D987" s="317">
        <v>2</v>
      </c>
      <c r="E987" s="347" t="s">
        <v>102</v>
      </c>
      <c r="F987" s="318">
        <v>2162837</v>
      </c>
      <c r="G987" s="318">
        <v>17621</v>
      </c>
      <c r="H987" s="347"/>
    </row>
    <row r="988" spans="2:8">
      <c r="B988" s="347">
        <v>200702</v>
      </c>
      <c r="C988" s="316">
        <v>2007</v>
      </c>
      <c r="D988" s="317">
        <v>2</v>
      </c>
      <c r="E988" s="347" t="s">
        <v>117</v>
      </c>
      <c r="F988" s="318">
        <v>4641214</v>
      </c>
      <c r="G988" s="318">
        <v>36069</v>
      </c>
      <c r="H988" s="347"/>
    </row>
    <row r="989" spans="2:8">
      <c r="B989" s="347">
        <v>200702</v>
      </c>
      <c r="C989" s="316">
        <v>2007</v>
      </c>
      <c r="D989" s="317">
        <v>2</v>
      </c>
      <c r="E989" s="347" t="s">
        <v>104</v>
      </c>
      <c r="F989" s="318">
        <v>641145</v>
      </c>
      <c r="G989" s="318">
        <v>5721</v>
      </c>
      <c r="H989" s="347"/>
    </row>
    <row r="990" spans="2:8">
      <c r="B990" s="347">
        <v>200702</v>
      </c>
      <c r="C990" s="316">
        <v>2007</v>
      </c>
      <c r="D990" s="317">
        <v>2</v>
      </c>
      <c r="E990" s="347" t="s">
        <v>34</v>
      </c>
      <c r="F990" s="318">
        <v>1328018</v>
      </c>
      <c r="G990" s="318">
        <v>14392</v>
      </c>
      <c r="H990" s="347"/>
    </row>
    <row r="991" spans="2:8">
      <c r="B991" s="347">
        <v>200702</v>
      </c>
      <c r="C991" s="316">
        <v>2007</v>
      </c>
      <c r="D991" s="317">
        <v>2</v>
      </c>
      <c r="E991" s="347" t="s">
        <v>118</v>
      </c>
      <c r="F991" s="318">
        <v>127177</v>
      </c>
      <c r="G991" s="318">
        <v>3395</v>
      </c>
      <c r="H991" s="347"/>
    </row>
    <row r="992" spans="2:8">
      <c r="B992" s="347">
        <v>200702</v>
      </c>
      <c r="C992" s="316">
        <v>2007</v>
      </c>
      <c r="D992" s="317">
        <v>2</v>
      </c>
      <c r="E992" s="347" t="s">
        <v>103</v>
      </c>
      <c r="F992" s="318">
        <v>1609917</v>
      </c>
      <c r="G992" s="318">
        <v>13806</v>
      </c>
      <c r="H992" s="347"/>
    </row>
    <row r="993" spans="2:8">
      <c r="B993" s="347">
        <v>200703</v>
      </c>
      <c r="C993" s="316">
        <v>2007</v>
      </c>
      <c r="D993" s="317">
        <v>3</v>
      </c>
      <c r="E993" s="347" t="s">
        <v>121</v>
      </c>
      <c r="F993" s="318">
        <v>277000</v>
      </c>
      <c r="G993" s="318">
        <v>8583</v>
      </c>
      <c r="H993" s="347"/>
    </row>
    <row r="994" spans="2:8">
      <c r="B994" s="347">
        <v>200703</v>
      </c>
      <c r="C994" s="316">
        <v>2007</v>
      </c>
      <c r="D994" s="317">
        <v>3</v>
      </c>
      <c r="E994" s="347" t="s">
        <v>212</v>
      </c>
      <c r="F994" s="318">
        <v>665226</v>
      </c>
      <c r="G994" s="318">
        <v>8224</v>
      </c>
      <c r="H994" s="347"/>
    </row>
    <row r="995" spans="2:8">
      <c r="B995" s="347">
        <v>200703</v>
      </c>
      <c r="C995" s="316">
        <v>2007</v>
      </c>
      <c r="D995" s="317">
        <v>3</v>
      </c>
      <c r="E995" s="347" t="s">
        <v>119</v>
      </c>
      <c r="F995" s="318">
        <v>712442</v>
      </c>
      <c r="G995" s="318">
        <v>9472</v>
      </c>
      <c r="H995" s="347"/>
    </row>
    <row r="996" spans="2:8">
      <c r="B996" s="347">
        <v>200703</v>
      </c>
      <c r="C996" s="316">
        <v>2007</v>
      </c>
      <c r="D996" s="317">
        <v>3</v>
      </c>
      <c r="E996" s="347" t="s">
        <v>120</v>
      </c>
      <c r="F996" s="318">
        <v>631935</v>
      </c>
      <c r="G996" s="318">
        <v>7389</v>
      </c>
      <c r="H996" s="347"/>
    </row>
    <row r="997" spans="2:8">
      <c r="B997" s="347">
        <v>200703</v>
      </c>
      <c r="C997" s="316">
        <v>2007</v>
      </c>
      <c r="D997" s="317">
        <v>3</v>
      </c>
      <c r="E997" s="347" t="s">
        <v>102</v>
      </c>
      <c r="F997" s="318">
        <v>2603921</v>
      </c>
      <c r="G997" s="318">
        <v>19981</v>
      </c>
      <c r="H997" s="347"/>
    </row>
    <row r="998" spans="2:8">
      <c r="B998" s="347">
        <v>200703</v>
      </c>
      <c r="C998" s="316">
        <v>2007</v>
      </c>
      <c r="D998" s="317">
        <v>3</v>
      </c>
      <c r="E998" s="347" t="s">
        <v>117</v>
      </c>
      <c r="F998" s="318">
        <v>5646897</v>
      </c>
      <c r="G998" s="318">
        <v>40191</v>
      </c>
      <c r="H998" s="347"/>
    </row>
    <row r="999" spans="2:8">
      <c r="B999" s="347">
        <v>200703</v>
      </c>
      <c r="C999" s="316">
        <v>2007</v>
      </c>
      <c r="D999" s="317">
        <v>3</v>
      </c>
      <c r="E999" s="347" t="s">
        <v>104</v>
      </c>
      <c r="F999" s="318">
        <v>760143</v>
      </c>
      <c r="G999" s="318">
        <v>6632</v>
      </c>
      <c r="H999" s="347"/>
    </row>
    <row r="1000" spans="2:8">
      <c r="B1000" s="347">
        <v>200703</v>
      </c>
      <c r="C1000" s="316">
        <v>2007</v>
      </c>
      <c r="D1000" s="317">
        <v>3</v>
      </c>
      <c r="E1000" s="347" t="s">
        <v>34</v>
      </c>
      <c r="F1000" s="318">
        <v>1574731</v>
      </c>
      <c r="G1000" s="318">
        <v>16166</v>
      </c>
      <c r="H1000" s="347"/>
    </row>
    <row r="1001" spans="2:8">
      <c r="B1001" s="347">
        <v>200703</v>
      </c>
      <c r="C1001" s="316">
        <v>2007</v>
      </c>
      <c r="D1001" s="317">
        <v>3</v>
      </c>
      <c r="E1001" s="347" t="s">
        <v>118</v>
      </c>
      <c r="F1001" s="318">
        <v>146376</v>
      </c>
      <c r="G1001" s="318">
        <v>3671</v>
      </c>
      <c r="H1001" s="347"/>
    </row>
    <row r="1002" spans="2:8">
      <c r="B1002" s="347">
        <v>200703</v>
      </c>
      <c r="C1002" s="316">
        <v>2007</v>
      </c>
      <c r="D1002" s="317">
        <v>3</v>
      </c>
      <c r="E1002" s="347" t="s">
        <v>103</v>
      </c>
      <c r="F1002" s="318">
        <v>1830496</v>
      </c>
      <c r="G1002" s="318">
        <v>15645</v>
      </c>
      <c r="H1002" s="347"/>
    </row>
    <row r="1003" spans="2:8">
      <c r="B1003" s="347">
        <v>200704</v>
      </c>
      <c r="C1003" s="316">
        <v>2007</v>
      </c>
      <c r="D1003" s="317">
        <v>4</v>
      </c>
      <c r="E1003" s="347" t="s">
        <v>121</v>
      </c>
      <c r="F1003" s="318">
        <v>274306</v>
      </c>
      <c r="G1003" s="318">
        <v>8161</v>
      </c>
      <c r="H1003" s="347"/>
    </row>
    <row r="1004" spans="2:8">
      <c r="B1004" s="347">
        <v>200704</v>
      </c>
      <c r="C1004" s="316">
        <v>2007</v>
      </c>
      <c r="D1004" s="317">
        <v>4</v>
      </c>
      <c r="E1004" s="347" t="s">
        <v>212</v>
      </c>
      <c r="F1004" s="318">
        <v>664334</v>
      </c>
      <c r="G1004" s="318">
        <v>8003</v>
      </c>
      <c r="H1004" s="347"/>
    </row>
    <row r="1005" spans="2:8">
      <c r="B1005" s="347">
        <v>200704</v>
      </c>
      <c r="C1005" s="316">
        <v>2007</v>
      </c>
      <c r="D1005" s="317">
        <v>4</v>
      </c>
      <c r="E1005" s="347" t="s">
        <v>119</v>
      </c>
      <c r="F1005" s="318">
        <v>725235</v>
      </c>
      <c r="G1005" s="318">
        <v>9326</v>
      </c>
      <c r="H1005" s="347"/>
    </row>
    <row r="1006" spans="2:8">
      <c r="B1006" s="347">
        <v>200704</v>
      </c>
      <c r="C1006" s="316">
        <v>2007</v>
      </c>
      <c r="D1006" s="317">
        <v>4</v>
      </c>
      <c r="E1006" s="347" t="s">
        <v>120</v>
      </c>
      <c r="F1006" s="318">
        <v>646583</v>
      </c>
      <c r="G1006" s="318">
        <v>7380</v>
      </c>
      <c r="H1006" s="347"/>
    </row>
    <row r="1007" spans="2:8">
      <c r="B1007" s="347">
        <v>200704</v>
      </c>
      <c r="C1007" s="316">
        <v>2007</v>
      </c>
      <c r="D1007" s="317">
        <v>4</v>
      </c>
      <c r="E1007" s="347" t="s">
        <v>102</v>
      </c>
      <c r="F1007" s="318">
        <v>2722411</v>
      </c>
      <c r="G1007" s="318">
        <v>20566</v>
      </c>
      <c r="H1007" s="347"/>
    </row>
    <row r="1008" spans="2:8">
      <c r="B1008" s="347">
        <v>200704</v>
      </c>
      <c r="C1008" s="316">
        <v>2007</v>
      </c>
      <c r="D1008" s="317">
        <v>4</v>
      </c>
      <c r="E1008" s="347" t="s">
        <v>117</v>
      </c>
      <c r="F1008" s="318">
        <v>5667140</v>
      </c>
      <c r="G1008" s="318">
        <v>39219</v>
      </c>
      <c r="H1008" s="347"/>
    </row>
    <row r="1009" spans="2:8">
      <c r="B1009" s="347">
        <v>200704</v>
      </c>
      <c r="C1009" s="316">
        <v>2007</v>
      </c>
      <c r="D1009" s="317">
        <v>4</v>
      </c>
      <c r="E1009" s="347" t="s">
        <v>104</v>
      </c>
      <c r="F1009" s="318">
        <v>789964</v>
      </c>
      <c r="G1009" s="318">
        <v>6638</v>
      </c>
      <c r="H1009" s="347"/>
    </row>
    <row r="1010" spans="2:8">
      <c r="B1010" s="347">
        <v>200704</v>
      </c>
      <c r="C1010" s="316">
        <v>2007</v>
      </c>
      <c r="D1010" s="317">
        <v>4</v>
      </c>
      <c r="E1010" s="347" t="s">
        <v>34</v>
      </c>
      <c r="F1010" s="318">
        <v>1628005</v>
      </c>
      <c r="G1010" s="318">
        <v>16127</v>
      </c>
      <c r="H1010" s="347"/>
    </row>
    <row r="1011" spans="2:8">
      <c r="B1011" s="347">
        <v>200704</v>
      </c>
      <c r="C1011" s="316">
        <v>2007</v>
      </c>
      <c r="D1011" s="317">
        <v>4</v>
      </c>
      <c r="E1011" s="347" t="s">
        <v>118</v>
      </c>
      <c r="F1011" s="318">
        <v>158595</v>
      </c>
      <c r="G1011" s="318">
        <v>3937</v>
      </c>
      <c r="H1011" s="347"/>
    </row>
    <row r="1012" spans="2:8">
      <c r="B1012" s="347">
        <v>200704</v>
      </c>
      <c r="C1012" s="316">
        <v>2007</v>
      </c>
      <c r="D1012" s="317">
        <v>4</v>
      </c>
      <c r="E1012" s="347" t="s">
        <v>103</v>
      </c>
      <c r="F1012" s="318">
        <v>1975144</v>
      </c>
      <c r="G1012" s="318">
        <v>15743</v>
      </c>
      <c r="H1012" s="347"/>
    </row>
    <row r="1013" spans="2:8">
      <c r="B1013" s="347">
        <v>200705</v>
      </c>
      <c r="C1013" s="316">
        <v>2007</v>
      </c>
      <c r="D1013" s="317">
        <v>5</v>
      </c>
      <c r="E1013" s="347" t="s">
        <v>121</v>
      </c>
      <c r="F1013" s="318">
        <v>299816</v>
      </c>
      <c r="G1013" s="318">
        <v>9059</v>
      </c>
      <c r="H1013" s="347"/>
    </row>
    <row r="1014" spans="2:8">
      <c r="B1014" s="347">
        <v>200705</v>
      </c>
      <c r="C1014" s="316">
        <v>2007</v>
      </c>
      <c r="D1014" s="317">
        <v>5</v>
      </c>
      <c r="E1014" s="347" t="s">
        <v>212</v>
      </c>
      <c r="F1014" s="318">
        <v>824279</v>
      </c>
      <c r="G1014" s="318">
        <v>9322</v>
      </c>
      <c r="H1014" s="347"/>
    </row>
    <row r="1015" spans="2:8">
      <c r="B1015" s="347">
        <v>200705</v>
      </c>
      <c r="C1015" s="316">
        <v>2007</v>
      </c>
      <c r="D1015" s="317">
        <v>5</v>
      </c>
      <c r="E1015" s="347" t="s">
        <v>119</v>
      </c>
      <c r="F1015" s="318">
        <v>804690</v>
      </c>
      <c r="G1015" s="318">
        <v>10130</v>
      </c>
      <c r="H1015" s="347"/>
    </row>
    <row r="1016" spans="2:8">
      <c r="B1016" s="347">
        <v>200705</v>
      </c>
      <c r="C1016" s="316">
        <v>2007</v>
      </c>
      <c r="D1016" s="317">
        <v>5</v>
      </c>
      <c r="E1016" s="347" t="s">
        <v>120</v>
      </c>
      <c r="F1016" s="318">
        <v>808144</v>
      </c>
      <c r="G1016" s="318">
        <v>8496</v>
      </c>
      <c r="H1016" s="347"/>
    </row>
    <row r="1017" spans="2:8">
      <c r="B1017" s="347">
        <v>200705</v>
      </c>
      <c r="C1017" s="316">
        <v>2007</v>
      </c>
      <c r="D1017" s="317">
        <v>5</v>
      </c>
      <c r="E1017" s="347" t="s">
        <v>102</v>
      </c>
      <c r="F1017" s="318">
        <v>3012457</v>
      </c>
      <c r="G1017" s="318">
        <v>22821</v>
      </c>
      <c r="H1017" s="347"/>
    </row>
    <row r="1018" spans="2:8">
      <c r="B1018" s="347">
        <v>200705</v>
      </c>
      <c r="C1018" s="316">
        <v>2007</v>
      </c>
      <c r="D1018" s="317">
        <v>5</v>
      </c>
      <c r="E1018" s="347" t="s">
        <v>117</v>
      </c>
      <c r="F1018" s="318">
        <v>5610669</v>
      </c>
      <c r="G1018" s="318">
        <v>40633</v>
      </c>
      <c r="H1018" s="347"/>
    </row>
    <row r="1019" spans="2:8">
      <c r="B1019" s="347">
        <v>200705</v>
      </c>
      <c r="C1019" s="316">
        <v>2007</v>
      </c>
      <c r="D1019" s="317">
        <v>5</v>
      </c>
      <c r="E1019" s="347" t="s">
        <v>104</v>
      </c>
      <c r="F1019" s="318">
        <v>877774</v>
      </c>
      <c r="G1019" s="318">
        <v>7373</v>
      </c>
      <c r="H1019" s="347"/>
    </row>
    <row r="1020" spans="2:8">
      <c r="B1020" s="347">
        <v>200705</v>
      </c>
      <c r="C1020" s="316">
        <v>2007</v>
      </c>
      <c r="D1020" s="317">
        <v>5</v>
      </c>
      <c r="E1020" s="347" t="s">
        <v>34</v>
      </c>
      <c r="F1020" s="318">
        <v>1954280</v>
      </c>
      <c r="G1020" s="318">
        <v>18738</v>
      </c>
      <c r="H1020" s="347"/>
    </row>
    <row r="1021" spans="2:8">
      <c r="B1021" s="347">
        <v>200705</v>
      </c>
      <c r="C1021" s="316">
        <v>2007</v>
      </c>
      <c r="D1021" s="317">
        <v>5</v>
      </c>
      <c r="E1021" s="347" t="s">
        <v>118</v>
      </c>
      <c r="F1021" s="318">
        <v>175073</v>
      </c>
      <c r="G1021" s="318">
        <v>4281</v>
      </c>
      <c r="H1021" s="347"/>
    </row>
    <row r="1022" spans="2:8">
      <c r="B1022" s="347">
        <v>200705</v>
      </c>
      <c r="C1022" s="316">
        <v>2007</v>
      </c>
      <c r="D1022" s="317">
        <v>5</v>
      </c>
      <c r="E1022" s="347" t="s">
        <v>103</v>
      </c>
      <c r="F1022" s="318">
        <v>2088601</v>
      </c>
      <c r="G1022" s="318">
        <v>17038</v>
      </c>
      <c r="H1022" s="347"/>
    </row>
    <row r="1023" spans="2:8">
      <c r="B1023" s="347">
        <v>200706</v>
      </c>
      <c r="C1023" s="316">
        <v>2007</v>
      </c>
      <c r="D1023" s="317">
        <v>6</v>
      </c>
      <c r="E1023" s="347" t="s">
        <v>121</v>
      </c>
      <c r="F1023" s="318">
        <v>305586</v>
      </c>
      <c r="G1023" s="318">
        <v>8733</v>
      </c>
      <c r="H1023" s="347"/>
    </row>
    <row r="1024" spans="2:8">
      <c r="B1024" s="347">
        <v>200706</v>
      </c>
      <c r="C1024" s="316">
        <v>2007</v>
      </c>
      <c r="D1024" s="317">
        <v>6</v>
      </c>
      <c r="E1024" s="347" t="s">
        <v>212</v>
      </c>
      <c r="F1024" s="318">
        <v>904573</v>
      </c>
      <c r="G1024" s="318">
        <v>9577</v>
      </c>
      <c r="H1024" s="347"/>
    </row>
    <row r="1025" spans="2:8">
      <c r="B1025" s="347">
        <v>200706</v>
      </c>
      <c r="C1025" s="316">
        <v>2007</v>
      </c>
      <c r="D1025" s="317">
        <v>6</v>
      </c>
      <c r="E1025" s="347" t="s">
        <v>119</v>
      </c>
      <c r="F1025" s="318">
        <v>846880</v>
      </c>
      <c r="G1025" s="318">
        <v>10002</v>
      </c>
      <c r="H1025" s="347"/>
    </row>
    <row r="1026" spans="2:8">
      <c r="B1026" s="347">
        <v>200706</v>
      </c>
      <c r="C1026" s="316">
        <v>2007</v>
      </c>
      <c r="D1026" s="317">
        <v>6</v>
      </c>
      <c r="E1026" s="347" t="s">
        <v>120</v>
      </c>
      <c r="F1026" s="318">
        <v>869434</v>
      </c>
      <c r="G1026" s="318">
        <v>8538</v>
      </c>
      <c r="H1026" s="347"/>
    </row>
    <row r="1027" spans="2:8">
      <c r="B1027" s="347">
        <v>200706</v>
      </c>
      <c r="C1027" s="316">
        <v>2007</v>
      </c>
      <c r="D1027" s="317">
        <v>6</v>
      </c>
      <c r="E1027" s="347" t="s">
        <v>102</v>
      </c>
      <c r="F1027" s="318">
        <v>3359169</v>
      </c>
      <c r="G1027" s="318">
        <v>23561</v>
      </c>
      <c r="H1027" s="347"/>
    </row>
    <row r="1028" spans="2:8">
      <c r="B1028" s="347">
        <v>200706</v>
      </c>
      <c r="C1028" s="316">
        <v>2007</v>
      </c>
      <c r="D1028" s="317">
        <v>6</v>
      </c>
      <c r="E1028" s="347" t="s">
        <v>117</v>
      </c>
      <c r="F1028" s="318">
        <v>6014347</v>
      </c>
      <c r="G1028" s="318">
        <v>39965</v>
      </c>
      <c r="H1028" s="347"/>
    </row>
    <row r="1029" spans="2:8">
      <c r="B1029" s="347">
        <v>200706</v>
      </c>
      <c r="C1029" s="316">
        <v>2007</v>
      </c>
      <c r="D1029" s="317">
        <v>6</v>
      </c>
      <c r="E1029" s="347" t="s">
        <v>104</v>
      </c>
      <c r="F1029" s="318">
        <v>934508</v>
      </c>
      <c r="G1029" s="318">
        <v>7478</v>
      </c>
      <c r="H1029" s="347"/>
    </row>
    <row r="1030" spans="2:8">
      <c r="B1030" s="347">
        <v>200706</v>
      </c>
      <c r="C1030" s="316">
        <v>2007</v>
      </c>
      <c r="D1030" s="317">
        <v>6</v>
      </c>
      <c r="E1030" s="347" t="s">
        <v>34</v>
      </c>
      <c r="F1030" s="318">
        <v>2187449</v>
      </c>
      <c r="G1030" s="318">
        <v>19193</v>
      </c>
      <c r="H1030" s="347"/>
    </row>
    <row r="1031" spans="2:8">
      <c r="B1031" s="347">
        <v>200706</v>
      </c>
      <c r="C1031" s="316">
        <v>2007</v>
      </c>
      <c r="D1031" s="317">
        <v>6</v>
      </c>
      <c r="E1031" s="347" t="s">
        <v>118</v>
      </c>
      <c r="F1031" s="318">
        <v>184410</v>
      </c>
      <c r="G1031" s="318">
        <v>4163</v>
      </c>
      <c r="H1031" s="347"/>
    </row>
    <row r="1032" spans="2:8">
      <c r="B1032" s="347">
        <v>200706</v>
      </c>
      <c r="C1032" s="316">
        <v>2007</v>
      </c>
      <c r="D1032" s="317">
        <v>6</v>
      </c>
      <c r="E1032" s="347" t="s">
        <v>103</v>
      </c>
      <c r="F1032" s="318">
        <v>2205383</v>
      </c>
      <c r="G1032" s="318">
        <v>17100</v>
      </c>
      <c r="H1032" s="347"/>
    </row>
    <row r="1033" spans="2:8">
      <c r="B1033" s="347">
        <v>200707</v>
      </c>
      <c r="C1033" s="316">
        <v>2007</v>
      </c>
      <c r="D1033" s="317">
        <v>7</v>
      </c>
      <c r="E1033" s="347" t="s">
        <v>121</v>
      </c>
      <c r="F1033" s="318">
        <v>323705</v>
      </c>
      <c r="G1033" s="318">
        <v>8860</v>
      </c>
      <c r="H1033" s="347"/>
    </row>
    <row r="1034" spans="2:8">
      <c r="B1034" s="347">
        <v>200707</v>
      </c>
      <c r="C1034" s="316">
        <v>2007</v>
      </c>
      <c r="D1034" s="317">
        <v>7</v>
      </c>
      <c r="E1034" s="347" t="s">
        <v>212</v>
      </c>
      <c r="F1034" s="318">
        <v>955488</v>
      </c>
      <c r="G1034" s="318">
        <v>9640</v>
      </c>
      <c r="H1034" s="347"/>
    </row>
    <row r="1035" spans="2:8">
      <c r="B1035" s="347">
        <v>200707</v>
      </c>
      <c r="C1035" s="316">
        <v>2007</v>
      </c>
      <c r="D1035" s="317">
        <v>7</v>
      </c>
      <c r="E1035" s="347" t="s">
        <v>119</v>
      </c>
      <c r="F1035" s="318">
        <v>916779</v>
      </c>
      <c r="G1035" s="318">
        <v>10373</v>
      </c>
      <c r="H1035" s="347"/>
    </row>
    <row r="1036" spans="2:8">
      <c r="B1036" s="347">
        <v>200707</v>
      </c>
      <c r="C1036" s="316">
        <v>2007</v>
      </c>
      <c r="D1036" s="317">
        <v>7</v>
      </c>
      <c r="E1036" s="347" t="s">
        <v>120</v>
      </c>
      <c r="F1036" s="318">
        <v>968714</v>
      </c>
      <c r="G1036" s="318">
        <v>8955</v>
      </c>
      <c r="H1036" s="347"/>
    </row>
    <row r="1037" spans="2:8">
      <c r="B1037" s="347">
        <v>200707</v>
      </c>
      <c r="C1037" s="316">
        <v>2007</v>
      </c>
      <c r="D1037" s="317">
        <v>7</v>
      </c>
      <c r="E1037" s="347" t="s">
        <v>102</v>
      </c>
      <c r="F1037" s="318">
        <v>3786597</v>
      </c>
      <c r="G1037" s="318">
        <v>25138</v>
      </c>
      <c r="H1037" s="347"/>
    </row>
    <row r="1038" spans="2:8">
      <c r="B1038" s="347">
        <v>200707</v>
      </c>
      <c r="C1038" s="316">
        <v>2007</v>
      </c>
      <c r="D1038" s="317">
        <v>7</v>
      </c>
      <c r="E1038" s="347" t="s">
        <v>117</v>
      </c>
      <c r="F1038" s="318">
        <v>6419152</v>
      </c>
      <c r="G1038" s="318">
        <v>41082</v>
      </c>
      <c r="H1038" s="347"/>
    </row>
    <row r="1039" spans="2:8">
      <c r="B1039" s="347">
        <v>200707</v>
      </c>
      <c r="C1039" s="316">
        <v>2007</v>
      </c>
      <c r="D1039" s="317">
        <v>7</v>
      </c>
      <c r="E1039" s="347" t="s">
        <v>104</v>
      </c>
      <c r="F1039" s="318">
        <v>1030556</v>
      </c>
      <c r="G1039" s="318">
        <v>7950</v>
      </c>
      <c r="H1039" s="347"/>
    </row>
    <row r="1040" spans="2:8">
      <c r="B1040" s="347">
        <v>200707</v>
      </c>
      <c r="C1040" s="316">
        <v>2007</v>
      </c>
      <c r="D1040" s="317">
        <v>7</v>
      </c>
      <c r="E1040" s="347" t="s">
        <v>34</v>
      </c>
      <c r="F1040" s="318">
        <v>2355548</v>
      </c>
      <c r="G1040" s="318">
        <v>19941</v>
      </c>
      <c r="H1040" s="347"/>
    </row>
    <row r="1041" spans="2:8">
      <c r="B1041" s="347">
        <v>200707</v>
      </c>
      <c r="C1041" s="316">
        <v>2007</v>
      </c>
      <c r="D1041" s="317">
        <v>7</v>
      </c>
      <c r="E1041" s="347" t="s">
        <v>118</v>
      </c>
      <c r="F1041" s="318">
        <v>195726</v>
      </c>
      <c r="G1041" s="318">
        <v>4447</v>
      </c>
      <c r="H1041" s="347"/>
    </row>
    <row r="1042" spans="2:8">
      <c r="B1042" s="347">
        <v>200707</v>
      </c>
      <c r="C1042" s="316">
        <v>2007</v>
      </c>
      <c r="D1042" s="317">
        <v>7</v>
      </c>
      <c r="E1042" s="347" t="s">
        <v>103</v>
      </c>
      <c r="F1042" s="318">
        <v>2444880</v>
      </c>
      <c r="G1042" s="318">
        <v>17902</v>
      </c>
      <c r="H1042" s="347"/>
    </row>
    <row r="1043" spans="2:8">
      <c r="B1043" s="347">
        <v>200708</v>
      </c>
      <c r="C1043" s="316">
        <v>2007</v>
      </c>
      <c r="D1043" s="317">
        <v>8</v>
      </c>
      <c r="E1043" s="347" t="s">
        <v>121</v>
      </c>
      <c r="F1043" s="318">
        <v>314664</v>
      </c>
      <c r="G1043" s="318">
        <v>9208</v>
      </c>
      <c r="H1043" s="347"/>
    </row>
    <row r="1044" spans="2:8">
      <c r="B1044" s="347">
        <v>200708</v>
      </c>
      <c r="C1044" s="316">
        <v>2007</v>
      </c>
      <c r="D1044" s="317">
        <v>8</v>
      </c>
      <c r="E1044" s="347" t="s">
        <v>212</v>
      </c>
      <c r="F1044" s="318">
        <v>996495</v>
      </c>
      <c r="G1044" s="318">
        <v>9608</v>
      </c>
      <c r="H1044" s="347"/>
    </row>
    <row r="1045" spans="2:8">
      <c r="B1045" s="347">
        <v>200708</v>
      </c>
      <c r="C1045" s="316">
        <v>2007</v>
      </c>
      <c r="D1045" s="317">
        <v>8</v>
      </c>
      <c r="E1045" s="347" t="s">
        <v>119</v>
      </c>
      <c r="F1045" s="318">
        <v>894613</v>
      </c>
      <c r="G1045" s="318">
        <v>10374</v>
      </c>
      <c r="H1045" s="347"/>
    </row>
    <row r="1046" spans="2:8">
      <c r="B1046" s="347">
        <v>200708</v>
      </c>
      <c r="C1046" s="316">
        <v>2007</v>
      </c>
      <c r="D1046" s="317">
        <v>8</v>
      </c>
      <c r="E1046" s="347" t="s">
        <v>120</v>
      </c>
      <c r="F1046" s="318">
        <v>869020</v>
      </c>
      <c r="G1046" s="318">
        <v>8660</v>
      </c>
      <c r="H1046" s="347"/>
    </row>
    <row r="1047" spans="2:8">
      <c r="B1047" s="347">
        <v>200708</v>
      </c>
      <c r="C1047" s="316">
        <v>2007</v>
      </c>
      <c r="D1047" s="317">
        <v>8</v>
      </c>
      <c r="E1047" s="347" t="s">
        <v>102</v>
      </c>
      <c r="F1047" s="318">
        <v>3969483</v>
      </c>
      <c r="G1047" s="318">
        <v>25662</v>
      </c>
      <c r="H1047" s="347"/>
    </row>
    <row r="1048" spans="2:8">
      <c r="B1048" s="347">
        <v>200708</v>
      </c>
      <c r="C1048" s="316">
        <v>2007</v>
      </c>
      <c r="D1048" s="317">
        <v>8</v>
      </c>
      <c r="E1048" s="347" t="s">
        <v>117</v>
      </c>
      <c r="F1048" s="318">
        <v>6377830</v>
      </c>
      <c r="G1048" s="318">
        <v>41529</v>
      </c>
      <c r="H1048" s="347"/>
    </row>
    <row r="1049" spans="2:8">
      <c r="B1049" s="347">
        <v>200708</v>
      </c>
      <c r="C1049" s="316">
        <v>2007</v>
      </c>
      <c r="D1049" s="317">
        <v>8</v>
      </c>
      <c r="E1049" s="347" t="s">
        <v>104</v>
      </c>
      <c r="F1049" s="318">
        <v>1066967</v>
      </c>
      <c r="G1049" s="318">
        <v>7991</v>
      </c>
      <c r="H1049" s="347"/>
    </row>
    <row r="1050" spans="2:8">
      <c r="B1050" s="347">
        <v>200708</v>
      </c>
      <c r="C1050" s="316">
        <v>2007</v>
      </c>
      <c r="D1050" s="317">
        <v>8</v>
      </c>
      <c r="E1050" s="347" t="s">
        <v>34</v>
      </c>
      <c r="F1050" s="318">
        <v>2483408</v>
      </c>
      <c r="G1050" s="318">
        <v>20186</v>
      </c>
      <c r="H1050" s="347"/>
    </row>
    <row r="1051" spans="2:8">
      <c r="B1051" s="347">
        <v>200708</v>
      </c>
      <c r="C1051" s="316">
        <v>2007</v>
      </c>
      <c r="D1051" s="317">
        <v>8</v>
      </c>
      <c r="E1051" s="347" t="s">
        <v>118</v>
      </c>
      <c r="F1051" s="318">
        <v>204081</v>
      </c>
      <c r="G1051" s="318">
        <v>4465</v>
      </c>
      <c r="H1051" s="347"/>
    </row>
    <row r="1052" spans="2:8">
      <c r="B1052" s="347">
        <v>200708</v>
      </c>
      <c r="C1052" s="316">
        <v>2007</v>
      </c>
      <c r="D1052" s="317">
        <v>8</v>
      </c>
      <c r="E1052" s="347" t="s">
        <v>103</v>
      </c>
      <c r="F1052" s="318">
        <v>2530992</v>
      </c>
      <c r="G1052" s="318">
        <v>18116</v>
      </c>
      <c r="H1052" s="347"/>
    </row>
    <row r="1053" spans="2:8">
      <c r="B1053" s="347">
        <v>200709</v>
      </c>
      <c r="C1053" s="316">
        <v>2007</v>
      </c>
      <c r="D1053" s="317">
        <v>9</v>
      </c>
      <c r="E1053" s="347" t="s">
        <v>121</v>
      </c>
      <c r="F1053" s="318">
        <v>309744</v>
      </c>
      <c r="G1053" s="318">
        <v>8628</v>
      </c>
      <c r="H1053" s="347"/>
    </row>
    <row r="1054" spans="2:8">
      <c r="B1054" s="347">
        <v>200709</v>
      </c>
      <c r="C1054" s="316">
        <v>2007</v>
      </c>
      <c r="D1054" s="317">
        <v>9</v>
      </c>
      <c r="E1054" s="347" t="s">
        <v>212</v>
      </c>
      <c r="F1054" s="318">
        <v>962925</v>
      </c>
      <c r="G1054" s="318">
        <v>9588</v>
      </c>
      <c r="H1054" s="347"/>
    </row>
    <row r="1055" spans="2:8">
      <c r="B1055" s="347">
        <v>200709</v>
      </c>
      <c r="C1055" s="316">
        <v>2007</v>
      </c>
      <c r="D1055" s="317">
        <v>9</v>
      </c>
      <c r="E1055" s="347" t="s">
        <v>119</v>
      </c>
      <c r="F1055" s="318">
        <v>847955</v>
      </c>
      <c r="G1055" s="318">
        <v>9811</v>
      </c>
      <c r="H1055" s="347"/>
    </row>
    <row r="1056" spans="2:8">
      <c r="B1056" s="347">
        <v>200709</v>
      </c>
      <c r="C1056" s="316">
        <v>2007</v>
      </c>
      <c r="D1056" s="317">
        <v>9</v>
      </c>
      <c r="E1056" s="347" t="s">
        <v>120</v>
      </c>
      <c r="F1056" s="318">
        <v>883639</v>
      </c>
      <c r="G1056" s="318">
        <v>8418</v>
      </c>
      <c r="H1056" s="347"/>
    </row>
    <row r="1057" spans="2:8">
      <c r="B1057" s="347">
        <v>200709</v>
      </c>
      <c r="C1057" s="316">
        <v>2007</v>
      </c>
      <c r="D1057" s="317">
        <v>9</v>
      </c>
      <c r="E1057" s="347" t="s">
        <v>102</v>
      </c>
      <c r="F1057" s="318">
        <v>3549887</v>
      </c>
      <c r="G1057" s="318">
        <v>24182</v>
      </c>
      <c r="H1057" s="347"/>
    </row>
    <row r="1058" spans="2:8">
      <c r="B1058" s="347">
        <v>200709</v>
      </c>
      <c r="C1058" s="316">
        <v>2007</v>
      </c>
      <c r="D1058" s="317">
        <v>9</v>
      </c>
      <c r="E1058" s="347" t="s">
        <v>117</v>
      </c>
      <c r="F1058" s="318">
        <v>6022166</v>
      </c>
      <c r="G1058" s="318">
        <v>40118</v>
      </c>
      <c r="H1058" s="347"/>
    </row>
    <row r="1059" spans="2:8">
      <c r="B1059" s="347">
        <v>200709</v>
      </c>
      <c r="C1059" s="316">
        <v>2007</v>
      </c>
      <c r="D1059" s="317">
        <v>9</v>
      </c>
      <c r="E1059" s="347" t="s">
        <v>104</v>
      </c>
      <c r="F1059" s="318">
        <v>946653</v>
      </c>
      <c r="G1059" s="318">
        <v>7504</v>
      </c>
      <c r="H1059" s="347"/>
    </row>
    <row r="1060" spans="2:8">
      <c r="B1060" s="347">
        <v>200709</v>
      </c>
      <c r="C1060" s="316">
        <v>2007</v>
      </c>
      <c r="D1060" s="317">
        <v>9</v>
      </c>
      <c r="E1060" s="347" t="s">
        <v>34</v>
      </c>
      <c r="F1060" s="318">
        <v>2288807</v>
      </c>
      <c r="G1060" s="318">
        <v>19191</v>
      </c>
      <c r="H1060" s="347"/>
    </row>
    <row r="1061" spans="2:8">
      <c r="B1061" s="347">
        <v>200709</v>
      </c>
      <c r="C1061" s="316">
        <v>2007</v>
      </c>
      <c r="D1061" s="317">
        <v>9</v>
      </c>
      <c r="E1061" s="347" t="s">
        <v>118</v>
      </c>
      <c r="F1061" s="318">
        <v>190385</v>
      </c>
      <c r="G1061" s="318">
        <v>4134</v>
      </c>
      <c r="H1061" s="347"/>
    </row>
    <row r="1062" spans="2:8">
      <c r="B1062" s="347">
        <v>200709</v>
      </c>
      <c r="C1062" s="316">
        <v>2007</v>
      </c>
      <c r="D1062" s="317">
        <v>9</v>
      </c>
      <c r="E1062" s="347" t="s">
        <v>103</v>
      </c>
      <c r="F1062" s="318">
        <v>2203768</v>
      </c>
      <c r="G1062" s="318">
        <v>17061</v>
      </c>
      <c r="H1062" s="347"/>
    </row>
    <row r="1063" spans="2:8">
      <c r="B1063" s="347">
        <v>200710</v>
      </c>
      <c r="C1063" s="316">
        <v>2007</v>
      </c>
      <c r="D1063" s="317">
        <v>10</v>
      </c>
      <c r="E1063" s="347" t="s">
        <v>121</v>
      </c>
      <c r="F1063" s="318">
        <v>317435</v>
      </c>
      <c r="G1063" s="318">
        <v>9439</v>
      </c>
      <c r="H1063" s="347"/>
    </row>
    <row r="1064" spans="2:8">
      <c r="B1064" s="347">
        <v>200710</v>
      </c>
      <c r="C1064" s="316">
        <v>2007</v>
      </c>
      <c r="D1064" s="317">
        <v>10</v>
      </c>
      <c r="E1064" s="347" t="s">
        <v>212</v>
      </c>
      <c r="F1064" s="318">
        <v>843100</v>
      </c>
      <c r="G1064" s="318">
        <v>9457</v>
      </c>
      <c r="H1064" s="347"/>
    </row>
    <row r="1065" spans="2:8">
      <c r="B1065" s="347">
        <v>200710</v>
      </c>
      <c r="C1065" s="316">
        <v>2007</v>
      </c>
      <c r="D1065" s="317">
        <v>10</v>
      </c>
      <c r="E1065" s="347" t="s">
        <v>119</v>
      </c>
      <c r="F1065" s="318">
        <v>820155</v>
      </c>
      <c r="G1065" s="318">
        <v>10247</v>
      </c>
      <c r="H1065" s="347"/>
    </row>
    <row r="1066" spans="2:8">
      <c r="B1066" s="347">
        <v>200710</v>
      </c>
      <c r="C1066" s="316">
        <v>2007</v>
      </c>
      <c r="D1066" s="317">
        <v>10</v>
      </c>
      <c r="E1066" s="347" t="s">
        <v>120</v>
      </c>
      <c r="F1066" s="318">
        <v>866337</v>
      </c>
      <c r="G1066" s="318">
        <v>8730</v>
      </c>
      <c r="H1066" s="347"/>
    </row>
    <row r="1067" spans="2:8">
      <c r="B1067" s="347">
        <v>200710</v>
      </c>
      <c r="C1067" s="316">
        <v>2007</v>
      </c>
      <c r="D1067" s="317">
        <v>10</v>
      </c>
      <c r="E1067" s="347" t="s">
        <v>102</v>
      </c>
      <c r="F1067" s="318">
        <v>3092036</v>
      </c>
      <c r="G1067" s="318">
        <v>22754</v>
      </c>
      <c r="H1067" s="347"/>
    </row>
    <row r="1068" spans="2:8">
      <c r="B1068" s="347">
        <v>200710</v>
      </c>
      <c r="C1068" s="316">
        <v>2007</v>
      </c>
      <c r="D1068" s="317">
        <v>10</v>
      </c>
      <c r="E1068" s="347" t="s">
        <v>117</v>
      </c>
      <c r="F1068" s="318">
        <v>5843827</v>
      </c>
      <c r="G1068" s="318">
        <v>40895</v>
      </c>
      <c r="H1068" s="347"/>
    </row>
    <row r="1069" spans="2:8">
      <c r="B1069" s="347">
        <v>200710</v>
      </c>
      <c r="C1069" s="316">
        <v>2007</v>
      </c>
      <c r="D1069" s="317">
        <v>10</v>
      </c>
      <c r="E1069" s="347" t="s">
        <v>104</v>
      </c>
      <c r="F1069" s="318">
        <v>871230</v>
      </c>
      <c r="G1069" s="318">
        <v>7347</v>
      </c>
      <c r="H1069" s="347"/>
    </row>
    <row r="1070" spans="2:8">
      <c r="B1070" s="347">
        <v>200710</v>
      </c>
      <c r="C1070" s="316">
        <v>2007</v>
      </c>
      <c r="D1070" s="317">
        <v>10</v>
      </c>
      <c r="E1070" s="347" t="s">
        <v>34</v>
      </c>
      <c r="F1070" s="318">
        <v>1994433</v>
      </c>
      <c r="G1070" s="318">
        <v>18479</v>
      </c>
      <c r="H1070" s="347"/>
    </row>
    <row r="1071" spans="2:8">
      <c r="B1071" s="347">
        <v>200710</v>
      </c>
      <c r="C1071" s="316">
        <v>2007</v>
      </c>
      <c r="D1071" s="317">
        <v>10</v>
      </c>
      <c r="E1071" s="347" t="s">
        <v>118</v>
      </c>
      <c r="F1071" s="318">
        <v>178995</v>
      </c>
      <c r="G1071" s="318">
        <v>4110</v>
      </c>
      <c r="H1071" s="347"/>
    </row>
    <row r="1072" spans="2:8">
      <c r="B1072" s="347">
        <v>200710</v>
      </c>
      <c r="C1072" s="316">
        <v>2007</v>
      </c>
      <c r="D1072" s="317">
        <v>10</v>
      </c>
      <c r="E1072" s="347" t="s">
        <v>103</v>
      </c>
      <c r="F1072" s="318">
        <v>2108572</v>
      </c>
      <c r="G1072" s="318">
        <v>16965</v>
      </c>
      <c r="H1072" s="347"/>
    </row>
    <row r="1073" spans="2:8">
      <c r="B1073" s="347">
        <v>200711</v>
      </c>
      <c r="C1073" s="316">
        <v>2007</v>
      </c>
      <c r="D1073" s="317">
        <v>11</v>
      </c>
      <c r="E1073" s="347" t="s">
        <v>121</v>
      </c>
      <c r="F1073" s="318">
        <v>270074</v>
      </c>
      <c r="G1073" s="318">
        <v>8577</v>
      </c>
      <c r="H1073" s="347"/>
    </row>
    <row r="1074" spans="2:8">
      <c r="B1074" s="347">
        <v>200711</v>
      </c>
      <c r="C1074" s="316">
        <v>2007</v>
      </c>
      <c r="D1074" s="317">
        <v>11</v>
      </c>
      <c r="E1074" s="347" t="s">
        <v>212</v>
      </c>
      <c r="F1074" s="318">
        <v>602050</v>
      </c>
      <c r="G1074" s="318">
        <v>7911</v>
      </c>
      <c r="H1074" s="347"/>
    </row>
    <row r="1075" spans="2:8">
      <c r="B1075" s="347">
        <v>200711</v>
      </c>
      <c r="C1075" s="316">
        <v>2007</v>
      </c>
      <c r="D1075" s="317">
        <v>11</v>
      </c>
      <c r="E1075" s="347" t="s">
        <v>119</v>
      </c>
      <c r="F1075" s="318">
        <v>693008</v>
      </c>
      <c r="G1075" s="318">
        <v>9433</v>
      </c>
      <c r="H1075" s="347"/>
    </row>
    <row r="1076" spans="2:8">
      <c r="B1076" s="347">
        <v>200711</v>
      </c>
      <c r="C1076" s="316">
        <v>2007</v>
      </c>
      <c r="D1076" s="317">
        <v>11</v>
      </c>
      <c r="E1076" s="347" t="s">
        <v>120</v>
      </c>
      <c r="F1076" s="318">
        <v>607206</v>
      </c>
      <c r="G1076" s="318">
        <v>6978</v>
      </c>
      <c r="H1076" s="347"/>
    </row>
    <row r="1077" spans="2:8">
      <c r="B1077" s="347">
        <v>200711</v>
      </c>
      <c r="C1077" s="316">
        <v>2007</v>
      </c>
      <c r="D1077" s="317">
        <v>11</v>
      </c>
      <c r="E1077" s="347" t="s">
        <v>102</v>
      </c>
      <c r="F1077" s="318">
        <v>2284674</v>
      </c>
      <c r="G1077" s="318">
        <v>18456</v>
      </c>
      <c r="H1077" s="347"/>
    </row>
    <row r="1078" spans="2:8">
      <c r="B1078" s="347">
        <v>200711</v>
      </c>
      <c r="C1078" s="316">
        <v>2007</v>
      </c>
      <c r="D1078" s="317">
        <v>11</v>
      </c>
      <c r="E1078" s="347" t="s">
        <v>117</v>
      </c>
      <c r="F1078" s="318">
        <v>5221779</v>
      </c>
      <c r="G1078" s="318">
        <v>38987</v>
      </c>
      <c r="H1078" s="347"/>
    </row>
    <row r="1079" spans="2:8">
      <c r="B1079" s="347">
        <v>200711</v>
      </c>
      <c r="C1079" s="316">
        <v>2007</v>
      </c>
      <c r="D1079" s="317">
        <v>11</v>
      </c>
      <c r="E1079" s="347" t="s">
        <v>104</v>
      </c>
      <c r="F1079" s="318">
        <v>684650</v>
      </c>
      <c r="G1079" s="318">
        <v>6250</v>
      </c>
      <c r="H1079" s="347"/>
    </row>
    <row r="1080" spans="2:8">
      <c r="B1080" s="347">
        <v>200711</v>
      </c>
      <c r="C1080" s="316">
        <v>2007</v>
      </c>
      <c r="D1080" s="317">
        <v>11</v>
      </c>
      <c r="E1080" s="347" t="s">
        <v>34</v>
      </c>
      <c r="F1080" s="318">
        <v>1385769</v>
      </c>
      <c r="G1080" s="318">
        <v>14913</v>
      </c>
      <c r="H1080" s="347"/>
    </row>
    <row r="1081" spans="2:8">
      <c r="B1081" s="347">
        <v>200711</v>
      </c>
      <c r="C1081" s="316">
        <v>2007</v>
      </c>
      <c r="D1081" s="317">
        <v>11</v>
      </c>
      <c r="E1081" s="347" t="s">
        <v>118</v>
      </c>
      <c r="F1081" s="318">
        <v>149121</v>
      </c>
      <c r="G1081" s="318">
        <v>3616</v>
      </c>
      <c r="H1081" s="347"/>
    </row>
    <row r="1082" spans="2:8">
      <c r="B1082" s="347">
        <v>200711</v>
      </c>
      <c r="C1082" s="316">
        <v>2007</v>
      </c>
      <c r="D1082" s="317">
        <v>11</v>
      </c>
      <c r="E1082" s="347" t="s">
        <v>103</v>
      </c>
      <c r="F1082" s="318">
        <v>1552539</v>
      </c>
      <c r="G1082" s="318">
        <v>13608</v>
      </c>
      <c r="H1082" s="347"/>
    </row>
    <row r="1083" spans="2:8">
      <c r="B1083" s="347">
        <v>200712</v>
      </c>
      <c r="C1083" s="316">
        <v>2007</v>
      </c>
      <c r="D1083" s="317">
        <v>12</v>
      </c>
      <c r="E1083" s="347" t="s">
        <v>121</v>
      </c>
      <c r="F1083" s="318">
        <v>242818</v>
      </c>
      <c r="G1083" s="318">
        <v>7444</v>
      </c>
      <c r="H1083" s="347"/>
    </row>
    <row r="1084" spans="2:8">
      <c r="B1084" s="347">
        <v>200712</v>
      </c>
      <c r="C1084" s="316">
        <v>2007</v>
      </c>
      <c r="D1084" s="317">
        <v>12</v>
      </c>
      <c r="E1084" s="347" t="s">
        <v>212</v>
      </c>
      <c r="F1084" s="318">
        <v>578136</v>
      </c>
      <c r="G1084" s="318">
        <v>7366</v>
      </c>
      <c r="H1084" s="347"/>
    </row>
    <row r="1085" spans="2:8">
      <c r="B1085" s="347">
        <v>200712</v>
      </c>
      <c r="C1085" s="316">
        <v>2007</v>
      </c>
      <c r="D1085" s="317">
        <v>12</v>
      </c>
      <c r="E1085" s="347" t="s">
        <v>119</v>
      </c>
      <c r="F1085" s="318">
        <v>622357</v>
      </c>
      <c r="G1085" s="318">
        <v>8308</v>
      </c>
      <c r="H1085" s="347"/>
    </row>
    <row r="1086" spans="2:8">
      <c r="B1086" s="347">
        <v>200712</v>
      </c>
      <c r="C1086" s="316">
        <v>2007</v>
      </c>
      <c r="D1086" s="317">
        <v>12</v>
      </c>
      <c r="E1086" s="347" t="s">
        <v>120</v>
      </c>
      <c r="F1086" s="318">
        <v>520869</v>
      </c>
      <c r="G1086" s="318">
        <v>6217</v>
      </c>
      <c r="H1086" s="347"/>
    </row>
    <row r="1087" spans="2:8">
      <c r="B1087" s="347">
        <v>200712</v>
      </c>
      <c r="C1087" s="316">
        <v>2007</v>
      </c>
      <c r="D1087" s="317">
        <v>12</v>
      </c>
      <c r="E1087" s="347" t="s">
        <v>102</v>
      </c>
      <c r="F1087" s="318">
        <v>2423153</v>
      </c>
      <c r="G1087" s="318">
        <v>19077</v>
      </c>
      <c r="H1087" s="347"/>
    </row>
    <row r="1088" spans="2:8">
      <c r="B1088" s="347">
        <v>200712</v>
      </c>
      <c r="C1088" s="316">
        <v>2007</v>
      </c>
      <c r="D1088" s="317">
        <v>12</v>
      </c>
      <c r="E1088" s="347" t="s">
        <v>117</v>
      </c>
      <c r="F1088" s="318">
        <v>5374269</v>
      </c>
      <c r="G1088" s="318">
        <v>37956</v>
      </c>
      <c r="H1088" s="347"/>
    </row>
    <row r="1089" spans="2:8">
      <c r="B1089" s="347">
        <v>200712</v>
      </c>
      <c r="C1089" s="316">
        <v>2007</v>
      </c>
      <c r="D1089" s="317">
        <v>12</v>
      </c>
      <c r="E1089" s="347" t="s">
        <v>104</v>
      </c>
      <c r="F1089" s="318">
        <v>701688</v>
      </c>
      <c r="G1089" s="318">
        <v>6376</v>
      </c>
      <c r="H1089" s="347"/>
    </row>
    <row r="1090" spans="2:8">
      <c r="B1090" s="347">
        <v>200712</v>
      </c>
      <c r="C1090" s="316">
        <v>2007</v>
      </c>
      <c r="D1090" s="317">
        <v>12</v>
      </c>
      <c r="E1090" s="347" t="s">
        <v>34</v>
      </c>
      <c r="F1090" s="318">
        <v>1383599</v>
      </c>
      <c r="G1090" s="318">
        <v>13993</v>
      </c>
      <c r="H1090" s="347"/>
    </row>
    <row r="1091" spans="2:8">
      <c r="B1091" s="347">
        <v>200712</v>
      </c>
      <c r="C1091" s="316">
        <v>2007</v>
      </c>
      <c r="D1091" s="317">
        <v>12</v>
      </c>
      <c r="E1091" s="347" t="s">
        <v>118</v>
      </c>
      <c r="F1091" s="318">
        <v>133000</v>
      </c>
      <c r="G1091" s="318">
        <v>3159</v>
      </c>
      <c r="H1091" s="347"/>
    </row>
    <row r="1092" spans="2:8">
      <c r="B1092" s="347">
        <v>200712</v>
      </c>
      <c r="C1092" s="316">
        <v>2007</v>
      </c>
      <c r="D1092" s="317">
        <v>12</v>
      </c>
      <c r="E1092" s="347" t="s">
        <v>103</v>
      </c>
      <c r="F1092" s="318">
        <v>1612151</v>
      </c>
      <c r="G1092" s="318">
        <v>13326</v>
      </c>
      <c r="H1092" s="347"/>
    </row>
    <row r="1093" spans="2:8">
      <c r="B1093" s="347">
        <v>200801</v>
      </c>
      <c r="C1093" s="316">
        <v>2008</v>
      </c>
      <c r="D1093" s="317">
        <v>1</v>
      </c>
      <c r="E1093" s="347" t="s">
        <v>121</v>
      </c>
      <c r="F1093" s="318">
        <v>229995</v>
      </c>
      <c r="G1093" s="318">
        <v>7850</v>
      </c>
      <c r="H1093" s="347"/>
    </row>
    <row r="1094" spans="2:8">
      <c r="B1094" s="347">
        <v>200801</v>
      </c>
      <c r="C1094" s="316">
        <v>2008</v>
      </c>
      <c r="D1094" s="317">
        <v>1</v>
      </c>
      <c r="E1094" s="347" t="s">
        <v>212</v>
      </c>
      <c r="F1094" s="318">
        <v>568088</v>
      </c>
      <c r="G1094" s="318">
        <v>7577</v>
      </c>
      <c r="H1094" s="347"/>
    </row>
    <row r="1095" spans="2:8">
      <c r="B1095" s="347">
        <v>200801</v>
      </c>
      <c r="C1095" s="316">
        <v>2008</v>
      </c>
      <c r="D1095" s="317">
        <v>1</v>
      </c>
      <c r="E1095" s="347" t="s">
        <v>119</v>
      </c>
      <c r="F1095" s="318">
        <v>587769</v>
      </c>
      <c r="G1095" s="318">
        <v>8902</v>
      </c>
      <c r="H1095" s="347"/>
    </row>
    <row r="1096" spans="2:8">
      <c r="B1096" s="347">
        <v>200801</v>
      </c>
      <c r="C1096" s="316">
        <v>2008</v>
      </c>
      <c r="D1096" s="317">
        <v>1</v>
      </c>
      <c r="E1096" s="347" t="s">
        <v>120</v>
      </c>
      <c r="F1096" s="318">
        <v>501051</v>
      </c>
      <c r="G1096" s="318">
        <v>6416</v>
      </c>
      <c r="H1096" s="347"/>
    </row>
    <row r="1097" spans="2:8">
      <c r="B1097" s="347">
        <v>200801</v>
      </c>
      <c r="C1097" s="316">
        <v>2008</v>
      </c>
      <c r="D1097" s="317">
        <v>1</v>
      </c>
      <c r="E1097" s="347" t="s">
        <v>102</v>
      </c>
      <c r="F1097" s="318">
        <v>2217245</v>
      </c>
      <c r="G1097" s="318">
        <v>19387</v>
      </c>
      <c r="H1097" s="347"/>
    </row>
    <row r="1098" spans="2:8">
      <c r="B1098" s="347">
        <v>200801</v>
      </c>
      <c r="C1098" s="316">
        <v>2008</v>
      </c>
      <c r="D1098" s="317">
        <v>1</v>
      </c>
      <c r="E1098" s="347" t="s">
        <v>117</v>
      </c>
      <c r="F1098" s="318">
        <v>4958007</v>
      </c>
      <c r="G1098" s="318">
        <v>38747</v>
      </c>
      <c r="H1098" s="347"/>
    </row>
    <row r="1099" spans="2:8">
      <c r="B1099" s="347">
        <v>200801</v>
      </c>
      <c r="C1099" s="316">
        <v>2008</v>
      </c>
      <c r="D1099" s="317">
        <v>1</v>
      </c>
      <c r="E1099" s="347" t="s">
        <v>104</v>
      </c>
      <c r="F1099" s="318">
        <v>647226</v>
      </c>
      <c r="G1099" s="318">
        <v>6575</v>
      </c>
      <c r="H1099" s="347"/>
    </row>
    <row r="1100" spans="2:8">
      <c r="B1100" s="347">
        <v>200801</v>
      </c>
      <c r="C1100" s="316">
        <v>2008</v>
      </c>
      <c r="D1100" s="317">
        <v>1</v>
      </c>
      <c r="E1100" s="347" t="s">
        <v>34</v>
      </c>
      <c r="F1100" s="318">
        <v>1315132</v>
      </c>
      <c r="G1100" s="318">
        <v>14320</v>
      </c>
      <c r="H1100" s="347"/>
    </row>
    <row r="1101" spans="2:8">
      <c r="B1101" s="347">
        <v>200801</v>
      </c>
      <c r="C1101" s="316">
        <v>2008</v>
      </c>
      <c r="D1101" s="317">
        <v>1</v>
      </c>
      <c r="E1101" s="347" t="s">
        <v>118</v>
      </c>
      <c r="F1101" s="318">
        <v>118842</v>
      </c>
      <c r="G1101" s="318">
        <v>3194</v>
      </c>
      <c r="H1101" s="347"/>
    </row>
    <row r="1102" spans="2:8">
      <c r="B1102" s="347">
        <v>200801</v>
      </c>
      <c r="C1102" s="316">
        <v>2008</v>
      </c>
      <c r="D1102" s="317">
        <v>1</v>
      </c>
      <c r="E1102" s="347" t="s">
        <v>103</v>
      </c>
      <c r="F1102" s="318">
        <v>1449794</v>
      </c>
      <c r="G1102" s="318">
        <v>14028</v>
      </c>
      <c r="H1102" s="347"/>
    </row>
    <row r="1103" spans="2:8">
      <c r="B1103" s="347">
        <v>200802</v>
      </c>
      <c r="C1103" s="316">
        <v>2008</v>
      </c>
      <c r="D1103" s="317">
        <v>2</v>
      </c>
      <c r="E1103" s="347" t="s">
        <v>121</v>
      </c>
      <c r="F1103" s="318">
        <v>241799</v>
      </c>
      <c r="G1103" s="318">
        <v>7842</v>
      </c>
      <c r="H1103" s="347"/>
    </row>
    <row r="1104" spans="2:8">
      <c r="B1104" s="347">
        <v>200802</v>
      </c>
      <c r="C1104" s="316">
        <v>2008</v>
      </c>
      <c r="D1104" s="317">
        <v>2</v>
      </c>
      <c r="E1104" s="347" t="s">
        <v>212</v>
      </c>
      <c r="F1104" s="318">
        <v>628194</v>
      </c>
      <c r="G1104" s="318">
        <v>7540</v>
      </c>
      <c r="H1104" s="347"/>
    </row>
    <row r="1105" spans="2:8">
      <c r="B1105" s="347">
        <v>200802</v>
      </c>
      <c r="C1105" s="316">
        <v>2008</v>
      </c>
      <c r="D1105" s="317">
        <v>2</v>
      </c>
      <c r="E1105" s="347" t="s">
        <v>119</v>
      </c>
      <c r="F1105" s="318">
        <v>637504</v>
      </c>
      <c r="G1105" s="318">
        <v>8518</v>
      </c>
      <c r="H1105" s="347"/>
    </row>
    <row r="1106" spans="2:8">
      <c r="B1106" s="347">
        <v>200802</v>
      </c>
      <c r="C1106" s="316">
        <v>2008</v>
      </c>
      <c r="D1106" s="317">
        <v>2</v>
      </c>
      <c r="E1106" s="347" t="s">
        <v>120</v>
      </c>
      <c r="F1106" s="318">
        <v>511136</v>
      </c>
      <c r="G1106" s="318">
        <v>6086</v>
      </c>
      <c r="H1106" s="347"/>
    </row>
    <row r="1107" spans="2:8">
      <c r="B1107" s="347">
        <v>200802</v>
      </c>
      <c r="C1107" s="316">
        <v>2008</v>
      </c>
      <c r="D1107" s="317">
        <v>2</v>
      </c>
      <c r="E1107" s="347" t="s">
        <v>102</v>
      </c>
      <c r="F1107" s="318">
        <v>2322344</v>
      </c>
      <c r="G1107" s="318">
        <v>18391</v>
      </c>
      <c r="H1107" s="347"/>
    </row>
    <row r="1108" spans="2:8">
      <c r="B1108" s="347">
        <v>200802</v>
      </c>
      <c r="C1108" s="316">
        <v>2008</v>
      </c>
      <c r="D1108" s="317">
        <v>2</v>
      </c>
      <c r="E1108" s="347" t="s">
        <v>117</v>
      </c>
      <c r="F1108" s="318">
        <v>4827163</v>
      </c>
      <c r="G1108" s="318">
        <v>37310</v>
      </c>
      <c r="H1108" s="347"/>
    </row>
    <row r="1109" spans="2:8">
      <c r="B1109" s="347">
        <v>200802</v>
      </c>
      <c r="C1109" s="316">
        <v>2008</v>
      </c>
      <c r="D1109" s="317">
        <v>2</v>
      </c>
      <c r="E1109" s="347" t="s">
        <v>104</v>
      </c>
      <c r="F1109" s="318">
        <v>715071</v>
      </c>
      <c r="G1109" s="318">
        <v>6271</v>
      </c>
      <c r="H1109" s="347"/>
    </row>
    <row r="1110" spans="2:8">
      <c r="B1110" s="347">
        <v>200802</v>
      </c>
      <c r="C1110" s="316">
        <v>2008</v>
      </c>
      <c r="D1110" s="317">
        <v>2</v>
      </c>
      <c r="E1110" s="347" t="s">
        <v>34</v>
      </c>
      <c r="F1110" s="318">
        <v>1382516</v>
      </c>
      <c r="G1110" s="318">
        <v>14214</v>
      </c>
      <c r="H1110" s="347"/>
    </row>
    <row r="1111" spans="2:8">
      <c r="B1111" s="347">
        <v>200802</v>
      </c>
      <c r="C1111" s="316">
        <v>2008</v>
      </c>
      <c r="D1111" s="317">
        <v>2</v>
      </c>
      <c r="E1111" s="347" t="s">
        <v>118</v>
      </c>
      <c r="F1111" s="318">
        <v>135610</v>
      </c>
      <c r="G1111" s="318">
        <v>3159</v>
      </c>
      <c r="H1111" s="347"/>
    </row>
    <row r="1112" spans="2:8">
      <c r="B1112" s="347">
        <v>200802</v>
      </c>
      <c r="C1112" s="316">
        <v>2008</v>
      </c>
      <c r="D1112" s="317">
        <v>2</v>
      </c>
      <c r="E1112" s="347" t="s">
        <v>103</v>
      </c>
      <c r="F1112" s="318">
        <v>1545905</v>
      </c>
      <c r="G1112" s="318">
        <v>13217</v>
      </c>
      <c r="H1112" s="347"/>
    </row>
    <row r="1113" spans="2:8">
      <c r="B1113" s="347">
        <v>200803</v>
      </c>
      <c r="C1113" s="316">
        <v>2008</v>
      </c>
      <c r="D1113" s="317">
        <v>3</v>
      </c>
      <c r="E1113" s="347" t="s">
        <v>121</v>
      </c>
      <c r="F1113" s="318">
        <v>260071</v>
      </c>
      <c r="G1113" s="318">
        <v>7919</v>
      </c>
      <c r="H1113" s="347"/>
    </row>
    <row r="1114" spans="2:8">
      <c r="B1114" s="347">
        <v>200803</v>
      </c>
      <c r="C1114" s="316">
        <v>2008</v>
      </c>
      <c r="D1114" s="317">
        <v>3</v>
      </c>
      <c r="E1114" s="347" t="s">
        <v>212</v>
      </c>
      <c r="F1114" s="318">
        <v>723678</v>
      </c>
      <c r="G1114" s="318">
        <v>8081</v>
      </c>
      <c r="H1114" s="347"/>
    </row>
    <row r="1115" spans="2:8">
      <c r="B1115" s="347">
        <v>200803</v>
      </c>
      <c r="C1115" s="316">
        <v>2008</v>
      </c>
      <c r="D1115" s="317">
        <v>3</v>
      </c>
      <c r="E1115" s="347" t="s">
        <v>119</v>
      </c>
      <c r="F1115" s="318">
        <v>719970</v>
      </c>
      <c r="G1115" s="318">
        <v>9105</v>
      </c>
      <c r="H1115" s="347"/>
    </row>
    <row r="1116" spans="2:8">
      <c r="B1116" s="347">
        <v>200803</v>
      </c>
      <c r="C1116" s="316">
        <v>2008</v>
      </c>
      <c r="D1116" s="317">
        <v>3</v>
      </c>
      <c r="E1116" s="347" t="s">
        <v>120</v>
      </c>
      <c r="F1116" s="318">
        <v>602548</v>
      </c>
      <c r="G1116" s="318">
        <v>6796</v>
      </c>
      <c r="H1116" s="347"/>
    </row>
    <row r="1117" spans="2:8">
      <c r="B1117" s="347">
        <v>200803</v>
      </c>
      <c r="C1117" s="316">
        <v>2008</v>
      </c>
      <c r="D1117" s="317">
        <v>3</v>
      </c>
      <c r="E1117" s="347" t="s">
        <v>102</v>
      </c>
      <c r="F1117" s="318">
        <v>2813984</v>
      </c>
      <c r="G1117" s="318">
        <v>20681</v>
      </c>
      <c r="H1117" s="347"/>
    </row>
    <row r="1118" spans="2:8">
      <c r="B1118" s="347">
        <v>200803</v>
      </c>
      <c r="C1118" s="316">
        <v>2008</v>
      </c>
      <c r="D1118" s="317">
        <v>3</v>
      </c>
      <c r="E1118" s="347" t="s">
        <v>117</v>
      </c>
      <c r="F1118" s="318">
        <v>5611875</v>
      </c>
      <c r="G1118" s="318">
        <v>39316</v>
      </c>
      <c r="H1118" s="347"/>
    </row>
    <row r="1119" spans="2:8">
      <c r="B1119" s="347">
        <v>200803</v>
      </c>
      <c r="C1119" s="316">
        <v>2008</v>
      </c>
      <c r="D1119" s="317">
        <v>3</v>
      </c>
      <c r="E1119" s="347" t="s">
        <v>104</v>
      </c>
      <c r="F1119" s="318">
        <v>838582</v>
      </c>
      <c r="G1119" s="318">
        <v>6964</v>
      </c>
      <c r="H1119" s="347"/>
    </row>
    <row r="1120" spans="2:8">
      <c r="B1120" s="347">
        <v>200803</v>
      </c>
      <c r="C1120" s="316">
        <v>2008</v>
      </c>
      <c r="D1120" s="317">
        <v>3</v>
      </c>
      <c r="E1120" s="347" t="s">
        <v>34</v>
      </c>
      <c r="F1120" s="318">
        <v>1637536</v>
      </c>
      <c r="G1120" s="318">
        <v>15356</v>
      </c>
      <c r="H1120" s="347"/>
    </row>
    <row r="1121" spans="2:8">
      <c r="B1121" s="347">
        <v>200803</v>
      </c>
      <c r="C1121" s="316">
        <v>2008</v>
      </c>
      <c r="D1121" s="317">
        <v>3</v>
      </c>
      <c r="E1121" s="347" t="s">
        <v>118</v>
      </c>
      <c r="F1121" s="318">
        <v>154282</v>
      </c>
      <c r="G1121" s="318">
        <v>3493</v>
      </c>
      <c r="H1121" s="347"/>
    </row>
    <row r="1122" spans="2:8">
      <c r="B1122" s="347">
        <v>200803</v>
      </c>
      <c r="C1122" s="316">
        <v>2008</v>
      </c>
      <c r="D1122" s="317">
        <v>3</v>
      </c>
      <c r="E1122" s="347" t="s">
        <v>103</v>
      </c>
      <c r="F1122" s="318">
        <v>1824405</v>
      </c>
      <c r="G1122" s="318">
        <v>14670</v>
      </c>
      <c r="H1122" s="347"/>
    </row>
    <row r="1123" spans="2:8">
      <c r="B1123" s="347">
        <v>200804</v>
      </c>
      <c r="C1123" s="316">
        <v>2008</v>
      </c>
      <c r="D1123" s="317">
        <v>4</v>
      </c>
      <c r="E1123" s="347" t="s">
        <v>121</v>
      </c>
      <c r="F1123" s="318">
        <v>279767</v>
      </c>
      <c r="G1123" s="318">
        <v>8669</v>
      </c>
      <c r="H1123" s="347"/>
    </row>
    <row r="1124" spans="2:8">
      <c r="B1124" s="347">
        <v>200804</v>
      </c>
      <c r="C1124" s="316">
        <v>2008</v>
      </c>
      <c r="D1124" s="317">
        <v>4</v>
      </c>
      <c r="E1124" s="347" t="s">
        <v>212</v>
      </c>
      <c r="F1124" s="318">
        <v>706456</v>
      </c>
      <c r="G1124" s="318">
        <v>8224</v>
      </c>
      <c r="H1124" s="347"/>
    </row>
    <row r="1125" spans="2:8">
      <c r="B1125" s="347">
        <v>200804</v>
      </c>
      <c r="C1125" s="316">
        <v>2008</v>
      </c>
      <c r="D1125" s="317">
        <v>4</v>
      </c>
      <c r="E1125" s="347" t="s">
        <v>119</v>
      </c>
      <c r="F1125" s="318">
        <v>724189</v>
      </c>
      <c r="G1125" s="318">
        <v>9642</v>
      </c>
      <c r="H1125" s="347"/>
    </row>
    <row r="1126" spans="2:8">
      <c r="B1126" s="347">
        <v>200804</v>
      </c>
      <c r="C1126" s="316">
        <v>2008</v>
      </c>
      <c r="D1126" s="317">
        <v>4</v>
      </c>
      <c r="E1126" s="347" t="s">
        <v>120</v>
      </c>
      <c r="F1126" s="318">
        <v>644119</v>
      </c>
      <c r="G1126" s="318">
        <v>7354</v>
      </c>
      <c r="H1126" s="347"/>
    </row>
    <row r="1127" spans="2:8">
      <c r="B1127" s="347">
        <v>200804</v>
      </c>
      <c r="C1127" s="316">
        <v>2008</v>
      </c>
      <c r="D1127" s="317">
        <v>4</v>
      </c>
      <c r="E1127" s="347" t="s">
        <v>102</v>
      </c>
      <c r="F1127" s="318">
        <v>2656333</v>
      </c>
      <c r="G1127" s="318">
        <v>20635</v>
      </c>
      <c r="H1127" s="347"/>
    </row>
    <row r="1128" spans="2:8">
      <c r="B1128" s="347">
        <v>200804</v>
      </c>
      <c r="C1128" s="316">
        <v>2008</v>
      </c>
      <c r="D1128" s="317">
        <v>4</v>
      </c>
      <c r="E1128" s="347" t="s">
        <v>117</v>
      </c>
      <c r="F1128" s="318">
        <v>5467953</v>
      </c>
      <c r="G1128" s="318">
        <v>39317</v>
      </c>
      <c r="H1128" s="347"/>
    </row>
    <row r="1129" spans="2:8">
      <c r="B1129" s="347">
        <v>200804</v>
      </c>
      <c r="C1129" s="316">
        <v>2008</v>
      </c>
      <c r="D1129" s="317">
        <v>4</v>
      </c>
      <c r="E1129" s="347" t="s">
        <v>104</v>
      </c>
      <c r="F1129" s="318">
        <v>820668</v>
      </c>
      <c r="G1129" s="318">
        <v>7330</v>
      </c>
      <c r="H1129" s="347"/>
    </row>
    <row r="1130" spans="2:8">
      <c r="B1130" s="347">
        <v>200804</v>
      </c>
      <c r="C1130" s="316">
        <v>2008</v>
      </c>
      <c r="D1130" s="317">
        <v>4</v>
      </c>
      <c r="E1130" s="347" t="s">
        <v>34</v>
      </c>
      <c r="F1130" s="318">
        <v>1533816</v>
      </c>
      <c r="G1130" s="318">
        <v>15497</v>
      </c>
      <c r="H1130" s="347"/>
    </row>
    <row r="1131" spans="2:8">
      <c r="B1131" s="347">
        <v>200804</v>
      </c>
      <c r="C1131" s="316">
        <v>2008</v>
      </c>
      <c r="D1131" s="317">
        <v>4</v>
      </c>
      <c r="E1131" s="347" t="s">
        <v>118</v>
      </c>
      <c r="F1131" s="318">
        <v>173660</v>
      </c>
      <c r="G1131" s="318">
        <v>4054</v>
      </c>
      <c r="H1131" s="347"/>
    </row>
    <row r="1132" spans="2:8">
      <c r="B1132" s="347">
        <v>200804</v>
      </c>
      <c r="C1132" s="316">
        <v>2008</v>
      </c>
      <c r="D1132" s="317">
        <v>4</v>
      </c>
      <c r="E1132" s="347" t="s">
        <v>103</v>
      </c>
      <c r="F1132" s="318">
        <v>1864076</v>
      </c>
      <c r="G1132" s="318">
        <v>15507</v>
      </c>
      <c r="H1132" s="347"/>
    </row>
    <row r="1133" spans="2:8">
      <c r="B1133" s="347">
        <v>200805</v>
      </c>
      <c r="C1133" s="316">
        <v>2008</v>
      </c>
      <c r="D1133" s="317">
        <v>5</v>
      </c>
      <c r="E1133" s="347" t="s">
        <v>121</v>
      </c>
      <c r="F1133" s="318">
        <v>294646</v>
      </c>
      <c r="G1133" s="318">
        <v>8813</v>
      </c>
      <c r="H1133" s="347"/>
    </row>
    <row r="1134" spans="2:8">
      <c r="B1134" s="347">
        <v>200805</v>
      </c>
      <c r="C1134" s="316">
        <v>2008</v>
      </c>
      <c r="D1134" s="317">
        <v>5</v>
      </c>
      <c r="E1134" s="347" t="s">
        <v>212</v>
      </c>
      <c r="F1134" s="318">
        <v>873192</v>
      </c>
      <c r="G1134" s="318">
        <v>9167</v>
      </c>
      <c r="H1134" s="347"/>
    </row>
    <row r="1135" spans="2:8">
      <c r="B1135" s="347">
        <v>200805</v>
      </c>
      <c r="C1135" s="316">
        <v>2008</v>
      </c>
      <c r="D1135" s="317">
        <v>5</v>
      </c>
      <c r="E1135" s="347" t="s">
        <v>119</v>
      </c>
      <c r="F1135" s="318">
        <v>809868</v>
      </c>
      <c r="G1135" s="318">
        <v>10083</v>
      </c>
      <c r="H1135" s="347"/>
    </row>
    <row r="1136" spans="2:8">
      <c r="B1136" s="347">
        <v>200805</v>
      </c>
      <c r="C1136" s="316">
        <v>2008</v>
      </c>
      <c r="D1136" s="317">
        <v>5</v>
      </c>
      <c r="E1136" s="347" t="s">
        <v>120</v>
      </c>
      <c r="F1136" s="318">
        <v>735220</v>
      </c>
      <c r="G1136" s="318">
        <v>7922</v>
      </c>
      <c r="H1136" s="347"/>
    </row>
    <row r="1137" spans="2:8">
      <c r="B1137" s="347">
        <v>200805</v>
      </c>
      <c r="C1137" s="316">
        <v>2008</v>
      </c>
      <c r="D1137" s="317">
        <v>5</v>
      </c>
      <c r="E1137" s="347" t="s">
        <v>102</v>
      </c>
      <c r="F1137" s="318">
        <v>3045503</v>
      </c>
      <c r="G1137" s="318">
        <v>23071</v>
      </c>
      <c r="H1137" s="347"/>
    </row>
    <row r="1138" spans="2:8">
      <c r="B1138" s="347">
        <v>200805</v>
      </c>
      <c r="C1138" s="316">
        <v>2008</v>
      </c>
      <c r="D1138" s="317">
        <v>5</v>
      </c>
      <c r="E1138" s="347" t="s">
        <v>117</v>
      </c>
      <c r="F1138" s="318">
        <v>5644899</v>
      </c>
      <c r="G1138" s="318">
        <v>40828</v>
      </c>
      <c r="H1138" s="347"/>
    </row>
    <row r="1139" spans="2:8">
      <c r="B1139" s="347">
        <v>200805</v>
      </c>
      <c r="C1139" s="316">
        <v>2008</v>
      </c>
      <c r="D1139" s="317">
        <v>5</v>
      </c>
      <c r="E1139" s="347" t="s">
        <v>104</v>
      </c>
      <c r="F1139" s="318">
        <v>932559</v>
      </c>
      <c r="G1139" s="318">
        <v>7953</v>
      </c>
      <c r="H1139" s="347"/>
    </row>
    <row r="1140" spans="2:8">
      <c r="B1140" s="347">
        <v>200805</v>
      </c>
      <c r="C1140" s="316">
        <v>2008</v>
      </c>
      <c r="D1140" s="317">
        <v>5</v>
      </c>
      <c r="E1140" s="347" t="s">
        <v>34</v>
      </c>
      <c r="F1140" s="318">
        <v>1984845</v>
      </c>
      <c r="G1140" s="318">
        <v>17744</v>
      </c>
      <c r="H1140" s="347"/>
    </row>
    <row r="1141" spans="2:8">
      <c r="B1141" s="347">
        <v>200805</v>
      </c>
      <c r="C1141" s="316">
        <v>2008</v>
      </c>
      <c r="D1141" s="317">
        <v>5</v>
      </c>
      <c r="E1141" s="347" t="s">
        <v>118</v>
      </c>
      <c r="F1141" s="318">
        <v>187168</v>
      </c>
      <c r="G1141" s="318">
        <v>4141</v>
      </c>
      <c r="H1141" s="347"/>
    </row>
    <row r="1142" spans="2:8">
      <c r="B1142" s="347">
        <v>200805</v>
      </c>
      <c r="C1142" s="316">
        <v>2008</v>
      </c>
      <c r="D1142" s="317">
        <v>5</v>
      </c>
      <c r="E1142" s="347" t="s">
        <v>103</v>
      </c>
      <c r="F1142" s="318">
        <v>2020962</v>
      </c>
      <c r="G1142" s="318">
        <v>16171</v>
      </c>
      <c r="H1142" s="347"/>
    </row>
    <row r="1143" spans="2:8">
      <c r="B1143" s="347">
        <v>200806</v>
      </c>
      <c r="C1143" s="316">
        <v>2008</v>
      </c>
      <c r="D1143" s="317">
        <v>6</v>
      </c>
      <c r="E1143" s="347" t="s">
        <v>121</v>
      </c>
      <c r="F1143" s="318">
        <v>298571</v>
      </c>
      <c r="G1143" s="318">
        <v>8679</v>
      </c>
      <c r="H1143" s="347"/>
    </row>
    <row r="1144" spans="2:8">
      <c r="B1144" s="347">
        <v>200806</v>
      </c>
      <c r="C1144" s="316">
        <v>2008</v>
      </c>
      <c r="D1144" s="317">
        <v>6</v>
      </c>
      <c r="E1144" s="347" t="s">
        <v>212</v>
      </c>
      <c r="F1144" s="318">
        <v>932940</v>
      </c>
      <c r="G1144" s="318">
        <v>9510</v>
      </c>
      <c r="H1144" s="347"/>
    </row>
    <row r="1145" spans="2:8">
      <c r="B1145" s="347">
        <v>200806</v>
      </c>
      <c r="C1145" s="316">
        <v>2008</v>
      </c>
      <c r="D1145" s="317">
        <v>6</v>
      </c>
      <c r="E1145" s="347" t="s">
        <v>119</v>
      </c>
      <c r="F1145" s="318">
        <v>859389</v>
      </c>
      <c r="G1145" s="318">
        <v>10112</v>
      </c>
      <c r="H1145" s="347"/>
    </row>
    <row r="1146" spans="2:8">
      <c r="B1146" s="347">
        <v>200806</v>
      </c>
      <c r="C1146" s="316">
        <v>2008</v>
      </c>
      <c r="D1146" s="317">
        <v>6</v>
      </c>
      <c r="E1146" s="347" t="s">
        <v>120</v>
      </c>
      <c r="F1146" s="318">
        <v>826905</v>
      </c>
      <c r="G1146" s="318">
        <v>8151</v>
      </c>
      <c r="H1146" s="347"/>
    </row>
    <row r="1147" spans="2:8">
      <c r="B1147" s="347">
        <v>200806</v>
      </c>
      <c r="C1147" s="316">
        <v>2008</v>
      </c>
      <c r="D1147" s="317">
        <v>6</v>
      </c>
      <c r="E1147" s="347" t="s">
        <v>102</v>
      </c>
      <c r="F1147" s="318">
        <v>3320772</v>
      </c>
      <c r="G1147" s="318">
        <v>23916</v>
      </c>
      <c r="H1147" s="347"/>
    </row>
    <row r="1148" spans="2:8">
      <c r="B1148" s="347">
        <v>200806</v>
      </c>
      <c r="C1148" s="316">
        <v>2008</v>
      </c>
      <c r="D1148" s="317">
        <v>6</v>
      </c>
      <c r="E1148" s="347" t="s">
        <v>117</v>
      </c>
      <c r="F1148" s="318">
        <v>5958083</v>
      </c>
      <c r="G1148" s="318">
        <v>40200</v>
      </c>
      <c r="H1148" s="347"/>
    </row>
    <row r="1149" spans="2:8">
      <c r="B1149" s="347">
        <v>200806</v>
      </c>
      <c r="C1149" s="316">
        <v>2008</v>
      </c>
      <c r="D1149" s="317">
        <v>6</v>
      </c>
      <c r="E1149" s="347" t="s">
        <v>104</v>
      </c>
      <c r="F1149" s="318">
        <v>954005</v>
      </c>
      <c r="G1149" s="318">
        <v>7712</v>
      </c>
      <c r="H1149" s="347"/>
    </row>
    <row r="1150" spans="2:8">
      <c r="B1150" s="347">
        <v>200806</v>
      </c>
      <c r="C1150" s="316">
        <v>2008</v>
      </c>
      <c r="D1150" s="317">
        <v>6</v>
      </c>
      <c r="E1150" s="347" t="s">
        <v>34</v>
      </c>
      <c r="F1150" s="318">
        <v>2123451</v>
      </c>
      <c r="G1150" s="318">
        <v>18102</v>
      </c>
      <c r="H1150" s="347"/>
    </row>
    <row r="1151" spans="2:8">
      <c r="B1151" s="347">
        <v>200806</v>
      </c>
      <c r="C1151" s="316">
        <v>2008</v>
      </c>
      <c r="D1151" s="317">
        <v>6</v>
      </c>
      <c r="E1151" s="347" t="s">
        <v>118</v>
      </c>
      <c r="F1151" s="318">
        <v>187274</v>
      </c>
      <c r="G1151" s="318">
        <v>4116</v>
      </c>
      <c r="H1151" s="347"/>
    </row>
    <row r="1152" spans="2:8">
      <c r="B1152" s="347">
        <v>200806</v>
      </c>
      <c r="C1152" s="316">
        <v>2008</v>
      </c>
      <c r="D1152" s="317">
        <v>6</v>
      </c>
      <c r="E1152" s="347" t="s">
        <v>103</v>
      </c>
      <c r="F1152" s="318">
        <v>2079283</v>
      </c>
      <c r="G1152" s="318">
        <v>15992</v>
      </c>
      <c r="H1152" s="347"/>
    </row>
    <row r="1153" spans="2:8">
      <c r="B1153" s="347">
        <v>200807</v>
      </c>
      <c r="C1153" s="316">
        <v>2008</v>
      </c>
      <c r="D1153" s="317">
        <v>7</v>
      </c>
      <c r="E1153" s="347" t="s">
        <v>121</v>
      </c>
      <c r="F1153" s="318">
        <v>314345</v>
      </c>
      <c r="G1153" s="318">
        <v>8897</v>
      </c>
      <c r="H1153" s="347"/>
    </row>
    <row r="1154" spans="2:8">
      <c r="B1154" s="347">
        <v>200807</v>
      </c>
      <c r="C1154" s="316">
        <v>2008</v>
      </c>
      <c r="D1154" s="317">
        <v>7</v>
      </c>
      <c r="E1154" s="347" t="s">
        <v>212</v>
      </c>
      <c r="F1154" s="318">
        <v>1031946</v>
      </c>
      <c r="G1154" s="318">
        <v>9809</v>
      </c>
      <c r="H1154" s="347"/>
    </row>
    <row r="1155" spans="2:8">
      <c r="B1155" s="347">
        <v>200807</v>
      </c>
      <c r="C1155" s="316">
        <v>2008</v>
      </c>
      <c r="D1155" s="317">
        <v>7</v>
      </c>
      <c r="E1155" s="347" t="s">
        <v>119</v>
      </c>
      <c r="F1155" s="318">
        <v>904512</v>
      </c>
      <c r="G1155" s="318">
        <v>10544</v>
      </c>
      <c r="H1155" s="347"/>
    </row>
    <row r="1156" spans="2:8">
      <c r="B1156" s="347">
        <v>200807</v>
      </c>
      <c r="C1156" s="316">
        <v>2008</v>
      </c>
      <c r="D1156" s="317">
        <v>7</v>
      </c>
      <c r="E1156" s="347" t="s">
        <v>120</v>
      </c>
      <c r="F1156" s="318">
        <v>938580</v>
      </c>
      <c r="G1156" s="318">
        <v>8599</v>
      </c>
      <c r="H1156" s="347"/>
    </row>
    <row r="1157" spans="2:8">
      <c r="B1157" s="347">
        <v>200807</v>
      </c>
      <c r="C1157" s="316">
        <v>2008</v>
      </c>
      <c r="D1157" s="317">
        <v>7</v>
      </c>
      <c r="E1157" s="347" t="s">
        <v>102</v>
      </c>
      <c r="F1157" s="318">
        <v>3717506</v>
      </c>
      <c r="G1157" s="318">
        <v>25535</v>
      </c>
      <c r="H1157" s="347"/>
    </row>
    <row r="1158" spans="2:8">
      <c r="B1158" s="347">
        <v>200807</v>
      </c>
      <c r="C1158" s="316">
        <v>2008</v>
      </c>
      <c r="D1158" s="317">
        <v>7</v>
      </c>
      <c r="E1158" s="347" t="s">
        <v>117</v>
      </c>
      <c r="F1158" s="318">
        <v>6417672</v>
      </c>
      <c r="G1158" s="318">
        <v>41500</v>
      </c>
      <c r="H1158" s="347"/>
    </row>
    <row r="1159" spans="2:8">
      <c r="B1159" s="347">
        <v>200807</v>
      </c>
      <c r="C1159" s="316">
        <v>2008</v>
      </c>
      <c r="D1159" s="317">
        <v>7</v>
      </c>
      <c r="E1159" s="347" t="s">
        <v>104</v>
      </c>
      <c r="F1159" s="318">
        <v>1050940</v>
      </c>
      <c r="G1159" s="318">
        <v>8130</v>
      </c>
      <c r="H1159" s="347"/>
    </row>
    <row r="1160" spans="2:8">
      <c r="B1160" s="347">
        <v>200807</v>
      </c>
      <c r="C1160" s="316">
        <v>2008</v>
      </c>
      <c r="D1160" s="317">
        <v>7</v>
      </c>
      <c r="E1160" s="347" t="s">
        <v>34</v>
      </c>
      <c r="F1160" s="318">
        <v>2261518</v>
      </c>
      <c r="G1160" s="318">
        <v>18402</v>
      </c>
      <c r="H1160" s="347"/>
    </row>
    <row r="1161" spans="2:8">
      <c r="B1161" s="347">
        <v>200807</v>
      </c>
      <c r="C1161" s="316">
        <v>2008</v>
      </c>
      <c r="D1161" s="317">
        <v>7</v>
      </c>
      <c r="E1161" s="347" t="s">
        <v>118</v>
      </c>
      <c r="F1161" s="318">
        <v>192107</v>
      </c>
      <c r="G1161" s="318">
        <v>4212</v>
      </c>
      <c r="H1161" s="347"/>
    </row>
    <row r="1162" spans="2:8">
      <c r="B1162" s="347">
        <v>200807</v>
      </c>
      <c r="C1162" s="316">
        <v>2008</v>
      </c>
      <c r="D1162" s="317">
        <v>7</v>
      </c>
      <c r="E1162" s="347" t="s">
        <v>103</v>
      </c>
      <c r="F1162" s="318">
        <v>2315652</v>
      </c>
      <c r="G1162" s="318">
        <v>16724</v>
      </c>
      <c r="H1162" s="347"/>
    </row>
    <row r="1163" spans="2:8">
      <c r="B1163" s="347">
        <v>200808</v>
      </c>
      <c r="C1163" s="316">
        <v>2008</v>
      </c>
      <c r="D1163" s="317">
        <v>8</v>
      </c>
      <c r="E1163" s="347" t="s">
        <v>121</v>
      </c>
      <c r="F1163" s="318">
        <v>297558</v>
      </c>
      <c r="G1163" s="318">
        <v>8566</v>
      </c>
      <c r="H1163" s="347"/>
    </row>
    <row r="1164" spans="2:8">
      <c r="B1164" s="347">
        <v>200808</v>
      </c>
      <c r="C1164" s="316">
        <v>2008</v>
      </c>
      <c r="D1164" s="317">
        <v>8</v>
      </c>
      <c r="E1164" s="347" t="s">
        <v>212</v>
      </c>
      <c r="F1164" s="318">
        <v>1074667</v>
      </c>
      <c r="G1164" s="318">
        <v>9776</v>
      </c>
      <c r="H1164" s="347"/>
    </row>
    <row r="1165" spans="2:8">
      <c r="B1165" s="347">
        <v>200808</v>
      </c>
      <c r="C1165" s="316">
        <v>2008</v>
      </c>
      <c r="D1165" s="317">
        <v>8</v>
      </c>
      <c r="E1165" s="347" t="s">
        <v>119</v>
      </c>
      <c r="F1165" s="318">
        <v>885989</v>
      </c>
      <c r="G1165" s="318">
        <v>10114</v>
      </c>
      <c r="H1165" s="347"/>
    </row>
    <row r="1166" spans="2:8">
      <c r="B1166" s="347">
        <v>200808</v>
      </c>
      <c r="C1166" s="316">
        <v>2008</v>
      </c>
      <c r="D1166" s="317">
        <v>8</v>
      </c>
      <c r="E1166" s="347" t="s">
        <v>120</v>
      </c>
      <c r="F1166" s="318">
        <v>823903</v>
      </c>
      <c r="G1166" s="318">
        <v>7939</v>
      </c>
      <c r="H1166" s="347"/>
    </row>
    <row r="1167" spans="2:8">
      <c r="B1167" s="347">
        <v>200808</v>
      </c>
      <c r="C1167" s="316">
        <v>2008</v>
      </c>
      <c r="D1167" s="317">
        <v>8</v>
      </c>
      <c r="E1167" s="347" t="s">
        <v>102</v>
      </c>
      <c r="F1167" s="318">
        <v>3920435</v>
      </c>
      <c r="G1167" s="318">
        <v>25922</v>
      </c>
      <c r="H1167" s="347"/>
    </row>
    <row r="1168" spans="2:8">
      <c r="B1168" s="347">
        <v>200808</v>
      </c>
      <c r="C1168" s="316">
        <v>2008</v>
      </c>
      <c r="D1168" s="317">
        <v>8</v>
      </c>
      <c r="E1168" s="347" t="s">
        <v>117</v>
      </c>
      <c r="F1168" s="318">
        <v>6365472</v>
      </c>
      <c r="G1168" s="318">
        <v>40857</v>
      </c>
      <c r="H1168" s="347"/>
    </row>
    <row r="1169" spans="2:8">
      <c r="B1169" s="347">
        <v>200808</v>
      </c>
      <c r="C1169" s="316">
        <v>2008</v>
      </c>
      <c r="D1169" s="317">
        <v>8</v>
      </c>
      <c r="E1169" s="347" t="s">
        <v>104</v>
      </c>
      <c r="F1169" s="318">
        <v>1094962</v>
      </c>
      <c r="G1169" s="318">
        <v>8157</v>
      </c>
      <c r="H1169" s="347"/>
    </row>
    <row r="1170" spans="2:8">
      <c r="B1170" s="347">
        <v>200808</v>
      </c>
      <c r="C1170" s="316">
        <v>2008</v>
      </c>
      <c r="D1170" s="317">
        <v>8</v>
      </c>
      <c r="E1170" s="347" t="s">
        <v>34</v>
      </c>
      <c r="F1170" s="318">
        <v>2371468</v>
      </c>
      <c r="G1170" s="318">
        <v>18312</v>
      </c>
      <c r="H1170" s="347"/>
    </row>
    <row r="1171" spans="2:8">
      <c r="B1171" s="347">
        <v>200808</v>
      </c>
      <c r="C1171" s="316">
        <v>2008</v>
      </c>
      <c r="D1171" s="317">
        <v>8</v>
      </c>
      <c r="E1171" s="347" t="s">
        <v>118</v>
      </c>
      <c r="F1171" s="318">
        <v>190377</v>
      </c>
      <c r="G1171" s="318">
        <v>4112</v>
      </c>
      <c r="H1171" s="347"/>
    </row>
    <row r="1172" spans="2:8">
      <c r="B1172" s="347">
        <v>200808</v>
      </c>
      <c r="C1172" s="316">
        <v>2008</v>
      </c>
      <c r="D1172" s="317">
        <v>8</v>
      </c>
      <c r="E1172" s="347" t="s">
        <v>103</v>
      </c>
      <c r="F1172" s="318">
        <v>2413135</v>
      </c>
      <c r="G1172" s="318">
        <v>16667</v>
      </c>
      <c r="H1172" s="347"/>
    </row>
    <row r="1173" spans="2:8">
      <c r="B1173" s="347">
        <v>200809</v>
      </c>
      <c r="C1173" s="316">
        <v>2008</v>
      </c>
      <c r="D1173" s="317">
        <v>9</v>
      </c>
      <c r="E1173" s="347" t="s">
        <v>121</v>
      </c>
      <c r="F1173" s="318">
        <v>297179</v>
      </c>
      <c r="G1173" s="318">
        <v>8961</v>
      </c>
      <c r="H1173" s="347"/>
    </row>
    <row r="1174" spans="2:8">
      <c r="B1174" s="347">
        <v>200809</v>
      </c>
      <c r="C1174" s="316">
        <v>2008</v>
      </c>
      <c r="D1174" s="317">
        <v>9</v>
      </c>
      <c r="E1174" s="347" t="s">
        <v>212</v>
      </c>
      <c r="F1174" s="318">
        <v>980624</v>
      </c>
      <c r="G1174" s="318">
        <v>9665</v>
      </c>
      <c r="H1174" s="347"/>
    </row>
    <row r="1175" spans="2:8">
      <c r="B1175" s="347">
        <v>200809</v>
      </c>
      <c r="C1175" s="316">
        <v>2008</v>
      </c>
      <c r="D1175" s="317">
        <v>9</v>
      </c>
      <c r="E1175" s="347" t="s">
        <v>119</v>
      </c>
      <c r="F1175" s="318">
        <v>823315</v>
      </c>
      <c r="G1175" s="318">
        <v>10087</v>
      </c>
      <c r="H1175" s="347"/>
    </row>
    <row r="1176" spans="2:8">
      <c r="B1176" s="347">
        <v>200809</v>
      </c>
      <c r="C1176" s="316">
        <v>2008</v>
      </c>
      <c r="D1176" s="317">
        <v>9</v>
      </c>
      <c r="E1176" s="347" t="s">
        <v>120</v>
      </c>
      <c r="F1176" s="318">
        <v>786276</v>
      </c>
      <c r="G1176" s="318">
        <v>7940</v>
      </c>
      <c r="H1176" s="347"/>
    </row>
    <row r="1177" spans="2:8">
      <c r="B1177" s="347">
        <v>200809</v>
      </c>
      <c r="C1177" s="316">
        <v>2008</v>
      </c>
      <c r="D1177" s="317">
        <v>9</v>
      </c>
      <c r="E1177" s="347" t="s">
        <v>102</v>
      </c>
      <c r="F1177" s="318">
        <v>3308261</v>
      </c>
      <c r="G1177" s="318">
        <v>23668</v>
      </c>
      <c r="H1177" s="347"/>
    </row>
    <row r="1178" spans="2:8">
      <c r="B1178" s="347">
        <v>200809</v>
      </c>
      <c r="C1178" s="316">
        <v>2008</v>
      </c>
      <c r="D1178" s="317">
        <v>9</v>
      </c>
      <c r="E1178" s="347" t="s">
        <v>117</v>
      </c>
      <c r="F1178" s="318">
        <v>5802248</v>
      </c>
      <c r="G1178" s="318">
        <v>39847</v>
      </c>
      <c r="H1178" s="347"/>
    </row>
    <row r="1179" spans="2:8">
      <c r="B1179" s="347">
        <v>200809</v>
      </c>
      <c r="C1179" s="316">
        <v>2008</v>
      </c>
      <c r="D1179" s="317">
        <v>9</v>
      </c>
      <c r="E1179" s="347" t="s">
        <v>104</v>
      </c>
      <c r="F1179" s="318">
        <v>964763</v>
      </c>
      <c r="G1179" s="318">
        <v>7783</v>
      </c>
      <c r="H1179" s="347"/>
    </row>
    <row r="1180" spans="2:8">
      <c r="B1180" s="347">
        <v>200809</v>
      </c>
      <c r="C1180" s="316">
        <v>2008</v>
      </c>
      <c r="D1180" s="317">
        <v>9</v>
      </c>
      <c r="E1180" s="347" t="s">
        <v>34</v>
      </c>
      <c r="F1180" s="318">
        <v>2135424</v>
      </c>
      <c r="G1180" s="318">
        <v>17877</v>
      </c>
      <c r="H1180" s="347"/>
    </row>
    <row r="1181" spans="2:8">
      <c r="B1181" s="347">
        <v>200809</v>
      </c>
      <c r="C1181" s="316">
        <v>2008</v>
      </c>
      <c r="D1181" s="317">
        <v>9</v>
      </c>
      <c r="E1181" s="347" t="s">
        <v>118</v>
      </c>
      <c r="F1181" s="318">
        <v>180159</v>
      </c>
      <c r="G1181" s="318">
        <v>3919</v>
      </c>
      <c r="H1181" s="347"/>
    </row>
    <row r="1182" spans="2:8">
      <c r="B1182" s="347">
        <v>200809</v>
      </c>
      <c r="C1182" s="316">
        <v>2008</v>
      </c>
      <c r="D1182" s="317">
        <v>9</v>
      </c>
      <c r="E1182" s="347" t="s">
        <v>103</v>
      </c>
      <c r="F1182" s="318">
        <v>2100631</v>
      </c>
      <c r="G1182" s="318">
        <v>16084</v>
      </c>
      <c r="H1182" s="347"/>
    </row>
    <row r="1183" spans="2:8">
      <c r="B1183" s="347">
        <v>200810</v>
      </c>
      <c r="C1183" s="316">
        <v>2008</v>
      </c>
      <c r="D1183" s="317">
        <v>10</v>
      </c>
      <c r="E1183" s="347" t="s">
        <v>121</v>
      </c>
      <c r="F1183" s="318">
        <v>300654</v>
      </c>
      <c r="G1183" s="318">
        <v>8765</v>
      </c>
      <c r="H1183" s="347"/>
    </row>
    <row r="1184" spans="2:8">
      <c r="B1184" s="347">
        <v>200810</v>
      </c>
      <c r="C1184" s="316">
        <v>2008</v>
      </c>
      <c r="D1184" s="317">
        <v>10</v>
      </c>
      <c r="E1184" s="347" t="s">
        <v>212</v>
      </c>
      <c r="F1184" s="318">
        <v>840040</v>
      </c>
      <c r="G1184" s="318">
        <v>9000</v>
      </c>
      <c r="H1184" s="347"/>
    </row>
    <row r="1185" spans="2:8">
      <c r="B1185" s="347">
        <v>200810</v>
      </c>
      <c r="C1185" s="316">
        <v>2008</v>
      </c>
      <c r="D1185" s="317">
        <v>10</v>
      </c>
      <c r="E1185" s="347" t="s">
        <v>119</v>
      </c>
      <c r="F1185" s="318">
        <v>794137</v>
      </c>
      <c r="G1185" s="318">
        <v>9965</v>
      </c>
      <c r="H1185" s="347"/>
    </row>
    <row r="1186" spans="2:8">
      <c r="B1186" s="347">
        <v>200810</v>
      </c>
      <c r="C1186" s="316">
        <v>2008</v>
      </c>
      <c r="D1186" s="317">
        <v>10</v>
      </c>
      <c r="E1186" s="347" t="s">
        <v>120</v>
      </c>
      <c r="F1186" s="318">
        <v>787130</v>
      </c>
      <c r="G1186" s="318">
        <v>7923</v>
      </c>
      <c r="H1186" s="347"/>
    </row>
    <row r="1187" spans="2:8">
      <c r="B1187" s="347">
        <v>200810</v>
      </c>
      <c r="C1187" s="316">
        <v>2008</v>
      </c>
      <c r="D1187" s="317">
        <v>10</v>
      </c>
      <c r="E1187" s="347" t="s">
        <v>102</v>
      </c>
      <c r="F1187" s="318">
        <v>2775061</v>
      </c>
      <c r="G1187" s="318">
        <v>21606</v>
      </c>
      <c r="H1187" s="347"/>
    </row>
    <row r="1188" spans="2:8">
      <c r="B1188" s="347">
        <v>200810</v>
      </c>
      <c r="C1188" s="316">
        <v>2008</v>
      </c>
      <c r="D1188" s="317">
        <v>10</v>
      </c>
      <c r="E1188" s="347" t="s">
        <v>117</v>
      </c>
      <c r="F1188" s="318">
        <v>5630466</v>
      </c>
      <c r="G1188" s="318">
        <v>40423</v>
      </c>
      <c r="H1188" s="347"/>
    </row>
    <row r="1189" spans="2:8">
      <c r="B1189" s="347">
        <v>200810</v>
      </c>
      <c r="C1189" s="316">
        <v>2008</v>
      </c>
      <c r="D1189" s="317">
        <v>10</v>
      </c>
      <c r="E1189" s="347" t="s">
        <v>104</v>
      </c>
      <c r="F1189" s="318">
        <v>886112</v>
      </c>
      <c r="G1189" s="318">
        <v>7505</v>
      </c>
      <c r="H1189" s="347"/>
    </row>
    <row r="1190" spans="2:8">
      <c r="B1190" s="347">
        <v>200810</v>
      </c>
      <c r="C1190" s="316">
        <v>2008</v>
      </c>
      <c r="D1190" s="317">
        <v>10</v>
      </c>
      <c r="E1190" s="347" t="s">
        <v>34</v>
      </c>
      <c r="F1190" s="318">
        <v>1802412</v>
      </c>
      <c r="G1190" s="318">
        <v>16442</v>
      </c>
      <c r="H1190" s="347"/>
    </row>
    <row r="1191" spans="2:8">
      <c r="B1191" s="347">
        <v>200810</v>
      </c>
      <c r="C1191" s="316">
        <v>2008</v>
      </c>
      <c r="D1191" s="317">
        <v>10</v>
      </c>
      <c r="E1191" s="347" t="s">
        <v>118</v>
      </c>
      <c r="F1191" s="318">
        <v>165763</v>
      </c>
      <c r="G1191" s="318">
        <v>3931</v>
      </c>
      <c r="H1191" s="347"/>
    </row>
    <row r="1192" spans="2:8">
      <c r="B1192" s="347">
        <v>200810</v>
      </c>
      <c r="C1192" s="316">
        <v>2008</v>
      </c>
      <c r="D1192" s="317">
        <v>10</v>
      </c>
      <c r="E1192" s="347" t="s">
        <v>103</v>
      </c>
      <c r="F1192" s="318">
        <v>1976613</v>
      </c>
      <c r="G1192" s="318">
        <v>15598</v>
      </c>
      <c r="H1192" s="347"/>
    </row>
    <row r="1193" spans="2:8">
      <c r="B1193" s="347">
        <v>200811</v>
      </c>
      <c r="C1193" s="316">
        <v>2008</v>
      </c>
      <c r="D1193" s="317">
        <v>11</v>
      </c>
      <c r="E1193" s="347" t="s">
        <v>121</v>
      </c>
      <c r="F1193" s="318">
        <v>239299</v>
      </c>
      <c r="G1193" s="318">
        <v>7544</v>
      </c>
      <c r="H1193" s="347"/>
    </row>
    <row r="1194" spans="2:8">
      <c r="B1194" s="347">
        <v>200811</v>
      </c>
      <c r="C1194" s="316">
        <v>2008</v>
      </c>
      <c r="D1194" s="317">
        <v>11</v>
      </c>
      <c r="E1194" s="347" t="s">
        <v>212</v>
      </c>
      <c r="F1194" s="318">
        <v>619944</v>
      </c>
      <c r="G1194" s="318">
        <v>7383</v>
      </c>
      <c r="H1194" s="347"/>
    </row>
    <row r="1195" spans="2:8">
      <c r="B1195" s="347">
        <v>200811</v>
      </c>
      <c r="C1195" s="316">
        <v>2008</v>
      </c>
      <c r="D1195" s="317">
        <v>11</v>
      </c>
      <c r="E1195" s="347" t="s">
        <v>119</v>
      </c>
      <c r="F1195" s="318">
        <v>638718</v>
      </c>
      <c r="G1195" s="318">
        <v>8408</v>
      </c>
      <c r="H1195" s="347"/>
    </row>
    <row r="1196" spans="2:8">
      <c r="B1196" s="347">
        <v>200811</v>
      </c>
      <c r="C1196" s="316">
        <v>2008</v>
      </c>
      <c r="D1196" s="317">
        <v>11</v>
      </c>
      <c r="E1196" s="347" t="s">
        <v>120</v>
      </c>
      <c r="F1196" s="318">
        <v>512835</v>
      </c>
      <c r="G1196" s="318">
        <v>5936</v>
      </c>
      <c r="H1196" s="347"/>
    </row>
    <row r="1197" spans="2:8">
      <c r="B1197" s="347">
        <v>200811</v>
      </c>
      <c r="C1197" s="316">
        <v>2008</v>
      </c>
      <c r="D1197" s="317">
        <v>11</v>
      </c>
      <c r="E1197" s="347" t="s">
        <v>102</v>
      </c>
      <c r="F1197" s="318">
        <v>1976712</v>
      </c>
      <c r="G1197" s="318">
        <v>16312</v>
      </c>
      <c r="H1197" s="347"/>
    </row>
    <row r="1198" spans="2:8">
      <c r="B1198" s="347">
        <v>200811</v>
      </c>
      <c r="C1198" s="316">
        <v>2008</v>
      </c>
      <c r="D1198" s="317">
        <v>11</v>
      </c>
      <c r="E1198" s="347" t="s">
        <v>117</v>
      </c>
      <c r="F1198" s="318">
        <v>4971820</v>
      </c>
      <c r="G1198" s="318">
        <v>37756</v>
      </c>
      <c r="H1198" s="347"/>
    </row>
    <row r="1199" spans="2:8">
      <c r="B1199" s="347">
        <v>200811</v>
      </c>
      <c r="C1199" s="316">
        <v>2008</v>
      </c>
      <c r="D1199" s="317">
        <v>11</v>
      </c>
      <c r="E1199" s="347" t="s">
        <v>104</v>
      </c>
      <c r="F1199" s="318">
        <v>629418</v>
      </c>
      <c r="G1199" s="318">
        <v>5594</v>
      </c>
      <c r="H1199" s="347"/>
    </row>
    <row r="1200" spans="2:8">
      <c r="B1200" s="347">
        <v>200811</v>
      </c>
      <c r="C1200" s="316">
        <v>2008</v>
      </c>
      <c r="D1200" s="317">
        <v>11</v>
      </c>
      <c r="E1200" s="347" t="s">
        <v>34</v>
      </c>
      <c r="F1200" s="318">
        <v>1270858</v>
      </c>
      <c r="G1200" s="318">
        <v>12772</v>
      </c>
      <c r="H1200" s="347"/>
    </row>
    <row r="1201" spans="2:8">
      <c r="B1201" s="347">
        <v>200811</v>
      </c>
      <c r="C1201" s="316">
        <v>2008</v>
      </c>
      <c r="D1201" s="317">
        <v>11</v>
      </c>
      <c r="E1201" s="347" t="s">
        <v>118</v>
      </c>
      <c r="F1201" s="318">
        <v>134594</v>
      </c>
      <c r="G1201" s="318">
        <v>3191</v>
      </c>
      <c r="H1201" s="347"/>
    </row>
    <row r="1202" spans="2:8">
      <c r="B1202" s="347">
        <v>200811</v>
      </c>
      <c r="C1202" s="316">
        <v>2008</v>
      </c>
      <c r="D1202" s="317">
        <v>11</v>
      </c>
      <c r="E1202" s="347" t="s">
        <v>103</v>
      </c>
      <c r="F1202" s="318">
        <v>1347372</v>
      </c>
      <c r="G1202" s="318">
        <v>11382</v>
      </c>
      <c r="H1202" s="347"/>
    </row>
    <row r="1203" spans="2:8">
      <c r="B1203" s="347">
        <v>200812</v>
      </c>
      <c r="C1203" s="316">
        <v>2008</v>
      </c>
      <c r="D1203" s="317">
        <v>12</v>
      </c>
      <c r="E1203" s="347" t="s">
        <v>121</v>
      </c>
      <c r="F1203" s="318">
        <v>236352</v>
      </c>
      <c r="G1203" s="318">
        <v>7664</v>
      </c>
      <c r="H1203" s="347"/>
    </row>
    <row r="1204" spans="2:8">
      <c r="B1204" s="347">
        <v>200812</v>
      </c>
      <c r="C1204" s="316">
        <v>2008</v>
      </c>
      <c r="D1204" s="317">
        <v>12</v>
      </c>
      <c r="E1204" s="347" t="s">
        <v>212</v>
      </c>
      <c r="F1204" s="318">
        <v>596931</v>
      </c>
      <c r="G1204" s="318">
        <v>7124</v>
      </c>
      <c r="H1204" s="347"/>
    </row>
    <row r="1205" spans="2:8">
      <c r="B1205" s="347">
        <v>200812</v>
      </c>
      <c r="C1205" s="316">
        <v>2008</v>
      </c>
      <c r="D1205" s="317">
        <v>12</v>
      </c>
      <c r="E1205" s="347" t="s">
        <v>119</v>
      </c>
      <c r="F1205" s="318">
        <v>606818</v>
      </c>
      <c r="G1205" s="318">
        <v>8055</v>
      </c>
      <c r="H1205" s="347"/>
    </row>
    <row r="1206" spans="2:8">
      <c r="B1206" s="347">
        <v>200812</v>
      </c>
      <c r="C1206" s="316">
        <v>2008</v>
      </c>
      <c r="D1206" s="317">
        <v>12</v>
      </c>
      <c r="E1206" s="347" t="s">
        <v>120</v>
      </c>
      <c r="F1206" s="318">
        <v>465557</v>
      </c>
      <c r="G1206" s="318">
        <v>5585</v>
      </c>
      <c r="H1206" s="347"/>
    </row>
    <row r="1207" spans="2:8">
      <c r="B1207" s="347">
        <v>200812</v>
      </c>
      <c r="C1207" s="316">
        <v>2008</v>
      </c>
      <c r="D1207" s="317">
        <v>12</v>
      </c>
      <c r="E1207" s="347" t="s">
        <v>102</v>
      </c>
      <c r="F1207" s="318">
        <v>2087858</v>
      </c>
      <c r="G1207" s="318">
        <v>17228</v>
      </c>
      <c r="H1207" s="347"/>
    </row>
    <row r="1208" spans="2:8">
      <c r="B1208" s="347">
        <v>200812</v>
      </c>
      <c r="C1208" s="316">
        <v>2008</v>
      </c>
      <c r="D1208" s="317">
        <v>12</v>
      </c>
      <c r="E1208" s="347" t="s">
        <v>117</v>
      </c>
      <c r="F1208" s="318">
        <v>5251296</v>
      </c>
      <c r="G1208" s="318">
        <v>37106</v>
      </c>
      <c r="H1208" s="347"/>
    </row>
    <row r="1209" spans="2:8">
      <c r="B1209" s="347">
        <v>200812</v>
      </c>
      <c r="C1209" s="316">
        <v>2008</v>
      </c>
      <c r="D1209" s="317">
        <v>12</v>
      </c>
      <c r="E1209" s="347" t="s">
        <v>104</v>
      </c>
      <c r="F1209" s="318">
        <v>639596</v>
      </c>
      <c r="G1209" s="318">
        <v>5687</v>
      </c>
      <c r="H1209" s="347"/>
    </row>
    <row r="1210" spans="2:8">
      <c r="B1210" s="347">
        <v>200812</v>
      </c>
      <c r="C1210" s="316">
        <v>2008</v>
      </c>
      <c r="D1210" s="317">
        <v>12</v>
      </c>
      <c r="E1210" s="347" t="s">
        <v>34</v>
      </c>
      <c r="F1210" s="318">
        <v>1243773</v>
      </c>
      <c r="G1210" s="318">
        <v>12190</v>
      </c>
      <c r="H1210" s="347"/>
    </row>
    <row r="1211" spans="2:8">
      <c r="B1211" s="347">
        <v>200812</v>
      </c>
      <c r="C1211" s="316">
        <v>2008</v>
      </c>
      <c r="D1211" s="317">
        <v>12</v>
      </c>
      <c r="E1211" s="347" t="s">
        <v>118</v>
      </c>
      <c r="F1211" s="318">
        <v>125931</v>
      </c>
      <c r="G1211" s="318">
        <v>3003</v>
      </c>
      <c r="H1211" s="347"/>
    </row>
    <row r="1212" spans="2:8">
      <c r="B1212" s="347">
        <v>200812</v>
      </c>
      <c r="C1212" s="316">
        <v>2008</v>
      </c>
      <c r="D1212" s="317">
        <v>12</v>
      </c>
      <c r="E1212" s="347" t="s">
        <v>103</v>
      </c>
      <c r="F1212" s="318">
        <v>1402547</v>
      </c>
      <c r="G1212" s="318">
        <v>11245</v>
      </c>
      <c r="H1212" s="347"/>
    </row>
    <row r="1213" spans="2:8">
      <c r="B1213" s="347">
        <v>200901</v>
      </c>
      <c r="C1213" s="316">
        <v>2009</v>
      </c>
      <c r="D1213" s="317">
        <v>1</v>
      </c>
      <c r="E1213" s="347" t="s">
        <v>121</v>
      </c>
      <c r="F1213" s="318">
        <v>210965</v>
      </c>
      <c r="G1213" s="318">
        <v>7415</v>
      </c>
      <c r="H1213" s="347"/>
    </row>
    <row r="1214" spans="2:8">
      <c r="B1214" s="347">
        <v>200901</v>
      </c>
      <c r="C1214" s="316">
        <v>2009</v>
      </c>
      <c r="D1214" s="317">
        <v>1</v>
      </c>
      <c r="E1214" s="347" t="s">
        <v>212</v>
      </c>
      <c r="F1214" s="318">
        <v>561184</v>
      </c>
      <c r="G1214" s="318">
        <v>7121</v>
      </c>
      <c r="H1214" s="347"/>
    </row>
    <row r="1215" spans="2:8">
      <c r="B1215" s="347">
        <v>200901</v>
      </c>
      <c r="C1215" s="316">
        <v>2009</v>
      </c>
      <c r="D1215" s="317">
        <v>1</v>
      </c>
      <c r="E1215" s="347" t="s">
        <v>119</v>
      </c>
      <c r="F1215" s="318">
        <v>553853</v>
      </c>
      <c r="G1215" s="318">
        <v>8024</v>
      </c>
      <c r="H1215" s="347"/>
    </row>
    <row r="1216" spans="2:8">
      <c r="B1216" s="347">
        <v>200901</v>
      </c>
      <c r="C1216" s="316">
        <v>2009</v>
      </c>
      <c r="D1216" s="317">
        <v>1</v>
      </c>
      <c r="E1216" s="347" t="s">
        <v>120</v>
      </c>
      <c r="F1216" s="318">
        <v>439456</v>
      </c>
      <c r="G1216" s="318">
        <v>5513</v>
      </c>
      <c r="H1216" s="347"/>
    </row>
    <row r="1217" spans="2:8">
      <c r="B1217" s="347">
        <v>200901</v>
      </c>
      <c r="C1217" s="316">
        <v>2009</v>
      </c>
      <c r="D1217" s="317">
        <v>1</v>
      </c>
      <c r="E1217" s="347" t="s">
        <v>102</v>
      </c>
      <c r="F1217" s="318">
        <v>1978862</v>
      </c>
      <c r="G1217" s="318">
        <v>17496</v>
      </c>
      <c r="H1217" s="347"/>
    </row>
    <row r="1218" spans="2:8">
      <c r="B1218" s="347">
        <v>200901</v>
      </c>
      <c r="C1218" s="316">
        <v>2009</v>
      </c>
      <c r="D1218" s="317">
        <v>1</v>
      </c>
      <c r="E1218" s="347" t="s">
        <v>117</v>
      </c>
      <c r="F1218" s="318">
        <v>4853245</v>
      </c>
      <c r="G1218" s="318">
        <v>37943</v>
      </c>
      <c r="H1218" s="347"/>
    </row>
    <row r="1219" spans="2:8">
      <c r="B1219" s="347">
        <v>200901</v>
      </c>
      <c r="C1219" s="316">
        <v>2009</v>
      </c>
      <c r="D1219" s="317">
        <v>1</v>
      </c>
      <c r="E1219" s="347" t="s">
        <v>104</v>
      </c>
      <c r="F1219" s="318">
        <v>576002</v>
      </c>
      <c r="G1219" s="318">
        <v>5594</v>
      </c>
      <c r="H1219" s="347"/>
    </row>
    <row r="1220" spans="2:8">
      <c r="B1220" s="347">
        <v>200901</v>
      </c>
      <c r="C1220" s="316">
        <v>2009</v>
      </c>
      <c r="D1220" s="317">
        <v>1</v>
      </c>
      <c r="E1220" s="347" t="s">
        <v>34</v>
      </c>
      <c r="F1220" s="318">
        <v>1181144</v>
      </c>
      <c r="G1220" s="318">
        <v>12289</v>
      </c>
      <c r="H1220" s="347"/>
    </row>
    <row r="1221" spans="2:8">
      <c r="B1221" s="347">
        <v>200901</v>
      </c>
      <c r="C1221" s="316">
        <v>2009</v>
      </c>
      <c r="D1221" s="317">
        <v>1</v>
      </c>
      <c r="E1221" s="347" t="s">
        <v>118</v>
      </c>
      <c r="F1221" s="318">
        <v>105227</v>
      </c>
      <c r="G1221" s="318">
        <v>2780</v>
      </c>
      <c r="H1221" s="347"/>
    </row>
    <row r="1222" spans="2:8">
      <c r="B1222" s="347">
        <v>200901</v>
      </c>
      <c r="C1222" s="316">
        <v>2009</v>
      </c>
      <c r="D1222" s="317">
        <v>1</v>
      </c>
      <c r="E1222" s="347" t="s">
        <v>103</v>
      </c>
      <c r="F1222" s="318">
        <v>1287550</v>
      </c>
      <c r="G1222" s="318">
        <v>11938</v>
      </c>
      <c r="H1222" s="347"/>
    </row>
    <row r="1223" spans="2:8">
      <c r="B1223" s="347">
        <v>200902</v>
      </c>
      <c r="C1223" s="316">
        <v>2009</v>
      </c>
      <c r="D1223" s="317">
        <v>2</v>
      </c>
      <c r="E1223" s="347" t="s">
        <v>121</v>
      </c>
      <c r="F1223" s="318">
        <v>202662</v>
      </c>
      <c r="G1223" s="318">
        <v>6998</v>
      </c>
      <c r="H1223" s="347"/>
    </row>
    <row r="1224" spans="2:8">
      <c r="B1224" s="347">
        <v>200902</v>
      </c>
      <c r="C1224" s="316">
        <v>2009</v>
      </c>
      <c r="D1224" s="317">
        <v>2</v>
      </c>
      <c r="E1224" s="347" t="s">
        <v>212</v>
      </c>
      <c r="F1224" s="318">
        <v>585197</v>
      </c>
      <c r="G1224" s="318">
        <v>6844</v>
      </c>
      <c r="H1224" s="347"/>
    </row>
    <row r="1225" spans="2:8">
      <c r="B1225" s="347">
        <v>200902</v>
      </c>
      <c r="C1225" s="316">
        <v>2009</v>
      </c>
      <c r="D1225" s="317">
        <v>2</v>
      </c>
      <c r="E1225" s="347" t="s">
        <v>119</v>
      </c>
      <c r="F1225" s="318">
        <v>562371</v>
      </c>
      <c r="G1225" s="318">
        <v>7552</v>
      </c>
      <c r="H1225" s="347"/>
    </row>
    <row r="1226" spans="2:8">
      <c r="B1226" s="347">
        <v>200902</v>
      </c>
      <c r="C1226" s="316">
        <v>2009</v>
      </c>
      <c r="D1226" s="317">
        <v>2</v>
      </c>
      <c r="E1226" s="347" t="s">
        <v>120</v>
      </c>
      <c r="F1226" s="318">
        <v>421364</v>
      </c>
      <c r="G1226" s="318">
        <v>5127</v>
      </c>
      <c r="H1226" s="347"/>
    </row>
    <row r="1227" spans="2:8">
      <c r="B1227" s="347">
        <v>200902</v>
      </c>
      <c r="C1227" s="316">
        <v>2009</v>
      </c>
      <c r="D1227" s="317">
        <v>2</v>
      </c>
      <c r="E1227" s="347" t="s">
        <v>102</v>
      </c>
      <c r="F1227" s="318">
        <v>1988857</v>
      </c>
      <c r="G1227" s="318">
        <v>16206</v>
      </c>
      <c r="H1227" s="347"/>
    </row>
    <row r="1228" spans="2:8">
      <c r="B1228" s="347">
        <v>200902</v>
      </c>
      <c r="C1228" s="316">
        <v>2009</v>
      </c>
      <c r="D1228" s="317">
        <v>2</v>
      </c>
      <c r="E1228" s="347" t="s">
        <v>117</v>
      </c>
      <c r="F1228" s="318">
        <v>4370726</v>
      </c>
      <c r="G1228" s="318">
        <v>34364</v>
      </c>
      <c r="H1228" s="347"/>
    </row>
    <row r="1229" spans="2:8">
      <c r="B1229" s="347">
        <v>200902</v>
      </c>
      <c r="C1229" s="316">
        <v>2009</v>
      </c>
      <c r="D1229" s="317">
        <v>2</v>
      </c>
      <c r="E1229" s="347" t="s">
        <v>104</v>
      </c>
      <c r="F1229" s="318">
        <v>544590</v>
      </c>
      <c r="G1229" s="318">
        <v>4661</v>
      </c>
      <c r="H1229" s="347"/>
    </row>
    <row r="1230" spans="2:8">
      <c r="B1230" s="347">
        <v>200902</v>
      </c>
      <c r="C1230" s="316">
        <v>2009</v>
      </c>
      <c r="D1230" s="317">
        <v>2</v>
      </c>
      <c r="E1230" s="347" t="s">
        <v>34</v>
      </c>
      <c r="F1230" s="318">
        <v>1150450</v>
      </c>
      <c r="G1230" s="318">
        <v>11667</v>
      </c>
      <c r="H1230" s="347"/>
    </row>
    <row r="1231" spans="2:8">
      <c r="B1231" s="347">
        <v>200902</v>
      </c>
      <c r="C1231" s="316">
        <v>2009</v>
      </c>
      <c r="D1231" s="317">
        <v>2</v>
      </c>
      <c r="E1231" s="347" t="s">
        <v>118</v>
      </c>
      <c r="F1231" s="318">
        <v>108267</v>
      </c>
      <c r="G1231" s="318">
        <v>2681</v>
      </c>
      <c r="H1231" s="347"/>
    </row>
    <row r="1232" spans="2:8">
      <c r="B1232" s="347">
        <v>200902</v>
      </c>
      <c r="C1232" s="316">
        <v>2009</v>
      </c>
      <c r="D1232" s="317">
        <v>2</v>
      </c>
      <c r="E1232" s="347" t="s">
        <v>103</v>
      </c>
      <c r="F1232" s="318">
        <v>1295418</v>
      </c>
      <c r="G1232" s="318">
        <v>10644</v>
      </c>
      <c r="H1232" s="347"/>
    </row>
    <row r="1233" spans="2:8">
      <c r="B1233" s="347">
        <v>200903</v>
      </c>
      <c r="C1233" s="316">
        <v>2009</v>
      </c>
      <c r="D1233" s="317">
        <v>3</v>
      </c>
      <c r="E1233" s="347" t="s">
        <v>121</v>
      </c>
      <c r="F1233" s="318">
        <v>239932</v>
      </c>
      <c r="G1233" s="318">
        <v>8069</v>
      </c>
      <c r="H1233" s="347"/>
    </row>
    <row r="1234" spans="2:8">
      <c r="B1234" s="347">
        <v>200903</v>
      </c>
      <c r="C1234" s="316">
        <v>2009</v>
      </c>
      <c r="D1234" s="317">
        <v>3</v>
      </c>
      <c r="E1234" s="347" t="s">
        <v>212</v>
      </c>
      <c r="F1234" s="318">
        <v>674076</v>
      </c>
      <c r="G1234" s="318">
        <v>7873</v>
      </c>
      <c r="H1234" s="347"/>
    </row>
    <row r="1235" spans="2:8">
      <c r="B1235" s="347">
        <v>200903</v>
      </c>
      <c r="C1235" s="316">
        <v>2009</v>
      </c>
      <c r="D1235" s="317">
        <v>3</v>
      </c>
      <c r="E1235" s="347" t="s">
        <v>119</v>
      </c>
      <c r="F1235" s="318">
        <v>693718</v>
      </c>
      <c r="G1235" s="318">
        <v>8892</v>
      </c>
      <c r="H1235" s="347"/>
    </row>
    <row r="1236" spans="2:8">
      <c r="B1236" s="347">
        <v>200903</v>
      </c>
      <c r="C1236" s="316">
        <v>2009</v>
      </c>
      <c r="D1236" s="317">
        <v>3</v>
      </c>
      <c r="E1236" s="347" t="s">
        <v>120</v>
      </c>
      <c r="F1236" s="318">
        <v>523786</v>
      </c>
      <c r="G1236" s="318">
        <v>6096</v>
      </c>
      <c r="H1236" s="347"/>
    </row>
    <row r="1237" spans="2:8">
      <c r="B1237" s="347">
        <v>200903</v>
      </c>
      <c r="C1237" s="316">
        <v>2009</v>
      </c>
      <c r="D1237" s="317">
        <v>3</v>
      </c>
      <c r="E1237" s="347" t="s">
        <v>102</v>
      </c>
      <c r="F1237" s="318">
        <v>2317331</v>
      </c>
      <c r="G1237" s="318">
        <v>18854</v>
      </c>
      <c r="H1237" s="347"/>
    </row>
    <row r="1238" spans="2:8">
      <c r="B1238" s="347">
        <v>200903</v>
      </c>
      <c r="C1238" s="316">
        <v>2009</v>
      </c>
      <c r="D1238" s="317">
        <v>3</v>
      </c>
      <c r="E1238" s="347" t="s">
        <v>117</v>
      </c>
      <c r="F1238" s="318">
        <v>5193458</v>
      </c>
      <c r="G1238" s="318">
        <v>39975</v>
      </c>
      <c r="H1238" s="347"/>
    </row>
    <row r="1239" spans="2:8">
      <c r="B1239" s="347">
        <v>200903</v>
      </c>
      <c r="C1239" s="316">
        <v>2009</v>
      </c>
      <c r="D1239" s="317">
        <v>3</v>
      </c>
      <c r="E1239" s="347" t="s">
        <v>104</v>
      </c>
      <c r="F1239" s="318">
        <v>672414</v>
      </c>
      <c r="G1239" s="318">
        <v>5926</v>
      </c>
      <c r="H1239" s="347"/>
    </row>
    <row r="1240" spans="2:8">
      <c r="B1240" s="347">
        <v>200903</v>
      </c>
      <c r="C1240" s="316">
        <v>2009</v>
      </c>
      <c r="D1240" s="317">
        <v>3</v>
      </c>
      <c r="E1240" s="347" t="s">
        <v>34</v>
      </c>
      <c r="F1240" s="318">
        <v>1340894</v>
      </c>
      <c r="G1240" s="318">
        <v>13367</v>
      </c>
      <c r="H1240" s="347"/>
    </row>
    <row r="1241" spans="2:8">
      <c r="B1241" s="347">
        <v>200903</v>
      </c>
      <c r="C1241" s="316">
        <v>2009</v>
      </c>
      <c r="D1241" s="317">
        <v>3</v>
      </c>
      <c r="E1241" s="347" t="s">
        <v>118</v>
      </c>
      <c r="F1241" s="318">
        <v>135164</v>
      </c>
      <c r="G1241" s="318">
        <v>3302</v>
      </c>
      <c r="H1241" s="347"/>
    </row>
    <row r="1242" spans="2:8">
      <c r="B1242" s="347">
        <v>200903</v>
      </c>
      <c r="C1242" s="316">
        <v>2009</v>
      </c>
      <c r="D1242" s="317">
        <v>3</v>
      </c>
      <c r="E1242" s="347" t="s">
        <v>103</v>
      </c>
      <c r="F1242" s="318">
        <v>1534209</v>
      </c>
      <c r="G1242" s="318">
        <v>12749</v>
      </c>
      <c r="H1242" s="347"/>
    </row>
    <row r="1243" spans="2:8">
      <c r="B1243" s="347">
        <v>200904</v>
      </c>
      <c r="C1243" s="316">
        <v>2009</v>
      </c>
      <c r="D1243" s="317">
        <v>4</v>
      </c>
      <c r="E1243" s="347" t="s">
        <v>121</v>
      </c>
      <c r="F1243" s="318">
        <v>248395</v>
      </c>
      <c r="G1243" s="318">
        <v>7685</v>
      </c>
      <c r="H1243" s="347"/>
    </row>
    <row r="1244" spans="2:8">
      <c r="B1244" s="347">
        <v>200904</v>
      </c>
      <c r="C1244" s="316">
        <v>2009</v>
      </c>
      <c r="D1244" s="317">
        <v>4</v>
      </c>
      <c r="E1244" s="347" t="s">
        <v>212</v>
      </c>
      <c r="F1244" s="318">
        <v>716965</v>
      </c>
      <c r="G1244" s="318">
        <v>7734</v>
      </c>
      <c r="H1244" s="347"/>
    </row>
    <row r="1245" spans="2:8">
      <c r="B1245" s="347">
        <v>200904</v>
      </c>
      <c r="C1245" s="316">
        <v>2009</v>
      </c>
      <c r="D1245" s="317">
        <v>4</v>
      </c>
      <c r="E1245" s="347" t="s">
        <v>119</v>
      </c>
      <c r="F1245" s="318">
        <v>751931</v>
      </c>
      <c r="G1245" s="318">
        <v>9009</v>
      </c>
      <c r="H1245" s="347"/>
    </row>
    <row r="1246" spans="2:8">
      <c r="B1246" s="347">
        <v>200904</v>
      </c>
      <c r="C1246" s="316">
        <v>2009</v>
      </c>
      <c r="D1246" s="317">
        <v>4</v>
      </c>
      <c r="E1246" s="347" t="s">
        <v>120</v>
      </c>
      <c r="F1246" s="318">
        <v>569408</v>
      </c>
      <c r="G1246" s="318">
        <v>6248</v>
      </c>
      <c r="H1246" s="347"/>
    </row>
    <row r="1247" spans="2:8">
      <c r="B1247" s="347">
        <v>200904</v>
      </c>
      <c r="C1247" s="316">
        <v>2009</v>
      </c>
      <c r="D1247" s="317">
        <v>4</v>
      </c>
      <c r="E1247" s="347" t="s">
        <v>102</v>
      </c>
      <c r="F1247" s="318">
        <v>2576789</v>
      </c>
      <c r="G1247" s="318">
        <v>19593</v>
      </c>
      <c r="H1247" s="347"/>
    </row>
    <row r="1248" spans="2:8">
      <c r="B1248" s="347">
        <v>200904</v>
      </c>
      <c r="C1248" s="316">
        <v>2009</v>
      </c>
      <c r="D1248" s="317">
        <v>4</v>
      </c>
      <c r="E1248" s="347" t="s">
        <v>117</v>
      </c>
      <c r="F1248" s="318">
        <v>5612579</v>
      </c>
      <c r="G1248" s="318">
        <v>38733</v>
      </c>
      <c r="H1248" s="347"/>
    </row>
    <row r="1249" spans="2:8">
      <c r="B1249" s="347">
        <v>200904</v>
      </c>
      <c r="C1249" s="316">
        <v>2009</v>
      </c>
      <c r="D1249" s="317">
        <v>4</v>
      </c>
      <c r="E1249" s="347" t="s">
        <v>104</v>
      </c>
      <c r="F1249" s="318">
        <v>787305</v>
      </c>
      <c r="G1249" s="318">
        <v>6546</v>
      </c>
      <c r="H1249" s="347"/>
    </row>
    <row r="1250" spans="2:8">
      <c r="B1250" s="347">
        <v>200904</v>
      </c>
      <c r="C1250" s="316">
        <v>2009</v>
      </c>
      <c r="D1250" s="317">
        <v>4</v>
      </c>
      <c r="E1250" s="347" t="s">
        <v>34</v>
      </c>
      <c r="F1250" s="318">
        <v>1454720</v>
      </c>
      <c r="G1250" s="318">
        <v>13271</v>
      </c>
      <c r="H1250" s="347"/>
    </row>
    <row r="1251" spans="2:8">
      <c r="B1251" s="347">
        <v>200904</v>
      </c>
      <c r="C1251" s="316">
        <v>2009</v>
      </c>
      <c r="D1251" s="317">
        <v>4</v>
      </c>
      <c r="E1251" s="347" t="s">
        <v>118</v>
      </c>
      <c r="F1251" s="318">
        <v>150112</v>
      </c>
      <c r="G1251" s="318">
        <v>3467</v>
      </c>
      <c r="H1251" s="347"/>
    </row>
    <row r="1252" spans="2:8">
      <c r="B1252" s="347">
        <v>200904</v>
      </c>
      <c r="C1252" s="316">
        <v>2009</v>
      </c>
      <c r="D1252" s="317">
        <v>4</v>
      </c>
      <c r="E1252" s="347" t="s">
        <v>103</v>
      </c>
      <c r="F1252" s="318">
        <v>1629149</v>
      </c>
      <c r="G1252" s="318">
        <v>12589</v>
      </c>
      <c r="H1252" s="347"/>
    </row>
    <row r="1253" spans="2:8">
      <c r="B1253" s="347">
        <v>200905</v>
      </c>
      <c r="C1253" s="316">
        <v>2009</v>
      </c>
      <c r="D1253" s="317">
        <v>5</v>
      </c>
      <c r="E1253" s="347" t="s">
        <v>121</v>
      </c>
      <c r="F1253" s="318">
        <v>254344</v>
      </c>
      <c r="G1253" s="318">
        <v>7896</v>
      </c>
      <c r="H1253" s="347"/>
    </row>
    <row r="1254" spans="2:8">
      <c r="B1254" s="347">
        <v>200905</v>
      </c>
      <c r="C1254" s="316">
        <v>2009</v>
      </c>
      <c r="D1254" s="317">
        <v>5</v>
      </c>
      <c r="E1254" s="347" t="s">
        <v>212</v>
      </c>
      <c r="F1254" s="318">
        <v>831207</v>
      </c>
      <c r="G1254" s="318">
        <v>8468</v>
      </c>
      <c r="H1254" s="347"/>
    </row>
    <row r="1255" spans="2:8">
      <c r="B1255" s="347">
        <v>200905</v>
      </c>
      <c r="C1255" s="316">
        <v>2009</v>
      </c>
      <c r="D1255" s="317">
        <v>5</v>
      </c>
      <c r="E1255" s="347" t="s">
        <v>119</v>
      </c>
      <c r="F1255" s="318">
        <v>821216</v>
      </c>
      <c r="G1255" s="318">
        <v>9574</v>
      </c>
      <c r="H1255" s="347"/>
    </row>
    <row r="1256" spans="2:8">
      <c r="B1256" s="347">
        <v>200905</v>
      </c>
      <c r="C1256" s="316">
        <v>2009</v>
      </c>
      <c r="D1256" s="317">
        <v>5</v>
      </c>
      <c r="E1256" s="347" t="s">
        <v>120</v>
      </c>
      <c r="F1256" s="318">
        <v>649479</v>
      </c>
      <c r="G1256" s="318">
        <v>6638</v>
      </c>
      <c r="H1256" s="347"/>
    </row>
    <row r="1257" spans="2:8">
      <c r="B1257" s="347">
        <v>200905</v>
      </c>
      <c r="C1257" s="316">
        <v>2009</v>
      </c>
      <c r="D1257" s="317">
        <v>5</v>
      </c>
      <c r="E1257" s="347" t="s">
        <v>102</v>
      </c>
      <c r="F1257" s="318">
        <v>2846084</v>
      </c>
      <c r="G1257" s="318">
        <v>21783</v>
      </c>
      <c r="H1257" s="347"/>
    </row>
    <row r="1258" spans="2:8">
      <c r="B1258" s="347">
        <v>200905</v>
      </c>
      <c r="C1258" s="316">
        <v>2009</v>
      </c>
      <c r="D1258" s="317">
        <v>5</v>
      </c>
      <c r="E1258" s="347" t="s">
        <v>117</v>
      </c>
      <c r="F1258" s="318">
        <v>5424869</v>
      </c>
      <c r="G1258" s="318">
        <v>39661</v>
      </c>
      <c r="H1258" s="347"/>
    </row>
    <row r="1259" spans="2:8">
      <c r="B1259" s="347">
        <v>200905</v>
      </c>
      <c r="C1259" s="316">
        <v>2009</v>
      </c>
      <c r="D1259" s="317">
        <v>5</v>
      </c>
      <c r="E1259" s="347" t="s">
        <v>104</v>
      </c>
      <c r="F1259" s="318">
        <v>841017</v>
      </c>
      <c r="G1259" s="318">
        <v>7043</v>
      </c>
      <c r="H1259" s="347"/>
    </row>
    <row r="1260" spans="2:8">
      <c r="B1260" s="347">
        <v>200905</v>
      </c>
      <c r="C1260" s="316">
        <v>2009</v>
      </c>
      <c r="D1260" s="317">
        <v>5</v>
      </c>
      <c r="E1260" s="347" t="s">
        <v>34</v>
      </c>
      <c r="F1260" s="318">
        <v>1712286</v>
      </c>
      <c r="G1260" s="318">
        <v>14798</v>
      </c>
      <c r="H1260" s="347"/>
    </row>
    <row r="1261" spans="2:8">
      <c r="B1261" s="347">
        <v>200905</v>
      </c>
      <c r="C1261" s="316">
        <v>2009</v>
      </c>
      <c r="D1261" s="317">
        <v>5</v>
      </c>
      <c r="E1261" s="347" t="s">
        <v>118</v>
      </c>
      <c r="F1261" s="318">
        <v>163826</v>
      </c>
      <c r="G1261" s="318">
        <v>3679</v>
      </c>
      <c r="H1261" s="347"/>
    </row>
    <row r="1262" spans="2:8">
      <c r="B1262" s="347">
        <v>200905</v>
      </c>
      <c r="C1262" s="316">
        <v>2009</v>
      </c>
      <c r="D1262" s="317">
        <v>5</v>
      </c>
      <c r="E1262" s="347" t="s">
        <v>103</v>
      </c>
      <c r="F1262" s="318">
        <v>1646668</v>
      </c>
      <c r="G1262" s="318">
        <v>13017</v>
      </c>
      <c r="H1262" s="347"/>
    </row>
    <row r="1263" spans="2:8">
      <c r="B1263" s="347">
        <v>200906</v>
      </c>
      <c r="C1263" s="316">
        <v>2009</v>
      </c>
      <c r="D1263" s="317">
        <v>6</v>
      </c>
      <c r="E1263" s="347" t="s">
        <v>121</v>
      </c>
      <c r="F1263" s="318">
        <v>270904</v>
      </c>
      <c r="G1263" s="318">
        <v>8319</v>
      </c>
      <c r="H1263" s="347"/>
    </row>
    <row r="1264" spans="2:8">
      <c r="B1264" s="347">
        <v>200906</v>
      </c>
      <c r="C1264" s="316">
        <v>2009</v>
      </c>
      <c r="D1264" s="317">
        <v>6</v>
      </c>
      <c r="E1264" s="347" t="s">
        <v>212</v>
      </c>
      <c r="F1264" s="318">
        <v>898313</v>
      </c>
      <c r="G1264" s="318">
        <v>8810</v>
      </c>
      <c r="H1264" s="347"/>
    </row>
    <row r="1265" spans="2:8">
      <c r="B1265" s="347">
        <v>200906</v>
      </c>
      <c r="C1265" s="316">
        <v>2009</v>
      </c>
      <c r="D1265" s="317">
        <v>6</v>
      </c>
      <c r="E1265" s="347" t="s">
        <v>119</v>
      </c>
      <c r="F1265" s="318">
        <v>871165</v>
      </c>
      <c r="G1265" s="318">
        <v>9789</v>
      </c>
      <c r="H1265" s="347"/>
    </row>
    <row r="1266" spans="2:8">
      <c r="B1266" s="347">
        <v>200906</v>
      </c>
      <c r="C1266" s="316">
        <v>2009</v>
      </c>
      <c r="D1266" s="317">
        <v>6</v>
      </c>
      <c r="E1266" s="347" t="s">
        <v>120</v>
      </c>
      <c r="F1266" s="318">
        <v>736308</v>
      </c>
      <c r="G1266" s="318">
        <v>6984</v>
      </c>
      <c r="H1266" s="347"/>
    </row>
    <row r="1267" spans="2:8">
      <c r="B1267" s="347">
        <v>200906</v>
      </c>
      <c r="C1267" s="316">
        <v>2009</v>
      </c>
      <c r="D1267" s="317">
        <v>6</v>
      </c>
      <c r="E1267" s="347" t="s">
        <v>102</v>
      </c>
      <c r="F1267" s="318">
        <v>3068898</v>
      </c>
      <c r="G1267" s="318">
        <v>22348</v>
      </c>
      <c r="H1267" s="347"/>
    </row>
    <row r="1268" spans="2:8">
      <c r="B1268" s="347">
        <v>200906</v>
      </c>
      <c r="C1268" s="316">
        <v>2009</v>
      </c>
      <c r="D1268" s="317">
        <v>6</v>
      </c>
      <c r="E1268" s="347" t="s">
        <v>117</v>
      </c>
      <c r="F1268" s="318">
        <v>5774889</v>
      </c>
      <c r="G1268" s="318">
        <v>39257</v>
      </c>
      <c r="H1268" s="347"/>
    </row>
    <row r="1269" spans="2:8">
      <c r="B1269" s="347">
        <v>200906</v>
      </c>
      <c r="C1269" s="316">
        <v>2009</v>
      </c>
      <c r="D1269" s="317">
        <v>6</v>
      </c>
      <c r="E1269" s="347" t="s">
        <v>104</v>
      </c>
      <c r="F1269" s="318">
        <v>861135</v>
      </c>
      <c r="G1269" s="318">
        <v>6975</v>
      </c>
      <c r="H1269" s="347"/>
    </row>
    <row r="1270" spans="2:8">
      <c r="B1270" s="347">
        <v>200906</v>
      </c>
      <c r="C1270" s="316">
        <v>2009</v>
      </c>
      <c r="D1270" s="317">
        <v>6</v>
      </c>
      <c r="E1270" s="347" t="s">
        <v>34</v>
      </c>
      <c r="F1270" s="318">
        <v>1846269</v>
      </c>
      <c r="G1270" s="318">
        <v>15119</v>
      </c>
      <c r="H1270" s="347"/>
    </row>
    <row r="1271" spans="2:8">
      <c r="B1271" s="347">
        <v>200906</v>
      </c>
      <c r="C1271" s="316">
        <v>2009</v>
      </c>
      <c r="D1271" s="317">
        <v>6</v>
      </c>
      <c r="E1271" s="347" t="s">
        <v>118</v>
      </c>
      <c r="F1271" s="318">
        <v>172285</v>
      </c>
      <c r="G1271" s="318">
        <v>3729</v>
      </c>
      <c r="H1271" s="347"/>
    </row>
    <row r="1272" spans="2:8">
      <c r="B1272" s="347">
        <v>200906</v>
      </c>
      <c r="C1272" s="316">
        <v>2009</v>
      </c>
      <c r="D1272" s="317">
        <v>6</v>
      </c>
      <c r="E1272" s="347" t="s">
        <v>103</v>
      </c>
      <c r="F1272" s="318">
        <v>1840263</v>
      </c>
      <c r="G1272" s="318">
        <v>13953</v>
      </c>
      <c r="H1272" s="347"/>
    </row>
    <row r="1273" spans="2:8">
      <c r="B1273" s="347">
        <v>200907</v>
      </c>
      <c r="C1273" s="316">
        <v>2009</v>
      </c>
      <c r="D1273" s="317">
        <v>7</v>
      </c>
      <c r="E1273" s="347" t="s">
        <v>121</v>
      </c>
      <c r="F1273" s="318">
        <v>287449</v>
      </c>
      <c r="G1273" s="318">
        <v>8546</v>
      </c>
      <c r="H1273" s="347"/>
    </row>
    <row r="1274" spans="2:8">
      <c r="B1274" s="347">
        <v>200907</v>
      </c>
      <c r="C1274" s="316">
        <v>2009</v>
      </c>
      <c r="D1274" s="317">
        <v>7</v>
      </c>
      <c r="E1274" s="347" t="s">
        <v>212</v>
      </c>
      <c r="F1274" s="318">
        <v>967933</v>
      </c>
      <c r="G1274" s="318">
        <v>8835</v>
      </c>
      <c r="H1274" s="347"/>
    </row>
    <row r="1275" spans="2:8">
      <c r="B1275" s="347">
        <v>200907</v>
      </c>
      <c r="C1275" s="316">
        <v>2009</v>
      </c>
      <c r="D1275" s="317">
        <v>7</v>
      </c>
      <c r="E1275" s="347" t="s">
        <v>119</v>
      </c>
      <c r="F1275" s="318">
        <v>955718</v>
      </c>
      <c r="G1275" s="318">
        <v>10083</v>
      </c>
      <c r="H1275" s="347"/>
    </row>
    <row r="1276" spans="2:8">
      <c r="B1276" s="347">
        <v>200907</v>
      </c>
      <c r="C1276" s="316">
        <v>2009</v>
      </c>
      <c r="D1276" s="317">
        <v>7</v>
      </c>
      <c r="E1276" s="347" t="s">
        <v>120</v>
      </c>
      <c r="F1276" s="318">
        <v>817245</v>
      </c>
      <c r="G1276" s="318">
        <v>7174</v>
      </c>
      <c r="H1276" s="347"/>
    </row>
    <row r="1277" spans="2:8">
      <c r="B1277" s="347">
        <v>200907</v>
      </c>
      <c r="C1277" s="316">
        <v>2009</v>
      </c>
      <c r="D1277" s="317">
        <v>7</v>
      </c>
      <c r="E1277" s="347" t="s">
        <v>102</v>
      </c>
      <c r="F1277" s="318">
        <v>3540198</v>
      </c>
      <c r="G1277" s="318">
        <v>24582</v>
      </c>
      <c r="H1277" s="347"/>
    </row>
    <row r="1278" spans="2:8">
      <c r="B1278" s="347">
        <v>200907</v>
      </c>
      <c r="C1278" s="316">
        <v>2009</v>
      </c>
      <c r="D1278" s="317">
        <v>7</v>
      </c>
      <c r="E1278" s="347" t="s">
        <v>117</v>
      </c>
      <c r="F1278" s="318">
        <v>6477537</v>
      </c>
      <c r="G1278" s="318">
        <v>40265</v>
      </c>
      <c r="H1278" s="347"/>
    </row>
    <row r="1279" spans="2:8">
      <c r="B1279" s="347">
        <v>200907</v>
      </c>
      <c r="C1279" s="316">
        <v>2009</v>
      </c>
      <c r="D1279" s="317">
        <v>7</v>
      </c>
      <c r="E1279" s="347" t="s">
        <v>104</v>
      </c>
      <c r="F1279" s="318">
        <v>978411</v>
      </c>
      <c r="G1279" s="318">
        <v>7439</v>
      </c>
      <c r="H1279" s="347"/>
    </row>
    <row r="1280" spans="2:8">
      <c r="B1280" s="347">
        <v>200907</v>
      </c>
      <c r="C1280" s="316">
        <v>2009</v>
      </c>
      <c r="D1280" s="317">
        <v>7</v>
      </c>
      <c r="E1280" s="347" t="s">
        <v>34</v>
      </c>
      <c r="F1280" s="318">
        <v>2035884</v>
      </c>
      <c r="G1280" s="318">
        <v>15604</v>
      </c>
      <c r="H1280" s="347"/>
    </row>
    <row r="1281" spans="2:8">
      <c r="B1281" s="347">
        <v>200907</v>
      </c>
      <c r="C1281" s="316">
        <v>2009</v>
      </c>
      <c r="D1281" s="317">
        <v>7</v>
      </c>
      <c r="E1281" s="347" t="s">
        <v>118</v>
      </c>
      <c r="F1281" s="318">
        <v>190231</v>
      </c>
      <c r="G1281" s="318">
        <v>4064</v>
      </c>
      <c r="H1281" s="347"/>
    </row>
    <row r="1282" spans="2:8">
      <c r="B1282" s="347">
        <v>200907</v>
      </c>
      <c r="C1282" s="316">
        <v>2009</v>
      </c>
      <c r="D1282" s="317">
        <v>7</v>
      </c>
      <c r="E1282" s="347" t="s">
        <v>103</v>
      </c>
      <c r="F1282" s="318">
        <v>2182411</v>
      </c>
      <c r="G1282" s="318">
        <v>15464</v>
      </c>
      <c r="H1282" s="347"/>
    </row>
    <row r="1283" spans="2:8">
      <c r="B1283" s="347">
        <v>200908</v>
      </c>
      <c r="C1283" s="316">
        <v>2009</v>
      </c>
      <c r="D1283" s="317">
        <v>8</v>
      </c>
      <c r="E1283" s="347" t="s">
        <v>121</v>
      </c>
      <c r="F1283" s="318">
        <v>268309</v>
      </c>
      <c r="G1283" s="318">
        <v>8164</v>
      </c>
      <c r="H1283" s="347"/>
    </row>
    <row r="1284" spans="2:8">
      <c r="B1284" s="347">
        <v>200908</v>
      </c>
      <c r="C1284" s="316">
        <v>2009</v>
      </c>
      <c r="D1284" s="317">
        <v>8</v>
      </c>
      <c r="E1284" s="347" t="s">
        <v>212</v>
      </c>
      <c r="F1284" s="318">
        <v>1013459</v>
      </c>
      <c r="G1284" s="318">
        <v>8633</v>
      </c>
      <c r="H1284" s="347"/>
    </row>
    <row r="1285" spans="2:8">
      <c r="B1285" s="347">
        <v>200908</v>
      </c>
      <c r="C1285" s="316">
        <v>2009</v>
      </c>
      <c r="D1285" s="317">
        <v>8</v>
      </c>
      <c r="E1285" s="347" t="s">
        <v>119</v>
      </c>
      <c r="F1285" s="318">
        <v>928614</v>
      </c>
      <c r="G1285" s="318">
        <v>9703</v>
      </c>
      <c r="H1285" s="347"/>
    </row>
    <row r="1286" spans="2:8">
      <c r="B1286" s="347">
        <v>200908</v>
      </c>
      <c r="C1286" s="316">
        <v>2009</v>
      </c>
      <c r="D1286" s="317">
        <v>8</v>
      </c>
      <c r="E1286" s="347" t="s">
        <v>120</v>
      </c>
      <c r="F1286" s="318">
        <v>712632</v>
      </c>
      <c r="G1286" s="318">
        <v>6570</v>
      </c>
      <c r="H1286" s="347"/>
    </row>
    <row r="1287" spans="2:8">
      <c r="B1287" s="347">
        <v>200908</v>
      </c>
      <c r="C1287" s="316">
        <v>2009</v>
      </c>
      <c r="D1287" s="317">
        <v>8</v>
      </c>
      <c r="E1287" s="347" t="s">
        <v>102</v>
      </c>
      <c r="F1287" s="318">
        <v>3739956</v>
      </c>
      <c r="G1287" s="318">
        <v>25046</v>
      </c>
      <c r="H1287" s="347"/>
    </row>
    <row r="1288" spans="2:8">
      <c r="B1288" s="347">
        <v>200908</v>
      </c>
      <c r="C1288" s="316">
        <v>2009</v>
      </c>
      <c r="D1288" s="317">
        <v>8</v>
      </c>
      <c r="E1288" s="347" t="s">
        <v>117</v>
      </c>
      <c r="F1288" s="318">
        <v>6383569</v>
      </c>
      <c r="G1288" s="318">
        <v>39630</v>
      </c>
      <c r="H1288" s="347"/>
    </row>
    <row r="1289" spans="2:8">
      <c r="B1289" s="347">
        <v>200908</v>
      </c>
      <c r="C1289" s="316">
        <v>2009</v>
      </c>
      <c r="D1289" s="317">
        <v>8</v>
      </c>
      <c r="E1289" s="347" t="s">
        <v>104</v>
      </c>
      <c r="F1289" s="318">
        <v>1012140</v>
      </c>
      <c r="G1289" s="318">
        <v>7390</v>
      </c>
      <c r="H1289" s="347"/>
    </row>
    <row r="1290" spans="2:8">
      <c r="B1290" s="347">
        <v>200908</v>
      </c>
      <c r="C1290" s="316">
        <v>2009</v>
      </c>
      <c r="D1290" s="317">
        <v>8</v>
      </c>
      <c r="E1290" s="347" t="s">
        <v>34</v>
      </c>
      <c r="F1290" s="318">
        <v>2151164</v>
      </c>
      <c r="G1290" s="318">
        <v>15823</v>
      </c>
      <c r="H1290" s="347"/>
    </row>
    <row r="1291" spans="2:8">
      <c r="B1291" s="347">
        <v>200908</v>
      </c>
      <c r="C1291" s="316">
        <v>2009</v>
      </c>
      <c r="D1291" s="317">
        <v>8</v>
      </c>
      <c r="E1291" s="347" t="s">
        <v>118</v>
      </c>
      <c r="F1291" s="318">
        <v>185125</v>
      </c>
      <c r="G1291" s="318">
        <v>3824</v>
      </c>
      <c r="H1291" s="347"/>
    </row>
    <row r="1292" spans="2:8">
      <c r="B1292" s="347">
        <v>200908</v>
      </c>
      <c r="C1292" s="316">
        <v>2009</v>
      </c>
      <c r="D1292" s="317">
        <v>8</v>
      </c>
      <c r="E1292" s="347" t="s">
        <v>103</v>
      </c>
      <c r="F1292" s="318">
        <v>2224495</v>
      </c>
      <c r="G1292" s="318">
        <v>15406</v>
      </c>
      <c r="H1292" s="347"/>
    </row>
    <row r="1293" spans="2:8">
      <c r="B1293" s="347">
        <v>200909</v>
      </c>
      <c r="C1293" s="316">
        <v>2009</v>
      </c>
      <c r="D1293" s="317">
        <v>9</v>
      </c>
      <c r="E1293" s="347" t="s">
        <v>121</v>
      </c>
      <c r="F1293" s="318">
        <v>281932</v>
      </c>
      <c r="G1293" s="318">
        <v>8397</v>
      </c>
      <c r="H1293" s="347"/>
    </row>
    <row r="1294" spans="2:8">
      <c r="B1294" s="347">
        <v>200909</v>
      </c>
      <c r="C1294" s="316">
        <v>2009</v>
      </c>
      <c r="D1294" s="317">
        <v>9</v>
      </c>
      <c r="E1294" s="347" t="s">
        <v>212</v>
      </c>
      <c r="F1294" s="318">
        <v>936711</v>
      </c>
      <c r="G1294" s="318">
        <v>8774</v>
      </c>
      <c r="H1294" s="347"/>
    </row>
    <row r="1295" spans="2:8">
      <c r="B1295" s="347">
        <v>200909</v>
      </c>
      <c r="C1295" s="316">
        <v>2009</v>
      </c>
      <c r="D1295" s="317">
        <v>9</v>
      </c>
      <c r="E1295" s="347" t="s">
        <v>119</v>
      </c>
      <c r="F1295" s="318">
        <v>854287</v>
      </c>
      <c r="G1295" s="318">
        <v>9455</v>
      </c>
      <c r="H1295" s="347"/>
    </row>
    <row r="1296" spans="2:8">
      <c r="B1296" s="347">
        <v>200909</v>
      </c>
      <c r="C1296" s="316">
        <v>2009</v>
      </c>
      <c r="D1296" s="317">
        <v>9</v>
      </c>
      <c r="E1296" s="347" t="s">
        <v>120</v>
      </c>
      <c r="F1296" s="318">
        <v>716205</v>
      </c>
      <c r="G1296" s="318">
        <v>6638</v>
      </c>
      <c r="H1296" s="347"/>
    </row>
    <row r="1297" spans="2:8">
      <c r="B1297" s="347">
        <v>200909</v>
      </c>
      <c r="C1297" s="316">
        <v>2009</v>
      </c>
      <c r="D1297" s="317">
        <v>9</v>
      </c>
      <c r="E1297" s="347" t="s">
        <v>102</v>
      </c>
      <c r="F1297" s="318">
        <v>3291749</v>
      </c>
      <c r="G1297" s="318">
        <v>23573</v>
      </c>
      <c r="H1297" s="347"/>
    </row>
    <row r="1298" spans="2:8">
      <c r="B1298" s="347">
        <v>200909</v>
      </c>
      <c r="C1298" s="316">
        <v>2009</v>
      </c>
      <c r="D1298" s="317">
        <v>9</v>
      </c>
      <c r="E1298" s="347" t="s">
        <v>117</v>
      </c>
      <c r="F1298" s="318">
        <v>5783721</v>
      </c>
      <c r="G1298" s="318">
        <v>37881</v>
      </c>
      <c r="H1298" s="347"/>
    </row>
    <row r="1299" spans="2:8">
      <c r="B1299" s="347">
        <v>200909</v>
      </c>
      <c r="C1299" s="316">
        <v>2009</v>
      </c>
      <c r="D1299" s="317">
        <v>9</v>
      </c>
      <c r="E1299" s="347" t="s">
        <v>104</v>
      </c>
      <c r="F1299" s="318">
        <v>868432</v>
      </c>
      <c r="G1299" s="318">
        <v>6885</v>
      </c>
      <c r="H1299" s="347"/>
    </row>
    <row r="1300" spans="2:8">
      <c r="B1300" s="347">
        <v>200909</v>
      </c>
      <c r="C1300" s="316">
        <v>2009</v>
      </c>
      <c r="D1300" s="317">
        <v>9</v>
      </c>
      <c r="E1300" s="347" t="s">
        <v>34</v>
      </c>
      <c r="F1300" s="318">
        <v>1948336</v>
      </c>
      <c r="G1300" s="318">
        <v>15287</v>
      </c>
      <c r="H1300" s="347"/>
    </row>
    <row r="1301" spans="2:8">
      <c r="B1301" s="347">
        <v>200909</v>
      </c>
      <c r="C1301" s="316">
        <v>2009</v>
      </c>
      <c r="D1301" s="317">
        <v>9</v>
      </c>
      <c r="E1301" s="347" t="s">
        <v>118</v>
      </c>
      <c r="F1301" s="318">
        <v>174375</v>
      </c>
      <c r="G1301" s="318">
        <v>3707</v>
      </c>
      <c r="H1301" s="347"/>
    </row>
    <row r="1302" spans="2:8">
      <c r="B1302" s="347">
        <v>200909</v>
      </c>
      <c r="C1302" s="316">
        <v>2009</v>
      </c>
      <c r="D1302" s="317">
        <v>9</v>
      </c>
      <c r="E1302" s="347" t="s">
        <v>103</v>
      </c>
      <c r="F1302" s="318">
        <v>1856252</v>
      </c>
      <c r="G1302" s="318">
        <v>14343</v>
      </c>
      <c r="H1302" s="347"/>
    </row>
    <row r="1303" spans="2:8">
      <c r="B1303" s="347">
        <v>200910</v>
      </c>
      <c r="C1303" s="316">
        <v>2009</v>
      </c>
      <c r="D1303" s="317">
        <v>10</v>
      </c>
      <c r="E1303" s="347" t="s">
        <v>121</v>
      </c>
      <c r="F1303" s="318">
        <v>275718</v>
      </c>
      <c r="G1303" s="318">
        <v>8303</v>
      </c>
      <c r="H1303" s="347"/>
    </row>
    <row r="1304" spans="2:8">
      <c r="B1304" s="347">
        <v>200910</v>
      </c>
      <c r="C1304" s="316">
        <v>2009</v>
      </c>
      <c r="D1304" s="317">
        <v>10</v>
      </c>
      <c r="E1304" s="347" t="s">
        <v>212</v>
      </c>
      <c r="F1304" s="318">
        <v>795335</v>
      </c>
      <c r="G1304" s="318">
        <v>8078</v>
      </c>
      <c r="H1304" s="347"/>
    </row>
    <row r="1305" spans="2:8">
      <c r="B1305" s="347">
        <v>200910</v>
      </c>
      <c r="C1305" s="316">
        <v>2009</v>
      </c>
      <c r="D1305" s="317">
        <v>10</v>
      </c>
      <c r="E1305" s="347" t="s">
        <v>119</v>
      </c>
      <c r="F1305" s="318">
        <v>824151</v>
      </c>
      <c r="G1305" s="318">
        <v>9263</v>
      </c>
      <c r="H1305" s="347"/>
    </row>
    <row r="1306" spans="2:8">
      <c r="B1306" s="347">
        <v>200910</v>
      </c>
      <c r="C1306" s="316">
        <v>2009</v>
      </c>
      <c r="D1306" s="317">
        <v>10</v>
      </c>
      <c r="E1306" s="347" t="s">
        <v>120</v>
      </c>
      <c r="F1306" s="318">
        <v>714794</v>
      </c>
      <c r="G1306" s="318">
        <v>6737</v>
      </c>
      <c r="H1306" s="347"/>
    </row>
    <row r="1307" spans="2:8">
      <c r="B1307" s="347">
        <v>200910</v>
      </c>
      <c r="C1307" s="316">
        <v>2009</v>
      </c>
      <c r="D1307" s="317">
        <v>10</v>
      </c>
      <c r="E1307" s="347" t="s">
        <v>102</v>
      </c>
      <c r="F1307" s="318">
        <v>2826923</v>
      </c>
      <c r="G1307" s="318">
        <v>21564</v>
      </c>
      <c r="H1307" s="347"/>
    </row>
    <row r="1308" spans="2:8">
      <c r="B1308" s="347">
        <v>200910</v>
      </c>
      <c r="C1308" s="316">
        <v>2009</v>
      </c>
      <c r="D1308" s="317">
        <v>10</v>
      </c>
      <c r="E1308" s="347" t="s">
        <v>117</v>
      </c>
      <c r="F1308" s="318">
        <v>5687474</v>
      </c>
      <c r="G1308" s="318">
        <v>38467</v>
      </c>
      <c r="H1308" s="347"/>
    </row>
    <row r="1309" spans="2:8">
      <c r="B1309" s="347">
        <v>200910</v>
      </c>
      <c r="C1309" s="316">
        <v>2009</v>
      </c>
      <c r="D1309" s="317">
        <v>10</v>
      </c>
      <c r="E1309" s="347" t="s">
        <v>104</v>
      </c>
      <c r="F1309" s="318">
        <v>811161</v>
      </c>
      <c r="G1309" s="318">
        <v>6673</v>
      </c>
      <c r="H1309" s="347"/>
    </row>
    <row r="1310" spans="2:8">
      <c r="B1310" s="347">
        <v>200910</v>
      </c>
      <c r="C1310" s="316">
        <v>2009</v>
      </c>
      <c r="D1310" s="317">
        <v>10</v>
      </c>
      <c r="E1310" s="347" t="s">
        <v>34</v>
      </c>
      <c r="F1310" s="318">
        <v>1601313</v>
      </c>
      <c r="G1310" s="318">
        <v>13783</v>
      </c>
      <c r="H1310" s="347"/>
    </row>
    <row r="1311" spans="2:8">
      <c r="B1311" s="347">
        <v>200910</v>
      </c>
      <c r="C1311" s="316">
        <v>2009</v>
      </c>
      <c r="D1311" s="317">
        <v>10</v>
      </c>
      <c r="E1311" s="347" t="s">
        <v>118</v>
      </c>
      <c r="F1311" s="318">
        <v>155089</v>
      </c>
      <c r="G1311" s="318">
        <v>3459</v>
      </c>
      <c r="H1311" s="347"/>
    </row>
    <row r="1312" spans="2:8">
      <c r="B1312" s="347">
        <v>200910</v>
      </c>
      <c r="C1312" s="316">
        <v>2009</v>
      </c>
      <c r="D1312" s="317">
        <v>10</v>
      </c>
      <c r="E1312" s="347" t="s">
        <v>103</v>
      </c>
      <c r="F1312" s="318">
        <v>1775787</v>
      </c>
      <c r="G1312" s="318">
        <v>13850</v>
      </c>
      <c r="H1312" s="347"/>
    </row>
    <row r="1313" spans="2:8">
      <c r="B1313" s="347">
        <v>200911</v>
      </c>
      <c r="C1313" s="316">
        <v>2009</v>
      </c>
      <c r="D1313" s="317">
        <v>11</v>
      </c>
      <c r="E1313" s="347" t="s">
        <v>121</v>
      </c>
      <c r="F1313" s="318">
        <v>229060</v>
      </c>
      <c r="G1313" s="318">
        <v>7585</v>
      </c>
      <c r="H1313" s="347"/>
    </row>
    <row r="1314" spans="2:8">
      <c r="B1314" s="347">
        <v>200911</v>
      </c>
      <c r="C1314" s="316">
        <v>2009</v>
      </c>
      <c r="D1314" s="317">
        <v>11</v>
      </c>
      <c r="E1314" s="347" t="s">
        <v>212</v>
      </c>
      <c r="F1314" s="318">
        <v>565844</v>
      </c>
      <c r="G1314" s="318">
        <v>6585</v>
      </c>
      <c r="H1314" s="347"/>
    </row>
    <row r="1315" spans="2:8">
      <c r="B1315" s="347">
        <v>200911</v>
      </c>
      <c r="C1315" s="316">
        <v>2009</v>
      </c>
      <c r="D1315" s="317">
        <v>11</v>
      </c>
      <c r="E1315" s="347" t="s">
        <v>119</v>
      </c>
      <c r="F1315" s="318">
        <v>647167</v>
      </c>
      <c r="G1315" s="318">
        <v>7937</v>
      </c>
      <c r="H1315" s="347"/>
    </row>
    <row r="1316" spans="2:8">
      <c r="B1316" s="347">
        <v>200911</v>
      </c>
      <c r="C1316" s="316">
        <v>2009</v>
      </c>
      <c r="D1316" s="317">
        <v>11</v>
      </c>
      <c r="E1316" s="347" t="s">
        <v>120</v>
      </c>
      <c r="F1316" s="318">
        <v>488530</v>
      </c>
      <c r="G1316" s="318">
        <v>5402</v>
      </c>
      <c r="H1316" s="347"/>
    </row>
    <row r="1317" spans="2:8">
      <c r="B1317" s="347">
        <v>200911</v>
      </c>
      <c r="C1317" s="316">
        <v>2009</v>
      </c>
      <c r="D1317" s="317">
        <v>11</v>
      </c>
      <c r="E1317" s="347" t="s">
        <v>102</v>
      </c>
      <c r="F1317" s="318">
        <v>2064415</v>
      </c>
      <c r="G1317" s="318">
        <v>17096</v>
      </c>
      <c r="H1317" s="347"/>
    </row>
    <row r="1318" spans="2:8">
      <c r="B1318" s="347">
        <v>200911</v>
      </c>
      <c r="C1318" s="316">
        <v>2009</v>
      </c>
      <c r="D1318" s="317">
        <v>11</v>
      </c>
      <c r="E1318" s="347" t="s">
        <v>117</v>
      </c>
      <c r="F1318" s="318">
        <v>5028749</v>
      </c>
      <c r="G1318" s="318">
        <v>37055</v>
      </c>
      <c r="H1318" s="347"/>
    </row>
    <row r="1319" spans="2:8">
      <c r="B1319" s="347">
        <v>200911</v>
      </c>
      <c r="C1319" s="316">
        <v>2009</v>
      </c>
      <c r="D1319" s="317">
        <v>11</v>
      </c>
      <c r="E1319" s="347" t="s">
        <v>104</v>
      </c>
      <c r="F1319" s="318">
        <v>598724</v>
      </c>
      <c r="G1319" s="318">
        <v>5063</v>
      </c>
      <c r="H1319" s="347"/>
    </row>
    <row r="1320" spans="2:8">
      <c r="B1320" s="347">
        <v>200911</v>
      </c>
      <c r="C1320" s="316">
        <v>2009</v>
      </c>
      <c r="D1320" s="317">
        <v>11</v>
      </c>
      <c r="E1320" s="347" t="s">
        <v>34</v>
      </c>
      <c r="F1320" s="318">
        <v>1122437</v>
      </c>
      <c r="G1320" s="318">
        <v>10936</v>
      </c>
      <c r="H1320" s="347"/>
    </row>
    <row r="1321" spans="2:8">
      <c r="B1321" s="347">
        <v>200911</v>
      </c>
      <c r="C1321" s="316">
        <v>2009</v>
      </c>
      <c r="D1321" s="317">
        <v>11</v>
      </c>
      <c r="E1321" s="347" t="s">
        <v>118</v>
      </c>
      <c r="F1321" s="318">
        <v>131191</v>
      </c>
      <c r="G1321" s="318">
        <v>3095</v>
      </c>
      <c r="H1321" s="347"/>
    </row>
    <row r="1322" spans="2:8">
      <c r="B1322" s="347">
        <v>200911</v>
      </c>
      <c r="C1322" s="316">
        <v>2009</v>
      </c>
      <c r="D1322" s="317">
        <v>11</v>
      </c>
      <c r="E1322" s="347" t="s">
        <v>103</v>
      </c>
      <c r="F1322" s="318">
        <v>1311610</v>
      </c>
      <c r="G1322" s="318">
        <v>11053</v>
      </c>
      <c r="H1322" s="347"/>
    </row>
    <row r="1323" spans="2:8">
      <c r="B1323" s="347">
        <v>200912</v>
      </c>
      <c r="C1323" s="316">
        <v>2009</v>
      </c>
      <c r="D1323" s="317">
        <v>12</v>
      </c>
      <c r="E1323" s="347" t="s">
        <v>121</v>
      </c>
      <c r="F1323" s="318">
        <v>214123</v>
      </c>
      <c r="G1323" s="318">
        <v>7009</v>
      </c>
      <c r="H1323" s="347"/>
    </row>
    <row r="1324" spans="2:8">
      <c r="B1324" s="347">
        <v>200912</v>
      </c>
      <c r="C1324" s="316">
        <v>2009</v>
      </c>
      <c r="D1324" s="317">
        <v>12</v>
      </c>
      <c r="E1324" s="347" t="s">
        <v>212</v>
      </c>
      <c r="F1324" s="318">
        <v>546977</v>
      </c>
      <c r="G1324" s="318">
        <v>6181</v>
      </c>
      <c r="H1324" s="347"/>
    </row>
    <row r="1325" spans="2:8">
      <c r="B1325" s="347">
        <v>200912</v>
      </c>
      <c r="C1325" s="316">
        <v>2009</v>
      </c>
      <c r="D1325" s="317">
        <v>12</v>
      </c>
      <c r="E1325" s="347" t="s">
        <v>119</v>
      </c>
      <c r="F1325" s="318">
        <v>579261</v>
      </c>
      <c r="G1325" s="318">
        <v>7196</v>
      </c>
      <c r="H1325" s="347"/>
    </row>
    <row r="1326" spans="2:8">
      <c r="B1326" s="347">
        <v>200912</v>
      </c>
      <c r="C1326" s="316">
        <v>2009</v>
      </c>
      <c r="D1326" s="317">
        <v>12</v>
      </c>
      <c r="E1326" s="347" t="s">
        <v>120</v>
      </c>
      <c r="F1326" s="318">
        <v>424190</v>
      </c>
      <c r="G1326" s="318">
        <v>4924</v>
      </c>
      <c r="H1326" s="347"/>
    </row>
    <row r="1327" spans="2:8">
      <c r="B1327" s="347">
        <v>200912</v>
      </c>
      <c r="C1327" s="316">
        <v>2009</v>
      </c>
      <c r="D1327" s="317">
        <v>12</v>
      </c>
      <c r="E1327" s="347" t="s">
        <v>102</v>
      </c>
      <c r="F1327" s="318">
        <v>2120711</v>
      </c>
      <c r="G1327" s="318">
        <v>17236</v>
      </c>
      <c r="H1327" s="347"/>
    </row>
    <row r="1328" spans="2:8">
      <c r="B1328" s="347">
        <v>200912</v>
      </c>
      <c r="C1328" s="316">
        <v>2009</v>
      </c>
      <c r="D1328" s="317">
        <v>12</v>
      </c>
      <c r="E1328" s="347" t="s">
        <v>117</v>
      </c>
      <c r="F1328" s="318">
        <v>5315827</v>
      </c>
      <c r="G1328" s="318">
        <v>36947</v>
      </c>
      <c r="H1328" s="347"/>
    </row>
    <row r="1329" spans="2:8">
      <c r="B1329" s="347">
        <v>200912</v>
      </c>
      <c r="C1329" s="316">
        <v>2009</v>
      </c>
      <c r="D1329" s="317">
        <v>12</v>
      </c>
      <c r="E1329" s="347" t="s">
        <v>104</v>
      </c>
      <c r="F1329" s="318">
        <v>563985</v>
      </c>
      <c r="G1329" s="318">
        <v>4898</v>
      </c>
      <c r="H1329" s="347"/>
    </row>
    <row r="1330" spans="2:8">
      <c r="B1330" s="347">
        <v>200912</v>
      </c>
      <c r="C1330" s="316">
        <v>2009</v>
      </c>
      <c r="D1330" s="317">
        <v>12</v>
      </c>
      <c r="E1330" s="347" t="s">
        <v>34</v>
      </c>
      <c r="F1330" s="318">
        <v>1085497</v>
      </c>
      <c r="G1330" s="318">
        <v>10182</v>
      </c>
      <c r="H1330" s="347"/>
    </row>
    <row r="1331" spans="2:8">
      <c r="B1331" s="347">
        <v>200912</v>
      </c>
      <c r="C1331" s="316">
        <v>2009</v>
      </c>
      <c r="D1331" s="317">
        <v>12</v>
      </c>
      <c r="E1331" s="347" t="s">
        <v>118</v>
      </c>
      <c r="F1331" s="318">
        <v>118551</v>
      </c>
      <c r="G1331" s="318">
        <v>2733</v>
      </c>
      <c r="H1331" s="347"/>
    </row>
    <row r="1332" spans="2:8">
      <c r="B1332" s="347">
        <v>200912</v>
      </c>
      <c r="C1332" s="316">
        <v>2009</v>
      </c>
      <c r="D1332" s="317">
        <v>12</v>
      </c>
      <c r="E1332" s="347" t="s">
        <v>103</v>
      </c>
      <c r="F1332" s="318">
        <v>1365877</v>
      </c>
      <c r="G1332" s="318">
        <v>10979</v>
      </c>
      <c r="H1332" s="347"/>
    </row>
    <row r="1333" spans="2:8">
      <c r="B1333" s="347">
        <v>201001</v>
      </c>
      <c r="C1333" s="316">
        <v>2010</v>
      </c>
      <c r="D1333" s="317">
        <v>1</v>
      </c>
      <c r="E1333" s="347" t="s">
        <v>121</v>
      </c>
      <c r="F1333" s="318">
        <v>182237</v>
      </c>
      <c r="G1333" s="318">
        <v>6427</v>
      </c>
      <c r="H1333" s="347"/>
    </row>
    <row r="1334" spans="2:8">
      <c r="B1334" s="347">
        <v>201001</v>
      </c>
      <c r="C1334" s="316">
        <v>2010</v>
      </c>
      <c r="D1334" s="317">
        <v>1</v>
      </c>
      <c r="E1334" s="347" t="s">
        <v>212</v>
      </c>
      <c r="F1334" s="318">
        <v>518958</v>
      </c>
      <c r="G1334" s="318">
        <v>6131</v>
      </c>
      <c r="H1334" s="347"/>
    </row>
    <row r="1335" spans="2:8">
      <c r="B1335" s="347">
        <v>201001</v>
      </c>
      <c r="C1335" s="316">
        <v>2010</v>
      </c>
      <c r="D1335" s="317">
        <v>1</v>
      </c>
      <c r="E1335" s="347" t="s">
        <v>119</v>
      </c>
      <c r="F1335" s="318">
        <v>512591</v>
      </c>
      <c r="G1335" s="318">
        <v>7136</v>
      </c>
      <c r="H1335" s="347"/>
    </row>
    <row r="1336" spans="2:8">
      <c r="B1336" s="347">
        <v>201001</v>
      </c>
      <c r="C1336" s="316">
        <v>2010</v>
      </c>
      <c r="D1336" s="317">
        <v>1</v>
      </c>
      <c r="E1336" s="347" t="s">
        <v>120</v>
      </c>
      <c r="F1336" s="318">
        <v>385885</v>
      </c>
      <c r="G1336" s="318">
        <v>4747</v>
      </c>
      <c r="H1336" s="347"/>
    </row>
    <row r="1337" spans="2:8">
      <c r="B1337" s="347">
        <v>201001</v>
      </c>
      <c r="C1337" s="316">
        <v>2010</v>
      </c>
      <c r="D1337" s="317">
        <v>1</v>
      </c>
      <c r="E1337" s="347" t="s">
        <v>102</v>
      </c>
      <c r="F1337" s="318">
        <v>1873688</v>
      </c>
      <c r="G1337" s="318">
        <v>16286</v>
      </c>
      <c r="H1337" s="347"/>
    </row>
    <row r="1338" spans="2:8">
      <c r="B1338" s="347">
        <v>201001</v>
      </c>
      <c r="C1338" s="316">
        <v>2010</v>
      </c>
      <c r="D1338" s="317">
        <v>1</v>
      </c>
      <c r="E1338" s="347" t="s">
        <v>117</v>
      </c>
      <c r="F1338" s="318">
        <v>4829615</v>
      </c>
      <c r="G1338" s="318">
        <v>36133</v>
      </c>
      <c r="H1338" s="347"/>
    </row>
    <row r="1339" spans="2:8">
      <c r="B1339" s="347">
        <v>201001</v>
      </c>
      <c r="C1339" s="316">
        <v>2010</v>
      </c>
      <c r="D1339" s="317">
        <v>1</v>
      </c>
      <c r="E1339" s="347" t="s">
        <v>104</v>
      </c>
      <c r="F1339" s="318">
        <v>528599</v>
      </c>
      <c r="G1339" s="318">
        <v>4845</v>
      </c>
      <c r="H1339" s="347"/>
    </row>
    <row r="1340" spans="2:8">
      <c r="B1340" s="347">
        <v>201001</v>
      </c>
      <c r="C1340" s="316">
        <v>2010</v>
      </c>
      <c r="D1340" s="317">
        <v>1</v>
      </c>
      <c r="E1340" s="347" t="s">
        <v>34</v>
      </c>
      <c r="F1340" s="318">
        <v>1015061</v>
      </c>
      <c r="G1340" s="318">
        <v>9942</v>
      </c>
      <c r="H1340" s="347"/>
    </row>
    <row r="1341" spans="2:8">
      <c r="B1341" s="347">
        <v>201001</v>
      </c>
      <c r="C1341" s="316">
        <v>2010</v>
      </c>
      <c r="D1341" s="317">
        <v>1</v>
      </c>
      <c r="E1341" s="347" t="s">
        <v>118</v>
      </c>
      <c r="F1341" s="318">
        <v>94915</v>
      </c>
      <c r="G1341" s="318">
        <v>2542</v>
      </c>
      <c r="H1341" s="347"/>
    </row>
    <row r="1342" spans="2:8">
      <c r="B1342" s="347">
        <v>201001</v>
      </c>
      <c r="C1342" s="316">
        <v>2010</v>
      </c>
      <c r="D1342" s="317">
        <v>1</v>
      </c>
      <c r="E1342" s="347" t="s">
        <v>103</v>
      </c>
      <c r="F1342" s="318">
        <v>1215787</v>
      </c>
      <c r="G1342" s="318">
        <v>11247</v>
      </c>
      <c r="H1342" s="347"/>
    </row>
    <row r="1343" spans="2:8">
      <c r="B1343" s="347">
        <v>201002</v>
      </c>
      <c r="C1343" s="316">
        <v>2010</v>
      </c>
      <c r="D1343" s="317">
        <v>2</v>
      </c>
      <c r="E1343" s="347" t="s">
        <v>121</v>
      </c>
      <c r="F1343" s="318">
        <v>193676</v>
      </c>
      <c r="G1343" s="318">
        <v>6692</v>
      </c>
      <c r="H1343" s="347"/>
    </row>
    <row r="1344" spans="2:8">
      <c r="B1344" s="347">
        <v>201002</v>
      </c>
      <c r="C1344" s="316">
        <v>2010</v>
      </c>
      <c r="D1344" s="317">
        <v>2</v>
      </c>
      <c r="E1344" s="347" t="s">
        <v>212</v>
      </c>
      <c r="F1344" s="318">
        <v>548115</v>
      </c>
      <c r="G1344" s="318">
        <v>6030</v>
      </c>
      <c r="H1344" s="347"/>
    </row>
    <row r="1345" spans="2:8">
      <c r="B1345" s="347">
        <v>201002</v>
      </c>
      <c r="C1345" s="316">
        <v>2010</v>
      </c>
      <c r="D1345" s="317">
        <v>2</v>
      </c>
      <c r="E1345" s="347" t="s">
        <v>119</v>
      </c>
      <c r="F1345" s="318">
        <v>581789</v>
      </c>
      <c r="G1345" s="318">
        <v>7402</v>
      </c>
      <c r="H1345" s="347"/>
    </row>
    <row r="1346" spans="2:8">
      <c r="B1346" s="347">
        <v>201002</v>
      </c>
      <c r="C1346" s="316">
        <v>2010</v>
      </c>
      <c r="D1346" s="317">
        <v>2</v>
      </c>
      <c r="E1346" s="347" t="s">
        <v>120</v>
      </c>
      <c r="F1346" s="318">
        <v>399425</v>
      </c>
      <c r="G1346" s="318">
        <v>4767</v>
      </c>
      <c r="H1346" s="347"/>
    </row>
    <row r="1347" spans="2:8">
      <c r="B1347" s="347">
        <v>201002</v>
      </c>
      <c r="C1347" s="316">
        <v>2010</v>
      </c>
      <c r="D1347" s="317">
        <v>2</v>
      </c>
      <c r="E1347" s="347" t="s">
        <v>102</v>
      </c>
      <c r="F1347" s="318">
        <v>2052625</v>
      </c>
      <c r="G1347" s="318">
        <v>16770</v>
      </c>
      <c r="H1347" s="347"/>
    </row>
    <row r="1348" spans="2:8">
      <c r="B1348" s="347">
        <v>201002</v>
      </c>
      <c r="C1348" s="316">
        <v>2010</v>
      </c>
      <c r="D1348" s="317">
        <v>2</v>
      </c>
      <c r="E1348" s="347" t="s">
        <v>117</v>
      </c>
      <c r="F1348" s="318">
        <v>4599808</v>
      </c>
      <c r="G1348" s="318">
        <v>35056</v>
      </c>
      <c r="H1348" s="347"/>
    </row>
    <row r="1349" spans="2:8">
      <c r="B1349" s="347">
        <v>201002</v>
      </c>
      <c r="C1349" s="316">
        <v>2010</v>
      </c>
      <c r="D1349" s="317">
        <v>2</v>
      </c>
      <c r="E1349" s="347" t="s">
        <v>104</v>
      </c>
      <c r="F1349" s="318">
        <v>554740</v>
      </c>
      <c r="G1349" s="318">
        <v>4652</v>
      </c>
      <c r="H1349" s="347"/>
    </row>
    <row r="1350" spans="2:8">
      <c r="B1350" s="347">
        <v>201002</v>
      </c>
      <c r="C1350" s="316">
        <v>2010</v>
      </c>
      <c r="D1350" s="317">
        <v>2</v>
      </c>
      <c r="E1350" s="347" t="s">
        <v>34</v>
      </c>
      <c r="F1350" s="318">
        <v>1028315</v>
      </c>
      <c r="G1350" s="318">
        <v>9946</v>
      </c>
      <c r="H1350" s="347"/>
    </row>
    <row r="1351" spans="2:8">
      <c r="B1351" s="347">
        <v>201002</v>
      </c>
      <c r="C1351" s="316">
        <v>2010</v>
      </c>
      <c r="D1351" s="317">
        <v>2</v>
      </c>
      <c r="E1351" s="347" t="s">
        <v>118</v>
      </c>
      <c r="F1351" s="318">
        <v>114594</v>
      </c>
      <c r="G1351" s="318">
        <v>2722</v>
      </c>
      <c r="H1351" s="347"/>
    </row>
    <row r="1352" spans="2:8">
      <c r="B1352" s="347">
        <v>201002</v>
      </c>
      <c r="C1352" s="316">
        <v>2010</v>
      </c>
      <c r="D1352" s="317">
        <v>2</v>
      </c>
      <c r="E1352" s="347" t="s">
        <v>103</v>
      </c>
      <c r="F1352" s="318">
        <v>1237973</v>
      </c>
      <c r="G1352" s="318">
        <v>10501</v>
      </c>
      <c r="H1352" s="347"/>
    </row>
    <row r="1353" spans="2:8">
      <c r="B1353" s="347">
        <v>201003</v>
      </c>
      <c r="C1353" s="316">
        <v>2010</v>
      </c>
      <c r="D1353" s="317">
        <v>3</v>
      </c>
      <c r="E1353" s="347" t="s">
        <v>121</v>
      </c>
      <c r="F1353" s="318">
        <v>229341</v>
      </c>
      <c r="G1353" s="318">
        <v>7559</v>
      </c>
      <c r="H1353" s="347"/>
    </row>
    <row r="1354" spans="2:8">
      <c r="B1354" s="347">
        <v>201003</v>
      </c>
      <c r="C1354" s="316">
        <v>2010</v>
      </c>
      <c r="D1354" s="317">
        <v>3</v>
      </c>
      <c r="E1354" s="347" t="s">
        <v>212</v>
      </c>
      <c r="F1354" s="318">
        <v>662420</v>
      </c>
      <c r="G1354" s="318">
        <v>7078</v>
      </c>
      <c r="H1354" s="347"/>
    </row>
    <row r="1355" spans="2:8">
      <c r="B1355" s="347">
        <v>201003</v>
      </c>
      <c r="C1355" s="316">
        <v>2010</v>
      </c>
      <c r="D1355" s="317">
        <v>3</v>
      </c>
      <c r="E1355" s="347" t="s">
        <v>119</v>
      </c>
      <c r="F1355" s="318">
        <v>671113</v>
      </c>
      <c r="G1355" s="318">
        <v>8317</v>
      </c>
      <c r="H1355" s="347"/>
    </row>
    <row r="1356" spans="2:8">
      <c r="B1356" s="347">
        <v>201003</v>
      </c>
      <c r="C1356" s="316">
        <v>2010</v>
      </c>
      <c r="D1356" s="317">
        <v>3</v>
      </c>
      <c r="E1356" s="347" t="s">
        <v>120</v>
      </c>
      <c r="F1356" s="318">
        <v>472854</v>
      </c>
      <c r="G1356" s="318">
        <v>5393</v>
      </c>
      <c r="H1356" s="347"/>
    </row>
    <row r="1357" spans="2:8">
      <c r="B1357" s="347">
        <v>201003</v>
      </c>
      <c r="C1357" s="316">
        <v>2010</v>
      </c>
      <c r="D1357" s="317">
        <v>3</v>
      </c>
      <c r="E1357" s="347" t="s">
        <v>102</v>
      </c>
      <c r="F1357" s="318">
        <v>2387891</v>
      </c>
      <c r="G1357" s="318">
        <v>18694</v>
      </c>
      <c r="H1357" s="347"/>
    </row>
    <row r="1358" spans="2:8">
      <c r="B1358" s="347">
        <v>201003</v>
      </c>
      <c r="C1358" s="316">
        <v>2010</v>
      </c>
      <c r="D1358" s="317">
        <v>3</v>
      </c>
      <c r="E1358" s="347" t="s">
        <v>117</v>
      </c>
      <c r="F1358" s="318">
        <v>5211263</v>
      </c>
      <c r="G1358" s="318">
        <v>37368</v>
      </c>
      <c r="H1358" s="347"/>
    </row>
    <row r="1359" spans="2:8">
      <c r="B1359" s="347">
        <v>201003</v>
      </c>
      <c r="C1359" s="316">
        <v>2010</v>
      </c>
      <c r="D1359" s="317">
        <v>3</v>
      </c>
      <c r="E1359" s="347" t="s">
        <v>104</v>
      </c>
      <c r="F1359" s="318">
        <v>662982</v>
      </c>
      <c r="G1359" s="318">
        <v>5307</v>
      </c>
      <c r="H1359" s="347"/>
    </row>
    <row r="1360" spans="2:8">
      <c r="B1360" s="347">
        <v>201003</v>
      </c>
      <c r="C1360" s="316">
        <v>2010</v>
      </c>
      <c r="D1360" s="317">
        <v>3</v>
      </c>
      <c r="E1360" s="347" t="s">
        <v>34</v>
      </c>
      <c r="F1360" s="318">
        <v>1248461</v>
      </c>
      <c r="G1360" s="318">
        <v>11641</v>
      </c>
      <c r="H1360" s="347"/>
    </row>
    <row r="1361" spans="2:8">
      <c r="B1361" s="347">
        <v>201003</v>
      </c>
      <c r="C1361" s="316">
        <v>2010</v>
      </c>
      <c r="D1361" s="317">
        <v>3</v>
      </c>
      <c r="E1361" s="347" t="s">
        <v>118</v>
      </c>
      <c r="F1361" s="318">
        <v>142333</v>
      </c>
      <c r="G1361" s="318">
        <v>3301</v>
      </c>
      <c r="H1361" s="347"/>
    </row>
    <row r="1362" spans="2:8">
      <c r="B1362" s="347">
        <v>201003</v>
      </c>
      <c r="C1362" s="316">
        <v>2010</v>
      </c>
      <c r="D1362" s="317">
        <v>3</v>
      </c>
      <c r="E1362" s="347" t="s">
        <v>103</v>
      </c>
      <c r="F1362" s="318">
        <v>1470111</v>
      </c>
      <c r="G1362" s="318">
        <v>11776</v>
      </c>
      <c r="H1362" s="347"/>
    </row>
    <row r="1363" spans="2:8">
      <c r="B1363" s="347">
        <v>201004</v>
      </c>
      <c r="C1363" s="316">
        <v>2010</v>
      </c>
      <c r="D1363" s="317">
        <v>4</v>
      </c>
      <c r="E1363" s="347" t="s">
        <v>121</v>
      </c>
      <c r="F1363" s="318">
        <v>184463</v>
      </c>
      <c r="G1363" s="318">
        <v>6103</v>
      </c>
      <c r="H1363" s="347"/>
    </row>
    <row r="1364" spans="2:8">
      <c r="B1364" s="347">
        <v>201004</v>
      </c>
      <c r="C1364" s="316">
        <v>2010</v>
      </c>
      <c r="D1364" s="317">
        <v>4</v>
      </c>
      <c r="E1364" s="347" t="s">
        <v>212</v>
      </c>
      <c r="F1364" s="318">
        <v>538958</v>
      </c>
      <c r="G1364" s="318">
        <v>5594</v>
      </c>
      <c r="H1364" s="347"/>
    </row>
    <row r="1365" spans="2:8">
      <c r="B1365" s="347">
        <v>201004</v>
      </c>
      <c r="C1365" s="316">
        <v>2010</v>
      </c>
      <c r="D1365" s="317">
        <v>4</v>
      </c>
      <c r="E1365" s="347" t="s">
        <v>119</v>
      </c>
      <c r="F1365" s="318">
        <v>539679</v>
      </c>
      <c r="G1365" s="318">
        <v>6812</v>
      </c>
      <c r="H1365" s="347"/>
    </row>
    <row r="1366" spans="2:8">
      <c r="B1366" s="347">
        <v>201004</v>
      </c>
      <c r="C1366" s="316">
        <v>2010</v>
      </c>
      <c r="D1366" s="317">
        <v>4</v>
      </c>
      <c r="E1366" s="347" t="s">
        <v>120</v>
      </c>
      <c r="F1366" s="318">
        <v>402797</v>
      </c>
      <c r="G1366" s="318">
        <v>4687</v>
      </c>
      <c r="H1366" s="347"/>
    </row>
    <row r="1367" spans="2:8">
      <c r="B1367" s="347">
        <v>201004</v>
      </c>
      <c r="C1367" s="316">
        <v>2010</v>
      </c>
      <c r="D1367" s="317">
        <v>4</v>
      </c>
      <c r="E1367" s="347" t="s">
        <v>102</v>
      </c>
      <c r="F1367" s="318">
        <v>2055052</v>
      </c>
      <c r="G1367" s="318">
        <v>15885</v>
      </c>
      <c r="H1367" s="347"/>
    </row>
    <row r="1368" spans="2:8">
      <c r="B1368" s="347">
        <v>201004</v>
      </c>
      <c r="C1368" s="316">
        <v>2010</v>
      </c>
      <c r="D1368" s="317">
        <v>4</v>
      </c>
      <c r="E1368" s="347" t="s">
        <v>117</v>
      </c>
      <c r="F1368" s="318">
        <v>4446573</v>
      </c>
      <c r="G1368" s="318">
        <v>31102</v>
      </c>
      <c r="H1368" s="347"/>
    </row>
    <row r="1369" spans="2:8">
      <c r="B1369" s="347">
        <v>201004</v>
      </c>
      <c r="C1369" s="316">
        <v>2010</v>
      </c>
      <c r="D1369" s="317">
        <v>4</v>
      </c>
      <c r="E1369" s="347" t="s">
        <v>104</v>
      </c>
      <c r="F1369" s="318">
        <v>589360</v>
      </c>
      <c r="G1369" s="318">
        <v>4788</v>
      </c>
      <c r="H1369" s="347"/>
    </row>
    <row r="1370" spans="2:8">
      <c r="B1370" s="347">
        <v>201004</v>
      </c>
      <c r="C1370" s="316">
        <v>2010</v>
      </c>
      <c r="D1370" s="317">
        <v>4</v>
      </c>
      <c r="E1370" s="347" t="s">
        <v>34</v>
      </c>
      <c r="F1370" s="318">
        <v>1075048</v>
      </c>
      <c r="G1370" s="318">
        <v>9525</v>
      </c>
      <c r="H1370" s="347"/>
    </row>
    <row r="1371" spans="2:8">
      <c r="B1371" s="347">
        <v>201004</v>
      </c>
      <c r="C1371" s="316">
        <v>2010</v>
      </c>
      <c r="D1371" s="317">
        <v>4</v>
      </c>
      <c r="E1371" s="347" t="s">
        <v>118</v>
      </c>
      <c r="F1371" s="318">
        <v>121170</v>
      </c>
      <c r="G1371" s="318">
        <v>2894</v>
      </c>
      <c r="H1371" s="347"/>
    </row>
    <row r="1372" spans="2:8">
      <c r="B1372" s="347">
        <v>201004</v>
      </c>
      <c r="C1372" s="316">
        <v>2010</v>
      </c>
      <c r="D1372" s="317">
        <v>4</v>
      </c>
      <c r="E1372" s="347" t="s">
        <v>103</v>
      </c>
      <c r="F1372" s="318">
        <v>1231847</v>
      </c>
      <c r="G1372" s="318">
        <v>9775</v>
      </c>
      <c r="H1372" s="347"/>
    </row>
    <row r="1373" spans="2:8">
      <c r="B1373" s="347">
        <v>201005</v>
      </c>
      <c r="C1373" s="316">
        <v>2010</v>
      </c>
      <c r="D1373" s="317">
        <v>5</v>
      </c>
      <c r="E1373" s="347" t="s">
        <v>121</v>
      </c>
      <c r="F1373" s="318">
        <v>229271</v>
      </c>
      <c r="G1373" s="318">
        <v>7485</v>
      </c>
      <c r="H1373" s="347"/>
    </row>
    <row r="1374" spans="2:8">
      <c r="B1374" s="347">
        <v>201005</v>
      </c>
      <c r="C1374" s="316">
        <v>2010</v>
      </c>
      <c r="D1374" s="317">
        <v>5</v>
      </c>
      <c r="E1374" s="347" t="s">
        <v>212</v>
      </c>
      <c r="F1374" s="318">
        <v>787834</v>
      </c>
      <c r="G1374" s="318">
        <v>7767</v>
      </c>
      <c r="H1374" s="347"/>
    </row>
    <row r="1375" spans="2:8">
      <c r="B1375" s="347">
        <v>201005</v>
      </c>
      <c r="C1375" s="316">
        <v>2010</v>
      </c>
      <c r="D1375" s="317">
        <v>5</v>
      </c>
      <c r="E1375" s="347" t="s">
        <v>119</v>
      </c>
      <c r="F1375" s="318">
        <v>726401</v>
      </c>
      <c r="G1375" s="318">
        <v>8676</v>
      </c>
      <c r="H1375" s="347"/>
    </row>
    <row r="1376" spans="2:8">
      <c r="B1376" s="347">
        <v>201005</v>
      </c>
      <c r="C1376" s="316">
        <v>2010</v>
      </c>
      <c r="D1376" s="317">
        <v>5</v>
      </c>
      <c r="E1376" s="347" t="s">
        <v>120</v>
      </c>
      <c r="F1376" s="318">
        <v>559995</v>
      </c>
      <c r="G1376" s="318">
        <v>5959</v>
      </c>
      <c r="H1376" s="347"/>
    </row>
    <row r="1377" spans="2:8">
      <c r="B1377" s="347">
        <v>201005</v>
      </c>
      <c r="C1377" s="316">
        <v>2010</v>
      </c>
      <c r="D1377" s="317">
        <v>5</v>
      </c>
      <c r="E1377" s="347" t="s">
        <v>102</v>
      </c>
      <c r="F1377" s="318">
        <v>2730572</v>
      </c>
      <c r="G1377" s="318">
        <v>20839</v>
      </c>
      <c r="H1377" s="347"/>
    </row>
    <row r="1378" spans="2:8">
      <c r="B1378" s="347">
        <v>201005</v>
      </c>
      <c r="C1378" s="316">
        <v>2010</v>
      </c>
      <c r="D1378" s="317">
        <v>5</v>
      </c>
      <c r="E1378" s="347" t="s">
        <v>117</v>
      </c>
      <c r="F1378" s="318">
        <v>5256035</v>
      </c>
      <c r="G1378" s="318">
        <v>37903</v>
      </c>
      <c r="H1378" s="347"/>
    </row>
    <row r="1379" spans="2:8">
      <c r="B1379" s="347">
        <v>201005</v>
      </c>
      <c r="C1379" s="316">
        <v>2010</v>
      </c>
      <c r="D1379" s="317">
        <v>5</v>
      </c>
      <c r="E1379" s="347" t="s">
        <v>104</v>
      </c>
      <c r="F1379" s="318">
        <v>782546</v>
      </c>
      <c r="G1379" s="318">
        <v>6292</v>
      </c>
      <c r="H1379" s="347"/>
    </row>
    <row r="1380" spans="2:8">
      <c r="B1380" s="347">
        <v>201005</v>
      </c>
      <c r="C1380" s="316">
        <v>2010</v>
      </c>
      <c r="D1380" s="317">
        <v>5</v>
      </c>
      <c r="E1380" s="347" t="s">
        <v>34</v>
      </c>
      <c r="F1380" s="318">
        <v>1572009</v>
      </c>
      <c r="G1380" s="318">
        <v>13272</v>
      </c>
      <c r="H1380" s="347"/>
    </row>
    <row r="1381" spans="2:8">
      <c r="B1381" s="347">
        <v>201005</v>
      </c>
      <c r="C1381" s="316">
        <v>2010</v>
      </c>
      <c r="D1381" s="317">
        <v>5</v>
      </c>
      <c r="E1381" s="347" t="s">
        <v>118</v>
      </c>
      <c r="F1381" s="318">
        <v>159646</v>
      </c>
      <c r="G1381" s="318">
        <v>3773</v>
      </c>
      <c r="H1381" s="347"/>
    </row>
    <row r="1382" spans="2:8">
      <c r="B1382" s="347">
        <v>201005</v>
      </c>
      <c r="C1382" s="316">
        <v>2010</v>
      </c>
      <c r="D1382" s="317">
        <v>5</v>
      </c>
      <c r="E1382" s="347" t="s">
        <v>103</v>
      </c>
      <c r="F1382" s="318">
        <v>1623108</v>
      </c>
      <c r="G1382" s="318">
        <v>12723</v>
      </c>
      <c r="H1382" s="347"/>
    </row>
    <row r="1383" spans="2:8">
      <c r="B1383" s="347">
        <v>201006</v>
      </c>
      <c r="C1383" s="316">
        <v>2010</v>
      </c>
      <c r="D1383" s="317">
        <v>6</v>
      </c>
      <c r="E1383" s="347" t="s">
        <v>121</v>
      </c>
      <c r="F1383" s="318">
        <v>260422</v>
      </c>
      <c r="G1383" s="318">
        <v>8112</v>
      </c>
      <c r="H1383" s="347"/>
    </row>
    <row r="1384" spans="2:8">
      <c r="B1384" s="347">
        <v>201006</v>
      </c>
      <c r="C1384" s="316">
        <v>2010</v>
      </c>
      <c r="D1384" s="317">
        <v>6</v>
      </c>
      <c r="E1384" s="347" t="s">
        <v>212</v>
      </c>
      <c r="F1384" s="318">
        <v>870304</v>
      </c>
      <c r="G1384" s="318">
        <v>8287</v>
      </c>
      <c r="H1384" s="347"/>
    </row>
    <row r="1385" spans="2:8">
      <c r="B1385" s="347">
        <v>201006</v>
      </c>
      <c r="C1385" s="316">
        <v>2010</v>
      </c>
      <c r="D1385" s="317">
        <v>6</v>
      </c>
      <c r="E1385" s="347" t="s">
        <v>119</v>
      </c>
      <c r="F1385" s="318">
        <v>853906</v>
      </c>
      <c r="G1385" s="318">
        <v>9650</v>
      </c>
      <c r="H1385" s="347"/>
    </row>
    <row r="1386" spans="2:8">
      <c r="B1386" s="347">
        <v>201006</v>
      </c>
      <c r="C1386" s="316">
        <v>2010</v>
      </c>
      <c r="D1386" s="317">
        <v>6</v>
      </c>
      <c r="E1386" s="347" t="s">
        <v>120</v>
      </c>
      <c r="F1386" s="318">
        <v>684475</v>
      </c>
      <c r="G1386" s="318">
        <v>6602</v>
      </c>
      <c r="H1386" s="347"/>
    </row>
    <row r="1387" spans="2:8">
      <c r="B1387" s="347">
        <v>201006</v>
      </c>
      <c r="C1387" s="316">
        <v>2010</v>
      </c>
      <c r="D1387" s="317">
        <v>6</v>
      </c>
      <c r="E1387" s="347" t="s">
        <v>102</v>
      </c>
      <c r="F1387" s="318">
        <v>3046400</v>
      </c>
      <c r="G1387" s="318">
        <v>21854</v>
      </c>
      <c r="H1387" s="347"/>
    </row>
    <row r="1388" spans="2:8">
      <c r="B1388" s="347">
        <v>201006</v>
      </c>
      <c r="C1388" s="316">
        <v>2010</v>
      </c>
      <c r="D1388" s="317">
        <v>6</v>
      </c>
      <c r="E1388" s="347" t="s">
        <v>117</v>
      </c>
      <c r="F1388" s="318">
        <v>5782844</v>
      </c>
      <c r="G1388" s="318">
        <v>37987</v>
      </c>
      <c r="H1388" s="347"/>
    </row>
    <row r="1389" spans="2:8">
      <c r="B1389" s="347">
        <v>201006</v>
      </c>
      <c r="C1389" s="316">
        <v>2010</v>
      </c>
      <c r="D1389" s="317">
        <v>6</v>
      </c>
      <c r="E1389" s="347" t="s">
        <v>104</v>
      </c>
      <c r="F1389" s="318">
        <v>835670</v>
      </c>
      <c r="G1389" s="318">
        <v>6327</v>
      </c>
      <c r="H1389" s="347"/>
    </row>
    <row r="1390" spans="2:8">
      <c r="B1390" s="347">
        <v>201006</v>
      </c>
      <c r="C1390" s="316">
        <v>2010</v>
      </c>
      <c r="D1390" s="317">
        <v>6</v>
      </c>
      <c r="E1390" s="347" t="s">
        <v>34</v>
      </c>
      <c r="F1390" s="318">
        <v>1834707</v>
      </c>
      <c r="G1390" s="318">
        <v>14542</v>
      </c>
      <c r="H1390" s="347"/>
    </row>
    <row r="1391" spans="2:8">
      <c r="B1391" s="347">
        <v>201006</v>
      </c>
      <c r="C1391" s="316">
        <v>2010</v>
      </c>
      <c r="D1391" s="317">
        <v>6</v>
      </c>
      <c r="E1391" s="347" t="s">
        <v>118</v>
      </c>
      <c r="F1391" s="318">
        <v>178931</v>
      </c>
      <c r="G1391" s="318">
        <v>4002</v>
      </c>
      <c r="H1391" s="347"/>
    </row>
    <row r="1392" spans="2:8">
      <c r="B1392" s="347">
        <v>201006</v>
      </c>
      <c r="C1392" s="316">
        <v>2010</v>
      </c>
      <c r="D1392" s="317">
        <v>6</v>
      </c>
      <c r="E1392" s="347" t="s">
        <v>103</v>
      </c>
      <c r="F1392" s="318">
        <v>1744356</v>
      </c>
      <c r="G1392" s="318">
        <v>13015</v>
      </c>
      <c r="H1392" s="347"/>
    </row>
    <row r="1393" spans="2:8">
      <c r="B1393" s="347">
        <v>201007</v>
      </c>
      <c r="C1393" s="316">
        <v>2010</v>
      </c>
      <c r="D1393" s="317">
        <v>7</v>
      </c>
      <c r="E1393" s="347" t="s">
        <v>121</v>
      </c>
      <c r="F1393" s="318">
        <v>275890</v>
      </c>
      <c r="G1393" s="318">
        <v>8196</v>
      </c>
      <c r="H1393" s="347"/>
    </row>
    <row r="1394" spans="2:8">
      <c r="B1394" s="347">
        <v>201007</v>
      </c>
      <c r="C1394" s="316">
        <v>2010</v>
      </c>
      <c r="D1394" s="317">
        <v>7</v>
      </c>
      <c r="E1394" s="347" t="s">
        <v>212</v>
      </c>
      <c r="F1394" s="318">
        <v>927780</v>
      </c>
      <c r="G1394" s="318">
        <v>8319</v>
      </c>
      <c r="H1394" s="347"/>
    </row>
    <row r="1395" spans="2:8">
      <c r="B1395" s="347">
        <v>201007</v>
      </c>
      <c r="C1395" s="316">
        <v>2010</v>
      </c>
      <c r="D1395" s="317">
        <v>7</v>
      </c>
      <c r="E1395" s="347" t="s">
        <v>119</v>
      </c>
      <c r="F1395" s="318">
        <v>961056</v>
      </c>
      <c r="G1395" s="318">
        <v>10078</v>
      </c>
      <c r="H1395" s="347"/>
    </row>
    <row r="1396" spans="2:8">
      <c r="B1396" s="347">
        <v>201007</v>
      </c>
      <c r="C1396" s="316">
        <v>2010</v>
      </c>
      <c r="D1396" s="317">
        <v>7</v>
      </c>
      <c r="E1396" s="347" t="s">
        <v>120</v>
      </c>
      <c r="F1396" s="318">
        <v>788240</v>
      </c>
      <c r="G1396" s="318">
        <v>7198</v>
      </c>
      <c r="H1396" s="347"/>
    </row>
    <row r="1397" spans="2:8">
      <c r="B1397" s="347">
        <v>201007</v>
      </c>
      <c r="C1397" s="316">
        <v>2010</v>
      </c>
      <c r="D1397" s="317">
        <v>7</v>
      </c>
      <c r="E1397" s="347" t="s">
        <v>102</v>
      </c>
      <c r="F1397" s="318">
        <v>3429761</v>
      </c>
      <c r="G1397" s="318">
        <v>23309</v>
      </c>
      <c r="H1397" s="347"/>
    </row>
    <row r="1398" spans="2:8">
      <c r="B1398" s="347">
        <v>201007</v>
      </c>
      <c r="C1398" s="316">
        <v>2010</v>
      </c>
      <c r="D1398" s="317">
        <v>7</v>
      </c>
      <c r="E1398" s="347" t="s">
        <v>117</v>
      </c>
      <c r="F1398" s="318">
        <v>6706016</v>
      </c>
      <c r="G1398" s="318">
        <v>41436</v>
      </c>
      <c r="H1398" s="347"/>
    </row>
    <row r="1399" spans="2:8">
      <c r="B1399" s="347">
        <v>201007</v>
      </c>
      <c r="C1399" s="316">
        <v>2010</v>
      </c>
      <c r="D1399" s="317">
        <v>7</v>
      </c>
      <c r="E1399" s="347" t="s">
        <v>104</v>
      </c>
      <c r="F1399" s="318">
        <v>934960</v>
      </c>
      <c r="G1399" s="318">
        <v>6800</v>
      </c>
      <c r="H1399" s="347"/>
    </row>
    <row r="1400" spans="2:8">
      <c r="B1400" s="347">
        <v>201007</v>
      </c>
      <c r="C1400" s="316">
        <v>2010</v>
      </c>
      <c r="D1400" s="317">
        <v>7</v>
      </c>
      <c r="E1400" s="347" t="s">
        <v>34</v>
      </c>
      <c r="F1400" s="318">
        <v>2006710</v>
      </c>
      <c r="G1400" s="318">
        <v>15123</v>
      </c>
      <c r="H1400" s="347"/>
    </row>
    <row r="1401" spans="2:8">
      <c r="B1401" s="347">
        <v>201007</v>
      </c>
      <c r="C1401" s="316">
        <v>2010</v>
      </c>
      <c r="D1401" s="317">
        <v>7</v>
      </c>
      <c r="E1401" s="347" t="s">
        <v>118</v>
      </c>
      <c r="F1401" s="318">
        <v>187703</v>
      </c>
      <c r="G1401" s="318">
        <v>4140</v>
      </c>
      <c r="H1401" s="347"/>
    </row>
    <row r="1402" spans="2:8">
      <c r="B1402" s="347">
        <v>201007</v>
      </c>
      <c r="C1402" s="316">
        <v>2010</v>
      </c>
      <c r="D1402" s="317">
        <v>7</v>
      </c>
      <c r="E1402" s="347" t="s">
        <v>103</v>
      </c>
      <c r="F1402" s="318">
        <v>2024915</v>
      </c>
      <c r="G1402" s="318">
        <v>14135</v>
      </c>
      <c r="H1402" s="347"/>
    </row>
    <row r="1403" spans="2:8">
      <c r="B1403" s="347">
        <v>201008</v>
      </c>
      <c r="C1403" s="316">
        <v>2010</v>
      </c>
      <c r="D1403" s="317">
        <v>8</v>
      </c>
      <c r="E1403" s="347" t="s">
        <v>121</v>
      </c>
      <c r="F1403" s="318">
        <v>258005</v>
      </c>
      <c r="G1403" s="318">
        <v>8071</v>
      </c>
      <c r="H1403" s="347"/>
    </row>
    <row r="1404" spans="2:8">
      <c r="B1404" s="347">
        <v>201008</v>
      </c>
      <c r="C1404" s="316">
        <v>2010</v>
      </c>
      <c r="D1404" s="317">
        <v>8</v>
      </c>
      <c r="E1404" s="347" t="s">
        <v>212</v>
      </c>
      <c r="F1404" s="318">
        <v>964991</v>
      </c>
      <c r="G1404" s="318">
        <v>8197</v>
      </c>
      <c r="H1404" s="347"/>
    </row>
    <row r="1405" spans="2:8">
      <c r="B1405" s="347">
        <v>201008</v>
      </c>
      <c r="C1405" s="316">
        <v>2010</v>
      </c>
      <c r="D1405" s="317">
        <v>8</v>
      </c>
      <c r="E1405" s="347" t="s">
        <v>119</v>
      </c>
      <c r="F1405" s="318">
        <v>926963</v>
      </c>
      <c r="G1405" s="318">
        <v>9786</v>
      </c>
      <c r="H1405" s="347"/>
    </row>
    <row r="1406" spans="2:8">
      <c r="B1406" s="347">
        <v>201008</v>
      </c>
      <c r="C1406" s="316">
        <v>2010</v>
      </c>
      <c r="D1406" s="317">
        <v>8</v>
      </c>
      <c r="E1406" s="347" t="s">
        <v>120</v>
      </c>
      <c r="F1406" s="318">
        <v>646291</v>
      </c>
      <c r="G1406" s="318">
        <v>6457</v>
      </c>
      <c r="H1406" s="347"/>
    </row>
    <row r="1407" spans="2:8">
      <c r="B1407" s="347">
        <v>201008</v>
      </c>
      <c r="C1407" s="316">
        <v>2010</v>
      </c>
      <c r="D1407" s="317">
        <v>8</v>
      </c>
      <c r="E1407" s="347" t="s">
        <v>102</v>
      </c>
      <c r="F1407" s="318">
        <v>3692929</v>
      </c>
      <c r="G1407" s="318">
        <v>24100</v>
      </c>
      <c r="H1407" s="347"/>
    </row>
    <row r="1408" spans="2:8">
      <c r="B1408" s="347">
        <v>201008</v>
      </c>
      <c r="C1408" s="316">
        <v>2010</v>
      </c>
      <c r="D1408" s="317">
        <v>8</v>
      </c>
      <c r="E1408" s="347" t="s">
        <v>117</v>
      </c>
      <c r="F1408" s="318">
        <v>6542220</v>
      </c>
      <c r="G1408" s="318">
        <v>41021</v>
      </c>
      <c r="H1408" s="347"/>
    </row>
    <row r="1409" spans="2:8">
      <c r="B1409" s="347">
        <v>201008</v>
      </c>
      <c r="C1409" s="316">
        <v>2010</v>
      </c>
      <c r="D1409" s="317">
        <v>8</v>
      </c>
      <c r="E1409" s="347" t="s">
        <v>104</v>
      </c>
      <c r="F1409" s="318">
        <v>978694</v>
      </c>
      <c r="G1409" s="318">
        <v>6830</v>
      </c>
      <c r="H1409" s="347"/>
    </row>
    <row r="1410" spans="2:8">
      <c r="B1410" s="347">
        <v>201008</v>
      </c>
      <c r="C1410" s="316">
        <v>2010</v>
      </c>
      <c r="D1410" s="317">
        <v>8</v>
      </c>
      <c r="E1410" s="347" t="s">
        <v>34</v>
      </c>
      <c r="F1410" s="318">
        <v>2089979</v>
      </c>
      <c r="G1410" s="318">
        <v>15227</v>
      </c>
      <c r="H1410" s="347"/>
    </row>
    <row r="1411" spans="2:8">
      <c r="B1411" s="347">
        <v>201008</v>
      </c>
      <c r="C1411" s="316">
        <v>2010</v>
      </c>
      <c r="D1411" s="317">
        <v>8</v>
      </c>
      <c r="E1411" s="347" t="s">
        <v>118</v>
      </c>
      <c r="F1411" s="318">
        <v>183455</v>
      </c>
      <c r="G1411" s="318">
        <v>4090</v>
      </c>
      <c r="H1411" s="347"/>
    </row>
    <row r="1412" spans="2:8">
      <c r="B1412" s="347">
        <v>201008</v>
      </c>
      <c r="C1412" s="316">
        <v>2010</v>
      </c>
      <c r="D1412" s="317">
        <v>8</v>
      </c>
      <c r="E1412" s="347" t="s">
        <v>103</v>
      </c>
      <c r="F1412" s="318">
        <v>2089364</v>
      </c>
      <c r="G1412" s="318">
        <v>14219</v>
      </c>
      <c r="H1412" s="347"/>
    </row>
    <row r="1413" spans="2:8">
      <c r="B1413" s="347">
        <v>201009</v>
      </c>
      <c r="C1413" s="316">
        <v>2010</v>
      </c>
      <c r="D1413" s="317">
        <v>9</v>
      </c>
      <c r="E1413" s="347" t="s">
        <v>121</v>
      </c>
      <c r="F1413" s="318">
        <v>266833</v>
      </c>
      <c r="G1413" s="318">
        <v>8094</v>
      </c>
      <c r="H1413" s="347"/>
    </row>
    <row r="1414" spans="2:8">
      <c r="B1414" s="347">
        <v>201009</v>
      </c>
      <c r="C1414" s="316">
        <v>2010</v>
      </c>
      <c r="D1414" s="317">
        <v>9</v>
      </c>
      <c r="E1414" s="347" t="s">
        <v>212</v>
      </c>
      <c r="F1414" s="318">
        <v>917590</v>
      </c>
      <c r="G1414" s="318">
        <v>8218</v>
      </c>
      <c r="H1414" s="347"/>
    </row>
    <row r="1415" spans="2:8">
      <c r="B1415" s="347">
        <v>201009</v>
      </c>
      <c r="C1415" s="316">
        <v>2010</v>
      </c>
      <c r="D1415" s="317">
        <v>9</v>
      </c>
      <c r="E1415" s="347" t="s">
        <v>119</v>
      </c>
      <c r="F1415" s="318">
        <v>873189</v>
      </c>
      <c r="G1415" s="318">
        <v>9546</v>
      </c>
      <c r="H1415" s="347"/>
    </row>
    <row r="1416" spans="2:8">
      <c r="B1416" s="347">
        <v>201009</v>
      </c>
      <c r="C1416" s="316">
        <v>2010</v>
      </c>
      <c r="D1416" s="317">
        <v>9</v>
      </c>
      <c r="E1416" s="347" t="s">
        <v>120</v>
      </c>
      <c r="F1416" s="318">
        <v>675171</v>
      </c>
      <c r="G1416" s="318">
        <v>6506</v>
      </c>
      <c r="H1416" s="347"/>
    </row>
    <row r="1417" spans="2:8">
      <c r="B1417" s="347">
        <v>201009</v>
      </c>
      <c r="C1417" s="316">
        <v>2010</v>
      </c>
      <c r="D1417" s="317">
        <v>9</v>
      </c>
      <c r="E1417" s="347" t="s">
        <v>102</v>
      </c>
      <c r="F1417" s="318">
        <v>3206967</v>
      </c>
      <c r="G1417" s="318">
        <v>22413</v>
      </c>
      <c r="H1417" s="347"/>
    </row>
    <row r="1418" spans="2:8">
      <c r="B1418" s="347">
        <v>201009</v>
      </c>
      <c r="C1418" s="316">
        <v>2010</v>
      </c>
      <c r="D1418" s="317">
        <v>9</v>
      </c>
      <c r="E1418" s="347" t="s">
        <v>117</v>
      </c>
      <c r="F1418" s="318">
        <v>6221390</v>
      </c>
      <c r="G1418" s="318">
        <v>40011</v>
      </c>
      <c r="H1418" s="347"/>
    </row>
    <row r="1419" spans="2:8">
      <c r="B1419" s="347">
        <v>201009</v>
      </c>
      <c r="C1419" s="316">
        <v>2010</v>
      </c>
      <c r="D1419" s="317">
        <v>9</v>
      </c>
      <c r="E1419" s="347" t="s">
        <v>104</v>
      </c>
      <c r="F1419" s="318">
        <v>868336</v>
      </c>
      <c r="G1419" s="318">
        <v>6434</v>
      </c>
      <c r="H1419" s="347"/>
    </row>
    <row r="1420" spans="2:8">
      <c r="B1420" s="347">
        <v>201009</v>
      </c>
      <c r="C1420" s="316">
        <v>2010</v>
      </c>
      <c r="D1420" s="317">
        <v>9</v>
      </c>
      <c r="E1420" s="347" t="s">
        <v>34</v>
      </c>
      <c r="F1420" s="318">
        <v>1911524</v>
      </c>
      <c r="G1420" s="318">
        <v>14619</v>
      </c>
      <c r="H1420" s="347"/>
    </row>
    <row r="1421" spans="2:8">
      <c r="B1421" s="347">
        <v>201009</v>
      </c>
      <c r="C1421" s="316">
        <v>2010</v>
      </c>
      <c r="D1421" s="317">
        <v>9</v>
      </c>
      <c r="E1421" s="347" t="s">
        <v>118</v>
      </c>
      <c r="F1421" s="318">
        <v>174575</v>
      </c>
      <c r="G1421" s="318">
        <v>3902</v>
      </c>
      <c r="H1421" s="347"/>
    </row>
    <row r="1422" spans="2:8">
      <c r="B1422" s="347">
        <v>201009</v>
      </c>
      <c r="C1422" s="316">
        <v>2010</v>
      </c>
      <c r="D1422" s="317">
        <v>9</v>
      </c>
      <c r="E1422" s="347" t="s">
        <v>103</v>
      </c>
      <c r="F1422" s="318">
        <v>1775446</v>
      </c>
      <c r="G1422" s="318">
        <v>13160</v>
      </c>
      <c r="H1422" s="347"/>
    </row>
    <row r="1423" spans="2:8">
      <c r="B1423" s="347">
        <v>201010</v>
      </c>
      <c r="C1423" s="316">
        <v>2010</v>
      </c>
      <c r="D1423" s="317">
        <v>10</v>
      </c>
      <c r="E1423" s="347" t="s">
        <v>121</v>
      </c>
      <c r="F1423" s="318">
        <v>262318</v>
      </c>
      <c r="G1423" s="318">
        <v>7676</v>
      </c>
      <c r="H1423" s="347"/>
    </row>
    <row r="1424" spans="2:8">
      <c r="B1424" s="347">
        <v>201010</v>
      </c>
      <c r="C1424" s="316">
        <v>2010</v>
      </c>
      <c r="D1424" s="317">
        <v>10</v>
      </c>
      <c r="E1424" s="347" t="s">
        <v>212</v>
      </c>
      <c r="F1424" s="318">
        <v>792737</v>
      </c>
      <c r="G1424" s="318">
        <v>7702</v>
      </c>
      <c r="H1424" s="347"/>
    </row>
    <row r="1425" spans="2:8">
      <c r="B1425" s="347">
        <v>201010</v>
      </c>
      <c r="C1425" s="316">
        <v>2010</v>
      </c>
      <c r="D1425" s="317">
        <v>10</v>
      </c>
      <c r="E1425" s="347" t="s">
        <v>119</v>
      </c>
      <c r="F1425" s="318">
        <v>853539</v>
      </c>
      <c r="G1425" s="318">
        <v>9510</v>
      </c>
      <c r="H1425" s="347"/>
    </row>
    <row r="1426" spans="2:8">
      <c r="B1426" s="347">
        <v>201010</v>
      </c>
      <c r="C1426" s="316">
        <v>2010</v>
      </c>
      <c r="D1426" s="317">
        <v>10</v>
      </c>
      <c r="E1426" s="347" t="s">
        <v>120</v>
      </c>
      <c r="F1426" s="318">
        <v>662302</v>
      </c>
      <c r="G1426" s="318">
        <v>6487</v>
      </c>
      <c r="H1426" s="347"/>
    </row>
    <row r="1427" spans="2:8">
      <c r="B1427" s="347">
        <v>201010</v>
      </c>
      <c r="C1427" s="316">
        <v>2010</v>
      </c>
      <c r="D1427" s="317">
        <v>10</v>
      </c>
      <c r="E1427" s="347" t="s">
        <v>102</v>
      </c>
      <c r="F1427" s="318">
        <v>2849873</v>
      </c>
      <c r="G1427" s="318">
        <v>21199</v>
      </c>
      <c r="H1427" s="347"/>
    </row>
    <row r="1428" spans="2:8">
      <c r="B1428" s="347">
        <v>201010</v>
      </c>
      <c r="C1428" s="316">
        <v>2010</v>
      </c>
      <c r="D1428" s="317">
        <v>10</v>
      </c>
      <c r="E1428" s="347" t="s">
        <v>117</v>
      </c>
      <c r="F1428" s="318">
        <v>6097524</v>
      </c>
      <c r="G1428" s="318">
        <v>40759</v>
      </c>
      <c r="H1428" s="347"/>
    </row>
    <row r="1429" spans="2:8">
      <c r="B1429" s="347">
        <v>201010</v>
      </c>
      <c r="C1429" s="316">
        <v>2010</v>
      </c>
      <c r="D1429" s="317">
        <v>10</v>
      </c>
      <c r="E1429" s="347" t="s">
        <v>104</v>
      </c>
      <c r="F1429" s="318">
        <v>821256</v>
      </c>
      <c r="G1429" s="318">
        <v>6330</v>
      </c>
      <c r="H1429" s="347"/>
    </row>
    <row r="1430" spans="2:8">
      <c r="B1430" s="347">
        <v>201010</v>
      </c>
      <c r="C1430" s="316">
        <v>2010</v>
      </c>
      <c r="D1430" s="317">
        <v>10</v>
      </c>
      <c r="E1430" s="347" t="s">
        <v>34</v>
      </c>
      <c r="F1430" s="318">
        <v>1631276</v>
      </c>
      <c r="G1430" s="318">
        <v>13604</v>
      </c>
      <c r="H1430" s="347"/>
    </row>
    <row r="1431" spans="2:8">
      <c r="B1431" s="347">
        <v>201010</v>
      </c>
      <c r="C1431" s="316">
        <v>2010</v>
      </c>
      <c r="D1431" s="317">
        <v>10</v>
      </c>
      <c r="E1431" s="347" t="s">
        <v>118</v>
      </c>
      <c r="F1431" s="318">
        <v>156746</v>
      </c>
      <c r="G1431" s="318">
        <v>3696</v>
      </c>
      <c r="H1431" s="347"/>
    </row>
    <row r="1432" spans="2:8">
      <c r="B1432" s="347">
        <v>201010</v>
      </c>
      <c r="C1432" s="316">
        <v>2010</v>
      </c>
      <c r="D1432" s="317">
        <v>10</v>
      </c>
      <c r="E1432" s="347" t="s">
        <v>103</v>
      </c>
      <c r="F1432" s="318">
        <v>1720621</v>
      </c>
      <c r="G1432" s="318">
        <v>12840</v>
      </c>
      <c r="H1432" s="347"/>
    </row>
    <row r="1433" spans="2:8">
      <c r="B1433" s="347">
        <v>201011</v>
      </c>
      <c r="C1433" s="316">
        <v>2010</v>
      </c>
      <c r="D1433" s="317">
        <v>11</v>
      </c>
      <c r="E1433" s="347" t="s">
        <v>121</v>
      </c>
      <c r="F1433" s="318">
        <v>225102</v>
      </c>
      <c r="G1433" s="318">
        <v>7047</v>
      </c>
      <c r="H1433" s="347"/>
    </row>
    <row r="1434" spans="2:8">
      <c r="B1434" s="347">
        <v>201011</v>
      </c>
      <c r="C1434" s="316">
        <v>2010</v>
      </c>
      <c r="D1434" s="317">
        <v>11</v>
      </c>
      <c r="E1434" s="347" t="s">
        <v>212</v>
      </c>
      <c r="F1434" s="318">
        <v>544262</v>
      </c>
      <c r="G1434" s="318">
        <v>6077</v>
      </c>
      <c r="H1434" s="347"/>
    </row>
    <row r="1435" spans="2:8">
      <c r="B1435" s="347">
        <v>201011</v>
      </c>
      <c r="C1435" s="316">
        <v>2010</v>
      </c>
      <c r="D1435" s="317">
        <v>11</v>
      </c>
      <c r="E1435" s="347" t="s">
        <v>119</v>
      </c>
      <c r="F1435" s="318">
        <v>621689</v>
      </c>
      <c r="G1435" s="318">
        <v>7520</v>
      </c>
      <c r="H1435" s="347"/>
    </row>
    <row r="1436" spans="2:8">
      <c r="B1436" s="347">
        <v>201011</v>
      </c>
      <c r="C1436" s="316">
        <v>2010</v>
      </c>
      <c r="D1436" s="317">
        <v>11</v>
      </c>
      <c r="E1436" s="347" t="s">
        <v>120</v>
      </c>
      <c r="F1436" s="318">
        <v>484772</v>
      </c>
      <c r="G1436" s="318">
        <v>5572</v>
      </c>
      <c r="H1436" s="347"/>
    </row>
    <row r="1437" spans="2:8">
      <c r="B1437" s="347">
        <v>201011</v>
      </c>
      <c r="C1437" s="316">
        <v>2010</v>
      </c>
      <c r="D1437" s="317">
        <v>11</v>
      </c>
      <c r="E1437" s="347" t="s">
        <v>102</v>
      </c>
      <c r="F1437" s="318">
        <v>2122284</v>
      </c>
      <c r="G1437" s="318">
        <v>17011</v>
      </c>
      <c r="H1437" s="347"/>
    </row>
    <row r="1438" spans="2:8">
      <c r="B1438" s="347">
        <v>201011</v>
      </c>
      <c r="C1438" s="316">
        <v>2010</v>
      </c>
      <c r="D1438" s="317">
        <v>11</v>
      </c>
      <c r="E1438" s="347" t="s">
        <v>117</v>
      </c>
      <c r="F1438" s="318">
        <v>5242891</v>
      </c>
      <c r="G1438" s="318">
        <v>38010</v>
      </c>
      <c r="H1438" s="347"/>
    </row>
    <row r="1439" spans="2:8">
      <c r="B1439" s="347">
        <v>201011</v>
      </c>
      <c r="C1439" s="316">
        <v>2010</v>
      </c>
      <c r="D1439" s="317">
        <v>11</v>
      </c>
      <c r="E1439" s="347" t="s">
        <v>104</v>
      </c>
      <c r="F1439" s="318">
        <v>597509</v>
      </c>
      <c r="G1439" s="318">
        <v>5040</v>
      </c>
      <c r="H1439" s="347"/>
    </row>
    <row r="1440" spans="2:8">
      <c r="B1440" s="347">
        <v>201011</v>
      </c>
      <c r="C1440" s="316">
        <v>2010</v>
      </c>
      <c r="D1440" s="317">
        <v>11</v>
      </c>
      <c r="E1440" s="347" t="s">
        <v>34</v>
      </c>
      <c r="F1440" s="318">
        <v>1145873</v>
      </c>
      <c r="G1440" s="318">
        <v>11150</v>
      </c>
      <c r="H1440" s="347"/>
    </row>
    <row r="1441" spans="2:8">
      <c r="B1441" s="347">
        <v>201011</v>
      </c>
      <c r="C1441" s="316">
        <v>2010</v>
      </c>
      <c r="D1441" s="317">
        <v>11</v>
      </c>
      <c r="E1441" s="347" t="s">
        <v>118</v>
      </c>
      <c r="F1441" s="318">
        <v>126989</v>
      </c>
      <c r="G1441" s="318">
        <v>3026</v>
      </c>
      <c r="H1441" s="347"/>
    </row>
    <row r="1442" spans="2:8">
      <c r="B1442" s="347">
        <v>201011</v>
      </c>
      <c r="C1442" s="316">
        <v>2010</v>
      </c>
      <c r="D1442" s="317">
        <v>11</v>
      </c>
      <c r="E1442" s="347" t="s">
        <v>103</v>
      </c>
      <c r="F1442" s="318">
        <v>1212768</v>
      </c>
      <c r="G1442" s="318">
        <v>9768</v>
      </c>
      <c r="H1442" s="347"/>
    </row>
    <row r="1443" spans="2:8">
      <c r="B1443" s="347">
        <v>201012</v>
      </c>
      <c r="C1443" s="316">
        <v>2010</v>
      </c>
      <c r="D1443" s="317">
        <v>12</v>
      </c>
      <c r="E1443" s="347" t="s">
        <v>121</v>
      </c>
      <c r="F1443" s="318">
        <v>195933</v>
      </c>
      <c r="G1443" s="318">
        <v>6488</v>
      </c>
      <c r="H1443" s="347"/>
    </row>
    <row r="1444" spans="2:8">
      <c r="B1444" s="347">
        <v>201012</v>
      </c>
      <c r="C1444" s="316">
        <v>2010</v>
      </c>
      <c r="D1444" s="317">
        <v>12</v>
      </c>
      <c r="E1444" s="347" t="s">
        <v>212</v>
      </c>
      <c r="F1444" s="318">
        <v>489556</v>
      </c>
      <c r="G1444" s="318">
        <v>5390</v>
      </c>
      <c r="H1444" s="347"/>
    </row>
    <row r="1445" spans="2:8">
      <c r="B1445" s="347">
        <v>201012</v>
      </c>
      <c r="C1445" s="316">
        <v>2010</v>
      </c>
      <c r="D1445" s="317">
        <v>12</v>
      </c>
      <c r="E1445" s="347" t="s">
        <v>119</v>
      </c>
      <c r="F1445" s="318">
        <v>472534</v>
      </c>
      <c r="G1445" s="318">
        <v>6151</v>
      </c>
      <c r="H1445" s="347"/>
    </row>
    <row r="1446" spans="2:8">
      <c r="B1446" s="347">
        <v>201012</v>
      </c>
      <c r="C1446" s="316">
        <v>2010</v>
      </c>
      <c r="D1446" s="317">
        <v>12</v>
      </c>
      <c r="E1446" s="347" t="s">
        <v>120</v>
      </c>
      <c r="F1446" s="318">
        <v>359558</v>
      </c>
      <c r="G1446" s="318">
        <v>4496</v>
      </c>
      <c r="H1446" s="347"/>
    </row>
    <row r="1447" spans="2:8">
      <c r="B1447" s="347">
        <v>201012</v>
      </c>
      <c r="C1447" s="316">
        <v>2010</v>
      </c>
      <c r="D1447" s="317">
        <v>12</v>
      </c>
      <c r="E1447" s="347" t="s">
        <v>102</v>
      </c>
      <c r="F1447" s="318">
        <v>1894221</v>
      </c>
      <c r="G1447" s="318">
        <v>15193</v>
      </c>
      <c r="H1447" s="347"/>
    </row>
    <row r="1448" spans="2:8">
      <c r="B1448" s="347">
        <v>201012</v>
      </c>
      <c r="C1448" s="316">
        <v>2010</v>
      </c>
      <c r="D1448" s="317">
        <v>12</v>
      </c>
      <c r="E1448" s="347" t="s">
        <v>117</v>
      </c>
      <c r="F1448" s="318">
        <v>4809071</v>
      </c>
      <c r="G1448" s="318">
        <v>32485</v>
      </c>
      <c r="H1448" s="347"/>
    </row>
    <row r="1449" spans="2:8">
      <c r="B1449" s="347">
        <v>201012</v>
      </c>
      <c r="C1449" s="316">
        <v>2010</v>
      </c>
      <c r="D1449" s="317">
        <v>12</v>
      </c>
      <c r="E1449" s="347" t="s">
        <v>104</v>
      </c>
      <c r="F1449" s="318">
        <v>579185</v>
      </c>
      <c r="G1449" s="318">
        <v>4926</v>
      </c>
      <c r="H1449" s="347"/>
    </row>
    <row r="1450" spans="2:8">
      <c r="B1450" s="347">
        <v>201012</v>
      </c>
      <c r="C1450" s="316">
        <v>2010</v>
      </c>
      <c r="D1450" s="317">
        <v>12</v>
      </c>
      <c r="E1450" s="347" t="s">
        <v>34</v>
      </c>
      <c r="F1450" s="318">
        <v>1103736</v>
      </c>
      <c r="G1450" s="318">
        <v>10285</v>
      </c>
      <c r="H1450" s="347"/>
    </row>
    <row r="1451" spans="2:8">
      <c r="B1451" s="347">
        <v>201012</v>
      </c>
      <c r="C1451" s="316">
        <v>2010</v>
      </c>
      <c r="D1451" s="317">
        <v>12</v>
      </c>
      <c r="E1451" s="347" t="s">
        <v>118</v>
      </c>
      <c r="F1451" s="318">
        <v>92496</v>
      </c>
      <c r="G1451" s="318">
        <v>2245</v>
      </c>
      <c r="H1451" s="347"/>
    </row>
    <row r="1452" spans="2:8">
      <c r="B1452" s="347">
        <v>201012</v>
      </c>
      <c r="C1452" s="316">
        <v>2010</v>
      </c>
      <c r="D1452" s="317">
        <v>12</v>
      </c>
      <c r="E1452" s="347" t="s">
        <v>103</v>
      </c>
      <c r="F1452" s="318">
        <v>1215302</v>
      </c>
      <c r="G1452" s="318">
        <v>9834</v>
      </c>
      <c r="H1452" s="347"/>
    </row>
    <row r="1453" spans="2:8">
      <c r="B1453" s="347">
        <v>201101</v>
      </c>
      <c r="C1453" s="316">
        <v>2011</v>
      </c>
      <c r="D1453" s="317">
        <v>1</v>
      </c>
      <c r="E1453" s="347" t="s">
        <v>121</v>
      </c>
      <c r="F1453" s="318">
        <v>198895</v>
      </c>
      <c r="G1453" s="318">
        <v>6995</v>
      </c>
      <c r="H1453" s="347"/>
    </row>
    <row r="1454" spans="2:8">
      <c r="B1454" s="347">
        <v>201101</v>
      </c>
      <c r="C1454" s="316">
        <v>2011</v>
      </c>
      <c r="D1454" s="317">
        <v>1</v>
      </c>
      <c r="E1454" s="347" t="s">
        <v>212</v>
      </c>
      <c r="F1454" s="318">
        <v>522473</v>
      </c>
      <c r="G1454" s="318">
        <v>5969</v>
      </c>
      <c r="H1454" s="347"/>
    </row>
    <row r="1455" spans="2:8">
      <c r="B1455" s="347">
        <v>201101</v>
      </c>
      <c r="C1455" s="316">
        <v>2011</v>
      </c>
      <c r="D1455" s="317">
        <v>1</v>
      </c>
      <c r="E1455" s="347" t="s">
        <v>119</v>
      </c>
      <c r="F1455" s="318">
        <v>583343</v>
      </c>
      <c r="G1455" s="318">
        <v>7624</v>
      </c>
      <c r="H1455" s="347"/>
    </row>
    <row r="1456" spans="2:8">
      <c r="B1456" s="347">
        <v>201101</v>
      </c>
      <c r="C1456" s="316">
        <v>2011</v>
      </c>
      <c r="D1456" s="317">
        <v>1</v>
      </c>
      <c r="E1456" s="347" t="s">
        <v>120</v>
      </c>
      <c r="F1456" s="318">
        <v>417385</v>
      </c>
      <c r="G1456" s="318">
        <v>5256</v>
      </c>
      <c r="H1456" s="347"/>
    </row>
    <row r="1457" spans="2:8">
      <c r="B1457" s="347">
        <v>201101</v>
      </c>
      <c r="C1457" s="316">
        <v>2011</v>
      </c>
      <c r="D1457" s="317">
        <v>1</v>
      </c>
      <c r="E1457" s="347" t="s">
        <v>102</v>
      </c>
      <c r="F1457" s="318">
        <v>2093939</v>
      </c>
      <c r="G1457" s="318">
        <v>17945</v>
      </c>
      <c r="H1457" s="347"/>
    </row>
    <row r="1458" spans="2:8">
      <c r="B1458" s="347">
        <v>201101</v>
      </c>
      <c r="C1458" s="316">
        <v>2011</v>
      </c>
      <c r="D1458" s="317">
        <v>1</v>
      </c>
      <c r="E1458" s="347" t="s">
        <v>117</v>
      </c>
      <c r="F1458" s="318">
        <v>5052763</v>
      </c>
      <c r="G1458" s="318">
        <v>39353</v>
      </c>
      <c r="H1458" s="347"/>
    </row>
    <row r="1459" spans="2:8">
      <c r="B1459" s="347">
        <v>201101</v>
      </c>
      <c r="C1459" s="316">
        <v>2011</v>
      </c>
      <c r="D1459" s="317">
        <v>1</v>
      </c>
      <c r="E1459" s="347" t="s">
        <v>104</v>
      </c>
      <c r="F1459" s="318">
        <v>578744</v>
      </c>
      <c r="G1459" s="318">
        <v>5239</v>
      </c>
      <c r="H1459" s="347"/>
    </row>
    <row r="1460" spans="2:8">
      <c r="B1460" s="347">
        <v>201101</v>
      </c>
      <c r="C1460" s="316">
        <v>2011</v>
      </c>
      <c r="D1460" s="317">
        <v>1</v>
      </c>
      <c r="E1460" s="347" t="s">
        <v>34</v>
      </c>
      <c r="F1460" s="318">
        <v>1079420</v>
      </c>
      <c r="G1460" s="318">
        <v>10918</v>
      </c>
      <c r="H1460" s="347"/>
    </row>
    <row r="1461" spans="2:8">
      <c r="B1461" s="347">
        <v>201101</v>
      </c>
      <c r="C1461" s="316">
        <v>2011</v>
      </c>
      <c r="D1461" s="317">
        <v>1</v>
      </c>
      <c r="E1461" s="347" t="s">
        <v>118</v>
      </c>
      <c r="F1461" s="318">
        <v>99535</v>
      </c>
      <c r="G1461" s="318">
        <v>2699</v>
      </c>
      <c r="H1461" s="347"/>
    </row>
    <row r="1462" spans="2:8">
      <c r="B1462" s="347">
        <v>201101</v>
      </c>
      <c r="C1462" s="316">
        <v>2011</v>
      </c>
      <c r="D1462" s="317">
        <v>1</v>
      </c>
      <c r="E1462" s="347" t="s">
        <v>103</v>
      </c>
      <c r="F1462" s="318">
        <v>1145701</v>
      </c>
      <c r="G1462" s="318">
        <v>10295</v>
      </c>
      <c r="H1462" s="347"/>
    </row>
    <row r="1463" spans="2:8">
      <c r="B1463" s="347">
        <v>201102</v>
      </c>
      <c r="C1463" s="316">
        <v>2011</v>
      </c>
      <c r="D1463" s="317">
        <v>2</v>
      </c>
      <c r="E1463" s="347" t="s">
        <v>121</v>
      </c>
      <c r="F1463" s="318">
        <v>203259</v>
      </c>
      <c r="G1463" s="318">
        <v>6819</v>
      </c>
      <c r="H1463" s="347"/>
    </row>
    <row r="1464" spans="2:8">
      <c r="B1464" s="347">
        <v>201102</v>
      </c>
      <c r="C1464" s="316">
        <v>2011</v>
      </c>
      <c r="D1464" s="317">
        <v>2</v>
      </c>
      <c r="E1464" s="347" t="s">
        <v>212</v>
      </c>
      <c r="F1464" s="318">
        <v>535630</v>
      </c>
      <c r="G1464" s="318">
        <v>5848</v>
      </c>
      <c r="H1464" s="347"/>
    </row>
    <row r="1465" spans="2:8">
      <c r="B1465" s="347">
        <v>201102</v>
      </c>
      <c r="C1465" s="316">
        <v>2011</v>
      </c>
      <c r="D1465" s="317">
        <v>2</v>
      </c>
      <c r="E1465" s="347" t="s">
        <v>119</v>
      </c>
      <c r="F1465" s="318">
        <v>611124</v>
      </c>
      <c r="G1465" s="318">
        <v>7377</v>
      </c>
      <c r="H1465" s="347"/>
    </row>
    <row r="1466" spans="2:8">
      <c r="B1466" s="347">
        <v>201102</v>
      </c>
      <c r="C1466" s="316">
        <v>2011</v>
      </c>
      <c r="D1466" s="317">
        <v>2</v>
      </c>
      <c r="E1466" s="347" t="s">
        <v>120</v>
      </c>
      <c r="F1466" s="318">
        <v>416119</v>
      </c>
      <c r="G1466" s="318">
        <v>4969</v>
      </c>
      <c r="H1466" s="347"/>
    </row>
    <row r="1467" spans="2:8">
      <c r="B1467" s="347">
        <v>201102</v>
      </c>
      <c r="C1467" s="316">
        <v>2011</v>
      </c>
      <c r="D1467" s="317">
        <v>2</v>
      </c>
      <c r="E1467" s="347" t="s">
        <v>102</v>
      </c>
      <c r="F1467" s="318">
        <v>2099082</v>
      </c>
      <c r="G1467" s="318">
        <v>16790</v>
      </c>
      <c r="H1467" s="347"/>
    </row>
    <row r="1468" spans="2:8">
      <c r="B1468" s="347">
        <v>201102</v>
      </c>
      <c r="C1468" s="316">
        <v>2011</v>
      </c>
      <c r="D1468" s="317">
        <v>2</v>
      </c>
      <c r="E1468" s="347" t="s">
        <v>117</v>
      </c>
      <c r="F1468" s="318">
        <v>4621777</v>
      </c>
      <c r="G1468" s="318">
        <v>36246</v>
      </c>
      <c r="H1468" s="347"/>
    </row>
    <row r="1469" spans="2:8">
      <c r="B1469" s="347">
        <v>201102</v>
      </c>
      <c r="C1469" s="316">
        <v>2011</v>
      </c>
      <c r="D1469" s="317">
        <v>2</v>
      </c>
      <c r="E1469" s="347" t="s">
        <v>104</v>
      </c>
      <c r="F1469" s="318">
        <v>574205</v>
      </c>
      <c r="G1469" s="318">
        <v>4796</v>
      </c>
      <c r="H1469" s="347"/>
    </row>
    <row r="1470" spans="2:8">
      <c r="B1470" s="347">
        <v>201102</v>
      </c>
      <c r="C1470" s="316">
        <v>2011</v>
      </c>
      <c r="D1470" s="317">
        <v>2</v>
      </c>
      <c r="E1470" s="347" t="s">
        <v>34</v>
      </c>
      <c r="F1470" s="318">
        <v>1065922</v>
      </c>
      <c r="G1470" s="318">
        <v>10450</v>
      </c>
      <c r="H1470" s="347"/>
    </row>
    <row r="1471" spans="2:8">
      <c r="B1471" s="347">
        <v>201102</v>
      </c>
      <c r="C1471" s="316">
        <v>2011</v>
      </c>
      <c r="D1471" s="317">
        <v>2</v>
      </c>
      <c r="E1471" s="347" t="s">
        <v>118</v>
      </c>
      <c r="F1471" s="318">
        <v>103991</v>
      </c>
      <c r="G1471" s="318">
        <v>2731</v>
      </c>
      <c r="H1471" s="347"/>
    </row>
    <row r="1472" spans="2:8">
      <c r="B1472" s="347">
        <v>201102</v>
      </c>
      <c r="C1472" s="316">
        <v>2011</v>
      </c>
      <c r="D1472" s="317">
        <v>2</v>
      </c>
      <c r="E1472" s="347" t="s">
        <v>103</v>
      </c>
      <c r="F1472" s="318">
        <v>1160988</v>
      </c>
      <c r="G1472" s="318">
        <v>9588</v>
      </c>
      <c r="H1472" s="347"/>
    </row>
    <row r="1473" spans="2:8">
      <c r="B1473" s="347">
        <v>201103</v>
      </c>
      <c r="C1473" s="316">
        <v>2011</v>
      </c>
      <c r="D1473" s="317">
        <v>3</v>
      </c>
      <c r="E1473" s="347" t="s">
        <v>121</v>
      </c>
      <c r="F1473" s="318">
        <v>249414</v>
      </c>
      <c r="G1473" s="318">
        <v>8295</v>
      </c>
      <c r="H1473" s="347"/>
    </row>
    <row r="1474" spans="2:8">
      <c r="B1474" s="347">
        <v>201103</v>
      </c>
      <c r="C1474" s="316">
        <v>2011</v>
      </c>
      <c r="D1474" s="317">
        <v>3</v>
      </c>
      <c r="E1474" s="347" t="s">
        <v>212</v>
      </c>
      <c r="F1474" s="318">
        <v>621050</v>
      </c>
      <c r="G1474" s="318">
        <v>6792</v>
      </c>
      <c r="H1474" s="347"/>
    </row>
    <row r="1475" spans="2:8">
      <c r="B1475" s="347">
        <v>201103</v>
      </c>
      <c r="C1475" s="316">
        <v>2011</v>
      </c>
      <c r="D1475" s="317">
        <v>3</v>
      </c>
      <c r="E1475" s="347" t="s">
        <v>119</v>
      </c>
      <c r="F1475" s="318">
        <v>719797</v>
      </c>
      <c r="G1475" s="318">
        <v>8541</v>
      </c>
      <c r="H1475" s="347"/>
    </row>
    <row r="1476" spans="2:8">
      <c r="B1476" s="347">
        <v>201103</v>
      </c>
      <c r="C1476" s="316">
        <v>2011</v>
      </c>
      <c r="D1476" s="317">
        <v>3</v>
      </c>
      <c r="E1476" s="347" t="s">
        <v>120</v>
      </c>
      <c r="F1476" s="318">
        <v>483731</v>
      </c>
      <c r="G1476" s="318">
        <v>5681</v>
      </c>
      <c r="H1476" s="347"/>
    </row>
    <row r="1477" spans="2:8">
      <c r="B1477" s="347">
        <v>201103</v>
      </c>
      <c r="C1477" s="316">
        <v>2011</v>
      </c>
      <c r="D1477" s="317">
        <v>3</v>
      </c>
      <c r="E1477" s="347" t="s">
        <v>102</v>
      </c>
      <c r="F1477" s="318">
        <v>2419232</v>
      </c>
      <c r="G1477" s="318">
        <v>19087</v>
      </c>
      <c r="H1477" s="347"/>
    </row>
    <row r="1478" spans="2:8">
      <c r="B1478" s="347">
        <v>201103</v>
      </c>
      <c r="C1478" s="316">
        <v>2011</v>
      </c>
      <c r="D1478" s="317">
        <v>3</v>
      </c>
      <c r="E1478" s="347" t="s">
        <v>117</v>
      </c>
      <c r="F1478" s="318">
        <v>5331598</v>
      </c>
      <c r="G1478" s="318">
        <v>40181</v>
      </c>
      <c r="H1478" s="347"/>
    </row>
    <row r="1479" spans="2:8">
      <c r="B1479" s="347">
        <v>201103</v>
      </c>
      <c r="C1479" s="316">
        <v>2011</v>
      </c>
      <c r="D1479" s="317">
        <v>3</v>
      </c>
      <c r="E1479" s="347" t="s">
        <v>104</v>
      </c>
      <c r="F1479" s="318">
        <v>671310</v>
      </c>
      <c r="G1479" s="318">
        <v>5532</v>
      </c>
      <c r="H1479" s="347"/>
    </row>
    <row r="1480" spans="2:8">
      <c r="B1480" s="347">
        <v>201103</v>
      </c>
      <c r="C1480" s="316">
        <v>2011</v>
      </c>
      <c r="D1480" s="317">
        <v>3</v>
      </c>
      <c r="E1480" s="347" t="s">
        <v>34</v>
      </c>
      <c r="F1480" s="318">
        <v>1203390</v>
      </c>
      <c r="G1480" s="318">
        <v>11842</v>
      </c>
      <c r="H1480" s="347"/>
    </row>
    <row r="1481" spans="2:8">
      <c r="B1481" s="347">
        <v>201103</v>
      </c>
      <c r="C1481" s="316">
        <v>2011</v>
      </c>
      <c r="D1481" s="317">
        <v>3</v>
      </c>
      <c r="E1481" s="347" t="s">
        <v>118</v>
      </c>
      <c r="F1481" s="318">
        <v>129873</v>
      </c>
      <c r="G1481" s="318">
        <v>3324</v>
      </c>
      <c r="H1481" s="347"/>
    </row>
    <row r="1482" spans="2:8">
      <c r="B1482" s="347">
        <v>201103</v>
      </c>
      <c r="C1482" s="316">
        <v>2011</v>
      </c>
      <c r="D1482" s="317">
        <v>3</v>
      </c>
      <c r="E1482" s="347" t="s">
        <v>103</v>
      </c>
      <c r="F1482" s="318">
        <v>1361486</v>
      </c>
      <c r="G1482" s="318">
        <v>11055</v>
      </c>
      <c r="H1482" s="347"/>
    </row>
    <row r="1483" spans="2:8">
      <c r="B1483" s="347">
        <v>201104</v>
      </c>
      <c r="C1483" s="316">
        <v>2011</v>
      </c>
      <c r="D1483" s="317">
        <v>4</v>
      </c>
      <c r="E1483" s="347" t="s">
        <v>121</v>
      </c>
      <c r="F1483" s="318">
        <v>245687</v>
      </c>
      <c r="G1483" s="318">
        <v>7407</v>
      </c>
      <c r="H1483" s="347"/>
    </row>
    <row r="1484" spans="2:8">
      <c r="B1484" s="347">
        <v>201104</v>
      </c>
      <c r="C1484" s="316">
        <v>2011</v>
      </c>
      <c r="D1484" s="317">
        <v>4</v>
      </c>
      <c r="E1484" s="347" t="s">
        <v>212</v>
      </c>
      <c r="F1484" s="318">
        <v>685236</v>
      </c>
      <c r="G1484" s="318">
        <v>6725</v>
      </c>
      <c r="H1484" s="347"/>
    </row>
    <row r="1485" spans="2:8">
      <c r="B1485" s="347">
        <v>201104</v>
      </c>
      <c r="C1485" s="316">
        <v>2011</v>
      </c>
      <c r="D1485" s="317">
        <v>4</v>
      </c>
      <c r="E1485" s="347" t="s">
        <v>119</v>
      </c>
      <c r="F1485" s="318">
        <v>776192</v>
      </c>
      <c r="G1485" s="318">
        <v>8716</v>
      </c>
      <c r="H1485" s="347"/>
    </row>
    <row r="1486" spans="2:8">
      <c r="B1486" s="347">
        <v>201104</v>
      </c>
      <c r="C1486" s="316">
        <v>2011</v>
      </c>
      <c r="D1486" s="317">
        <v>4</v>
      </c>
      <c r="E1486" s="347" t="s">
        <v>120</v>
      </c>
      <c r="F1486" s="318">
        <v>511988</v>
      </c>
      <c r="G1486" s="318">
        <v>5381</v>
      </c>
      <c r="H1486" s="347"/>
    </row>
    <row r="1487" spans="2:8">
      <c r="B1487" s="347">
        <v>201104</v>
      </c>
      <c r="C1487" s="316">
        <v>2011</v>
      </c>
      <c r="D1487" s="317">
        <v>4</v>
      </c>
      <c r="E1487" s="347" t="s">
        <v>102</v>
      </c>
      <c r="F1487" s="318">
        <v>2758617</v>
      </c>
      <c r="G1487" s="318">
        <v>20241</v>
      </c>
      <c r="H1487" s="347"/>
    </row>
    <row r="1488" spans="2:8">
      <c r="B1488" s="347">
        <v>201104</v>
      </c>
      <c r="C1488" s="316">
        <v>2011</v>
      </c>
      <c r="D1488" s="317">
        <v>4</v>
      </c>
      <c r="E1488" s="347" t="s">
        <v>117</v>
      </c>
      <c r="F1488" s="318">
        <v>5848331</v>
      </c>
      <c r="G1488" s="318">
        <v>39412</v>
      </c>
      <c r="H1488" s="347"/>
    </row>
    <row r="1489" spans="2:8">
      <c r="B1489" s="347">
        <v>201104</v>
      </c>
      <c r="C1489" s="316">
        <v>2011</v>
      </c>
      <c r="D1489" s="317">
        <v>4</v>
      </c>
      <c r="E1489" s="347" t="s">
        <v>104</v>
      </c>
      <c r="F1489" s="318">
        <v>800317</v>
      </c>
      <c r="G1489" s="318">
        <v>5999</v>
      </c>
      <c r="H1489" s="347"/>
    </row>
    <row r="1490" spans="2:8">
      <c r="B1490" s="347">
        <v>201104</v>
      </c>
      <c r="C1490" s="316">
        <v>2011</v>
      </c>
      <c r="D1490" s="317">
        <v>4</v>
      </c>
      <c r="E1490" s="347" t="s">
        <v>34</v>
      </c>
      <c r="F1490" s="318">
        <v>1425811</v>
      </c>
      <c r="G1490" s="318">
        <v>12293</v>
      </c>
      <c r="H1490" s="347"/>
    </row>
    <row r="1491" spans="2:8">
      <c r="B1491" s="347">
        <v>201104</v>
      </c>
      <c r="C1491" s="316">
        <v>2011</v>
      </c>
      <c r="D1491" s="317">
        <v>4</v>
      </c>
      <c r="E1491" s="347" t="s">
        <v>118</v>
      </c>
      <c r="F1491" s="318">
        <v>143594</v>
      </c>
      <c r="G1491" s="318">
        <v>3410</v>
      </c>
      <c r="H1491" s="347"/>
    </row>
    <row r="1492" spans="2:8">
      <c r="B1492" s="347">
        <v>201104</v>
      </c>
      <c r="C1492" s="316">
        <v>2011</v>
      </c>
      <c r="D1492" s="317">
        <v>4</v>
      </c>
      <c r="E1492" s="347" t="s">
        <v>103</v>
      </c>
      <c r="F1492" s="318">
        <v>1555458</v>
      </c>
      <c r="G1492" s="318">
        <v>11508</v>
      </c>
      <c r="H1492" s="347"/>
    </row>
    <row r="1493" spans="2:8">
      <c r="B1493" s="347">
        <v>201105</v>
      </c>
      <c r="C1493" s="316">
        <v>2011</v>
      </c>
      <c r="D1493" s="317">
        <v>5</v>
      </c>
      <c r="E1493" s="347" t="s">
        <v>121</v>
      </c>
      <c r="F1493" s="318">
        <v>255977</v>
      </c>
      <c r="G1493" s="318">
        <v>7966</v>
      </c>
      <c r="H1493" s="347"/>
    </row>
    <row r="1494" spans="2:8">
      <c r="B1494" s="347">
        <v>201105</v>
      </c>
      <c r="C1494" s="316">
        <v>2011</v>
      </c>
      <c r="D1494" s="317">
        <v>5</v>
      </c>
      <c r="E1494" s="347" t="s">
        <v>212</v>
      </c>
      <c r="F1494" s="318">
        <v>777805</v>
      </c>
      <c r="G1494" s="318">
        <v>7677</v>
      </c>
      <c r="H1494" s="347"/>
    </row>
    <row r="1495" spans="2:8">
      <c r="B1495" s="347">
        <v>201105</v>
      </c>
      <c r="C1495" s="316">
        <v>2011</v>
      </c>
      <c r="D1495" s="317">
        <v>5</v>
      </c>
      <c r="E1495" s="347" t="s">
        <v>119</v>
      </c>
      <c r="F1495" s="318">
        <v>825692</v>
      </c>
      <c r="G1495" s="318">
        <v>9183</v>
      </c>
      <c r="H1495" s="347"/>
    </row>
    <row r="1496" spans="2:8">
      <c r="B1496" s="347">
        <v>201105</v>
      </c>
      <c r="C1496" s="316">
        <v>2011</v>
      </c>
      <c r="D1496" s="317">
        <v>5</v>
      </c>
      <c r="E1496" s="347" t="s">
        <v>120</v>
      </c>
      <c r="F1496" s="318">
        <v>599245</v>
      </c>
      <c r="G1496" s="318">
        <v>6031</v>
      </c>
      <c r="H1496" s="347"/>
    </row>
    <row r="1497" spans="2:8">
      <c r="B1497" s="347">
        <v>201105</v>
      </c>
      <c r="C1497" s="316">
        <v>2011</v>
      </c>
      <c r="D1497" s="317">
        <v>5</v>
      </c>
      <c r="E1497" s="347" t="s">
        <v>102</v>
      </c>
      <c r="F1497" s="318">
        <v>2916126</v>
      </c>
      <c r="G1497" s="318">
        <v>21889</v>
      </c>
      <c r="H1497" s="347"/>
    </row>
    <row r="1498" spans="2:8">
      <c r="B1498" s="347">
        <v>201105</v>
      </c>
      <c r="C1498" s="316">
        <v>2011</v>
      </c>
      <c r="D1498" s="317">
        <v>5</v>
      </c>
      <c r="E1498" s="347" t="s">
        <v>117</v>
      </c>
      <c r="F1498" s="318">
        <v>5865560</v>
      </c>
      <c r="G1498" s="318">
        <v>40777</v>
      </c>
      <c r="H1498" s="347"/>
    </row>
    <row r="1499" spans="2:8">
      <c r="B1499" s="347">
        <v>201105</v>
      </c>
      <c r="C1499" s="316">
        <v>2011</v>
      </c>
      <c r="D1499" s="317">
        <v>5</v>
      </c>
      <c r="E1499" s="347" t="s">
        <v>104</v>
      </c>
      <c r="F1499" s="318">
        <v>860821</v>
      </c>
      <c r="G1499" s="318">
        <v>6592</v>
      </c>
      <c r="H1499" s="347"/>
    </row>
    <row r="1500" spans="2:8">
      <c r="B1500" s="347">
        <v>201105</v>
      </c>
      <c r="C1500" s="316">
        <v>2011</v>
      </c>
      <c r="D1500" s="317">
        <v>5</v>
      </c>
      <c r="E1500" s="347" t="s">
        <v>34</v>
      </c>
      <c r="F1500" s="318">
        <v>1730257</v>
      </c>
      <c r="G1500" s="318">
        <v>14423</v>
      </c>
      <c r="H1500" s="347"/>
    </row>
    <row r="1501" spans="2:8">
      <c r="B1501" s="347">
        <v>201105</v>
      </c>
      <c r="C1501" s="316">
        <v>2011</v>
      </c>
      <c r="D1501" s="317">
        <v>5</v>
      </c>
      <c r="E1501" s="347" t="s">
        <v>118</v>
      </c>
      <c r="F1501" s="318">
        <v>157887</v>
      </c>
      <c r="G1501" s="318">
        <v>3718</v>
      </c>
      <c r="H1501" s="347"/>
    </row>
    <row r="1502" spans="2:8">
      <c r="B1502" s="347">
        <v>201105</v>
      </c>
      <c r="C1502" s="316">
        <v>2011</v>
      </c>
      <c r="D1502" s="317">
        <v>5</v>
      </c>
      <c r="E1502" s="347" t="s">
        <v>103</v>
      </c>
      <c r="F1502" s="318">
        <v>1635732</v>
      </c>
      <c r="G1502" s="318">
        <v>12478</v>
      </c>
      <c r="H1502" s="347"/>
    </row>
    <row r="1503" spans="2:8">
      <c r="B1503" s="347">
        <v>201106</v>
      </c>
      <c r="C1503" s="316">
        <v>2011</v>
      </c>
      <c r="D1503" s="317">
        <v>6</v>
      </c>
      <c r="E1503" s="347" t="s">
        <v>121</v>
      </c>
      <c r="F1503" s="318">
        <v>284960</v>
      </c>
      <c r="G1503" s="318">
        <v>8364</v>
      </c>
      <c r="H1503" s="347"/>
    </row>
    <row r="1504" spans="2:8">
      <c r="B1504" s="347">
        <v>201106</v>
      </c>
      <c r="C1504" s="316">
        <v>2011</v>
      </c>
      <c r="D1504" s="317">
        <v>6</v>
      </c>
      <c r="E1504" s="347" t="s">
        <v>212</v>
      </c>
      <c r="F1504" s="318">
        <v>859923</v>
      </c>
      <c r="G1504" s="318">
        <v>7999</v>
      </c>
      <c r="H1504" s="347"/>
    </row>
    <row r="1505" spans="2:8">
      <c r="B1505" s="347">
        <v>201106</v>
      </c>
      <c r="C1505" s="316">
        <v>2011</v>
      </c>
      <c r="D1505" s="317">
        <v>6</v>
      </c>
      <c r="E1505" s="347" t="s">
        <v>119</v>
      </c>
      <c r="F1505" s="318">
        <v>918853</v>
      </c>
      <c r="G1505" s="318">
        <v>9759</v>
      </c>
      <c r="H1505" s="347"/>
    </row>
    <row r="1506" spans="2:8">
      <c r="B1506" s="347">
        <v>201106</v>
      </c>
      <c r="C1506" s="316">
        <v>2011</v>
      </c>
      <c r="D1506" s="317">
        <v>6</v>
      </c>
      <c r="E1506" s="347" t="s">
        <v>120</v>
      </c>
      <c r="F1506" s="318">
        <v>702348</v>
      </c>
      <c r="G1506" s="318">
        <v>6487</v>
      </c>
      <c r="H1506" s="347"/>
    </row>
    <row r="1507" spans="2:8">
      <c r="B1507" s="347">
        <v>201106</v>
      </c>
      <c r="C1507" s="316">
        <v>2011</v>
      </c>
      <c r="D1507" s="317">
        <v>6</v>
      </c>
      <c r="E1507" s="347" t="s">
        <v>102</v>
      </c>
      <c r="F1507" s="318">
        <v>3204766</v>
      </c>
      <c r="G1507" s="318">
        <v>22380</v>
      </c>
      <c r="H1507" s="347"/>
    </row>
    <row r="1508" spans="2:8">
      <c r="B1508" s="347">
        <v>201106</v>
      </c>
      <c r="C1508" s="316">
        <v>2011</v>
      </c>
      <c r="D1508" s="317">
        <v>6</v>
      </c>
      <c r="E1508" s="347" t="s">
        <v>117</v>
      </c>
      <c r="F1508" s="318">
        <v>6146930</v>
      </c>
      <c r="G1508" s="318">
        <v>39970</v>
      </c>
      <c r="H1508" s="347"/>
    </row>
    <row r="1509" spans="2:8">
      <c r="B1509" s="347">
        <v>201106</v>
      </c>
      <c r="C1509" s="316">
        <v>2011</v>
      </c>
      <c r="D1509" s="317">
        <v>6</v>
      </c>
      <c r="E1509" s="347" t="s">
        <v>104</v>
      </c>
      <c r="F1509" s="318">
        <v>917614</v>
      </c>
      <c r="G1509" s="318">
        <v>6723</v>
      </c>
      <c r="H1509" s="347"/>
    </row>
    <row r="1510" spans="2:8">
      <c r="B1510" s="347">
        <v>201106</v>
      </c>
      <c r="C1510" s="316">
        <v>2011</v>
      </c>
      <c r="D1510" s="317">
        <v>6</v>
      </c>
      <c r="E1510" s="347" t="s">
        <v>34</v>
      </c>
      <c r="F1510" s="318">
        <v>1912504</v>
      </c>
      <c r="G1510" s="318">
        <v>15034</v>
      </c>
      <c r="H1510" s="347"/>
    </row>
    <row r="1511" spans="2:8">
      <c r="B1511" s="347">
        <v>201106</v>
      </c>
      <c r="C1511" s="316">
        <v>2011</v>
      </c>
      <c r="D1511" s="317">
        <v>6</v>
      </c>
      <c r="E1511" s="347" t="s">
        <v>118</v>
      </c>
      <c r="F1511" s="318">
        <v>177482</v>
      </c>
      <c r="G1511" s="318">
        <v>3876</v>
      </c>
      <c r="H1511" s="347"/>
    </row>
    <row r="1512" spans="2:8">
      <c r="B1512" s="347">
        <v>201106</v>
      </c>
      <c r="C1512" s="316">
        <v>2011</v>
      </c>
      <c r="D1512" s="317">
        <v>6</v>
      </c>
      <c r="E1512" s="347" t="s">
        <v>103</v>
      </c>
      <c r="F1512" s="318">
        <v>1687285</v>
      </c>
      <c r="G1512" s="318">
        <v>12312</v>
      </c>
      <c r="H1512" s="347"/>
    </row>
    <row r="1513" spans="2:8">
      <c r="B1513" s="347">
        <v>201107</v>
      </c>
      <c r="C1513" s="316">
        <v>2011</v>
      </c>
      <c r="D1513" s="317">
        <v>7</v>
      </c>
      <c r="E1513" s="347" t="s">
        <v>121</v>
      </c>
      <c r="F1513" s="318">
        <v>298887</v>
      </c>
      <c r="G1513" s="318">
        <v>8245</v>
      </c>
      <c r="H1513" s="347"/>
    </row>
    <row r="1514" spans="2:8">
      <c r="B1514" s="347">
        <v>201107</v>
      </c>
      <c r="C1514" s="316">
        <v>2011</v>
      </c>
      <c r="D1514" s="317">
        <v>7</v>
      </c>
      <c r="E1514" s="347" t="s">
        <v>212</v>
      </c>
      <c r="F1514" s="318">
        <v>938554</v>
      </c>
      <c r="G1514" s="318">
        <v>8096</v>
      </c>
      <c r="H1514" s="347"/>
    </row>
    <row r="1515" spans="2:8">
      <c r="B1515" s="347">
        <v>201107</v>
      </c>
      <c r="C1515" s="316">
        <v>2011</v>
      </c>
      <c r="D1515" s="317">
        <v>7</v>
      </c>
      <c r="E1515" s="347" t="s">
        <v>119</v>
      </c>
      <c r="F1515" s="318">
        <v>992462</v>
      </c>
      <c r="G1515" s="318">
        <v>10055</v>
      </c>
      <c r="H1515" s="347"/>
    </row>
    <row r="1516" spans="2:8">
      <c r="B1516" s="347">
        <v>201107</v>
      </c>
      <c r="C1516" s="316">
        <v>2011</v>
      </c>
      <c r="D1516" s="317">
        <v>7</v>
      </c>
      <c r="E1516" s="347" t="s">
        <v>120</v>
      </c>
      <c r="F1516" s="318">
        <v>793110</v>
      </c>
      <c r="G1516" s="318">
        <v>6908</v>
      </c>
      <c r="H1516" s="347"/>
    </row>
    <row r="1517" spans="2:8">
      <c r="B1517" s="347">
        <v>201107</v>
      </c>
      <c r="C1517" s="316">
        <v>2011</v>
      </c>
      <c r="D1517" s="317">
        <v>7</v>
      </c>
      <c r="E1517" s="347" t="s">
        <v>102</v>
      </c>
      <c r="F1517" s="318">
        <v>3631994</v>
      </c>
      <c r="G1517" s="318">
        <v>23933</v>
      </c>
      <c r="H1517" s="347"/>
    </row>
    <row r="1518" spans="2:8">
      <c r="B1518" s="347">
        <v>201107</v>
      </c>
      <c r="C1518" s="316">
        <v>2011</v>
      </c>
      <c r="D1518" s="317">
        <v>7</v>
      </c>
      <c r="E1518" s="347" t="s">
        <v>117</v>
      </c>
      <c r="F1518" s="318">
        <v>6872393</v>
      </c>
      <c r="G1518" s="318">
        <v>41607</v>
      </c>
      <c r="H1518" s="347"/>
    </row>
    <row r="1519" spans="2:8">
      <c r="B1519" s="347">
        <v>201107</v>
      </c>
      <c r="C1519" s="316">
        <v>2011</v>
      </c>
      <c r="D1519" s="317">
        <v>7</v>
      </c>
      <c r="E1519" s="347" t="s">
        <v>104</v>
      </c>
      <c r="F1519" s="318">
        <v>1019846</v>
      </c>
      <c r="G1519" s="318">
        <v>7146</v>
      </c>
      <c r="H1519" s="347"/>
    </row>
    <row r="1520" spans="2:8">
      <c r="B1520" s="347">
        <v>201107</v>
      </c>
      <c r="C1520" s="316">
        <v>2011</v>
      </c>
      <c r="D1520" s="317">
        <v>7</v>
      </c>
      <c r="E1520" s="347" t="s">
        <v>34</v>
      </c>
      <c r="F1520" s="318">
        <v>2119487</v>
      </c>
      <c r="G1520" s="318">
        <v>15619</v>
      </c>
      <c r="H1520" s="347"/>
    </row>
    <row r="1521" spans="2:8">
      <c r="B1521" s="347">
        <v>201107</v>
      </c>
      <c r="C1521" s="316">
        <v>2011</v>
      </c>
      <c r="D1521" s="317">
        <v>7</v>
      </c>
      <c r="E1521" s="347" t="s">
        <v>118</v>
      </c>
      <c r="F1521" s="318">
        <v>192340</v>
      </c>
      <c r="G1521" s="318">
        <v>3998</v>
      </c>
      <c r="H1521" s="347"/>
    </row>
    <row r="1522" spans="2:8">
      <c r="B1522" s="347">
        <v>201107</v>
      </c>
      <c r="C1522" s="316">
        <v>2011</v>
      </c>
      <c r="D1522" s="317">
        <v>7</v>
      </c>
      <c r="E1522" s="347" t="s">
        <v>103</v>
      </c>
      <c r="F1522" s="318">
        <v>1879168</v>
      </c>
      <c r="G1522" s="318">
        <v>12954</v>
      </c>
      <c r="H1522" s="347"/>
    </row>
    <row r="1523" spans="2:8">
      <c r="B1523" s="347">
        <v>201108</v>
      </c>
      <c r="C1523" s="316">
        <v>2011</v>
      </c>
      <c r="D1523" s="317">
        <v>8</v>
      </c>
      <c r="E1523" s="347" t="s">
        <v>121</v>
      </c>
      <c r="F1523" s="318">
        <v>274232</v>
      </c>
      <c r="G1523" s="318">
        <v>8445</v>
      </c>
      <c r="H1523" s="347"/>
    </row>
    <row r="1524" spans="2:8">
      <c r="B1524" s="347">
        <v>201108</v>
      </c>
      <c r="C1524" s="316">
        <v>2011</v>
      </c>
      <c r="D1524" s="317">
        <v>8</v>
      </c>
      <c r="E1524" s="347" t="s">
        <v>212</v>
      </c>
      <c r="F1524" s="318">
        <v>945379</v>
      </c>
      <c r="G1524" s="318">
        <v>7919</v>
      </c>
      <c r="H1524" s="347"/>
    </row>
    <row r="1525" spans="2:8">
      <c r="B1525" s="347">
        <v>201108</v>
      </c>
      <c r="C1525" s="316">
        <v>2011</v>
      </c>
      <c r="D1525" s="317">
        <v>8</v>
      </c>
      <c r="E1525" s="347" t="s">
        <v>119</v>
      </c>
      <c r="F1525" s="318">
        <v>954357</v>
      </c>
      <c r="G1525" s="318">
        <v>9876</v>
      </c>
      <c r="H1525" s="347"/>
    </row>
    <row r="1526" spans="2:8">
      <c r="B1526" s="347">
        <v>201108</v>
      </c>
      <c r="C1526" s="316">
        <v>2011</v>
      </c>
      <c r="D1526" s="317">
        <v>8</v>
      </c>
      <c r="E1526" s="347" t="s">
        <v>120</v>
      </c>
      <c r="F1526" s="318">
        <v>682088</v>
      </c>
      <c r="G1526" s="318">
        <v>6499</v>
      </c>
      <c r="H1526" s="347"/>
    </row>
    <row r="1527" spans="2:8">
      <c r="B1527" s="347">
        <v>201108</v>
      </c>
      <c r="C1527" s="316">
        <v>2011</v>
      </c>
      <c r="D1527" s="317">
        <v>8</v>
      </c>
      <c r="E1527" s="347" t="s">
        <v>102</v>
      </c>
      <c r="F1527" s="318">
        <v>3825576</v>
      </c>
      <c r="G1527" s="318">
        <v>24610</v>
      </c>
      <c r="H1527" s="347"/>
    </row>
    <row r="1528" spans="2:8">
      <c r="B1528" s="347">
        <v>201108</v>
      </c>
      <c r="C1528" s="316">
        <v>2011</v>
      </c>
      <c r="D1528" s="317">
        <v>8</v>
      </c>
      <c r="E1528" s="347" t="s">
        <v>117</v>
      </c>
      <c r="F1528" s="318">
        <v>6584888</v>
      </c>
      <c r="G1528" s="318">
        <v>41166</v>
      </c>
      <c r="H1528" s="347"/>
    </row>
    <row r="1529" spans="2:8">
      <c r="B1529" s="347">
        <v>201108</v>
      </c>
      <c r="C1529" s="316">
        <v>2011</v>
      </c>
      <c r="D1529" s="317">
        <v>8</v>
      </c>
      <c r="E1529" s="347" t="s">
        <v>104</v>
      </c>
      <c r="F1529" s="318">
        <v>1046859</v>
      </c>
      <c r="G1529" s="318">
        <v>7106</v>
      </c>
      <c r="H1529" s="347"/>
    </row>
    <row r="1530" spans="2:8">
      <c r="B1530" s="347">
        <v>201108</v>
      </c>
      <c r="C1530" s="316">
        <v>2011</v>
      </c>
      <c r="D1530" s="317">
        <v>8</v>
      </c>
      <c r="E1530" s="347" t="s">
        <v>34</v>
      </c>
      <c r="F1530" s="318">
        <v>2166993</v>
      </c>
      <c r="G1530" s="318">
        <v>15814</v>
      </c>
      <c r="H1530" s="347"/>
    </row>
    <row r="1531" spans="2:8">
      <c r="B1531" s="347">
        <v>201108</v>
      </c>
      <c r="C1531" s="316">
        <v>2011</v>
      </c>
      <c r="D1531" s="317">
        <v>8</v>
      </c>
      <c r="E1531" s="347" t="s">
        <v>118</v>
      </c>
      <c r="F1531" s="318">
        <v>187871</v>
      </c>
      <c r="G1531" s="318">
        <v>3980</v>
      </c>
      <c r="H1531" s="347"/>
    </row>
    <row r="1532" spans="2:8">
      <c r="B1532" s="347">
        <v>201108</v>
      </c>
      <c r="C1532" s="316">
        <v>2011</v>
      </c>
      <c r="D1532" s="317">
        <v>8</v>
      </c>
      <c r="E1532" s="347" t="s">
        <v>103</v>
      </c>
      <c r="F1532" s="318">
        <v>1983007</v>
      </c>
      <c r="G1532" s="318">
        <v>13454</v>
      </c>
      <c r="H1532" s="347"/>
    </row>
    <row r="1533" spans="2:8">
      <c r="B1533" s="347">
        <v>201109</v>
      </c>
      <c r="C1533" s="316">
        <v>2011</v>
      </c>
      <c r="D1533" s="317">
        <v>9</v>
      </c>
      <c r="E1533" s="347" t="s">
        <v>121</v>
      </c>
      <c r="F1533" s="318">
        <v>296294</v>
      </c>
      <c r="G1533" s="318">
        <v>8452</v>
      </c>
      <c r="H1533" s="347"/>
    </row>
    <row r="1534" spans="2:8">
      <c r="B1534" s="347">
        <v>201109</v>
      </c>
      <c r="C1534" s="316">
        <v>2011</v>
      </c>
      <c r="D1534" s="317">
        <v>9</v>
      </c>
      <c r="E1534" s="347" t="s">
        <v>212</v>
      </c>
      <c r="F1534" s="318">
        <v>903658</v>
      </c>
      <c r="G1534" s="318">
        <v>7972</v>
      </c>
      <c r="H1534" s="347"/>
    </row>
    <row r="1535" spans="2:8">
      <c r="B1535" s="347">
        <v>201109</v>
      </c>
      <c r="C1535" s="316">
        <v>2011</v>
      </c>
      <c r="D1535" s="317">
        <v>9</v>
      </c>
      <c r="E1535" s="347" t="s">
        <v>119</v>
      </c>
      <c r="F1535" s="318">
        <v>899900</v>
      </c>
      <c r="G1535" s="318">
        <v>9612</v>
      </c>
      <c r="H1535" s="347"/>
    </row>
    <row r="1536" spans="2:8">
      <c r="B1536" s="347">
        <v>201109</v>
      </c>
      <c r="C1536" s="316">
        <v>2011</v>
      </c>
      <c r="D1536" s="317">
        <v>9</v>
      </c>
      <c r="E1536" s="347" t="s">
        <v>120</v>
      </c>
      <c r="F1536" s="318">
        <v>696182</v>
      </c>
      <c r="G1536" s="318">
        <v>6338</v>
      </c>
      <c r="H1536" s="347"/>
    </row>
    <row r="1537" spans="2:8">
      <c r="B1537" s="347">
        <v>201109</v>
      </c>
      <c r="C1537" s="316">
        <v>2011</v>
      </c>
      <c r="D1537" s="317">
        <v>9</v>
      </c>
      <c r="E1537" s="347" t="s">
        <v>102</v>
      </c>
      <c r="F1537" s="318">
        <v>3362749</v>
      </c>
      <c r="G1537" s="318">
        <v>22852</v>
      </c>
      <c r="H1537" s="347"/>
    </row>
    <row r="1538" spans="2:8">
      <c r="B1538" s="347">
        <v>201109</v>
      </c>
      <c r="C1538" s="316">
        <v>2011</v>
      </c>
      <c r="D1538" s="317">
        <v>9</v>
      </c>
      <c r="E1538" s="347" t="s">
        <v>117</v>
      </c>
      <c r="F1538" s="318">
        <v>6310495</v>
      </c>
      <c r="G1538" s="318">
        <v>40529</v>
      </c>
      <c r="H1538" s="347"/>
    </row>
    <row r="1539" spans="2:8">
      <c r="B1539" s="347">
        <v>201109</v>
      </c>
      <c r="C1539" s="316">
        <v>2011</v>
      </c>
      <c r="D1539" s="317">
        <v>9</v>
      </c>
      <c r="E1539" s="347" t="s">
        <v>104</v>
      </c>
      <c r="F1539" s="318">
        <v>936536</v>
      </c>
      <c r="G1539" s="318">
        <v>6774</v>
      </c>
      <c r="H1539" s="347"/>
    </row>
    <row r="1540" spans="2:8">
      <c r="B1540" s="347">
        <v>201109</v>
      </c>
      <c r="C1540" s="316">
        <v>2011</v>
      </c>
      <c r="D1540" s="317">
        <v>9</v>
      </c>
      <c r="E1540" s="347" t="s">
        <v>34</v>
      </c>
      <c r="F1540" s="318">
        <v>2035272</v>
      </c>
      <c r="G1540" s="318">
        <v>15304</v>
      </c>
      <c r="H1540" s="347"/>
    </row>
    <row r="1541" spans="2:8">
      <c r="B1541" s="347">
        <v>201109</v>
      </c>
      <c r="C1541" s="316">
        <v>2011</v>
      </c>
      <c r="D1541" s="317">
        <v>9</v>
      </c>
      <c r="E1541" s="347" t="s">
        <v>118</v>
      </c>
      <c r="F1541" s="318">
        <v>175727</v>
      </c>
      <c r="G1541" s="318">
        <v>3745</v>
      </c>
      <c r="H1541" s="347"/>
    </row>
    <row r="1542" spans="2:8">
      <c r="B1542" s="347">
        <v>201109</v>
      </c>
      <c r="C1542" s="316">
        <v>2011</v>
      </c>
      <c r="D1542" s="317">
        <v>9</v>
      </c>
      <c r="E1542" s="347" t="s">
        <v>103</v>
      </c>
      <c r="F1542" s="318">
        <v>1704542</v>
      </c>
      <c r="G1542" s="318">
        <v>12553</v>
      </c>
      <c r="H1542" s="347"/>
    </row>
    <row r="1543" spans="2:8">
      <c r="B1543" s="347">
        <v>201110</v>
      </c>
      <c r="C1543" s="316">
        <v>2011</v>
      </c>
      <c r="D1543" s="317">
        <v>10</v>
      </c>
      <c r="E1543" s="347" t="s">
        <v>121</v>
      </c>
      <c r="F1543" s="318">
        <v>281299</v>
      </c>
      <c r="G1543" s="318">
        <v>8043</v>
      </c>
      <c r="H1543" s="347"/>
    </row>
    <row r="1544" spans="2:8">
      <c r="B1544" s="347">
        <v>201110</v>
      </c>
      <c r="C1544" s="316">
        <v>2011</v>
      </c>
      <c r="D1544" s="317">
        <v>10</v>
      </c>
      <c r="E1544" s="347" t="s">
        <v>212</v>
      </c>
      <c r="F1544" s="318">
        <v>763028</v>
      </c>
      <c r="G1544" s="318">
        <v>7328</v>
      </c>
      <c r="H1544" s="347"/>
    </row>
    <row r="1545" spans="2:8">
      <c r="B1545" s="347">
        <v>201110</v>
      </c>
      <c r="C1545" s="316">
        <v>2011</v>
      </c>
      <c r="D1545" s="317">
        <v>10</v>
      </c>
      <c r="E1545" s="347" t="s">
        <v>119</v>
      </c>
      <c r="F1545" s="318">
        <v>868563</v>
      </c>
      <c r="G1545" s="318">
        <v>9489</v>
      </c>
      <c r="H1545" s="347"/>
    </row>
    <row r="1546" spans="2:8">
      <c r="B1546" s="347">
        <v>201110</v>
      </c>
      <c r="C1546" s="316">
        <v>2011</v>
      </c>
      <c r="D1546" s="317">
        <v>10</v>
      </c>
      <c r="E1546" s="347" t="s">
        <v>120</v>
      </c>
      <c r="F1546" s="318">
        <v>663486</v>
      </c>
      <c r="G1546" s="318">
        <v>6232</v>
      </c>
      <c r="H1546" s="347"/>
    </row>
    <row r="1547" spans="2:8">
      <c r="B1547" s="347">
        <v>201110</v>
      </c>
      <c r="C1547" s="316">
        <v>2011</v>
      </c>
      <c r="D1547" s="317">
        <v>10</v>
      </c>
      <c r="E1547" s="347" t="s">
        <v>102</v>
      </c>
      <c r="F1547" s="318">
        <v>2921756</v>
      </c>
      <c r="G1547" s="318">
        <v>21191</v>
      </c>
      <c r="H1547" s="347"/>
    </row>
    <row r="1548" spans="2:8">
      <c r="B1548" s="347">
        <v>201110</v>
      </c>
      <c r="C1548" s="316">
        <v>2011</v>
      </c>
      <c r="D1548" s="317">
        <v>10</v>
      </c>
      <c r="E1548" s="347" t="s">
        <v>117</v>
      </c>
      <c r="F1548" s="318">
        <v>6019556</v>
      </c>
      <c r="G1548" s="318">
        <v>40966</v>
      </c>
      <c r="H1548" s="347"/>
    </row>
    <row r="1549" spans="2:8">
      <c r="B1549" s="347">
        <v>201110</v>
      </c>
      <c r="C1549" s="316">
        <v>2011</v>
      </c>
      <c r="D1549" s="317">
        <v>10</v>
      </c>
      <c r="E1549" s="347" t="s">
        <v>104</v>
      </c>
      <c r="F1549" s="318">
        <v>864939</v>
      </c>
      <c r="G1549" s="318">
        <v>6467</v>
      </c>
      <c r="H1549" s="347"/>
    </row>
    <row r="1550" spans="2:8">
      <c r="B1550" s="347">
        <v>201110</v>
      </c>
      <c r="C1550" s="316">
        <v>2011</v>
      </c>
      <c r="D1550" s="317">
        <v>10</v>
      </c>
      <c r="E1550" s="347" t="s">
        <v>34</v>
      </c>
      <c r="F1550" s="318">
        <v>1677437</v>
      </c>
      <c r="G1550" s="318">
        <v>13770</v>
      </c>
      <c r="H1550" s="347"/>
    </row>
    <row r="1551" spans="2:8">
      <c r="B1551" s="347">
        <v>201110</v>
      </c>
      <c r="C1551" s="316">
        <v>2011</v>
      </c>
      <c r="D1551" s="317">
        <v>10</v>
      </c>
      <c r="E1551" s="347" t="s">
        <v>118</v>
      </c>
      <c r="F1551" s="318">
        <v>151988</v>
      </c>
      <c r="G1551" s="318">
        <v>3491</v>
      </c>
      <c r="H1551" s="347"/>
    </row>
    <row r="1552" spans="2:8">
      <c r="B1552" s="347">
        <v>201110</v>
      </c>
      <c r="C1552" s="316">
        <v>2011</v>
      </c>
      <c r="D1552" s="317">
        <v>10</v>
      </c>
      <c r="E1552" s="347" t="s">
        <v>103</v>
      </c>
      <c r="F1552" s="318">
        <v>1636503</v>
      </c>
      <c r="G1552" s="318">
        <v>12149</v>
      </c>
      <c r="H1552" s="347"/>
    </row>
    <row r="1553" spans="2:19">
      <c r="B1553" s="347">
        <v>201111</v>
      </c>
      <c r="C1553" s="316">
        <v>2011</v>
      </c>
      <c r="D1553" s="317">
        <v>11</v>
      </c>
      <c r="E1553" s="347" t="s">
        <v>121</v>
      </c>
      <c r="F1553" s="318">
        <v>260653</v>
      </c>
      <c r="G1553" s="318">
        <v>8382</v>
      </c>
      <c r="H1553" s="347"/>
    </row>
    <row r="1554" spans="2:19">
      <c r="B1554" s="347">
        <v>201111</v>
      </c>
      <c r="C1554" s="316">
        <v>2011</v>
      </c>
      <c r="D1554" s="317">
        <v>11</v>
      </c>
      <c r="E1554" s="347" t="s">
        <v>212</v>
      </c>
      <c r="F1554" s="318">
        <v>546296</v>
      </c>
      <c r="G1554" s="318">
        <v>5963</v>
      </c>
      <c r="H1554" s="347"/>
    </row>
    <row r="1555" spans="2:19">
      <c r="B1555" s="347">
        <v>201111</v>
      </c>
      <c r="C1555" s="316">
        <v>2011</v>
      </c>
      <c r="D1555" s="317">
        <v>11</v>
      </c>
      <c r="E1555" s="347" t="s">
        <v>119</v>
      </c>
      <c r="F1555" s="318">
        <v>642111</v>
      </c>
      <c r="G1555" s="318">
        <v>7657</v>
      </c>
      <c r="H1555" s="347"/>
    </row>
    <row r="1556" spans="2:19">
      <c r="B1556" s="347">
        <v>201111</v>
      </c>
      <c r="C1556" s="316">
        <v>2011</v>
      </c>
      <c r="D1556" s="317">
        <v>11</v>
      </c>
      <c r="E1556" s="347" t="s">
        <v>120</v>
      </c>
      <c r="F1556" s="318">
        <v>472778</v>
      </c>
      <c r="G1556" s="318">
        <v>5249</v>
      </c>
      <c r="H1556" s="347"/>
    </row>
    <row r="1557" spans="2:19">
      <c r="B1557" s="347">
        <v>201111</v>
      </c>
      <c r="C1557" s="316">
        <v>2011</v>
      </c>
      <c r="D1557" s="317">
        <v>11</v>
      </c>
      <c r="E1557" s="347" t="s">
        <v>102</v>
      </c>
      <c r="F1557" s="318">
        <v>2136674</v>
      </c>
      <c r="G1557" s="318">
        <v>16202</v>
      </c>
      <c r="H1557" s="347"/>
    </row>
    <row r="1558" spans="2:19">
      <c r="B1558" s="347">
        <v>201111</v>
      </c>
      <c r="C1558" s="316">
        <v>2011</v>
      </c>
      <c r="D1558" s="317">
        <v>11</v>
      </c>
      <c r="E1558" s="347" t="s">
        <v>117</v>
      </c>
      <c r="F1558" s="318">
        <v>5218960</v>
      </c>
      <c r="G1558" s="318">
        <v>37956</v>
      </c>
      <c r="H1558" s="347"/>
    </row>
    <row r="1559" spans="2:19">
      <c r="B1559" s="347">
        <v>201111</v>
      </c>
      <c r="C1559" s="316">
        <v>2011</v>
      </c>
      <c r="D1559" s="317">
        <v>11</v>
      </c>
      <c r="E1559" s="347" t="s">
        <v>104</v>
      </c>
      <c r="F1559" s="318">
        <v>598469</v>
      </c>
      <c r="G1559" s="318">
        <v>4663</v>
      </c>
      <c r="H1559" s="347"/>
    </row>
    <row r="1560" spans="2:19">
      <c r="B1560" s="347">
        <v>201111</v>
      </c>
      <c r="C1560" s="316">
        <v>2011</v>
      </c>
      <c r="D1560" s="317">
        <v>11</v>
      </c>
      <c r="E1560" s="347" t="s">
        <v>34</v>
      </c>
      <c r="F1560" s="318">
        <v>1188481</v>
      </c>
      <c r="G1560" s="318">
        <v>11453</v>
      </c>
      <c r="H1560" s="347"/>
    </row>
    <row r="1561" spans="2:19">
      <c r="B1561" s="347">
        <v>201111</v>
      </c>
      <c r="C1561" s="316">
        <v>2011</v>
      </c>
      <c r="D1561" s="317">
        <v>11</v>
      </c>
      <c r="E1561" s="347" t="s">
        <v>118</v>
      </c>
      <c r="F1561" s="318">
        <v>124414</v>
      </c>
      <c r="G1561" s="318">
        <v>3031</v>
      </c>
      <c r="H1561" s="347"/>
    </row>
    <row r="1562" spans="2:19">
      <c r="B1562" s="347">
        <v>201111</v>
      </c>
      <c r="C1562" s="316">
        <v>2011</v>
      </c>
      <c r="D1562" s="317">
        <v>11</v>
      </c>
      <c r="E1562" s="347" t="s">
        <v>103</v>
      </c>
      <c r="F1562" s="318">
        <v>1121985</v>
      </c>
      <c r="G1562" s="318">
        <v>9029</v>
      </c>
      <c r="H1562" s="347"/>
    </row>
    <row r="1563" spans="2:19">
      <c r="B1563" s="347">
        <v>201112</v>
      </c>
      <c r="C1563" s="347">
        <v>2011</v>
      </c>
      <c r="D1563" s="317">
        <v>12</v>
      </c>
      <c r="E1563" s="347" t="s">
        <v>251</v>
      </c>
      <c r="F1563" s="307">
        <v>2273478</v>
      </c>
      <c r="G1563" s="307">
        <v>17450</v>
      </c>
      <c r="H1563" s="320"/>
      <c r="I1563" s="320"/>
      <c r="J1563" s="320"/>
      <c r="K1563" s="320"/>
      <c r="L1563" s="320"/>
      <c r="M1563" s="320"/>
      <c r="N1563" s="320"/>
      <c r="O1563" s="320"/>
      <c r="P1563" s="320"/>
      <c r="Q1563" s="320"/>
      <c r="R1563" s="307"/>
      <c r="S1563" s="307"/>
    </row>
    <row r="1564" spans="2:19">
      <c r="B1564" s="347">
        <v>201112</v>
      </c>
      <c r="C1564" s="347">
        <v>2011</v>
      </c>
      <c r="D1564" s="317">
        <v>12</v>
      </c>
      <c r="E1564" s="347" t="s">
        <v>117</v>
      </c>
      <c r="F1564" s="307">
        <v>5517340</v>
      </c>
      <c r="G1564" s="307">
        <v>38179</v>
      </c>
      <c r="H1564" s="320"/>
      <c r="I1564" s="320"/>
      <c r="J1564" s="320"/>
      <c r="K1564" s="320"/>
      <c r="L1564" s="320"/>
      <c r="M1564" s="320"/>
      <c r="N1564" s="320"/>
      <c r="O1564" s="320"/>
      <c r="P1564" s="320"/>
      <c r="Q1564" s="320"/>
      <c r="R1564" s="307"/>
      <c r="S1564" s="307"/>
    </row>
    <row r="1565" spans="2:19">
      <c r="B1565" s="347">
        <v>201112</v>
      </c>
      <c r="C1565" s="347">
        <v>2011</v>
      </c>
      <c r="D1565" s="317">
        <v>12</v>
      </c>
      <c r="E1565" s="347" t="s">
        <v>37</v>
      </c>
      <c r="F1565" s="307">
        <v>221573</v>
      </c>
      <c r="G1565" s="307">
        <v>5167</v>
      </c>
      <c r="H1565" s="320"/>
      <c r="I1565" s="320"/>
      <c r="J1565" s="320"/>
      <c r="K1565" s="320"/>
      <c r="L1565" s="320"/>
      <c r="M1565" s="320"/>
      <c r="N1565" s="320"/>
      <c r="O1565" s="320"/>
      <c r="P1565" s="320"/>
      <c r="Q1565" s="320"/>
      <c r="R1565" s="307"/>
      <c r="S1565" s="307"/>
    </row>
    <row r="1566" spans="2:19">
      <c r="B1566" s="347">
        <v>201112</v>
      </c>
      <c r="C1566" s="347">
        <v>2011</v>
      </c>
      <c r="D1566" s="317">
        <v>12</v>
      </c>
      <c r="E1566" s="347" t="s">
        <v>104</v>
      </c>
      <c r="F1566" s="307">
        <v>640255</v>
      </c>
      <c r="G1566" s="307">
        <v>5366</v>
      </c>
      <c r="H1566" s="320"/>
      <c r="I1566" s="320"/>
      <c r="J1566" s="320"/>
      <c r="K1566" s="320"/>
      <c r="L1566" s="320"/>
      <c r="M1566" s="320"/>
      <c r="N1566" s="320"/>
      <c r="O1566" s="320"/>
      <c r="P1566" s="320"/>
      <c r="Q1566" s="320"/>
      <c r="R1566" s="307"/>
      <c r="S1566" s="307"/>
    </row>
    <row r="1567" spans="2:19">
      <c r="B1567" s="347">
        <v>201112</v>
      </c>
      <c r="C1567" s="347">
        <v>2011</v>
      </c>
      <c r="D1567" s="317">
        <v>12</v>
      </c>
      <c r="E1567" s="347" t="s">
        <v>118</v>
      </c>
      <c r="F1567" s="307">
        <v>2383</v>
      </c>
      <c r="G1567" s="307">
        <v>98</v>
      </c>
      <c r="H1567" s="320"/>
      <c r="I1567" s="320"/>
      <c r="J1567" s="320"/>
      <c r="K1567" s="320"/>
      <c r="L1567" s="320"/>
      <c r="M1567" s="320"/>
      <c r="N1567" s="320"/>
      <c r="O1567" s="320"/>
      <c r="P1567" s="320"/>
      <c r="Q1567" s="320"/>
      <c r="R1567" s="307"/>
      <c r="S1567" s="307"/>
    </row>
    <row r="1568" spans="2:19">
      <c r="B1568" s="347">
        <v>201112</v>
      </c>
      <c r="C1568" s="347">
        <v>2011</v>
      </c>
      <c r="D1568" s="317">
        <v>12</v>
      </c>
      <c r="E1568" s="347" t="s">
        <v>103</v>
      </c>
      <c r="F1568" s="307">
        <v>1175548</v>
      </c>
      <c r="G1568" s="307">
        <v>9651</v>
      </c>
      <c r="H1568" s="320"/>
      <c r="I1568" s="320"/>
      <c r="J1568" s="320"/>
      <c r="K1568" s="320"/>
      <c r="L1568" s="320"/>
      <c r="M1568" s="320"/>
      <c r="N1568" s="320"/>
      <c r="O1568" s="320"/>
      <c r="P1568" s="320"/>
      <c r="Q1568" s="320"/>
      <c r="R1568" s="307"/>
      <c r="S1568" s="307"/>
    </row>
    <row r="1569" spans="2:19">
      <c r="B1569" s="347">
        <v>201112</v>
      </c>
      <c r="C1569" s="347">
        <v>2011</v>
      </c>
      <c r="D1569" s="317">
        <v>12</v>
      </c>
      <c r="E1569" s="347" t="s">
        <v>41</v>
      </c>
      <c r="F1569" s="307">
        <v>0</v>
      </c>
      <c r="G1569" s="307">
        <v>122</v>
      </c>
      <c r="H1569" s="320"/>
      <c r="I1569" s="320"/>
      <c r="J1569" s="320"/>
      <c r="K1569" s="320"/>
      <c r="L1569" s="320"/>
      <c r="M1569" s="320"/>
      <c r="N1569" s="320"/>
      <c r="O1569" s="320"/>
      <c r="P1569" s="320"/>
      <c r="Q1569" s="320"/>
      <c r="R1569" s="307"/>
      <c r="S1569" s="307"/>
    </row>
    <row r="1570" spans="2:19">
      <c r="B1570" s="347">
        <v>201112</v>
      </c>
      <c r="C1570" s="347">
        <v>2011</v>
      </c>
      <c r="D1570" s="317">
        <v>12</v>
      </c>
      <c r="E1570" s="347" t="s">
        <v>95</v>
      </c>
      <c r="F1570" s="307">
        <v>4366</v>
      </c>
      <c r="G1570" s="307">
        <v>512</v>
      </c>
      <c r="H1570" s="320"/>
      <c r="I1570" s="320"/>
      <c r="J1570" s="320"/>
      <c r="K1570" s="320"/>
      <c r="L1570" s="320"/>
      <c r="M1570" s="320"/>
      <c r="N1570" s="320"/>
      <c r="O1570" s="320"/>
      <c r="P1570" s="320"/>
      <c r="Q1570" s="320"/>
      <c r="R1570" s="307"/>
      <c r="S1570" s="307"/>
    </row>
    <row r="1571" spans="2:19">
      <c r="B1571" s="347">
        <v>201112</v>
      </c>
      <c r="C1571" s="347">
        <v>2011</v>
      </c>
      <c r="D1571" s="317">
        <v>12</v>
      </c>
      <c r="E1571" s="347" t="s">
        <v>96</v>
      </c>
      <c r="F1571" s="307">
        <v>64355</v>
      </c>
      <c r="G1571" s="307">
        <v>2881</v>
      </c>
      <c r="H1571" s="320"/>
      <c r="I1571" s="320"/>
      <c r="J1571" s="320"/>
      <c r="K1571" s="320"/>
      <c r="L1571" s="320"/>
      <c r="M1571" s="320"/>
      <c r="N1571" s="320"/>
      <c r="O1571" s="320"/>
      <c r="P1571" s="320"/>
      <c r="Q1571" s="320"/>
      <c r="R1571" s="307"/>
      <c r="S1571" s="307"/>
    </row>
    <row r="1572" spans="2:19">
      <c r="B1572" s="347">
        <v>201112</v>
      </c>
      <c r="C1572" s="347">
        <v>2011</v>
      </c>
      <c r="D1572" s="317">
        <v>12</v>
      </c>
      <c r="E1572" s="347" t="s">
        <v>97</v>
      </c>
      <c r="F1572" s="307">
        <v>58079</v>
      </c>
      <c r="G1572" s="307">
        <v>2088</v>
      </c>
      <c r="H1572" s="320"/>
      <c r="I1572" s="320"/>
      <c r="J1572" s="320"/>
      <c r="K1572" s="320"/>
      <c r="L1572" s="320"/>
      <c r="M1572" s="320"/>
      <c r="N1572" s="320"/>
      <c r="O1572" s="320"/>
      <c r="P1572" s="320"/>
      <c r="Q1572" s="320"/>
      <c r="R1572" s="307"/>
      <c r="S1572" s="307"/>
    </row>
    <row r="1573" spans="2:19">
      <c r="B1573" s="347">
        <v>201112</v>
      </c>
      <c r="C1573" s="347">
        <v>2011</v>
      </c>
      <c r="D1573" s="317">
        <v>12</v>
      </c>
      <c r="E1573" s="347" t="s">
        <v>98</v>
      </c>
      <c r="F1573" s="307">
        <v>94989</v>
      </c>
      <c r="G1573" s="307">
        <v>2699</v>
      </c>
      <c r="H1573" s="320"/>
      <c r="I1573" s="320"/>
      <c r="J1573" s="320"/>
      <c r="K1573" s="320"/>
      <c r="L1573" s="320"/>
      <c r="M1573" s="320"/>
      <c r="N1573" s="320"/>
      <c r="O1573" s="320"/>
      <c r="P1573" s="320"/>
      <c r="Q1573" s="320"/>
      <c r="R1573" s="307"/>
      <c r="S1573" s="307"/>
    </row>
    <row r="1574" spans="2:19">
      <c r="B1574" s="347">
        <v>201112</v>
      </c>
      <c r="C1574" s="347">
        <v>2011</v>
      </c>
      <c r="D1574" s="317">
        <v>12</v>
      </c>
      <c r="E1574" s="347" t="s">
        <v>121</v>
      </c>
      <c r="F1574" s="307">
        <v>233018</v>
      </c>
      <c r="G1574" s="307">
        <v>7842</v>
      </c>
      <c r="H1574" s="320"/>
      <c r="I1574" s="320"/>
      <c r="J1574" s="320"/>
      <c r="K1574" s="320"/>
      <c r="L1574" s="320"/>
      <c r="M1574" s="320"/>
      <c r="N1574" s="320"/>
      <c r="O1574" s="320"/>
      <c r="P1574" s="320"/>
      <c r="Q1574" s="320"/>
      <c r="R1574" s="307"/>
      <c r="S1574" s="307"/>
    </row>
    <row r="1575" spans="2:19">
      <c r="B1575" s="347">
        <v>201112</v>
      </c>
      <c r="C1575" s="347">
        <v>2011</v>
      </c>
      <c r="D1575" s="317">
        <v>12</v>
      </c>
      <c r="E1575" s="347" t="s">
        <v>43</v>
      </c>
      <c r="F1575" s="307">
        <v>548</v>
      </c>
      <c r="G1575" s="307">
        <v>76</v>
      </c>
      <c r="H1575" s="320"/>
      <c r="I1575" s="320"/>
      <c r="J1575" s="320"/>
      <c r="K1575" s="320"/>
      <c r="L1575" s="320"/>
      <c r="M1575" s="320"/>
      <c r="N1575" s="320"/>
      <c r="O1575" s="320"/>
      <c r="P1575" s="320"/>
      <c r="Q1575" s="320"/>
      <c r="R1575" s="307"/>
      <c r="S1575" s="307"/>
    </row>
    <row r="1576" spans="2:19">
      <c r="B1576" s="347">
        <v>201112</v>
      </c>
      <c r="C1576" s="347">
        <v>2011</v>
      </c>
      <c r="D1576" s="317">
        <v>12</v>
      </c>
      <c r="E1576" s="347" t="s">
        <v>252</v>
      </c>
      <c r="F1576" s="307">
        <v>166943</v>
      </c>
      <c r="G1576" s="307">
        <v>2854</v>
      </c>
      <c r="H1576" s="320"/>
      <c r="I1576" s="320"/>
      <c r="J1576" s="320"/>
      <c r="K1576" s="320"/>
      <c r="L1576" s="320"/>
      <c r="M1576" s="320"/>
      <c r="N1576" s="320"/>
      <c r="O1576" s="320"/>
      <c r="P1576" s="320"/>
      <c r="Q1576" s="320"/>
      <c r="R1576" s="307"/>
      <c r="S1576" s="307"/>
    </row>
    <row r="1577" spans="2:19">
      <c r="B1577" s="347">
        <v>201112</v>
      </c>
      <c r="C1577" s="347">
        <v>2011</v>
      </c>
      <c r="D1577" s="317">
        <v>12</v>
      </c>
      <c r="E1577" s="347" t="s">
        <v>45</v>
      </c>
      <c r="F1577" s="307">
        <v>281220</v>
      </c>
      <c r="G1577" s="307">
        <v>3080</v>
      </c>
      <c r="H1577" s="320"/>
      <c r="I1577" s="320"/>
      <c r="J1577" s="320"/>
      <c r="K1577" s="320"/>
      <c r="L1577" s="320"/>
      <c r="M1577" s="320"/>
      <c r="N1577" s="320"/>
      <c r="O1577" s="320"/>
      <c r="P1577" s="320"/>
      <c r="Q1577" s="320"/>
      <c r="R1577" s="307"/>
      <c r="S1577" s="307"/>
    </row>
    <row r="1578" spans="2:19">
      <c r="B1578" s="347">
        <v>201112</v>
      </c>
      <c r="C1578" s="347">
        <v>2011</v>
      </c>
      <c r="D1578" s="317">
        <v>12</v>
      </c>
      <c r="E1578" s="347" t="s">
        <v>46</v>
      </c>
      <c r="F1578" s="307">
        <v>2702</v>
      </c>
      <c r="G1578" s="307">
        <v>316</v>
      </c>
      <c r="H1578" s="320"/>
      <c r="I1578" s="320"/>
      <c r="J1578" s="320"/>
      <c r="K1578" s="320"/>
      <c r="L1578" s="320"/>
      <c r="M1578" s="320"/>
      <c r="N1578" s="320"/>
      <c r="O1578" s="320"/>
      <c r="P1578" s="320"/>
      <c r="Q1578" s="320"/>
      <c r="R1578" s="307"/>
      <c r="S1578" s="307"/>
    </row>
    <row r="1579" spans="2:19">
      <c r="B1579" s="347">
        <v>201112</v>
      </c>
      <c r="C1579" s="347">
        <v>2011</v>
      </c>
      <c r="D1579" s="317">
        <v>12</v>
      </c>
      <c r="E1579" s="347" t="s">
        <v>47</v>
      </c>
      <c r="F1579" s="307">
        <v>0</v>
      </c>
      <c r="G1579" s="307">
        <v>447</v>
      </c>
      <c r="H1579" s="320"/>
      <c r="I1579" s="320"/>
      <c r="J1579" s="320"/>
      <c r="K1579" s="320"/>
      <c r="L1579" s="320"/>
      <c r="M1579" s="320"/>
      <c r="N1579" s="320"/>
      <c r="O1579" s="320"/>
      <c r="P1579" s="320"/>
      <c r="Q1579" s="320"/>
      <c r="R1579" s="307"/>
      <c r="S1579" s="307"/>
    </row>
    <row r="1580" spans="2:19">
      <c r="B1580" s="347">
        <v>201112</v>
      </c>
      <c r="C1580" s="347">
        <v>2011</v>
      </c>
      <c r="D1580" s="317">
        <v>12</v>
      </c>
      <c r="E1580" s="347" t="s">
        <v>212</v>
      </c>
      <c r="F1580" s="307">
        <v>509160</v>
      </c>
      <c r="G1580" s="307">
        <v>5575</v>
      </c>
      <c r="H1580" s="320"/>
      <c r="I1580" s="320"/>
      <c r="J1580" s="320"/>
      <c r="K1580" s="320"/>
      <c r="L1580" s="320"/>
      <c r="M1580" s="320"/>
      <c r="N1580" s="320"/>
      <c r="O1580" s="320"/>
      <c r="P1580" s="320"/>
      <c r="Q1580" s="320"/>
      <c r="R1580" s="307"/>
      <c r="S1580" s="307"/>
    </row>
    <row r="1581" spans="2:19">
      <c r="B1581" s="347">
        <v>201112</v>
      </c>
      <c r="C1581" s="347">
        <v>2011</v>
      </c>
      <c r="D1581" s="317">
        <v>12</v>
      </c>
      <c r="E1581" s="347" t="s">
        <v>49</v>
      </c>
      <c r="F1581" s="307">
        <v>8549</v>
      </c>
      <c r="G1581" s="307">
        <v>666</v>
      </c>
      <c r="H1581" s="320"/>
      <c r="I1581" s="320"/>
      <c r="J1581" s="320"/>
      <c r="K1581" s="320"/>
      <c r="L1581" s="320"/>
      <c r="M1581" s="320"/>
      <c r="N1581" s="320"/>
      <c r="O1581" s="320"/>
      <c r="P1581" s="320"/>
      <c r="Q1581" s="320"/>
      <c r="R1581" s="307"/>
      <c r="S1581" s="307"/>
    </row>
    <row r="1582" spans="2:19">
      <c r="B1582" s="347">
        <v>201112</v>
      </c>
      <c r="C1582" s="347">
        <v>2011</v>
      </c>
      <c r="D1582" s="317">
        <v>12</v>
      </c>
      <c r="E1582" s="347" t="s">
        <v>50</v>
      </c>
      <c r="F1582" s="307">
        <v>14064</v>
      </c>
      <c r="G1582" s="307">
        <v>340</v>
      </c>
      <c r="H1582" s="320"/>
      <c r="I1582" s="320"/>
      <c r="J1582" s="320"/>
      <c r="K1582" s="320"/>
      <c r="L1582" s="320"/>
      <c r="M1582" s="320"/>
      <c r="N1582" s="320"/>
      <c r="O1582" s="320"/>
      <c r="P1582" s="320"/>
      <c r="Q1582" s="320"/>
      <c r="R1582" s="307"/>
      <c r="S1582" s="307"/>
    </row>
    <row r="1583" spans="2:19">
      <c r="B1583" s="347">
        <v>201112</v>
      </c>
      <c r="C1583" s="347">
        <v>2011</v>
      </c>
      <c r="D1583" s="317">
        <v>12</v>
      </c>
      <c r="E1583" s="347" t="s">
        <v>51</v>
      </c>
      <c r="F1583" s="307">
        <v>340158</v>
      </c>
      <c r="G1583" s="307">
        <v>3422</v>
      </c>
      <c r="H1583" s="320"/>
      <c r="I1583" s="320"/>
      <c r="J1583" s="320"/>
      <c r="K1583" s="320"/>
      <c r="L1583" s="320"/>
      <c r="M1583" s="320"/>
      <c r="N1583" s="320"/>
      <c r="O1583" s="320"/>
      <c r="P1583" s="320"/>
      <c r="Q1583" s="320"/>
      <c r="R1583" s="307"/>
      <c r="S1583" s="307"/>
    </row>
    <row r="1584" spans="2:19">
      <c r="B1584" s="347">
        <v>201112</v>
      </c>
      <c r="C1584" s="347">
        <v>2011</v>
      </c>
      <c r="D1584" s="317">
        <v>12</v>
      </c>
      <c r="E1584" s="347" t="s">
        <v>52</v>
      </c>
      <c r="F1584" s="307">
        <v>96</v>
      </c>
      <c r="G1584" s="307">
        <v>4</v>
      </c>
      <c r="H1584" s="320"/>
      <c r="I1584" s="320"/>
      <c r="J1584" s="320"/>
      <c r="K1584" s="320"/>
      <c r="L1584" s="320"/>
      <c r="M1584" s="320"/>
      <c r="N1584" s="320"/>
      <c r="O1584" s="320"/>
      <c r="P1584" s="320"/>
      <c r="Q1584" s="320"/>
      <c r="R1584" s="307"/>
      <c r="S1584" s="307"/>
    </row>
    <row r="1585" spans="2:19">
      <c r="B1585" s="347">
        <v>201112</v>
      </c>
      <c r="C1585" s="347">
        <v>2011</v>
      </c>
      <c r="D1585" s="317">
        <v>12</v>
      </c>
      <c r="E1585" s="347" t="s">
        <v>53</v>
      </c>
      <c r="F1585" s="307">
        <v>514</v>
      </c>
      <c r="G1585" s="307">
        <v>82</v>
      </c>
      <c r="H1585" s="320"/>
      <c r="I1585" s="320"/>
      <c r="J1585" s="320"/>
      <c r="K1585" s="320"/>
      <c r="L1585" s="320"/>
      <c r="M1585" s="320"/>
      <c r="N1585" s="320"/>
      <c r="O1585" s="320"/>
      <c r="P1585" s="320"/>
      <c r="Q1585" s="320"/>
      <c r="R1585" s="307"/>
      <c r="S1585" s="307"/>
    </row>
    <row r="1586" spans="2:19">
      <c r="B1586" s="347">
        <v>201112</v>
      </c>
      <c r="C1586" s="347">
        <v>2011</v>
      </c>
      <c r="D1586" s="317">
        <v>12</v>
      </c>
      <c r="E1586" s="347" t="s">
        <v>54</v>
      </c>
      <c r="F1586" s="307">
        <v>43106</v>
      </c>
      <c r="G1586" s="307">
        <v>877</v>
      </c>
      <c r="H1586" s="320"/>
      <c r="I1586" s="320"/>
      <c r="J1586" s="320"/>
      <c r="K1586" s="320"/>
      <c r="L1586" s="320"/>
      <c r="M1586" s="320"/>
      <c r="N1586" s="320"/>
      <c r="O1586" s="320"/>
      <c r="P1586" s="320"/>
      <c r="Q1586" s="320"/>
      <c r="R1586" s="307"/>
      <c r="S1586" s="307"/>
    </row>
    <row r="1587" spans="2:19">
      <c r="B1587" s="347">
        <v>201112</v>
      </c>
      <c r="C1587" s="347">
        <v>2011</v>
      </c>
      <c r="D1587" s="317">
        <v>12</v>
      </c>
      <c r="E1587" s="347" t="s">
        <v>55</v>
      </c>
      <c r="F1587" s="307">
        <v>0</v>
      </c>
      <c r="G1587" s="307">
        <v>35</v>
      </c>
      <c r="H1587" s="320"/>
      <c r="I1587" s="320"/>
      <c r="J1587" s="320"/>
      <c r="K1587" s="320"/>
      <c r="L1587" s="320"/>
      <c r="M1587" s="320"/>
      <c r="N1587" s="320"/>
      <c r="O1587" s="320"/>
      <c r="P1587" s="320"/>
      <c r="Q1587" s="320"/>
      <c r="R1587" s="307"/>
      <c r="S1587" s="307"/>
    </row>
    <row r="1588" spans="2:19">
      <c r="B1588" s="347">
        <v>201112</v>
      </c>
      <c r="C1588" s="347">
        <v>2011</v>
      </c>
      <c r="D1588" s="317">
        <v>12</v>
      </c>
      <c r="E1588" s="347" t="s">
        <v>56</v>
      </c>
      <c r="F1588" s="307">
        <v>28354</v>
      </c>
      <c r="G1588" s="307">
        <v>256</v>
      </c>
      <c r="H1588" s="320"/>
      <c r="I1588" s="320"/>
      <c r="J1588" s="320"/>
      <c r="K1588" s="320"/>
      <c r="L1588" s="320"/>
      <c r="M1588" s="320"/>
      <c r="N1588" s="320"/>
      <c r="O1588" s="320"/>
      <c r="P1588" s="320"/>
      <c r="Q1588" s="320"/>
      <c r="R1588" s="307"/>
      <c r="S1588" s="307"/>
    </row>
    <row r="1589" spans="2:19">
      <c r="B1589" s="347">
        <v>201112</v>
      </c>
      <c r="C1589" s="347">
        <v>2011</v>
      </c>
      <c r="D1589" s="317">
        <v>12</v>
      </c>
      <c r="E1589" s="347" t="s">
        <v>57</v>
      </c>
      <c r="F1589" s="307">
        <v>0</v>
      </c>
      <c r="G1589" s="307">
        <v>136</v>
      </c>
      <c r="H1589" s="320"/>
      <c r="I1589" s="320"/>
      <c r="J1589" s="320"/>
      <c r="K1589" s="320"/>
      <c r="L1589" s="320"/>
      <c r="M1589" s="320"/>
      <c r="N1589" s="320"/>
      <c r="O1589" s="320"/>
      <c r="P1589" s="320"/>
      <c r="Q1589" s="320"/>
      <c r="R1589" s="307"/>
      <c r="S1589" s="307"/>
    </row>
    <row r="1590" spans="2:19">
      <c r="B1590" s="347">
        <v>201112</v>
      </c>
      <c r="C1590" s="347">
        <v>2011</v>
      </c>
      <c r="D1590" s="317">
        <v>12</v>
      </c>
      <c r="E1590" s="347" t="s">
        <v>58</v>
      </c>
      <c r="F1590" s="307">
        <v>37161</v>
      </c>
      <c r="G1590" s="307">
        <v>286</v>
      </c>
      <c r="H1590" s="320"/>
      <c r="I1590" s="320"/>
      <c r="J1590" s="320"/>
      <c r="K1590" s="320"/>
      <c r="L1590" s="320"/>
      <c r="M1590" s="320"/>
      <c r="N1590" s="320"/>
      <c r="O1590" s="320"/>
      <c r="P1590" s="320"/>
      <c r="Q1590" s="320"/>
      <c r="R1590" s="307"/>
      <c r="S1590" s="307"/>
    </row>
    <row r="1591" spans="2:19">
      <c r="B1591" s="347">
        <v>201112</v>
      </c>
      <c r="C1591" s="347">
        <v>2011</v>
      </c>
      <c r="D1591" s="317">
        <v>12</v>
      </c>
      <c r="E1591" s="347" t="s">
        <v>59</v>
      </c>
      <c r="F1591" s="307">
        <v>4230</v>
      </c>
      <c r="G1591" s="307">
        <v>230</v>
      </c>
      <c r="H1591" s="320"/>
      <c r="I1591" s="320"/>
      <c r="J1591" s="320"/>
      <c r="K1591" s="320"/>
      <c r="L1591" s="320"/>
      <c r="M1591" s="320"/>
      <c r="N1591" s="320"/>
      <c r="O1591" s="320"/>
      <c r="P1591" s="320"/>
      <c r="Q1591" s="320"/>
      <c r="R1591" s="307"/>
      <c r="S1591" s="307"/>
    </row>
    <row r="1592" spans="2:19">
      <c r="B1592" s="347">
        <v>201112</v>
      </c>
      <c r="C1592" s="347">
        <v>2011</v>
      </c>
      <c r="D1592" s="317">
        <v>12</v>
      </c>
      <c r="E1592" s="347" t="s">
        <v>60</v>
      </c>
      <c r="F1592" s="307">
        <v>12322</v>
      </c>
      <c r="G1592" s="307">
        <v>391</v>
      </c>
      <c r="H1592" s="320"/>
      <c r="I1592" s="320"/>
      <c r="J1592" s="320"/>
      <c r="K1592" s="320"/>
      <c r="L1592" s="320"/>
      <c r="M1592" s="320"/>
      <c r="N1592" s="320"/>
      <c r="O1592" s="320"/>
      <c r="P1592" s="320"/>
      <c r="Q1592" s="320"/>
      <c r="R1592" s="307"/>
      <c r="S1592" s="307"/>
    </row>
    <row r="1593" spans="2:19">
      <c r="B1593" s="347">
        <v>201112</v>
      </c>
      <c r="C1593" s="347">
        <v>2011</v>
      </c>
      <c r="D1593" s="317">
        <v>12</v>
      </c>
      <c r="E1593" s="347" t="s">
        <v>248</v>
      </c>
      <c r="F1593" s="307">
        <v>201556</v>
      </c>
      <c r="G1593" s="307">
        <v>4007</v>
      </c>
      <c r="H1593" s="320"/>
      <c r="I1593" s="320"/>
      <c r="J1593" s="320"/>
      <c r="K1593" s="320"/>
      <c r="L1593" s="320"/>
      <c r="M1593" s="320"/>
      <c r="N1593" s="320"/>
      <c r="O1593" s="320"/>
      <c r="P1593" s="320"/>
      <c r="Q1593" s="320"/>
      <c r="R1593" s="307"/>
      <c r="S1593" s="307"/>
    </row>
    <row r="1594" spans="2:19">
      <c r="B1594" s="347">
        <v>201112</v>
      </c>
      <c r="C1594" s="347">
        <v>2011</v>
      </c>
      <c r="D1594" s="317">
        <v>12</v>
      </c>
      <c r="E1594" s="347" t="s">
        <v>119</v>
      </c>
      <c r="F1594" s="307">
        <v>591301</v>
      </c>
      <c r="G1594" s="307">
        <v>7482</v>
      </c>
      <c r="H1594" s="320"/>
      <c r="I1594" s="320"/>
      <c r="J1594" s="320"/>
      <c r="K1594" s="320"/>
      <c r="L1594" s="320"/>
      <c r="M1594" s="320"/>
      <c r="N1594" s="320"/>
      <c r="O1594" s="320"/>
      <c r="P1594" s="320"/>
      <c r="Q1594" s="320"/>
      <c r="R1594" s="307"/>
      <c r="S1594" s="307"/>
    </row>
    <row r="1595" spans="2:19">
      <c r="B1595" s="347">
        <v>201112</v>
      </c>
      <c r="C1595" s="347">
        <v>2011</v>
      </c>
      <c r="D1595" s="317">
        <v>12</v>
      </c>
      <c r="E1595" s="347" t="s">
        <v>63</v>
      </c>
      <c r="F1595" s="307">
        <v>38919</v>
      </c>
      <c r="G1595" s="307">
        <v>850</v>
      </c>
      <c r="H1595" s="320"/>
      <c r="I1595" s="320"/>
      <c r="J1595" s="320"/>
      <c r="K1595" s="320"/>
      <c r="L1595" s="320"/>
      <c r="M1595" s="320"/>
      <c r="N1595" s="320"/>
      <c r="O1595" s="320"/>
      <c r="P1595" s="320"/>
      <c r="Q1595" s="320"/>
      <c r="R1595" s="307"/>
      <c r="S1595" s="307"/>
    </row>
    <row r="1596" spans="2:19">
      <c r="B1596" s="347">
        <v>201112</v>
      </c>
      <c r="C1596" s="347">
        <v>2011</v>
      </c>
      <c r="D1596" s="317">
        <v>12</v>
      </c>
      <c r="E1596" s="347" t="s">
        <v>120</v>
      </c>
      <c r="F1596" s="307">
        <v>419808</v>
      </c>
      <c r="G1596" s="307">
        <v>5081</v>
      </c>
      <c r="H1596" s="320"/>
      <c r="I1596" s="320"/>
      <c r="J1596" s="320"/>
      <c r="K1596" s="320"/>
      <c r="L1596" s="320"/>
      <c r="M1596" s="320"/>
      <c r="N1596" s="320"/>
      <c r="O1596" s="320"/>
      <c r="P1596" s="320"/>
      <c r="Q1596" s="320"/>
      <c r="R1596" s="307"/>
      <c r="S1596" s="307"/>
    </row>
    <row r="1597" spans="2:19">
      <c r="B1597" s="347">
        <v>201112</v>
      </c>
      <c r="C1597" s="347">
        <v>2011</v>
      </c>
      <c r="D1597" s="317">
        <v>12</v>
      </c>
      <c r="E1597" s="347" t="s">
        <v>65</v>
      </c>
      <c r="F1597" s="307">
        <v>1052</v>
      </c>
      <c r="G1597" s="307">
        <v>111</v>
      </c>
      <c r="H1597" s="320"/>
      <c r="I1597" s="320"/>
      <c r="J1597" s="320"/>
      <c r="K1597" s="320"/>
      <c r="L1597" s="320"/>
      <c r="M1597" s="320"/>
      <c r="N1597" s="320"/>
      <c r="O1597" s="320"/>
      <c r="P1597" s="320"/>
      <c r="Q1597" s="320"/>
      <c r="R1597" s="307"/>
      <c r="S1597" s="307"/>
    </row>
    <row r="1598" spans="2:19">
      <c r="B1598" s="347">
        <v>201112</v>
      </c>
      <c r="C1598" s="347">
        <v>2011</v>
      </c>
      <c r="D1598" s="317">
        <v>12</v>
      </c>
      <c r="E1598" s="347" t="s">
        <v>67</v>
      </c>
      <c r="F1598" s="307">
        <v>14156</v>
      </c>
      <c r="G1598" s="307">
        <v>703</v>
      </c>
      <c r="H1598" s="320"/>
      <c r="I1598" s="320"/>
      <c r="J1598" s="320"/>
      <c r="K1598" s="320"/>
      <c r="L1598" s="320"/>
      <c r="M1598" s="320"/>
      <c r="N1598" s="320"/>
      <c r="O1598" s="320"/>
      <c r="P1598" s="320"/>
      <c r="Q1598" s="320"/>
      <c r="R1598" s="307"/>
      <c r="S1598" s="307"/>
    </row>
    <row r="1599" spans="2:19">
      <c r="B1599" s="347">
        <v>201112</v>
      </c>
      <c r="C1599" s="347">
        <v>2011</v>
      </c>
      <c r="D1599" s="317">
        <v>12</v>
      </c>
      <c r="E1599" s="347" t="s">
        <v>68</v>
      </c>
      <c r="F1599" s="307">
        <v>43206</v>
      </c>
      <c r="G1599" s="307">
        <v>1129</v>
      </c>
      <c r="H1599" s="320"/>
      <c r="I1599" s="320"/>
      <c r="J1599" s="320"/>
      <c r="K1599" s="320"/>
      <c r="L1599" s="320"/>
      <c r="M1599" s="320"/>
      <c r="N1599" s="320"/>
      <c r="O1599" s="320"/>
      <c r="P1599" s="320"/>
      <c r="Q1599" s="320"/>
      <c r="R1599" s="307"/>
      <c r="S1599" s="307"/>
    </row>
    <row r="1600" spans="2:19">
      <c r="B1600" s="347">
        <v>201112</v>
      </c>
      <c r="C1600" s="347">
        <v>2011</v>
      </c>
      <c r="D1600" s="317">
        <v>12</v>
      </c>
      <c r="E1600" s="347" t="s">
        <v>69</v>
      </c>
      <c r="F1600" s="307">
        <v>1423</v>
      </c>
      <c r="G1600" s="307">
        <v>105</v>
      </c>
      <c r="H1600" s="320"/>
      <c r="I1600" s="320"/>
      <c r="J1600" s="320"/>
      <c r="K1600" s="320"/>
      <c r="L1600" s="320"/>
      <c r="M1600" s="320"/>
      <c r="N1600" s="320"/>
      <c r="O1600" s="320"/>
      <c r="P1600" s="320"/>
      <c r="Q1600" s="320"/>
      <c r="R1600" s="307"/>
      <c r="S1600" s="307"/>
    </row>
    <row r="1601" spans="2:19">
      <c r="B1601" s="347">
        <v>201112</v>
      </c>
      <c r="C1601" s="347">
        <v>2011</v>
      </c>
      <c r="D1601" s="317">
        <v>12</v>
      </c>
      <c r="E1601" s="347" t="s">
        <v>70</v>
      </c>
      <c r="F1601" s="307">
        <v>3290</v>
      </c>
      <c r="G1601" s="307">
        <v>386</v>
      </c>
      <c r="H1601" s="320"/>
      <c r="I1601" s="320"/>
      <c r="J1601" s="320"/>
      <c r="K1601" s="320"/>
      <c r="L1601" s="320"/>
      <c r="M1601" s="320"/>
      <c r="N1601" s="320"/>
      <c r="O1601" s="320"/>
      <c r="P1601" s="320"/>
      <c r="Q1601" s="320"/>
      <c r="R1601" s="307"/>
      <c r="S1601" s="307"/>
    </row>
    <row r="1602" spans="2:19">
      <c r="B1602" s="347">
        <v>201112</v>
      </c>
      <c r="C1602" s="347">
        <v>2011</v>
      </c>
      <c r="D1602" s="317">
        <v>12</v>
      </c>
      <c r="E1602" s="347" t="s">
        <v>71</v>
      </c>
      <c r="F1602" s="307">
        <v>873</v>
      </c>
      <c r="G1602" s="307">
        <v>96</v>
      </c>
      <c r="H1602" s="320"/>
      <c r="I1602" s="320"/>
      <c r="J1602" s="320"/>
      <c r="K1602" s="320"/>
      <c r="L1602" s="320"/>
      <c r="M1602" s="320"/>
      <c r="N1602" s="320"/>
      <c r="O1602" s="320"/>
      <c r="P1602" s="320"/>
      <c r="Q1602" s="320"/>
      <c r="R1602" s="307"/>
      <c r="S1602" s="307"/>
    </row>
    <row r="1603" spans="2:19">
      <c r="B1603" s="347">
        <v>201112</v>
      </c>
      <c r="C1603" s="347">
        <v>2011</v>
      </c>
      <c r="D1603" s="317">
        <v>12</v>
      </c>
      <c r="E1603" s="347" t="s">
        <v>72</v>
      </c>
      <c r="F1603" s="307">
        <v>9254</v>
      </c>
      <c r="G1603" s="307">
        <v>887</v>
      </c>
      <c r="H1603" s="320"/>
      <c r="I1603" s="320"/>
      <c r="J1603" s="320"/>
      <c r="K1603" s="320"/>
      <c r="L1603" s="320"/>
      <c r="M1603" s="320"/>
      <c r="N1603" s="320"/>
      <c r="O1603" s="320"/>
      <c r="P1603" s="320"/>
      <c r="Q1603" s="320"/>
      <c r="R1603" s="307"/>
      <c r="S1603" s="307"/>
    </row>
    <row r="1604" spans="2:19">
      <c r="B1604" s="347">
        <v>201112</v>
      </c>
      <c r="C1604" s="347">
        <v>2011</v>
      </c>
      <c r="D1604" s="317">
        <v>12</v>
      </c>
      <c r="E1604" s="347" t="s">
        <v>73</v>
      </c>
      <c r="F1604" s="307">
        <v>1066</v>
      </c>
      <c r="G1604" s="307">
        <v>302</v>
      </c>
      <c r="H1604" s="320"/>
      <c r="I1604" s="320"/>
      <c r="J1604" s="320"/>
      <c r="K1604" s="320"/>
      <c r="L1604" s="320"/>
      <c r="M1604" s="320"/>
      <c r="N1604" s="320"/>
      <c r="O1604" s="320"/>
      <c r="P1604" s="320"/>
      <c r="Q1604" s="320"/>
      <c r="R1604" s="307"/>
      <c r="S1604" s="307"/>
    </row>
    <row r="1605" spans="2:19">
      <c r="B1605" s="347">
        <v>201112</v>
      </c>
      <c r="C1605" s="347">
        <v>2011</v>
      </c>
      <c r="D1605" s="317">
        <v>12</v>
      </c>
      <c r="E1605" s="347" t="s">
        <v>74</v>
      </c>
      <c r="F1605" s="307">
        <v>137800</v>
      </c>
      <c r="G1605" s="307">
        <v>1850</v>
      </c>
      <c r="H1605" s="320"/>
      <c r="I1605" s="320"/>
      <c r="J1605" s="320"/>
      <c r="K1605" s="320"/>
      <c r="L1605" s="320"/>
      <c r="M1605" s="320"/>
      <c r="N1605" s="320"/>
      <c r="O1605" s="320"/>
      <c r="P1605" s="320"/>
      <c r="Q1605" s="320"/>
      <c r="R1605" s="307"/>
      <c r="S1605" s="307"/>
    </row>
    <row r="1606" spans="2:19">
      <c r="B1606" s="347">
        <v>201112</v>
      </c>
      <c r="C1606" s="347">
        <v>2011</v>
      </c>
      <c r="D1606" s="317">
        <v>12</v>
      </c>
      <c r="E1606" s="347" t="s">
        <v>75</v>
      </c>
      <c r="F1606" s="307">
        <v>141</v>
      </c>
      <c r="G1606" s="307">
        <v>66</v>
      </c>
      <c r="H1606" s="320"/>
      <c r="I1606" s="320"/>
      <c r="J1606" s="320"/>
      <c r="K1606" s="320"/>
      <c r="L1606" s="320"/>
      <c r="M1606" s="320"/>
      <c r="N1606" s="320"/>
      <c r="O1606" s="320"/>
      <c r="P1606" s="320"/>
      <c r="Q1606" s="320"/>
      <c r="R1606" s="307"/>
      <c r="S1606" s="307"/>
    </row>
    <row r="1607" spans="2:19">
      <c r="B1607" s="347">
        <v>201112</v>
      </c>
      <c r="C1607" s="347">
        <v>2011</v>
      </c>
      <c r="D1607" s="317">
        <v>12</v>
      </c>
      <c r="E1607" s="347" t="s">
        <v>249</v>
      </c>
      <c r="F1607" s="307">
        <v>317161</v>
      </c>
      <c r="G1607" s="307">
        <v>2878</v>
      </c>
      <c r="H1607" s="320"/>
      <c r="I1607" s="320"/>
      <c r="J1607" s="320"/>
      <c r="K1607" s="320"/>
      <c r="L1607" s="320"/>
      <c r="M1607" s="320"/>
      <c r="N1607" s="320"/>
      <c r="O1607" s="320"/>
      <c r="P1607" s="320"/>
      <c r="Q1607" s="320"/>
      <c r="R1607" s="307"/>
      <c r="S1607" s="307"/>
    </row>
    <row r="1608" spans="2:19">
      <c r="B1608" s="347">
        <v>201112</v>
      </c>
      <c r="C1608" s="347">
        <v>2011</v>
      </c>
      <c r="D1608" s="317">
        <v>12</v>
      </c>
      <c r="E1608" s="347" t="s">
        <v>77</v>
      </c>
      <c r="F1608" s="307">
        <v>0</v>
      </c>
      <c r="G1608" s="307">
        <v>38</v>
      </c>
      <c r="H1608" s="320"/>
      <c r="I1608" s="320"/>
      <c r="J1608" s="320"/>
      <c r="K1608" s="320"/>
      <c r="L1608" s="320"/>
      <c r="M1608" s="320"/>
      <c r="N1608" s="320"/>
      <c r="O1608" s="320"/>
      <c r="P1608" s="320"/>
      <c r="Q1608" s="320"/>
      <c r="R1608" s="307"/>
      <c r="S1608" s="307"/>
    </row>
    <row r="1609" spans="2:19">
      <c r="B1609" s="347">
        <v>201112</v>
      </c>
      <c r="C1609" s="347">
        <v>2011</v>
      </c>
      <c r="D1609" s="317">
        <v>12</v>
      </c>
      <c r="E1609" s="347" t="s">
        <v>34</v>
      </c>
      <c r="F1609" s="307">
        <v>1199328</v>
      </c>
      <c r="G1609" s="307">
        <v>11068</v>
      </c>
      <c r="H1609" s="320"/>
      <c r="I1609" s="320"/>
      <c r="J1609" s="320"/>
      <c r="K1609" s="320"/>
      <c r="L1609" s="320"/>
      <c r="M1609" s="320"/>
      <c r="N1609" s="320"/>
      <c r="O1609" s="320"/>
      <c r="P1609" s="320"/>
      <c r="Q1609" s="320"/>
      <c r="R1609" s="307"/>
      <c r="S1609" s="307"/>
    </row>
    <row r="1610" spans="2:19">
      <c r="B1610" s="347">
        <v>201112</v>
      </c>
      <c r="C1610" s="347">
        <v>2011</v>
      </c>
      <c r="D1610" s="317">
        <v>12</v>
      </c>
      <c r="E1610" s="347" t="s">
        <v>79</v>
      </c>
      <c r="F1610" s="307">
        <v>1324</v>
      </c>
      <c r="G1610" s="307">
        <v>104</v>
      </c>
      <c r="H1610" s="320"/>
      <c r="I1610" s="320"/>
      <c r="J1610" s="320"/>
      <c r="K1610" s="320"/>
      <c r="L1610" s="320"/>
      <c r="M1610" s="320"/>
      <c r="N1610" s="320"/>
      <c r="O1610" s="320"/>
      <c r="P1610" s="320"/>
      <c r="Q1610" s="320"/>
      <c r="R1610" s="307"/>
      <c r="S1610" s="307"/>
    </row>
    <row r="1611" spans="2:19">
      <c r="B1611" s="347">
        <v>201112</v>
      </c>
      <c r="C1611" s="347">
        <v>2011</v>
      </c>
      <c r="D1611" s="317">
        <v>12</v>
      </c>
      <c r="E1611" s="347" t="s">
        <v>80</v>
      </c>
      <c r="F1611" s="307">
        <v>240211</v>
      </c>
      <c r="G1611" s="307">
        <v>2922</v>
      </c>
      <c r="H1611" s="320"/>
      <c r="I1611" s="320"/>
      <c r="J1611" s="320"/>
      <c r="K1611" s="320"/>
      <c r="L1611" s="320"/>
      <c r="M1611" s="320"/>
      <c r="N1611" s="320"/>
      <c r="O1611" s="320"/>
      <c r="P1611" s="320"/>
      <c r="Q1611" s="320"/>
      <c r="R1611" s="307"/>
      <c r="S1611" s="307"/>
    </row>
    <row r="1612" spans="2:19">
      <c r="B1612" s="347">
        <v>201112</v>
      </c>
      <c r="C1612" s="347">
        <v>2011</v>
      </c>
      <c r="D1612" s="317">
        <v>12</v>
      </c>
      <c r="E1612" s="347" t="s">
        <v>81</v>
      </c>
      <c r="F1612" s="307">
        <v>8279</v>
      </c>
      <c r="G1612" s="307">
        <v>246</v>
      </c>
      <c r="H1612" s="320"/>
      <c r="I1612" s="320"/>
      <c r="J1612" s="320"/>
      <c r="K1612" s="320"/>
      <c r="L1612" s="320"/>
      <c r="M1612" s="320"/>
      <c r="N1612" s="320"/>
      <c r="O1612" s="320"/>
      <c r="P1612" s="320"/>
      <c r="Q1612" s="320"/>
      <c r="R1612" s="307"/>
      <c r="S1612" s="307"/>
    </row>
    <row r="1613" spans="2:19">
      <c r="B1613" s="347">
        <v>201112</v>
      </c>
      <c r="C1613" s="347">
        <v>2011</v>
      </c>
      <c r="D1613" s="317">
        <v>12</v>
      </c>
      <c r="E1613" s="347" t="s">
        <v>82</v>
      </c>
      <c r="F1613" s="307">
        <v>24117</v>
      </c>
      <c r="G1613" s="307">
        <v>1254</v>
      </c>
      <c r="H1613" s="320"/>
      <c r="I1613" s="320"/>
      <c r="J1613" s="320"/>
      <c r="K1613" s="320"/>
      <c r="L1613" s="320"/>
      <c r="M1613" s="320"/>
      <c r="N1613" s="320"/>
      <c r="O1613" s="320"/>
      <c r="P1613" s="320"/>
      <c r="Q1613" s="320"/>
      <c r="R1613" s="307"/>
      <c r="S1613" s="307"/>
    </row>
    <row r="1614" spans="2:19">
      <c r="B1614" s="347">
        <v>201112</v>
      </c>
      <c r="C1614" s="347">
        <v>2011</v>
      </c>
      <c r="D1614" s="317">
        <v>12</v>
      </c>
      <c r="E1614" s="347" t="s">
        <v>250</v>
      </c>
      <c r="F1614" s="307">
        <v>99</v>
      </c>
      <c r="G1614" s="307">
        <v>98</v>
      </c>
      <c r="H1614" s="320"/>
      <c r="I1614" s="320"/>
      <c r="J1614" s="320"/>
      <c r="K1614" s="320"/>
      <c r="L1614" s="320"/>
      <c r="M1614" s="320"/>
      <c r="N1614" s="320"/>
      <c r="O1614" s="320"/>
      <c r="P1614" s="320"/>
      <c r="Q1614" s="320"/>
      <c r="R1614" s="307"/>
      <c r="S1614" s="307"/>
    </row>
    <row r="1615" spans="2:19">
      <c r="B1615" s="347">
        <v>201112</v>
      </c>
      <c r="C1615" s="347">
        <v>2011</v>
      </c>
      <c r="D1615" s="317">
        <v>12</v>
      </c>
      <c r="E1615" s="347" t="s">
        <v>84</v>
      </c>
      <c r="F1615" s="307">
        <v>2762</v>
      </c>
      <c r="G1615" s="307">
        <v>196</v>
      </c>
      <c r="H1615" s="320"/>
      <c r="I1615" s="320"/>
      <c r="J1615" s="320"/>
      <c r="K1615" s="320"/>
      <c r="L1615" s="320"/>
      <c r="M1615" s="320"/>
      <c r="N1615" s="320"/>
      <c r="O1615" s="320"/>
      <c r="P1615" s="320"/>
      <c r="Q1615" s="320"/>
      <c r="R1615" s="307"/>
      <c r="S1615" s="307"/>
    </row>
    <row r="1616" spans="2:19">
      <c r="B1616" s="347">
        <v>201112</v>
      </c>
      <c r="C1616" s="347">
        <v>2011</v>
      </c>
      <c r="D1616" s="317">
        <v>12</v>
      </c>
      <c r="E1616" s="347" t="s">
        <v>85</v>
      </c>
      <c r="F1616" s="307">
        <v>0</v>
      </c>
      <c r="G1616" s="307">
        <v>31</v>
      </c>
      <c r="H1616" s="320"/>
      <c r="I1616" s="320"/>
      <c r="J1616" s="320"/>
      <c r="K1616" s="320"/>
      <c r="L1616" s="320"/>
      <c r="M1616" s="320"/>
      <c r="N1616" s="320"/>
      <c r="O1616" s="320"/>
      <c r="P1616" s="320"/>
      <c r="Q1616" s="320"/>
      <c r="R1616" s="307"/>
      <c r="S1616" s="307"/>
    </row>
    <row r="1617" spans="2:19">
      <c r="B1617" s="347">
        <v>201112</v>
      </c>
      <c r="C1617" s="347">
        <v>2011</v>
      </c>
      <c r="D1617" s="317">
        <v>12</v>
      </c>
      <c r="E1617" s="347" t="s">
        <v>86</v>
      </c>
      <c r="F1617" s="307">
        <v>42201</v>
      </c>
      <c r="G1617" s="307">
        <v>419</v>
      </c>
      <c r="H1617" s="320"/>
      <c r="I1617" s="320"/>
      <c r="J1617" s="320"/>
      <c r="K1617" s="320"/>
      <c r="L1617" s="320"/>
      <c r="M1617" s="320"/>
      <c r="N1617" s="320"/>
      <c r="O1617" s="320"/>
      <c r="P1617" s="320"/>
      <c r="Q1617" s="320"/>
      <c r="R1617" s="307"/>
      <c r="S1617" s="307"/>
    </row>
    <row r="1618" spans="2:19">
      <c r="B1618" s="347">
        <v>201112</v>
      </c>
      <c r="C1618" s="347">
        <v>2011</v>
      </c>
      <c r="D1618" s="317">
        <v>12</v>
      </c>
      <c r="E1618" s="347" t="s">
        <v>87</v>
      </c>
      <c r="F1618" s="307">
        <v>22512</v>
      </c>
      <c r="G1618" s="307">
        <v>1071</v>
      </c>
      <c r="H1618" s="320"/>
      <c r="I1618" s="320"/>
      <c r="J1618" s="320"/>
      <c r="K1618" s="320"/>
      <c r="L1618" s="320"/>
      <c r="M1618" s="320"/>
      <c r="N1618" s="320"/>
      <c r="O1618" s="320"/>
      <c r="P1618" s="320"/>
      <c r="Q1618" s="320"/>
      <c r="R1618" s="307"/>
      <c r="S1618" s="307"/>
    </row>
    <row r="1619" spans="2:19">
      <c r="B1619" s="347">
        <v>201112</v>
      </c>
      <c r="C1619" s="347">
        <v>2011</v>
      </c>
      <c r="D1619" s="317">
        <v>12</v>
      </c>
      <c r="E1619" s="347" t="s">
        <v>88</v>
      </c>
      <c r="F1619" s="307">
        <v>34</v>
      </c>
      <c r="G1619" s="307">
        <v>29</v>
      </c>
      <c r="H1619" s="320"/>
      <c r="I1619" s="320"/>
      <c r="J1619" s="320"/>
      <c r="K1619" s="320"/>
      <c r="L1619" s="320"/>
      <c r="M1619" s="320"/>
      <c r="N1619" s="320"/>
      <c r="O1619" s="320"/>
      <c r="P1619" s="320"/>
      <c r="Q1619" s="320"/>
      <c r="R1619" s="307"/>
      <c r="S1619" s="307"/>
    </row>
    <row r="1620" spans="2:19">
      <c r="B1620" s="347">
        <v>201112</v>
      </c>
      <c r="C1620" s="347">
        <v>2011</v>
      </c>
      <c r="D1620" s="317">
        <v>12</v>
      </c>
      <c r="E1620" s="347" t="s">
        <v>89</v>
      </c>
      <c r="F1620" s="307">
        <v>117259</v>
      </c>
      <c r="G1620" s="307">
        <v>2927</v>
      </c>
      <c r="H1620" s="320"/>
      <c r="I1620" s="320"/>
      <c r="J1620" s="320"/>
      <c r="K1620" s="320"/>
      <c r="L1620" s="320"/>
      <c r="M1620" s="320"/>
      <c r="N1620" s="320"/>
      <c r="O1620" s="320"/>
      <c r="P1620" s="320"/>
      <c r="Q1620" s="320"/>
      <c r="R1620" s="307"/>
      <c r="S1620" s="307"/>
    </row>
    <row r="1621" spans="2:19">
      <c r="B1621" s="347">
        <v>201112</v>
      </c>
      <c r="C1621" s="347">
        <v>2011</v>
      </c>
      <c r="D1621" s="317">
        <v>12</v>
      </c>
      <c r="E1621" s="347" t="s">
        <v>90</v>
      </c>
      <c r="F1621" s="307">
        <v>9448</v>
      </c>
      <c r="G1621" s="307">
        <v>704</v>
      </c>
      <c r="H1621" s="320"/>
      <c r="I1621" s="320"/>
      <c r="J1621" s="320"/>
      <c r="K1621" s="320"/>
      <c r="L1621" s="320"/>
      <c r="M1621" s="320"/>
      <c r="N1621" s="320"/>
      <c r="O1621" s="320"/>
      <c r="P1621" s="320"/>
      <c r="Q1621" s="320"/>
      <c r="R1621" s="307"/>
      <c r="S1621" s="307"/>
    </row>
    <row r="1622" spans="2:19">
      <c r="B1622" s="347">
        <v>201112</v>
      </c>
      <c r="C1622" s="347">
        <v>2011</v>
      </c>
      <c r="D1622" s="317">
        <v>12</v>
      </c>
      <c r="E1622" s="347" t="s">
        <v>91</v>
      </c>
      <c r="F1622" s="307">
        <v>10707</v>
      </c>
      <c r="G1622" s="307">
        <v>801</v>
      </c>
      <c r="H1622" s="320"/>
      <c r="I1622" s="320"/>
      <c r="J1622" s="320"/>
      <c r="K1622" s="320"/>
      <c r="L1622" s="320"/>
      <c r="M1622" s="320"/>
      <c r="N1622" s="320"/>
      <c r="O1622" s="320"/>
      <c r="P1622" s="320"/>
      <c r="Q1622" s="320"/>
      <c r="R1622" s="307"/>
      <c r="S1622" s="307"/>
    </row>
    <row r="1623" spans="2:19">
      <c r="B1623" s="347">
        <v>201112</v>
      </c>
      <c r="C1623" s="347">
        <v>2011</v>
      </c>
      <c r="D1623" s="317">
        <v>12</v>
      </c>
      <c r="E1623" s="347" t="s">
        <v>92</v>
      </c>
      <c r="F1623" s="307">
        <v>0</v>
      </c>
      <c r="G1623" s="307">
        <v>97</v>
      </c>
      <c r="H1623" s="320"/>
      <c r="I1623" s="320"/>
      <c r="J1623" s="320"/>
      <c r="K1623" s="320"/>
      <c r="L1623" s="320"/>
      <c r="M1623" s="320"/>
      <c r="N1623" s="320"/>
      <c r="O1623" s="320"/>
      <c r="P1623" s="320"/>
      <c r="Q1623" s="320"/>
      <c r="R1623" s="307"/>
      <c r="S1623" s="307"/>
    </row>
    <row r="1624" spans="2:19">
      <c r="B1624" s="347">
        <v>201112</v>
      </c>
      <c r="C1624" s="347">
        <v>2011</v>
      </c>
      <c r="D1624" s="317">
        <v>12</v>
      </c>
      <c r="E1624" s="347" t="s">
        <v>93</v>
      </c>
      <c r="F1624" s="307">
        <v>547</v>
      </c>
      <c r="G1624" s="307">
        <v>74</v>
      </c>
      <c r="H1624" s="320"/>
      <c r="I1624" s="320"/>
      <c r="J1624" s="320"/>
      <c r="K1624" s="320"/>
      <c r="L1624" s="320"/>
      <c r="M1624" s="320"/>
      <c r="N1624" s="320"/>
      <c r="O1624" s="320"/>
      <c r="P1624" s="320"/>
      <c r="Q1624" s="320"/>
      <c r="R1624" s="307"/>
      <c r="S1624" s="307"/>
    </row>
    <row r="1625" spans="2:19">
      <c r="B1625" s="347">
        <v>201112</v>
      </c>
      <c r="C1625" s="347">
        <v>2011</v>
      </c>
      <c r="D1625" s="317">
        <v>12</v>
      </c>
      <c r="E1625" s="347" t="s">
        <v>94</v>
      </c>
      <c r="F1625" s="307">
        <v>1693</v>
      </c>
      <c r="G1625" s="307">
        <v>189</v>
      </c>
      <c r="H1625" s="320"/>
      <c r="I1625" s="320"/>
      <c r="J1625" s="320"/>
      <c r="K1625" s="320"/>
      <c r="L1625" s="320"/>
      <c r="M1625" s="320"/>
      <c r="N1625" s="320"/>
      <c r="O1625" s="320"/>
      <c r="P1625" s="320"/>
      <c r="Q1625" s="320"/>
      <c r="R1625" s="307"/>
      <c r="S1625" s="307"/>
    </row>
    <row r="1626" spans="2:19">
      <c r="B1626" s="347">
        <v>201206</v>
      </c>
      <c r="C1626" s="347">
        <v>2012</v>
      </c>
      <c r="D1626" s="317">
        <v>6</v>
      </c>
      <c r="E1626" s="347" t="s">
        <v>251</v>
      </c>
      <c r="F1626" s="307">
        <v>3337034</v>
      </c>
      <c r="G1626" s="307">
        <v>22514</v>
      </c>
    </row>
    <row r="1627" spans="2:19">
      <c r="B1627" s="347">
        <v>201206</v>
      </c>
      <c r="C1627" s="347">
        <v>2012</v>
      </c>
      <c r="D1627" s="317">
        <v>6</v>
      </c>
      <c r="E1627" s="347" t="s">
        <v>117</v>
      </c>
      <c r="F1627" s="307">
        <v>6245594</v>
      </c>
      <c r="G1627" s="307">
        <v>39740</v>
      </c>
    </row>
    <row r="1628" spans="2:19">
      <c r="B1628" s="347">
        <v>201206</v>
      </c>
      <c r="C1628" s="347">
        <v>2012</v>
      </c>
      <c r="D1628" s="317">
        <v>6</v>
      </c>
      <c r="E1628" s="347" t="s">
        <v>37</v>
      </c>
      <c r="F1628" s="307">
        <v>257669</v>
      </c>
      <c r="G1628" s="307">
        <v>5791</v>
      </c>
    </row>
    <row r="1629" spans="2:19">
      <c r="B1629" s="347">
        <v>201206</v>
      </c>
      <c r="C1629" s="347">
        <v>2012</v>
      </c>
      <c r="D1629" s="317">
        <v>6</v>
      </c>
      <c r="E1629" s="347" t="s">
        <v>104</v>
      </c>
      <c r="F1629" s="307">
        <v>942803</v>
      </c>
      <c r="G1629" s="307">
        <v>7202</v>
      </c>
    </row>
    <row r="1630" spans="2:19">
      <c r="B1630" s="347">
        <v>201206</v>
      </c>
      <c r="C1630" s="347">
        <v>2012</v>
      </c>
      <c r="D1630" s="317">
        <v>6</v>
      </c>
      <c r="E1630" s="347" t="s">
        <v>118</v>
      </c>
      <c r="F1630" s="307">
        <v>77580</v>
      </c>
      <c r="G1630" s="307">
        <v>932</v>
      </c>
    </row>
    <row r="1631" spans="2:19">
      <c r="B1631" s="347">
        <v>201206</v>
      </c>
      <c r="C1631" s="347">
        <v>2012</v>
      </c>
      <c r="D1631" s="317">
        <v>6</v>
      </c>
      <c r="E1631" s="347" t="s">
        <v>103</v>
      </c>
      <c r="F1631" s="307">
        <v>1630900</v>
      </c>
      <c r="G1631" s="307">
        <v>11800</v>
      </c>
    </row>
    <row r="1632" spans="2:19">
      <c r="B1632" s="347">
        <v>201206</v>
      </c>
      <c r="C1632" s="347">
        <v>2012</v>
      </c>
      <c r="D1632" s="317">
        <v>6</v>
      </c>
      <c r="E1632" s="347" t="s">
        <v>41</v>
      </c>
      <c r="F1632" s="307">
        <v>0</v>
      </c>
      <c r="G1632" s="307">
        <v>225</v>
      </c>
    </row>
    <row r="1633" spans="2:7">
      <c r="B1633" s="347">
        <v>201206</v>
      </c>
      <c r="C1633" s="347">
        <v>2012</v>
      </c>
      <c r="D1633" s="317">
        <v>6</v>
      </c>
      <c r="E1633" s="347" t="s">
        <v>95</v>
      </c>
      <c r="F1633" s="307">
        <v>6224</v>
      </c>
      <c r="G1633" s="307">
        <v>631</v>
      </c>
    </row>
    <row r="1634" spans="2:7">
      <c r="B1634" s="347">
        <v>201206</v>
      </c>
      <c r="C1634" s="347">
        <v>2012</v>
      </c>
      <c r="D1634" s="317">
        <v>6</v>
      </c>
      <c r="E1634" s="347" t="s">
        <v>96</v>
      </c>
      <c r="F1634" s="307">
        <v>80370</v>
      </c>
      <c r="G1634" s="307">
        <v>3120</v>
      </c>
    </row>
    <row r="1635" spans="2:7">
      <c r="B1635" s="347">
        <v>201206</v>
      </c>
      <c r="C1635" s="347">
        <v>2012</v>
      </c>
      <c r="D1635" s="317">
        <v>6</v>
      </c>
      <c r="E1635" s="347" t="s">
        <v>97</v>
      </c>
      <c r="F1635" s="307">
        <v>69136</v>
      </c>
      <c r="G1635" s="307">
        <v>2355</v>
      </c>
    </row>
    <row r="1636" spans="2:7">
      <c r="B1636" s="347">
        <v>201206</v>
      </c>
      <c r="C1636" s="347">
        <v>2012</v>
      </c>
      <c r="D1636" s="317">
        <v>6</v>
      </c>
      <c r="E1636" s="347" t="s">
        <v>98</v>
      </c>
      <c r="F1636" s="307">
        <v>149208</v>
      </c>
      <c r="G1636" s="307">
        <v>3607</v>
      </c>
    </row>
    <row r="1637" spans="2:7">
      <c r="B1637" s="347">
        <v>201206</v>
      </c>
      <c r="C1637" s="347">
        <v>2012</v>
      </c>
      <c r="D1637" s="317">
        <v>6</v>
      </c>
      <c r="E1637" s="347" t="s">
        <v>121</v>
      </c>
      <c r="F1637" s="307">
        <v>289051</v>
      </c>
      <c r="G1637" s="307">
        <v>8533</v>
      </c>
    </row>
    <row r="1638" spans="2:7">
      <c r="B1638" s="347">
        <v>201206</v>
      </c>
      <c r="C1638" s="347">
        <v>2012</v>
      </c>
      <c r="D1638" s="317">
        <v>6</v>
      </c>
      <c r="E1638" s="347" t="s">
        <v>43</v>
      </c>
      <c r="F1638" s="307">
        <v>1306</v>
      </c>
      <c r="G1638" s="307">
        <v>118</v>
      </c>
    </row>
    <row r="1639" spans="2:7">
      <c r="B1639" s="347">
        <v>201206</v>
      </c>
      <c r="C1639" s="347">
        <v>2012</v>
      </c>
      <c r="D1639" s="317">
        <v>6</v>
      </c>
      <c r="E1639" s="347" t="s">
        <v>252</v>
      </c>
      <c r="F1639" s="307">
        <v>189047</v>
      </c>
      <c r="G1639" s="307">
        <v>3146</v>
      </c>
    </row>
    <row r="1640" spans="2:7">
      <c r="B1640" s="347">
        <v>201206</v>
      </c>
      <c r="C1640" s="347">
        <v>2012</v>
      </c>
      <c r="D1640" s="317">
        <v>6</v>
      </c>
      <c r="E1640" s="347" t="s">
        <v>45</v>
      </c>
      <c r="F1640" s="307">
        <v>430879</v>
      </c>
      <c r="G1640" s="307">
        <v>3785</v>
      </c>
    </row>
    <row r="1641" spans="2:7">
      <c r="B1641" s="347">
        <v>201206</v>
      </c>
      <c r="C1641" s="347">
        <v>2012</v>
      </c>
      <c r="D1641" s="317">
        <v>6</v>
      </c>
      <c r="E1641" s="347" t="s">
        <v>46</v>
      </c>
      <c r="F1641" s="307">
        <v>3067</v>
      </c>
      <c r="G1641" s="307">
        <v>350</v>
      </c>
    </row>
    <row r="1642" spans="2:7">
      <c r="B1642" s="347">
        <v>201206</v>
      </c>
      <c r="C1642" s="347">
        <v>2012</v>
      </c>
      <c r="D1642" s="317">
        <v>6</v>
      </c>
      <c r="E1642" s="347" t="s">
        <v>47</v>
      </c>
      <c r="F1642" s="307">
        <v>0</v>
      </c>
      <c r="G1642" s="307">
        <v>651</v>
      </c>
    </row>
    <row r="1643" spans="2:7">
      <c r="B1643" s="347">
        <v>201206</v>
      </c>
      <c r="C1643" s="347">
        <v>2012</v>
      </c>
      <c r="D1643" s="317">
        <v>6</v>
      </c>
      <c r="E1643" s="347" t="s">
        <v>212</v>
      </c>
      <c r="F1643" s="307">
        <v>912524</v>
      </c>
      <c r="G1643" s="307">
        <v>8088</v>
      </c>
    </row>
    <row r="1644" spans="2:7">
      <c r="B1644" s="347">
        <v>201206</v>
      </c>
      <c r="C1644" s="347">
        <v>2012</v>
      </c>
      <c r="D1644" s="317">
        <v>6</v>
      </c>
      <c r="E1644" s="347" t="s">
        <v>49</v>
      </c>
      <c r="F1644" s="307">
        <v>34034</v>
      </c>
      <c r="G1644" s="307">
        <v>1160</v>
      </c>
    </row>
    <row r="1645" spans="2:7">
      <c r="B1645" s="347">
        <v>201206</v>
      </c>
      <c r="C1645" s="347">
        <v>2012</v>
      </c>
      <c r="D1645" s="317">
        <v>6</v>
      </c>
      <c r="E1645" s="347" t="s">
        <v>50</v>
      </c>
      <c r="F1645" s="307">
        <v>85189</v>
      </c>
      <c r="G1645" s="307">
        <v>761</v>
      </c>
    </row>
    <row r="1646" spans="2:7">
      <c r="B1646" s="347">
        <v>201206</v>
      </c>
      <c r="C1646" s="347">
        <v>2012</v>
      </c>
      <c r="D1646" s="317">
        <v>6</v>
      </c>
      <c r="E1646" s="347" t="s">
        <v>51</v>
      </c>
      <c r="F1646" s="307">
        <v>609481</v>
      </c>
      <c r="G1646" s="307">
        <v>4929</v>
      </c>
    </row>
    <row r="1647" spans="2:7">
      <c r="B1647" s="347">
        <v>201206</v>
      </c>
      <c r="C1647" s="347">
        <v>2012</v>
      </c>
      <c r="D1647" s="317">
        <v>6</v>
      </c>
      <c r="E1647" s="347" t="s">
        <v>52</v>
      </c>
      <c r="F1647" s="307">
        <v>171</v>
      </c>
      <c r="G1647" s="307">
        <v>20</v>
      </c>
    </row>
    <row r="1648" spans="2:7">
      <c r="B1648" s="347">
        <v>201206</v>
      </c>
      <c r="C1648" s="347">
        <v>2012</v>
      </c>
      <c r="D1648" s="317">
        <v>6</v>
      </c>
      <c r="E1648" s="347" t="s">
        <v>53</v>
      </c>
      <c r="F1648" s="307">
        <v>787</v>
      </c>
      <c r="G1648" s="307">
        <v>86</v>
      </c>
    </row>
    <row r="1649" spans="2:7">
      <c r="B1649" s="347">
        <v>201206</v>
      </c>
      <c r="C1649" s="347">
        <v>2012</v>
      </c>
      <c r="D1649" s="317">
        <v>6</v>
      </c>
      <c r="E1649" s="347" t="s">
        <v>54</v>
      </c>
      <c r="F1649" s="307">
        <v>117046</v>
      </c>
      <c r="G1649" s="307">
        <v>1334</v>
      </c>
    </row>
    <row r="1650" spans="2:7">
      <c r="B1650" s="347">
        <v>201206</v>
      </c>
      <c r="C1650" s="347">
        <v>2012</v>
      </c>
      <c r="D1650" s="317">
        <v>6</v>
      </c>
      <c r="E1650" s="347" t="s">
        <v>55</v>
      </c>
      <c r="F1650" s="307">
        <v>0</v>
      </c>
      <c r="G1650" s="307">
        <v>39</v>
      </c>
    </row>
    <row r="1651" spans="2:7">
      <c r="B1651" s="347">
        <v>201206</v>
      </c>
      <c r="C1651" s="347">
        <v>2012</v>
      </c>
      <c r="D1651" s="317">
        <v>6</v>
      </c>
      <c r="E1651" s="347" t="s">
        <v>56</v>
      </c>
      <c r="F1651" s="307">
        <v>36086</v>
      </c>
      <c r="G1651" s="307">
        <v>283</v>
      </c>
    </row>
    <row r="1652" spans="2:7">
      <c r="B1652" s="347">
        <v>201206</v>
      </c>
      <c r="C1652" s="347">
        <v>2012</v>
      </c>
      <c r="D1652" s="317">
        <v>6</v>
      </c>
      <c r="E1652" s="347" t="s">
        <v>57</v>
      </c>
      <c r="F1652" s="307">
        <v>0</v>
      </c>
      <c r="G1652" s="307">
        <v>123</v>
      </c>
    </row>
    <row r="1653" spans="2:7">
      <c r="B1653" s="347">
        <v>201206</v>
      </c>
      <c r="C1653" s="347">
        <v>2012</v>
      </c>
      <c r="D1653" s="317">
        <v>6</v>
      </c>
      <c r="E1653" s="347" t="s">
        <v>58</v>
      </c>
      <c r="F1653" s="307">
        <v>79575</v>
      </c>
      <c r="G1653" s="307">
        <v>537</v>
      </c>
    </row>
    <row r="1654" spans="2:7">
      <c r="B1654" s="347">
        <v>201206</v>
      </c>
      <c r="C1654" s="347">
        <v>2012</v>
      </c>
      <c r="D1654" s="317">
        <v>6</v>
      </c>
      <c r="E1654" s="347" t="s">
        <v>59</v>
      </c>
      <c r="F1654" s="307">
        <v>5169</v>
      </c>
      <c r="G1654" s="307">
        <v>260</v>
      </c>
    </row>
    <row r="1655" spans="2:7">
      <c r="B1655" s="347">
        <v>201206</v>
      </c>
      <c r="C1655" s="347">
        <v>2012</v>
      </c>
      <c r="D1655" s="317">
        <v>6</v>
      </c>
      <c r="E1655" s="347" t="s">
        <v>60</v>
      </c>
      <c r="F1655" s="307">
        <v>14855</v>
      </c>
      <c r="G1655" s="307">
        <v>470</v>
      </c>
    </row>
    <row r="1656" spans="2:7">
      <c r="B1656" s="347">
        <v>201206</v>
      </c>
      <c r="C1656" s="347">
        <v>2012</v>
      </c>
      <c r="D1656" s="317">
        <v>6</v>
      </c>
      <c r="E1656" s="347" t="s">
        <v>248</v>
      </c>
      <c r="F1656" s="307">
        <v>465215</v>
      </c>
      <c r="G1656" s="307">
        <v>5491</v>
      </c>
    </row>
    <row r="1657" spans="2:7">
      <c r="B1657" s="347">
        <v>201206</v>
      </c>
      <c r="C1657" s="347">
        <v>2012</v>
      </c>
      <c r="D1657" s="317">
        <v>6</v>
      </c>
      <c r="E1657" s="347" t="s">
        <v>119</v>
      </c>
      <c r="F1657" s="307">
        <v>882800</v>
      </c>
      <c r="G1657" s="307">
        <v>9641</v>
      </c>
    </row>
    <row r="1658" spans="2:7">
      <c r="B1658" s="347">
        <v>201206</v>
      </c>
      <c r="C1658" s="347">
        <v>2012</v>
      </c>
      <c r="D1658" s="317">
        <v>6</v>
      </c>
      <c r="E1658" s="347" t="s">
        <v>63</v>
      </c>
      <c r="F1658" s="307">
        <v>75855</v>
      </c>
      <c r="G1658" s="307">
        <v>1250</v>
      </c>
    </row>
    <row r="1659" spans="2:7">
      <c r="B1659" s="347">
        <v>201206</v>
      </c>
      <c r="C1659" s="347">
        <v>2012</v>
      </c>
      <c r="D1659" s="317">
        <v>6</v>
      </c>
      <c r="E1659" s="347" t="s">
        <v>120</v>
      </c>
      <c r="F1659" s="307">
        <v>733655</v>
      </c>
      <c r="G1659" s="307">
        <v>7016</v>
      </c>
    </row>
    <row r="1660" spans="2:7">
      <c r="B1660" s="347">
        <v>201206</v>
      </c>
      <c r="C1660" s="347">
        <v>2012</v>
      </c>
      <c r="D1660" s="317">
        <v>6</v>
      </c>
      <c r="E1660" s="347" t="s">
        <v>65</v>
      </c>
      <c r="F1660" s="307">
        <v>1616</v>
      </c>
      <c r="G1660" s="307">
        <v>144</v>
      </c>
    </row>
    <row r="1661" spans="2:7">
      <c r="B1661" s="347">
        <v>201206</v>
      </c>
      <c r="C1661" s="347">
        <v>2012</v>
      </c>
      <c r="D1661" s="317">
        <v>6</v>
      </c>
      <c r="E1661" s="347" t="s">
        <v>67</v>
      </c>
      <c r="F1661" s="307">
        <v>24224</v>
      </c>
      <c r="G1661" s="307">
        <v>1106</v>
      </c>
    </row>
    <row r="1662" spans="2:7">
      <c r="B1662" s="347">
        <v>201206</v>
      </c>
      <c r="C1662" s="347">
        <v>2012</v>
      </c>
      <c r="D1662" s="317">
        <v>6</v>
      </c>
      <c r="E1662" s="347" t="s">
        <v>68</v>
      </c>
      <c r="F1662" s="307">
        <v>57199</v>
      </c>
      <c r="G1662" s="307">
        <v>1372</v>
      </c>
    </row>
    <row r="1663" spans="2:7">
      <c r="B1663" s="347">
        <v>201206</v>
      </c>
      <c r="C1663" s="347">
        <v>2012</v>
      </c>
      <c r="D1663" s="317">
        <v>6</v>
      </c>
      <c r="E1663" s="347" t="s">
        <v>69</v>
      </c>
      <c r="F1663" s="307">
        <v>2473</v>
      </c>
      <c r="G1663" s="307">
        <v>154</v>
      </c>
    </row>
    <row r="1664" spans="2:7">
      <c r="B1664" s="347">
        <v>201206</v>
      </c>
      <c r="C1664" s="347">
        <v>2012</v>
      </c>
      <c r="D1664" s="317">
        <v>6</v>
      </c>
      <c r="E1664" s="347" t="s">
        <v>70</v>
      </c>
      <c r="F1664" s="307">
        <v>12182</v>
      </c>
      <c r="G1664" s="307">
        <v>1257</v>
      </c>
    </row>
    <row r="1665" spans="2:7">
      <c r="B1665" s="347">
        <v>201206</v>
      </c>
      <c r="C1665" s="347">
        <v>2012</v>
      </c>
      <c r="D1665" s="317">
        <v>6</v>
      </c>
      <c r="E1665" s="347" t="s">
        <v>71</v>
      </c>
      <c r="F1665" s="307">
        <v>3191</v>
      </c>
      <c r="G1665" s="307">
        <v>184</v>
      </c>
    </row>
    <row r="1666" spans="2:7">
      <c r="B1666" s="347">
        <v>201206</v>
      </c>
      <c r="C1666" s="347">
        <v>2012</v>
      </c>
      <c r="D1666" s="317">
        <v>6</v>
      </c>
      <c r="E1666" s="347" t="s">
        <v>72</v>
      </c>
      <c r="F1666" s="307">
        <v>14250</v>
      </c>
      <c r="G1666" s="307">
        <v>1073</v>
      </c>
    </row>
    <row r="1667" spans="2:7">
      <c r="B1667" s="347">
        <v>201206</v>
      </c>
      <c r="C1667" s="347">
        <v>2012</v>
      </c>
      <c r="D1667" s="317">
        <v>6</v>
      </c>
      <c r="E1667" s="347" t="s">
        <v>73</v>
      </c>
      <c r="F1667" s="307">
        <v>3953</v>
      </c>
      <c r="G1667" s="307">
        <v>695</v>
      </c>
    </row>
    <row r="1668" spans="2:7">
      <c r="B1668" s="347">
        <v>201206</v>
      </c>
      <c r="C1668" s="347">
        <v>2012</v>
      </c>
      <c r="D1668" s="317">
        <v>6</v>
      </c>
      <c r="E1668" s="347" t="s">
        <v>74</v>
      </c>
      <c r="F1668" s="307">
        <v>342880</v>
      </c>
      <c r="G1668" s="307">
        <v>3144</v>
      </c>
    </row>
    <row r="1669" spans="2:7">
      <c r="B1669" s="347">
        <v>201206</v>
      </c>
      <c r="C1669" s="347">
        <v>2012</v>
      </c>
      <c r="D1669" s="317">
        <v>6</v>
      </c>
      <c r="E1669" s="347" t="s">
        <v>75</v>
      </c>
      <c r="F1669" s="307">
        <v>768</v>
      </c>
      <c r="G1669" s="307">
        <v>228</v>
      </c>
    </row>
    <row r="1670" spans="2:7">
      <c r="B1670" s="347">
        <v>201206</v>
      </c>
      <c r="C1670" s="347">
        <v>2012</v>
      </c>
      <c r="D1670" s="317">
        <v>6</v>
      </c>
      <c r="E1670" s="347" t="s">
        <v>249</v>
      </c>
      <c r="F1670" s="307">
        <v>415087</v>
      </c>
      <c r="G1670" s="307">
        <v>3317</v>
      </c>
    </row>
    <row r="1671" spans="2:7">
      <c r="B1671" s="347">
        <v>201206</v>
      </c>
      <c r="C1671" s="347">
        <v>2012</v>
      </c>
      <c r="D1671" s="317">
        <v>6</v>
      </c>
      <c r="E1671" s="347" t="s">
        <v>77</v>
      </c>
      <c r="F1671" s="307">
        <v>23</v>
      </c>
      <c r="G1671" s="307">
        <v>48</v>
      </c>
    </row>
    <row r="1672" spans="2:7">
      <c r="B1672" s="347">
        <v>201206</v>
      </c>
      <c r="C1672" s="347">
        <v>2012</v>
      </c>
      <c r="D1672" s="317">
        <v>6</v>
      </c>
      <c r="E1672" s="347" t="s">
        <v>34</v>
      </c>
      <c r="F1672" s="307">
        <v>2037561</v>
      </c>
      <c r="G1672" s="307">
        <v>15270</v>
      </c>
    </row>
    <row r="1673" spans="2:7">
      <c r="B1673" s="347">
        <v>201206</v>
      </c>
      <c r="C1673" s="347">
        <v>2012</v>
      </c>
      <c r="D1673" s="317">
        <v>6</v>
      </c>
      <c r="E1673" s="347" t="s">
        <v>79</v>
      </c>
      <c r="F1673" s="307">
        <v>1511</v>
      </c>
      <c r="G1673" s="307">
        <v>120</v>
      </c>
    </row>
    <row r="1674" spans="2:7">
      <c r="B1674" s="347">
        <v>201206</v>
      </c>
      <c r="C1674" s="347">
        <v>2012</v>
      </c>
      <c r="D1674" s="317">
        <v>6</v>
      </c>
      <c r="E1674" s="347" t="s">
        <v>80</v>
      </c>
      <c r="F1674" s="307">
        <v>482774</v>
      </c>
      <c r="G1674" s="307">
        <v>4320</v>
      </c>
    </row>
    <row r="1675" spans="2:7">
      <c r="B1675" s="347">
        <v>201206</v>
      </c>
      <c r="C1675" s="347">
        <v>2012</v>
      </c>
      <c r="D1675" s="317">
        <v>6</v>
      </c>
      <c r="E1675" s="347" t="s">
        <v>81</v>
      </c>
      <c r="F1675" s="307">
        <v>19240</v>
      </c>
      <c r="G1675" s="307">
        <v>515</v>
      </c>
    </row>
    <row r="1676" spans="2:7">
      <c r="B1676" s="347">
        <v>201206</v>
      </c>
      <c r="C1676" s="347">
        <v>2012</v>
      </c>
      <c r="D1676" s="317">
        <v>6</v>
      </c>
      <c r="E1676" s="347" t="s">
        <v>82</v>
      </c>
      <c r="F1676" s="307">
        <v>41035</v>
      </c>
      <c r="G1676" s="307">
        <v>1812</v>
      </c>
    </row>
    <row r="1677" spans="2:7">
      <c r="B1677" s="347">
        <v>201206</v>
      </c>
      <c r="C1677" s="347">
        <v>2012</v>
      </c>
      <c r="D1677" s="317">
        <v>6</v>
      </c>
      <c r="E1677" s="347" t="s">
        <v>250</v>
      </c>
      <c r="F1677" s="307">
        <v>26</v>
      </c>
      <c r="G1677" s="307">
        <v>270</v>
      </c>
    </row>
    <row r="1678" spans="2:7">
      <c r="B1678" s="347">
        <v>201206</v>
      </c>
      <c r="C1678" s="347">
        <v>2012</v>
      </c>
      <c r="D1678" s="317">
        <v>6</v>
      </c>
      <c r="E1678" s="347" t="s">
        <v>84</v>
      </c>
      <c r="F1678" s="307">
        <v>8171</v>
      </c>
      <c r="G1678" s="307">
        <v>424</v>
      </c>
    </row>
    <row r="1679" spans="2:7">
      <c r="B1679" s="347">
        <v>201206</v>
      </c>
      <c r="C1679" s="347">
        <v>2012</v>
      </c>
      <c r="D1679" s="317">
        <v>6</v>
      </c>
      <c r="E1679" s="347" t="s">
        <v>86</v>
      </c>
      <c r="F1679" s="307">
        <v>114792</v>
      </c>
      <c r="G1679" s="307">
        <v>825</v>
      </c>
    </row>
    <row r="1680" spans="2:7">
      <c r="B1680" s="347">
        <v>201206</v>
      </c>
      <c r="C1680" s="347">
        <v>2012</v>
      </c>
      <c r="D1680" s="317">
        <v>6</v>
      </c>
      <c r="E1680" s="347" t="s">
        <v>87</v>
      </c>
      <c r="F1680" s="307">
        <v>24646</v>
      </c>
      <c r="G1680" s="307">
        <v>1125</v>
      </c>
    </row>
    <row r="1681" spans="2:7">
      <c r="B1681" s="347">
        <v>201206</v>
      </c>
      <c r="C1681" s="347">
        <v>2012</v>
      </c>
      <c r="D1681" s="317">
        <v>6</v>
      </c>
      <c r="E1681" s="347" t="s">
        <v>88</v>
      </c>
      <c r="F1681" s="307">
        <v>46</v>
      </c>
      <c r="G1681" s="307">
        <v>42</v>
      </c>
    </row>
    <row r="1682" spans="2:7">
      <c r="B1682" s="347">
        <v>201206</v>
      </c>
      <c r="C1682" s="347">
        <v>2012</v>
      </c>
      <c r="D1682" s="317">
        <v>6</v>
      </c>
      <c r="E1682" s="347" t="s">
        <v>89</v>
      </c>
      <c r="F1682" s="307">
        <v>163990</v>
      </c>
      <c r="G1682" s="307">
        <v>3610</v>
      </c>
    </row>
    <row r="1683" spans="2:7">
      <c r="B1683" s="347">
        <v>201206</v>
      </c>
      <c r="C1683" s="347">
        <v>2012</v>
      </c>
      <c r="D1683" s="317">
        <v>6</v>
      </c>
      <c r="E1683" s="347" t="s">
        <v>90</v>
      </c>
      <c r="F1683" s="307">
        <v>10346</v>
      </c>
      <c r="G1683" s="307">
        <v>764</v>
      </c>
    </row>
    <row r="1684" spans="2:7">
      <c r="B1684" s="347">
        <v>201206</v>
      </c>
      <c r="C1684" s="347">
        <v>2012</v>
      </c>
      <c r="D1684" s="317">
        <v>6</v>
      </c>
      <c r="E1684" s="347" t="s">
        <v>91</v>
      </c>
      <c r="F1684" s="307">
        <v>14471</v>
      </c>
      <c r="G1684" s="307">
        <v>924</v>
      </c>
    </row>
    <row r="1685" spans="2:7">
      <c r="B1685" s="347">
        <v>201206</v>
      </c>
      <c r="C1685" s="347">
        <v>2012</v>
      </c>
      <c r="D1685" s="317">
        <v>6</v>
      </c>
      <c r="E1685" s="347" t="s">
        <v>92</v>
      </c>
      <c r="F1685" s="307">
        <v>0</v>
      </c>
      <c r="G1685" s="307">
        <v>240</v>
      </c>
    </row>
    <row r="1686" spans="2:7">
      <c r="B1686" s="347">
        <v>201206</v>
      </c>
      <c r="C1686" s="347">
        <v>2012</v>
      </c>
      <c r="D1686" s="317">
        <v>6</v>
      </c>
      <c r="E1686" s="347" t="s">
        <v>93</v>
      </c>
      <c r="F1686" s="307">
        <v>904</v>
      </c>
      <c r="G1686" s="307">
        <v>97</v>
      </c>
    </row>
    <row r="1687" spans="2:7">
      <c r="B1687" s="347">
        <v>201206</v>
      </c>
      <c r="C1687" s="347">
        <v>2012</v>
      </c>
      <c r="D1687" s="317">
        <v>6</v>
      </c>
      <c r="E1687" s="347" t="s">
        <v>94</v>
      </c>
      <c r="F1687" s="307">
        <v>1747</v>
      </c>
      <c r="G1687" s="307">
        <v>166</v>
      </c>
    </row>
    <row r="1688" spans="2:7">
      <c r="B1688" s="347">
        <v>201205</v>
      </c>
      <c r="C1688" s="347">
        <v>2012</v>
      </c>
      <c r="D1688" s="317">
        <v>5</v>
      </c>
      <c r="E1688" s="347" t="s">
        <v>251</v>
      </c>
      <c r="F1688" s="307">
        <v>2973932</v>
      </c>
      <c r="G1688" s="307">
        <v>21622</v>
      </c>
    </row>
    <row r="1689" spans="2:7">
      <c r="B1689" s="347">
        <v>201205</v>
      </c>
      <c r="C1689" s="347">
        <v>2012</v>
      </c>
      <c r="D1689" s="317">
        <v>5</v>
      </c>
      <c r="E1689" s="347" t="s">
        <v>117</v>
      </c>
      <c r="F1689" s="307">
        <v>5831703</v>
      </c>
      <c r="G1689" s="307">
        <v>40785</v>
      </c>
    </row>
    <row r="1690" spans="2:7">
      <c r="B1690" s="347">
        <v>201205</v>
      </c>
      <c r="C1690" s="347">
        <v>2012</v>
      </c>
      <c r="D1690" s="317">
        <v>5</v>
      </c>
      <c r="E1690" s="347" t="s">
        <v>37</v>
      </c>
      <c r="F1690" s="307">
        <v>263107</v>
      </c>
      <c r="G1690" s="307">
        <v>6025</v>
      </c>
    </row>
    <row r="1691" spans="2:7">
      <c r="B1691" s="347">
        <v>201205</v>
      </c>
      <c r="C1691" s="347">
        <v>2012</v>
      </c>
      <c r="D1691" s="317">
        <v>5</v>
      </c>
      <c r="E1691" s="347" t="s">
        <v>104</v>
      </c>
      <c r="F1691" s="307">
        <v>879417</v>
      </c>
      <c r="G1691" s="307">
        <v>7080</v>
      </c>
    </row>
    <row r="1692" spans="2:7">
      <c r="B1692" s="347">
        <v>201205</v>
      </c>
      <c r="C1692" s="347">
        <v>2012</v>
      </c>
      <c r="D1692" s="317">
        <v>5</v>
      </c>
      <c r="E1692" s="347" t="s">
        <v>118</v>
      </c>
      <c r="F1692" s="307">
        <v>66529</v>
      </c>
      <c r="G1692" s="307">
        <v>900</v>
      </c>
    </row>
    <row r="1693" spans="2:7">
      <c r="B1693" s="347">
        <v>201205</v>
      </c>
      <c r="C1693" s="347">
        <v>2012</v>
      </c>
      <c r="D1693" s="317">
        <v>5</v>
      </c>
      <c r="E1693" s="347" t="s">
        <v>103</v>
      </c>
      <c r="F1693" s="307">
        <v>1546470</v>
      </c>
      <c r="G1693" s="307">
        <v>11884</v>
      </c>
    </row>
    <row r="1694" spans="2:7">
      <c r="B1694" s="347">
        <v>201205</v>
      </c>
      <c r="C1694" s="347">
        <v>2012</v>
      </c>
      <c r="D1694" s="317">
        <v>5</v>
      </c>
      <c r="E1694" s="347" t="s">
        <v>41</v>
      </c>
      <c r="F1694" s="307">
        <v>0</v>
      </c>
      <c r="G1694" s="307">
        <v>187</v>
      </c>
    </row>
    <row r="1695" spans="2:7">
      <c r="B1695" s="347">
        <v>201205</v>
      </c>
      <c r="C1695" s="347">
        <v>2012</v>
      </c>
      <c r="D1695" s="317">
        <v>5</v>
      </c>
      <c r="E1695" s="347" t="s">
        <v>95</v>
      </c>
      <c r="F1695" s="307">
        <v>5781</v>
      </c>
      <c r="G1695" s="307">
        <v>588</v>
      </c>
    </row>
    <row r="1696" spans="2:7">
      <c r="B1696" s="347">
        <v>201205</v>
      </c>
      <c r="C1696" s="347">
        <v>2012</v>
      </c>
      <c r="D1696" s="317">
        <v>5</v>
      </c>
      <c r="E1696" s="347" t="s">
        <v>96</v>
      </c>
      <c r="F1696" s="307">
        <v>74754</v>
      </c>
      <c r="G1696" s="307">
        <v>3148</v>
      </c>
    </row>
    <row r="1697" spans="2:7">
      <c r="B1697" s="347">
        <v>201205</v>
      </c>
      <c r="C1697" s="347">
        <v>2012</v>
      </c>
      <c r="D1697" s="317">
        <v>5</v>
      </c>
      <c r="E1697" s="347" t="s">
        <v>97</v>
      </c>
      <c r="F1697" s="307">
        <v>57051</v>
      </c>
      <c r="G1697" s="307">
        <v>2191</v>
      </c>
    </row>
    <row r="1698" spans="2:7">
      <c r="B1698" s="347">
        <v>201205</v>
      </c>
      <c r="C1698" s="347">
        <v>2012</v>
      </c>
      <c r="D1698" s="317">
        <v>5</v>
      </c>
      <c r="E1698" s="347" t="s">
        <v>98</v>
      </c>
      <c r="F1698" s="307">
        <v>131500</v>
      </c>
      <c r="G1698" s="307">
        <v>3603</v>
      </c>
    </row>
    <row r="1699" spans="2:7">
      <c r="B1699" s="347">
        <v>201205</v>
      </c>
      <c r="C1699" s="347">
        <v>2012</v>
      </c>
      <c r="D1699" s="317">
        <v>5</v>
      </c>
      <c r="E1699" s="347" t="s">
        <v>121</v>
      </c>
      <c r="F1699" s="307">
        <v>294845</v>
      </c>
      <c r="G1699" s="307">
        <v>9350</v>
      </c>
    </row>
    <row r="1700" spans="2:7">
      <c r="B1700" s="347">
        <v>201205</v>
      </c>
      <c r="C1700" s="347">
        <v>2012</v>
      </c>
      <c r="D1700" s="317">
        <v>5</v>
      </c>
      <c r="E1700" s="347" t="s">
        <v>43</v>
      </c>
      <c r="F1700" s="307">
        <v>1167</v>
      </c>
      <c r="G1700" s="307">
        <v>119</v>
      </c>
    </row>
    <row r="1701" spans="2:7">
      <c r="B1701" s="347">
        <v>201205</v>
      </c>
      <c r="C1701" s="347">
        <v>2012</v>
      </c>
      <c r="D1701" s="317">
        <v>5</v>
      </c>
      <c r="E1701" s="347" t="s">
        <v>252</v>
      </c>
      <c r="F1701" s="307">
        <v>207723</v>
      </c>
      <c r="G1701" s="307">
        <v>3594</v>
      </c>
    </row>
    <row r="1702" spans="2:7">
      <c r="B1702" s="347">
        <v>201205</v>
      </c>
      <c r="C1702" s="347">
        <v>2012</v>
      </c>
      <c r="D1702" s="317">
        <v>5</v>
      </c>
      <c r="E1702" s="347" t="s">
        <v>45</v>
      </c>
      <c r="F1702" s="307">
        <v>382527</v>
      </c>
      <c r="G1702" s="307">
        <v>3765</v>
      </c>
    </row>
    <row r="1703" spans="2:7">
      <c r="B1703" s="347">
        <v>201205</v>
      </c>
      <c r="C1703" s="347">
        <v>2012</v>
      </c>
      <c r="D1703" s="317">
        <v>5</v>
      </c>
      <c r="E1703" s="347" t="s">
        <v>46</v>
      </c>
      <c r="F1703" s="307">
        <v>2964</v>
      </c>
      <c r="G1703" s="307">
        <v>365</v>
      </c>
    </row>
    <row r="1704" spans="2:7">
      <c r="B1704" s="347">
        <v>201205</v>
      </c>
      <c r="C1704" s="347">
        <v>2012</v>
      </c>
      <c r="D1704" s="317">
        <v>5</v>
      </c>
      <c r="E1704" s="347" t="s">
        <v>47</v>
      </c>
      <c r="F1704" s="307">
        <v>0</v>
      </c>
      <c r="G1704" s="307">
        <v>579</v>
      </c>
    </row>
    <row r="1705" spans="2:7">
      <c r="B1705" s="347">
        <v>201205</v>
      </c>
      <c r="C1705" s="347">
        <v>2012</v>
      </c>
      <c r="D1705" s="317">
        <v>5</v>
      </c>
      <c r="E1705" s="347" t="s">
        <v>212</v>
      </c>
      <c r="F1705" s="307">
        <v>790505</v>
      </c>
      <c r="G1705" s="307">
        <v>7923</v>
      </c>
    </row>
    <row r="1706" spans="2:7">
      <c r="B1706" s="347">
        <v>201205</v>
      </c>
      <c r="C1706" s="347">
        <v>2012</v>
      </c>
      <c r="D1706" s="317">
        <v>5</v>
      </c>
      <c r="E1706" s="347" t="s">
        <v>49</v>
      </c>
      <c r="F1706" s="307">
        <v>20042</v>
      </c>
      <c r="G1706" s="307">
        <v>1056</v>
      </c>
    </row>
    <row r="1707" spans="2:7">
      <c r="B1707" s="347">
        <v>201205</v>
      </c>
      <c r="C1707" s="347">
        <v>2012</v>
      </c>
      <c r="D1707" s="317">
        <v>5</v>
      </c>
      <c r="E1707" s="347" t="s">
        <v>50</v>
      </c>
      <c r="F1707" s="307">
        <v>73994</v>
      </c>
      <c r="G1707" s="307">
        <v>730</v>
      </c>
    </row>
    <row r="1708" spans="2:7">
      <c r="B1708" s="347">
        <v>201205</v>
      </c>
      <c r="C1708" s="347">
        <v>2012</v>
      </c>
      <c r="D1708" s="317">
        <v>5</v>
      </c>
      <c r="E1708" s="347" t="s">
        <v>51</v>
      </c>
      <c r="F1708" s="307">
        <v>545034</v>
      </c>
      <c r="G1708" s="307">
        <v>4894</v>
      </c>
    </row>
    <row r="1709" spans="2:7">
      <c r="B1709" s="347">
        <v>201205</v>
      </c>
      <c r="C1709" s="347">
        <v>2012</v>
      </c>
      <c r="D1709" s="317">
        <v>5</v>
      </c>
      <c r="E1709" s="347" t="s">
        <v>52</v>
      </c>
      <c r="F1709" s="307">
        <v>102</v>
      </c>
      <c r="G1709" s="307">
        <v>6</v>
      </c>
    </row>
    <row r="1710" spans="2:7">
      <c r="B1710" s="347">
        <v>201205</v>
      </c>
      <c r="C1710" s="347">
        <v>2012</v>
      </c>
      <c r="D1710" s="317">
        <v>5</v>
      </c>
      <c r="E1710" s="347" t="s">
        <v>53</v>
      </c>
      <c r="F1710" s="307">
        <v>969</v>
      </c>
      <c r="G1710" s="307">
        <v>110</v>
      </c>
    </row>
    <row r="1711" spans="2:7">
      <c r="B1711" s="347">
        <v>201205</v>
      </c>
      <c r="C1711" s="347">
        <v>2012</v>
      </c>
      <c r="D1711" s="317">
        <v>5</v>
      </c>
      <c r="E1711" s="347" t="s">
        <v>54</v>
      </c>
      <c r="F1711" s="307">
        <v>99657</v>
      </c>
      <c r="G1711" s="307">
        <v>1322</v>
      </c>
    </row>
    <row r="1712" spans="2:7">
      <c r="B1712" s="347">
        <v>201205</v>
      </c>
      <c r="C1712" s="347">
        <v>2012</v>
      </c>
      <c r="D1712" s="317">
        <v>5</v>
      </c>
      <c r="E1712" s="347" t="s">
        <v>55</v>
      </c>
      <c r="F1712" s="307">
        <v>0</v>
      </c>
      <c r="G1712" s="307">
        <v>62</v>
      </c>
    </row>
    <row r="1713" spans="2:7">
      <c r="B1713" s="347">
        <v>201205</v>
      </c>
      <c r="C1713" s="347">
        <v>2012</v>
      </c>
      <c r="D1713" s="317">
        <v>5</v>
      </c>
      <c r="E1713" s="347" t="s">
        <v>56</v>
      </c>
      <c r="F1713" s="307">
        <v>34770</v>
      </c>
      <c r="G1713" s="307">
        <v>289</v>
      </c>
    </row>
    <row r="1714" spans="2:7">
      <c r="B1714" s="347">
        <v>201205</v>
      </c>
      <c r="C1714" s="347">
        <v>2012</v>
      </c>
      <c r="D1714" s="317">
        <v>5</v>
      </c>
      <c r="E1714" s="347" t="s">
        <v>57</v>
      </c>
      <c r="F1714" s="307">
        <v>0</v>
      </c>
      <c r="G1714" s="307">
        <v>181</v>
      </c>
    </row>
    <row r="1715" spans="2:7">
      <c r="B1715" s="347">
        <v>201205</v>
      </c>
      <c r="C1715" s="347">
        <v>2012</v>
      </c>
      <c r="D1715" s="317">
        <v>5</v>
      </c>
      <c r="E1715" s="347" t="s">
        <v>58</v>
      </c>
      <c r="F1715" s="307">
        <v>67566</v>
      </c>
      <c r="G1715" s="307">
        <v>452</v>
      </c>
    </row>
    <row r="1716" spans="2:7">
      <c r="B1716" s="347">
        <v>201205</v>
      </c>
      <c r="C1716" s="347">
        <v>2012</v>
      </c>
      <c r="D1716" s="317">
        <v>5</v>
      </c>
      <c r="E1716" s="347" t="s">
        <v>59</v>
      </c>
      <c r="F1716" s="307">
        <v>4776</v>
      </c>
      <c r="G1716" s="307">
        <v>265</v>
      </c>
    </row>
    <row r="1717" spans="2:7">
      <c r="B1717" s="347">
        <v>201205</v>
      </c>
      <c r="C1717" s="347">
        <v>2012</v>
      </c>
      <c r="D1717" s="317">
        <v>5</v>
      </c>
      <c r="E1717" s="347" t="s">
        <v>60</v>
      </c>
      <c r="F1717" s="307">
        <v>13628</v>
      </c>
      <c r="G1717" s="307">
        <v>468</v>
      </c>
    </row>
    <row r="1718" spans="2:7">
      <c r="B1718" s="347">
        <v>201205</v>
      </c>
      <c r="C1718" s="347">
        <v>2012</v>
      </c>
      <c r="D1718" s="317">
        <v>5</v>
      </c>
      <c r="E1718" s="347" t="s">
        <v>248</v>
      </c>
      <c r="F1718" s="307">
        <v>409405</v>
      </c>
      <c r="G1718" s="307">
        <v>5699</v>
      </c>
    </row>
    <row r="1719" spans="2:7">
      <c r="B1719" s="347">
        <v>201205</v>
      </c>
      <c r="C1719" s="347">
        <v>2012</v>
      </c>
      <c r="D1719" s="317">
        <v>5</v>
      </c>
      <c r="E1719" s="347" t="s">
        <v>119</v>
      </c>
      <c r="F1719" s="307">
        <v>844266</v>
      </c>
      <c r="G1719" s="307">
        <v>9875</v>
      </c>
    </row>
    <row r="1720" spans="2:7">
      <c r="B1720" s="347">
        <v>201205</v>
      </c>
      <c r="C1720" s="347">
        <v>2012</v>
      </c>
      <c r="D1720" s="317">
        <v>5</v>
      </c>
      <c r="E1720" s="347" t="s">
        <v>63</v>
      </c>
      <c r="F1720" s="307">
        <v>71881</v>
      </c>
      <c r="G1720" s="307">
        <v>1289</v>
      </c>
    </row>
    <row r="1721" spans="2:7">
      <c r="B1721" s="347">
        <v>201205</v>
      </c>
      <c r="C1721" s="347">
        <v>2012</v>
      </c>
      <c r="D1721" s="317">
        <v>5</v>
      </c>
      <c r="E1721" s="347" t="s">
        <v>120</v>
      </c>
      <c r="F1721" s="307">
        <v>658366</v>
      </c>
      <c r="G1721" s="307">
        <v>6834</v>
      </c>
    </row>
    <row r="1722" spans="2:7">
      <c r="B1722" s="347">
        <v>201205</v>
      </c>
      <c r="C1722" s="347">
        <v>2012</v>
      </c>
      <c r="D1722" s="317">
        <v>5</v>
      </c>
      <c r="E1722" s="347" t="s">
        <v>65</v>
      </c>
      <c r="F1722" s="307">
        <v>1423</v>
      </c>
      <c r="G1722" s="307">
        <v>145</v>
      </c>
    </row>
    <row r="1723" spans="2:7">
      <c r="B1723" s="347">
        <v>201205</v>
      </c>
      <c r="C1723" s="347">
        <v>2012</v>
      </c>
      <c r="D1723" s="317">
        <v>5</v>
      </c>
      <c r="E1723" s="347" t="s">
        <v>67</v>
      </c>
      <c r="F1723" s="307">
        <v>22197</v>
      </c>
      <c r="G1723" s="307">
        <v>1250</v>
      </c>
    </row>
    <row r="1724" spans="2:7">
      <c r="B1724" s="347">
        <v>201205</v>
      </c>
      <c r="C1724" s="347">
        <v>2012</v>
      </c>
      <c r="D1724" s="317">
        <v>5</v>
      </c>
      <c r="E1724" s="347" t="s">
        <v>68</v>
      </c>
      <c r="F1724" s="307">
        <v>54698</v>
      </c>
      <c r="G1724" s="307">
        <v>1361</v>
      </c>
    </row>
    <row r="1725" spans="2:7">
      <c r="B1725" s="347">
        <v>201205</v>
      </c>
      <c r="C1725" s="347">
        <v>2012</v>
      </c>
      <c r="D1725" s="317">
        <v>5</v>
      </c>
      <c r="E1725" s="347" t="s">
        <v>69</v>
      </c>
      <c r="F1725" s="307">
        <v>2841</v>
      </c>
      <c r="G1725" s="307">
        <v>169</v>
      </c>
    </row>
    <row r="1726" spans="2:7">
      <c r="B1726" s="347">
        <v>201205</v>
      </c>
      <c r="C1726" s="347">
        <v>2012</v>
      </c>
      <c r="D1726" s="317">
        <v>5</v>
      </c>
      <c r="E1726" s="347" t="s">
        <v>70</v>
      </c>
      <c r="F1726" s="307">
        <v>12048</v>
      </c>
      <c r="G1726" s="307">
        <v>1298</v>
      </c>
    </row>
    <row r="1727" spans="2:7">
      <c r="B1727" s="347">
        <v>201205</v>
      </c>
      <c r="C1727" s="347">
        <v>2012</v>
      </c>
      <c r="D1727" s="317">
        <v>5</v>
      </c>
      <c r="E1727" s="347" t="s">
        <v>71</v>
      </c>
      <c r="F1727" s="307">
        <v>3182</v>
      </c>
      <c r="G1727" s="307">
        <v>198</v>
      </c>
    </row>
    <row r="1728" spans="2:7">
      <c r="B1728" s="347">
        <v>201205</v>
      </c>
      <c r="C1728" s="347">
        <v>2012</v>
      </c>
      <c r="D1728" s="317">
        <v>5</v>
      </c>
      <c r="E1728" s="347" t="s">
        <v>72</v>
      </c>
      <c r="F1728" s="307">
        <v>12963</v>
      </c>
      <c r="G1728" s="307">
        <v>1055</v>
      </c>
    </row>
    <row r="1729" spans="2:7">
      <c r="B1729" s="347">
        <v>201205</v>
      </c>
      <c r="C1729" s="347">
        <v>2012</v>
      </c>
      <c r="D1729" s="317">
        <v>5</v>
      </c>
      <c r="E1729" s="347" t="s">
        <v>73</v>
      </c>
      <c r="F1729" s="307">
        <v>3933</v>
      </c>
      <c r="G1729" s="307">
        <v>701</v>
      </c>
    </row>
    <row r="1730" spans="2:7">
      <c r="B1730" s="347">
        <v>201205</v>
      </c>
      <c r="C1730" s="347">
        <v>2012</v>
      </c>
      <c r="D1730" s="317">
        <v>5</v>
      </c>
      <c r="E1730" s="347" t="s">
        <v>74</v>
      </c>
      <c r="F1730" s="307">
        <v>275180</v>
      </c>
      <c r="G1730" s="307">
        <v>2886</v>
      </c>
    </row>
    <row r="1731" spans="2:7">
      <c r="B1731" s="347">
        <v>201205</v>
      </c>
      <c r="C1731" s="347">
        <v>2012</v>
      </c>
      <c r="D1731" s="317">
        <v>5</v>
      </c>
      <c r="E1731" s="347" t="s">
        <v>75</v>
      </c>
      <c r="F1731" s="307">
        <v>586</v>
      </c>
      <c r="G1731" s="307">
        <v>188</v>
      </c>
    </row>
    <row r="1732" spans="2:7">
      <c r="B1732" s="347">
        <v>201205</v>
      </c>
      <c r="C1732" s="347">
        <v>2012</v>
      </c>
      <c r="D1732" s="317">
        <v>5</v>
      </c>
      <c r="E1732" s="347" t="s">
        <v>249</v>
      </c>
      <c r="F1732" s="307">
        <v>389437</v>
      </c>
      <c r="G1732" s="307">
        <v>3330</v>
      </c>
    </row>
    <row r="1733" spans="2:7">
      <c r="B1733" s="347">
        <v>201205</v>
      </c>
      <c r="C1733" s="347">
        <v>2012</v>
      </c>
      <c r="D1733" s="317">
        <v>5</v>
      </c>
      <c r="E1733" s="347" t="s">
        <v>77</v>
      </c>
      <c r="F1733" s="307">
        <v>15</v>
      </c>
      <c r="G1733" s="307">
        <v>54</v>
      </c>
    </row>
    <row r="1734" spans="2:7">
      <c r="B1734" s="347">
        <v>201205</v>
      </c>
      <c r="C1734" s="347">
        <v>2012</v>
      </c>
      <c r="D1734" s="317">
        <v>5</v>
      </c>
      <c r="E1734" s="347" t="s">
        <v>34</v>
      </c>
      <c r="F1734" s="307">
        <v>1710326</v>
      </c>
      <c r="G1734" s="307">
        <v>14743</v>
      </c>
    </row>
    <row r="1735" spans="2:7">
      <c r="B1735" s="347">
        <v>201205</v>
      </c>
      <c r="C1735" s="347">
        <v>2012</v>
      </c>
      <c r="D1735" s="317">
        <v>5</v>
      </c>
      <c r="E1735" s="347" t="s">
        <v>79</v>
      </c>
      <c r="F1735" s="307">
        <v>331</v>
      </c>
      <c r="G1735" s="307">
        <v>94</v>
      </c>
    </row>
    <row r="1736" spans="2:7">
      <c r="B1736" s="347">
        <v>201205</v>
      </c>
      <c r="C1736" s="347">
        <v>2012</v>
      </c>
      <c r="D1736" s="317">
        <v>5</v>
      </c>
      <c r="E1736" s="347" t="s">
        <v>80</v>
      </c>
      <c r="F1736" s="307">
        <v>392147</v>
      </c>
      <c r="G1736" s="307">
        <v>4063</v>
      </c>
    </row>
    <row r="1737" spans="2:7">
      <c r="B1737" s="347">
        <v>201205</v>
      </c>
      <c r="C1737" s="347">
        <v>2012</v>
      </c>
      <c r="D1737" s="317">
        <v>5</v>
      </c>
      <c r="E1737" s="347" t="s">
        <v>81</v>
      </c>
      <c r="F1737" s="307">
        <v>17519</v>
      </c>
      <c r="G1737" s="307">
        <v>540</v>
      </c>
    </row>
    <row r="1738" spans="2:7">
      <c r="B1738" s="347">
        <v>201205</v>
      </c>
      <c r="C1738" s="347">
        <v>2012</v>
      </c>
      <c r="D1738" s="317">
        <v>5</v>
      </c>
      <c r="E1738" s="347" t="s">
        <v>82</v>
      </c>
      <c r="F1738" s="307">
        <v>41573</v>
      </c>
      <c r="G1738" s="307">
        <v>1864</v>
      </c>
    </row>
    <row r="1739" spans="2:7">
      <c r="B1739" s="347">
        <v>201205</v>
      </c>
      <c r="C1739" s="347">
        <v>2012</v>
      </c>
      <c r="D1739" s="317">
        <v>5</v>
      </c>
      <c r="E1739" s="347" t="s">
        <v>250</v>
      </c>
      <c r="F1739" s="307">
        <v>9</v>
      </c>
      <c r="G1739" s="307">
        <v>218</v>
      </c>
    </row>
    <row r="1740" spans="2:7">
      <c r="B1740" s="347">
        <v>201205</v>
      </c>
      <c r="C1740" s="347">
        <v>2012</v>
      </c>
      <c r="D1740" s="317">
        <v>5</v>
      </c>
      <c r="E1740" s="347" t="s">
        <v>84</v>
      </c>
      <c r="F1740" s="307">
        <v>7845</v>
      </c>
      <c r="G1740" s="307">
        <v>434</v>
      </c>
    </row>
    <row r="1741" spans="2:7">
      <c r="B1741" s="347">
        <v>201205</v>
      </c>
      <c r="C1741" s="347">
        <v>2012</v>
      </c>
      <c r="D1741" s="317">
        <v>5</v>
      </c>
      <c r="E1741" s="347" t="s">
        <v>86</v>
      </c>
      <c r="F1741" s="307">
        <v>105594</v>
      </c>
      <c r="G1741" s="307">
        <v>841</v>
      </c>
    </row>
    <row r="1742" spans="2:7">
      <c r="B1742" s="347">
        <v>201205</v>
      </c>
      <c r="C1742" s="347">
        <v>2012</v>
      </c>
      <c r="D1742" s="317">
        <v>5</v>
      </c>
      <c r="E1742" s="347" t="s">
        <v>87</v>
      </c>
      <c r="F1742" s="307">
        <v>26984</v>
      </c>
      <c r="G1742" s="307">
        <v>1267</v>
      </c>
    </row>
    <row r="1743" spans="2:7">
      <c r="B1743" s="347">
        <v>201205</v>
      </c>
      <c r="C1743" s="347">
        <v>2012</v>
      </c>
      <c r="D1743" s="317">
        <v>5</v>
      </c>
      <c r="E1743" s="347" t="s">
        <v>88</v>
      </c>
      <c r="F1743" s="307">
        <v>46</v>
      </c>
      <c r="G1743" s="307">
        <v>47</v>
      </c>
    </row>
    <row r="1744" spans="2:7">
      <c r="B1744" s="347">
        <v>201205</v>
      </c>
      <c r="C1744" s="347">
        <v>2012</v>
      </c>
      <c r="D1744" s="317">
        <v>5</v>
      </c>
      <c r="E1744" s="347" t="s">
        <v>89</v>
      </c>
      <c r="F1744" s="307">
        <v>150471</v>
      </c>
      <c r="G1744" s="307">
        <v>3616</v>
      </c>
    </row>
    <row r="1745" spans="2:7">
      <c r="B1745" s="347">
        <v>201205</v>
      </c>
      <c r="C1745" s="347">
        <v>2012</v>
      </c>
      <c r="D1745" s="317">
        <v>5</v>
      </c>
      <c r="E1745" s="347" t="s">
        <v>90</v>
      </c>
      <c r="F1745" s="307">
        <v>10365</v>
      </c>
      <c r="G1745" s="307">
        <v>811</v>
      </c>
    </row>
    <row r="1746" spans="2:7">
      <c r="B1746" s="347">
        <v>201205</v>
      </c>
      <c r="C1746" s="347">
        <v>2012</v>
      </c>
      <c r="D1746" s="317">
        <v>5</v>
      </c>
      <c r="E1746" s="347" t="s">
        <v>91</v>
      </c>
      <c r="F1746" s="307">
        <v>13269</v>
      </c>
      <c r="G1746" s="307">
        <v>904</v>
      </c>
    </row>
    <row r="1747" spans="2:7">
      <c r="B1747" s="347">
        <v>201205</v>
      </c>
      <c r="C1747" s="347">
        <v>2012</v>
      </c>
      <c r="D1747" s="317">
        <v>5</v>
      </c>
      <c r="E1747" s="347" t="s">
        <v>92</v>
      </c>
      <c r="F1747" s="307">
        <v>0</v>
      </c>
      <c r="G1747" s="307">
        <v>262</v>
      </c>
    </row>
    <row r="1748" spans="2:7">
      <c r="B1748" s="347">
        <v>201205</v>
      </c>
      <c r="C1748" s="347">
        <v>2012</v>
      </c>
      <c r="D1748" s="317">
        <v>5</v>
      </c>
      <c r="E1748" s="347" t="s">
        <v>93</v>
      </c>
      <c r="F1748" s="307">
        <v>756</v>
      </c>
      <c r="G1748" s="307">
        <v>100</v>
      </c>
    </row>
    <row r="1749" spans="2:7">
      <c r="B1749" s="347">
        <v>201205</v>
      </c>
      <c r="C1749" s="347">
        <v>2012</v>
      </c>
      <c r="D1749" s="317">
        <v>5</v>
      </c>
      <c r="E1749" s="347" t="s">
        <v>94</v>
      </c>
      <c r="F1749" s="307">
        <v>2140</v>
      </c>
      <c r="G1749" s="307">
        <v>195</v>
      </c>
    </row>
    <row r="1750" spans="2:7">
      <c r="B1750" s="347">
        <v>201204</v>
      </c>
      <c r="C1750" s="347">
        <v>2012</v>
      </c>
      <c r="D1750" s="317">
        <v>4</v>
      </c>
      <c r="E1750" s="347" t="s">
        <v>251</v>
      </c>
      <c r="F1750" s="307">
        <v>2722501</v>
      </c>
      <c r="G1750" s="307">
        <v>19690</v>
      </c>
    </row>
    <row r="1751" spans="2:7">
      <c r="B1751" s="347">
        <v>201204</v>
      </c>
      <c r="C1751" s="347">
        <v>2012</v>
      </c>
      <c r="D1751" s="317">
        <v>4</v>
      </c>
      <c r="E1751" s="347" t="s">
        <v>117</v>
      </c>
      <c r="F1751" s="307">
        <v>5848455</v>
      </c>
      <c r="G1751" s="307">
        <v>38995</v>
      </c>
    </row>
    <row r="1752" spans="2:7">
      <c r="B1752" s="347">
        <v>201204</v>
      </c>
      <c r="C1752" s="347">
        <v>2012</v>
      </c>
      <c r="D1752" s="317">
        <v>4</v>
      </c>
      <c r="E1752" s="347" t="s">
        <v>37</v>
      </c>
      <c r="F1752" s="307">
        <v>242995</v>
      </c>
      <c r="G1752" s="307">
        <v>5434</v>
      </c>
    </row>
    <row r="1753" spans="2:7">
      <c r="B1753" s="347">
        <v>201204</v>
      </c>
      <c r="C1753" s="347">
        <v>2012</v>
      </c>
      <c r="D1753" s="317">
        <v>4</v>
      </c>
      <c r="E1753" s="347" t="s">
        <v>104</v>
      </c>
      <c r="F1753" s="307">
        <v>832104</v>
      </c>
      <c r="G1753" s="307">
        <v>6572</v>
      </c>
    </row>
    <row r="1754" spans="2:7">
      <c r="B1754" s="347">
        <v>201204</v>
      </c>
      <c r="C1754" s="347">
        <v>2012</v>
      </c>
      <c r="D1754" s="317">
        <v>4</v>
      </c>
      <c r="E1754" s="347" t="s">
        <v>118</v>
      </c>
      <c r="F1754" s="307">
        <v>41626</v>
      </c>
      <c r="G1754" s="307">
        <v>505</v>
      </c>
    </row>
    <row r="1755" spans="2:7">
      <c r="B1755" s="347">
        <v>201204</v>
      </c>
      <c r="C1755" s="347">
        <v>2012</v>
      </c>
      <c r="D1755" s="317">
        <v>4</v>
      </c>
      <c r="E1755" s="347" t="s">
        <v>103</v>
      </c>
      <c r="F1755" s="307">
        <v>1512080</v>
      </c>
      <c r="G1755" s="307">
        <v>11404</v>
      </c>
    </row>
    <row r="1756" spans="2:7">
      <c r="B1756" s="347">
        <v>201204</v>
      </c>
      <c r="C1756" s="347">
        <v>2012</v>
      </c>
      <c r="D1756" s="317">
        <v>4</v>
      </c>
      <c r="E1756" s="347" t="s">
        <v>41</v>
      </c>
      <c r="F1756" s="307">
        <v>0</v>
      </c>
      <c r="G1756" s="307">
        <v>114</v>
      </c>
    </row>
    <row r="1757" spans="2:7">
      <c r="B1757" s="347">
        <v>201204</v>
      </c>
      <c r="C1757" s="347">
        <v>2012</v>
      </c>
      <c r="D1757" s="317">
        <v>4</v>
      </c>
      <c r="E1757" s="347" t="s">
        <v>95</v>
      </c>
      <c r="F1757" s="307">
        <v>5344</v>
      </c>
      <c r="G1757" s="307">
        <v>575</v>
      </c>
    </row>
    <row r="1758" spans="2:7">
      <c r="B1758" s="347">
        <v>201204</v>
      </c>
      <c r="C1758" s="347">
        <v>2012</v>
      </c>
      <c r="D1758" s="317">
        <v>4</v>
      </c>
      <c r="E1758" s="347" t="s">
        <v>96</v>
      </c>
      <c r="F1758" s="307">
        <v>73491</v>
      </c>
      <c r="G1758" s="307">
        <v>3114</v>
      </c>
    </row>
    <row r="1759" spans="2:7">
      <c r="B1759" s="347">
        <v>201204</v>
      </c>
      <c r="C1759" s="347">
        <v>2012</v>
      </c>
      <c r="D1759" s="317">
        <v>4</v>
      </c>
      <c r="E1759" s="347" t="s">
        <v>97</v>
      </c>
      <c r="F1759" s="307">
        <v>55285</v>
      </c>
      <c r="G1759" s="307">
        <v>1998</v>
      </c>
    </row>
    <row r="1760" spans="2:7">
      <c r="B1760" s="347">
        <v>201204</v>
      </c>
      <c r="C1760" s="347">
        <v>2012</v>
      </c>
      <c r="D1760" s="317">
        <v>4</v>
      </c>
      <c r="E1760" s="347" t="s">
        <v>98</v>
      </c>
      <c r="F1760" s="307">
        <v>117815</v>
      </c>
      <c r="G1760" s="307">
        <v>3166</v>
      </c>
    </row>
    <row r="1761" spans="2:7">
      <c r="B1761" s="347">
        <v>201204</v>
      </c>
      <c r="C1761" s="347">
        <v>2012</v>
      </c>
      <c r="D1761" s="317">
        <v>4</v>
      </c>
      <c r="E1761" s="347" t="s">
        <v>121</v>
      </c>
      <c r="F1761" s="307">
        <v>272049</v>
      </c>
      <c r="G1761" s="307">
        <v>8593</v>
      </c>
    </row>
    <row r="1762" spans="2:7">
      <c r="B1762" s="347">
        <v>201204</v>
      </c>
      <c r="C1762" s="347">
        <v>2012</v>
      </c>
      <c r="D1762" s="317">
        <v>4</v>
      </c>
      <c r="E1762" s="347" t="s">
        <v>43</v>
      </c>
      <c r="F1762" s="307">
        <v>927</v>
      </c>
      <c r="G1762" s="307">
        <v>104</v>
      </c>
    </row>
    <row r="1763" spans="2:7">
      <c r="B1763" s="347">
        <v>201204</v>
      </c>
      <c r="C1763" s="347">
        <v>2012</v>
      </c>
      <c r="D1763" s="317">
        <v>4</v>
      </c>
      <c r="E1763" s="347" t="s">
        <v>252</v>
      </c>
      <c r="F1763" s="307">
        <v>205340</v>
      </c>
      <c r="G1763" s="307">
        <v>3293</v>
      </c>
    </row>
    <row r="1764" spans="2:7">
      <c r="B1764" s="347">
        <v>201204</v>
      </c>
      <c r="C1764" s="347">
        <v>2012</v>
      </c>
      <c r="D1764" s="317">
        <v>4</v>
      </c>
      <c r="E1764" s="347" t="s">
        <v>45</v>
      </c>
      <c r="F1764" s="307">
        <v>347069</v>
      </c>
      <c r="G1764" s="307">
        <v>3322</v>
      </c>
    </row>
    <row r="1765" spans="2:7">
      <c r="B1765" s="347">
        <v>201204</v>
      </c>
      <c r="C1765" s="347">
        <v>2012</v>
      </c>
      <c r="D1765" s="317">
        <v>4</v>
      </c>
      <c r="E1765" s="347" t="s">
        <v>46</v>
      </c>
      <c r="F1765" s="307">
        <v>2744</v>
      </c>
      <c r="G1765" s="307">
        <v>317</v>
      </c>
    </row>
    <row r="1766" spans="2:7">
      <c r="B1766" s="347">
        <v>201204</v>
      </c>
      <c r="C1766" s="347">
        <v>2012</v>
      </c>
      <c r="D1766" s="317">
        <v>4</v>
      </c>
      <c r="E1766" s="347" t="s">
        <v>47</v>
      </c>
      <c r="F1766" s="307">
        <v>0</v>
      </c>
      <c r="G1766" s="307">
        <v>473</v>
      </c>
    </row>
    <row r="1767" spans="2:7">
      <c r="B1767" s="347">
        <v>201204</v>
      </c>
      <c r="C1767" s="347">
        <v>2012</v>
      </c>
      <c r="D1767" s="317">
        <v>4</v>
      </c>
      <c r="E1767" s="347" t="s">
        <v>212</v>
      </c>
      <c r="F1767" s="307">
        <v>701541</v>
      </c>
      <c r="G1767" s="307">
        <v>6881</v>
      </c>
    </row>
    <row r="1768" spans="2:7">
      <c r="B1768" s="347">
        <v>201204</v>
      </c>
      <c r="C1768" s="347">
        <v>2012</v>
      </c>
      <c r="D1768" s="317">
        <v>4</v>
      </c>
      <c r="E1768" s="347" t="s">
        <v>49</v>
      </c>
      <c r="F1768" s="307">
        <v>15118</v>
      </c>
      <c r="G1768" s="307">
        <v>905</v>
      </c>
    </row>
    <row r="1769" spans="2:7">
      <c r="B1769" s="347">
        <v>201204</v>
      </c>
      <c r="C1769" s="347">
        <v>2012</v>
      </c>
      <c r="D1769" s="317">
        <v>4</v>
      </c>
      <c r="E1769" s="347" t="s">
        <v>50</v>
      </c>
      <c r="F1769" s="307">
        <v>60963</v>
      </c>
      <c r="G1769" s="307">
        <v>659</v>
      </c>
    </row>
    <row r="1770" spans="2:7">
      <c r="B1770" s="347">
        <v>201204</v>
      </c>
      <c r="C1770" s="347">
        <v>2012</v>
      </c>
      <c r="D1770" s="317">
        <v>4</v>
      </c>
      <c r="E1770" s="347" t="s">
        <v>51</v>
      </c>
      <c r="F1770" s="307">
        <v>490988</v>
      </c>
      <c r="G1770" s="307">
        <v>4497</v>
      </c>
    </row>
    <row r="1771" spans="2:7">
      <c r="B1771" s="347">
        <v>201204</v>
      </c>
      <c r="C1771" s="347">
        <v>2012</v>
      </c>
      <c r="D1771" s="317">
        <v>4</v>
      </c>
      <c r="E1771" s="347" t="s">
        <v>52</v>
      </c>
      <c r="F1771" s="307">
        <v>159</v>
      </c>
      <c r="G1771" s="307">
        <v>4</v>
      </c>
    </row>
    <row r="1772" spans="2:7">
      <c r="B1772" s="347">
        <v>201204</v>
      </c>
      <c r="C1772" s="347">
        <v>2012</v>
      </c>
      <c r="D1772" s="317">
        <v>4</v>
      </c>
      <c r="E1772" s="347" t="s">
        <v>53</v>
      </c>
      <c r="F1772" s="307">
        <v>759</v>
      </c>
      <c r="G1772" s="307">
        <v>88</v>
      </c>
    </row>
    <row r="1773" spans="2:7">
      <c r="B1773" s="347">
        <v>201204</v>
      </c>
      <c r="C1773" s="347">
        <v>2012</v>
      </c>
      <c r="D1773" s="317">
        <v>4</v>
      </c>
      <c r="E1773" s="347" t="s">
        <v>54</v>
      </c>
      <c r="F1773" s="307">
        <v>63113</v>
      </c>
      <c r="G1773" s="307">
        <v>1071</v>
      </c>
    </row>
    <row r="1774" spans="2:7">
      <c r="B1774" s="347">
        <v>201204</v>
      </c>
      <c r="C1774" s="347">
        <v>2012</v>
      </c>
      <c r="D1774" s="317">
        <v>4</v>
      </c>
      <c r="E1774" s="347" t="s">
        <v>55</v>
      </c>
      <c r="F1774" s="307">
        <v>0</v>
      </c>
      <c r="G1774" s="307">
        <v>45</v>
      </c>
    </row>
    <row r="1775" spans="2:7">
      <c r="B1775" s="347">
        <v>201204</v>
      </c>
      <c r="C1775" s="347">
        <v>2012</v>
      </c>
      <c r="D1775" s="317">
        <v>4</v>
      </c>
      <c r="E1775" s="347" t="s">
        <v>56</v>
      </c>
      <c r="F1775" s="307">
        <v>33365</v>
      </c>
      <c r="G1775" s="307">
        <v>271</v>
      </c>
    </row>
    <row r="1776" spans="2:7">
      <c r="B1776" s="347">
        <v>201204</v>
      </c>
      <c r="C1776" s="347">
        <v>2012</v>
      </c>
      <c r="D1776" s="317">
        <v>4</v>
      </c>
      <c r="E1776" s="347" t="s">
        <v>57</v>
      </c>
      <c r="F1776" s="307">
        <v>0</v>
      </c>
      <c r="G1776" s="307">
        <v>111</v>
      </c>
    </row>
    <row r="1777" spans="2:7">
      <c r="B1777" s="347">
        <v>201204</v>
      </c>
      <c r="C1777" s="347">
        <v>2012</v>
      </c>
      <c r="D1777" s="317">
        <v>4</v>
      </c>
      <c r="E1777" s="347" t="s">
        <v>58</v>
      </c>
      <c r="F1777" s="307">
        <v>48943</v>
      </c>
      <c r="G1777" s="307">
        <v>366</v>
      </c>
    </row>
    <row r="1778" spans="2:7">
      <c r="B1778" s="347">
        <v>201204</v>
      </c>
      <c r="C1778" s="347">
        <v>2012</v>
      </c>
      <c r="D1778" s="317">
        <v>4</v>
      </c>
      <c r="E1778" s="347" t="s">
        <v>59</v>
      </c>
      <c r="F1778" s="307">
        <v>4258</v>
      </c>
      <c r="G1778" s="307">
        <v>233</v>
      </c>
    </row>
    <row r="1779" spans="2:7">
      <c r="B1779" s="347">
        <v>201204</v>
      </c>
      <c r="C1779" s="347">
        <v>2012</v>
      </c>
      <c r="D1779" s="317">
        <v>4</v>
      </c>
      <c r="E1779" s="347" t="s">
        <v>60</v>
      </c>
      <c r="F1779" s="307">
        <v>13554</v>
      </c>
      <c r="G1779" s="307">
        <v>443</v>
      </c>
    </row>
    <row r="1780" spans="2:7">
      <c r="B1780" s="347">
        <v>201204</v>
      </c>
      <c r="C1780" s="347">
        <v>2012</v>
      </c>
      <c r="D1780" s="317">
        <v>4</v>
      </c>
      <c r="E1780" s="347" t="s">
        <v>248</v>
      </c>
      <c r="F1780" s="307">
        <v>345486</v>
      </c>
      <c r="G1780" s="307">
        <v>4958</v>
      </c>
    </row>
    <row r="1781" spans="2:7">
      <c r="B1781" s="347">
        <v>201204</v>
      </c>
      <c r="C1781" s="347">
        <v>2012</v>
      </c>
      <c r="D1781" s="317">
        <v>4</v>
      </c>
      <c r="E1781" s="347" t="s">
        <v>119</v>
      </c>
      <c r="F1781" s="307">
        <v>767505</v>
      </c>
      <c r="G1781" s="307">
        <v>9011</v>
      </c>
    </row>
    <row r="1782" spans="2:7">
      <c r="B1782" s="347">
        <v>201204</v>
      </c>
      <c r="C1782" s="347">
        <v>2012</v>
      </c>
      <c r="D1782" s="317">
        <v>4</v>
      </c>
      <c r="E1782" s="347" t="s">
        <v>63</v>
      </c>
      <c r="F1782" s="307">
        <v>52691</v>
      </c>
      <c r="G1782" s="307">
        <v>1051</v>
      </c>
    </row>
    <row r="1783" spans="2:7">
      <c r="B1783" s="347">
        <v>201204</v>
      </c>
      <c r="C1783" s="347">
        <v>2012</v>
      </c>
      <c r="D1783" s="317">
        <v>4</v>
      </c>
      <c r="E1783" s="347" t="s">
        <v>120</v>
      </c>
      <c r="F1783" s="307">
        <v>547219</v>
      </c>
      <c r="G1783" s="307">
        <v>5964</v>
      </c>
    </row>
    <row r="1784" spans="2:7">
      <c r="B1784" s="347">
        <v>201204</v>
      </c>
      <c r="C1784" s="347">
        <v>2012</v>
      </c>
      <c r="D1784" s="317">
        <v>4</v>
      </c>
      <c r="E1784" s="347" t="s">
        <v>65</v>
      </c>
      <c r="F1784" s="307">
        <v>1226</v>
      </c>
      <c r="G1784" s="307">
        <v>117</v>
      </c>
    </row>
    <row r="1785" spans="2:7">
      <c r="B1785" s="347">
        <v>201204</v>
      </c>
      <c r="C1785" s="347">
        <v>2012</v>
      </c>
      <c r="D1785" s="317">
        <v>4</v>
      </c>
      <c r="E1785" s="347" t="s">
        <v>67</v>
      </c>
      <c r="F1785" s="307">
        <v>16799</v>
      </c>
      <c r="G1785" s="307">
        <v>963</v>
      </c>
    </row>
    <row r="1786" spans="2:7">
      <c r="B1786" s="347">
        <v>201204</v>
      </c>
      <c r="C1786" s="347">
        <v>2012</v>
      </c>
      <c r="D1786" s="317">
        <v>4</v>
      </c>
      <c r="E1786" s="347" t="s">
        <v>68</v>
      </c>
      <c r="F1786" s="307">
        <v>51469</v>
      </c>
      <c r="G1786" s="307">
        <v>1191</v>
      </c>
    </row>
    <row r="1787" spans="2:7">
      <c r="B1787" s="347">
        <v>201204</v>
      </c>
      <c r="C1787" s="347">
        <v>2012</v>
      </c>
      <c r="D1787" s="317">
        <v>4</v>
      </c>
      <c r="E1787" s="347" t="s">
        <v>69</v>
      </c>
      <c r="F1787" s="307">
        <v>2282</v>
      </c>
      <c r="G1787" s="307">
        <v>147</v>
      </c>
    </row>
    <row r="1788" spans="2:7">
      <c r="B1788" s="347">
        <v>201204</v>
      </c>
      <c r="C1788" s="347">
        <v>2012</v>
      </c>
      <c r="D1788" s="317">
        <v>4</v>
      </c>
      <c r="E1788" s="347" t="s">
        <v>70</v>
      </c>
      <c r="F1788" s="307">
        <v>9704</v>
      </c>
      <c r="G1788" s="307">
        <v>1064</v>
      </c>
    </row>
    <row r="1789" spans="2:7">
      <c r="B1789" s="347">
        <v>201204</v>
      </c>
      <c r="C1789" s="347">
        <v>2012</v>
      </c>
      <c r="D1789" s="317">
        <v>4</v>
      </c>
      <c r="E1789" s="347" t="s">
        <v>71</v>
      </c>
      <c r="F1789" s="307">
        <v>3274</v>
      </c>
      <c r="G1789" s="307">
        <v>200</v>
      </c>
    </row>
    <row r="1790" spans="2:7">
      <c r="B1790" s="347">
        <v>201204</v>
      </c>
      <c r="C1790" s="347">
        <v>2012</v>
      </c>
      <c r="D1790" s="317">
        <v>4</v>
      </c>
      <c r="E1790" s="347" t="s">
        <v>72</v>
      </c>
      <c r="F1790" s="307">
        <v>10647</v>
      </c>
      <c r="G1790" s="307">
        <v>1000</v>
      </c>
    </row>
    <row r="1791" spans="2:7">
      <c r="B1791" s="347">
        <v>201204</v>
      </c>
      <c r="C1791" s="347">
        <v>2012</v>
      </c>
      <c r="D1791" s="317">
        <v>4</v>
      </c>
      <c r="E1791" s="347" t="s">
        <v>73</v>
      </c>
      <c r="F1791" s="307">
        <v>2846</v>
      </c>
      <c r="G1791" s="307">
        <v>562</v>
      </c>
    </row>
    <row r="1792" spans="2:7">
      <c r="B1792" s="347">
        <v>201204</v>
      </c>
      <c r="C1792" s="347">
        <v>2012</v>
      </c>
      <c r="D1792" s="317">
        <v>4</v>
      </c>
      <c r="E1792" s="347" t="s">
        <v>74</v>
      </c>
      <c r="F1792" s="307">
        <v>253681</v>
      </c>
      <c r="G1792" s="307">
        <v>2689</v>
      </c>
    </row>
    <row r="1793" spans="2:7">
      <c r="B1793" s="347">
        <v>201204</v>
      </c>
      <c r="C1793" s="347">
        <v>2012</v>
      </c>
      <c r="D1793" s="317">
        <v>4</v>
      </c>
      <c r="E1793" s="347" t="s">
        <v>75</v>
      </c>
      <c r="F1793" s="307">
        <v>351</v>
      </c>
      <c r="G1793" s="307">
        <v>147</v>
      </c>
    </row>
    <row r="1794" spans="2:7">
      <c r="B1794" s="347">
        <v>201204</v>
      </c>
      <c r="C1794" s="347">
        <v>2012</v>
      </c>
      <c r="D1794" s="317">
        <v>4</v>
      </c>
      <c r="E1794" s="347" t="s">
        <v>249</v>
      </c>
      <c r="F1794" s="307">
        <v>389256</v>
      </c>
      <c r="G1794" s="307">
        <v>3245</v>
      </c>
    </row>
    <row r="1795" spans="2:7">
      <c r="B1795" s="347">
        <v>201204</v>
      </c>
      <c r="C1795" s="347">
        <v>2012</v>
      </c>
      <c r="D1795" s="317">
        <v>4</v>
      </c>
      <c r="E1795" s="347" t="s">
        <v>77</v>
      </c>
      <c r="F1795" s="307">
        <v>34</v>
      </c>
      <c r="G1795" s="307">
        <v>47</v>
      </c>
    </row>
    <row r="1796" spans="2:7">
      <c r="B1796" s="347">
        <v>201204</v>
      </c>
      <c r="C1796" s="347">
        <v>2012</v>
      </c>
      <c r="D1796" s="317">
        <v>4</v>
      </c>
      <c r="E1796" s="347" t="s">
        <v>34</v>
      </c>
      <c r="F1796" s="307">
        <v>1470379</v>
      </c>
      <c r="G1796" s="307">
        <v>12889</v>
      </c>
    </row>
    <row r="1797" spans="2:7">
      <c r="B1797" s="347">
        <v>201204</v>
      </c>
      <c r="C1797" s="347">
        <v>2012</v>
      </c>
      <c r="D1797" s="317">
        <v>4</v>
      </c>
      <c r="E1797" s="347" t="s">
        <v>79</v>
      </c>
      <c r="F1797" s="307">
        <v>137</v>
      </c>
      <c r="G1797" s="307">
        <v>64</v>
      </c>
    </row>
    <row r="1798" spans="2:7">
      <c r="B1798" s="347">
        <v>201204</v>
      </c>
      <c r="C1798" s="347">
        <v>2012</v>
      </c>
      <c r="D1798" s="317">
        <v>4</v>
      </c>
      <c r="E1798" s="347" t="s">
        <v>80</v>
      </c>
      <c r="F1798" s="307">
        <v>314609</v>
      </c>
      <c r="G1798" s="307">
        <v>3459</v>
      </c>
    </row>
    <row r="1799" spans="2:7">
      <c r="B1799" s="347">
        <v>201204</v>
      </c>
      <c r="C1799" s="347">
        <v>2012</v>
      </c>
      <c r="D1799" s="317">
        <v>4</v>
      </c>
      <c r="E1799" s="347" t="s">
        <v>81</v>
      </c>
      <c r="F1799" s="307">
        <v>13577</v>
      </c>
      <c r="G1799" s="307">
        <v>439</v>
      </c>
    </row>
    <row r="1800" spans="2:7">
      <c r="B1800" s="347">
        <v>201204</v>
      </c>
      <c r="C1800" s="347">
        <v>2012</v>
      </c>
      <c r="D1800" s="317">
        <v>4</v>
      </c>
      <c r="E1800" s="347" t="s">
        <v>82</v>
      </c>
      <c r="F1800" s="307">
        <v>29519</v>
      </c>
      <c r="G1800" s="307">
        <v>1567</v>
      </c>
    </row>
    <row r="1801" spans="2:7">
      <c r="B1801" s="347">
        <v>201204</v>
      </c>
      <c r="C1801" s="347">
        <v>2012</v>
      </c>
      <c r="D1801" s="317">
        <v>4</v>
      </c>
      <c r="E1801" s="347" t="s">
        <v>250</v>
      </c>
      <c r="F1801" s="307">
        <v>4</v>
      </c>
      <c r="G1801" s="307">
        <v>118</v>
      </c>
    </row>
    <row r="1802" spans="2:7">
      <c r="B1802" s="347">
        <v>201204</v>
      </c>
      <c r="C1802" s="347">
        <v>2012</v>
      </c>
      <c r="D1802" s="317">
        <v>4</v>
      </c>
      <c r="E1802" s="347" t="s">
        <v>84</v>
      </c>
      <c r="F1802" s="307">
        <v>7707</v>
      </c>
      <c r="G1802" s="307">
        <v>450</v>
      </c>
    </row>
    <row r="1803" spans="2:7">
      <c r="B1803" s="347">
        <v>201204</v>
      </c>
      <c r="C1803" s="347">
        <v>2012</v>
      </c>
      <c r="D1803" s="317">
        <v>4</v>
      </c>
      <c r="E1803" s="347" t="s">
        <v>86</v>
      </c>
      <c r="F1803" s="307">
        <v>105135</v>
      </c>
      <c r="G1803" s="307">
        <v>827</v>
      </c>
    </row>
    <row r="1804" spans="2:7">
      <c r="B1804" s="347">
        <v>201204</v>
      </c>
      <c r="C1804" s="347">
        <v>2012</v>
      </c>
      <c r="D1804" s="317">
        <v>4</v>
      </c>
      <c r="E1804" s="347" t="s">
        <v>87</v>
      </c>
      <c r="F1804" s="307">
        <v>24787</v>
      </c>
      <c r="G1804" s="307">
        <v>1128</v>
      </c>
    </row>
    <row r="1805" spans="2:7">
      <c r="B1805" s="347">
        <v>201204</v>
      </c>
      <c r="C1805" s="347">
        <v>2012</v>
      </c>
      <c r="D1805" s="317">
        <v>4</v>
      </c>
      <c r="E1805" s="347" t="s">
        <v>88</v>
      </c>
      <c r="F1805" s="307">
        <v>27</v>
      </c>
      <c r="G1805" s="307">
        <v>28</v>
      </c>
    </row>
    <row r="1806" spans="2:7">
      <c r="B1806" s="347">
        <v>201204</v>
      </c>
      <c r="C1806" s="347">
        <v>2012</v>
      </c>
      <c r="D1806" s="317">
        <v>4</v>
      </c>
      <c r="E1806" s="347" t="s">
        <v>89</v>
      </c>
      <c r="F1806" s="307">
        <v>139270</v>
      </c>
      <c r="G1806" s="307">
        <v>3280</v>
      </c>
    </row>
    <row r="1807" spans="2:7">
      <c r="B1807" s="347">
        <v>201204</v>
      </c>
      <c r="C1807" s="347">
        <v>2012</v>
      </c>
      <c r="D1807" s="317">
        <v>4</v>
      </c>
      <c r="E1807" s="347" t="s">
        <v>90</v>
      </c>
      <c r="F1807" s="307">
        <v>10086</v>
      </c>
      <c r="G1807" s="307">
        <v>840</v>
      </c>
    </row>
    <row r="1808" spans="2:7">
      <c r="B1808" s="347">
        <v>201204</v>
      </c>
      <c r="C1808" s="347">
        <v>2012</v>
      </c>
      <c r="D1808" s="317">
        <v>4</v>
      </c>
      <c r="E1808" s="347" t="s">
        <v>91</v>
      </c>
      <c r="F1808" s="307">
        <v>11570</v>
      </c>
      <c r="G1808" s="307">
        <v>864</v>
      </c>
    </row>
    <row r="1809" spans="2:7">
      <c r="B1809" s="347">
        <v>201204</v>
      </c>
      <c r="C1809" s="347">
        <v>2012</v>
      </c>
      <c r="D1809" s="317">
        <v>4</v>
      </c>
      <c r="E1809" s="347" t="s">
        <v>92</v>
      </c>
      <c r="F1809" s="307">
        <v>0</v>
      </c>
      <c r="G1809" s="307">
        <v>310</v>
      </c>
    </row>
    <row r="1810" spans="2:7">
      <c r="B1810" s="347">
        <v>201204</v>
      </c>
      <c r="C1810" s="347">
        <v>2012</v>
      </c>
      <c r="D1810" s="317">
        <v>4</v>
      </c>
      <c r="E1810" s="347" t="s">
        <v>93</v>
      </c>
      <c r="F1810" s="307">
        <v>638</v>
      </c>
      <c r="G1810" s="307">
        <v>98</v>
      </c>
    </row>
    <row r="1811" spans="2:7">
      <c r="B1811" s="347">
        <v>201204</v>
      </c>
      <c r="C1811" s="347">
        <v>2012</v>
      </c>
      <c r="D1811" s="317">
        <v>4</v>
      </c>
      <c r="E1811" s="347" t="s">
        <v>94</v>
      </c>
      <c r="F1811" s="307">
        <v>1922</v>
      </c>
      <c r="G1811" s="307">
        <v>192</v>
      </c>
    </row>
    <row r="1812" spans="2:7">
      <c r="B1812" s="347">
        <v>201203</v>
      </c>
      <c r="C1812" s="347">
        <v>2012</v>
      </c>
      <c r="D1812" s="317">
        <v>3</v>
      </c>
      <c r="E1812" s="347" t="s">
        <v>251</v>
      </c>
      <c r="F1812" s="307">
        <v>2513279</v>
      </c>
      <c r="G1812" s="307">
        <v>18411</v>
      </c>
    </row>
    <row r="1813" spans="2:7">
      <c r="B1813" s="347">
        <v>201203</v>
      </c>
      <c r="C1813" s="347">
        <v>2012</v>
      </c>
      <c r="D1813" s="317">
        <v>3</v>
      </c>
      <c r="E1813" s="347" t="s">
        <v>117</v>
      </c>
      <c r="F1813" s="307">
        <v>5697172</v>
      </c>
      <c r="G1813" s="307">
        <v>39946</v>
      </c>
    </row>
    <row r="1814" spans="2:7">
      <c r="B1814" s="347">
        <v>201203</v>
      </c>
      <c r="C1814" s="347">
        <v>2012</v>
      </c>
      <c r="D1814" s="317">
        <v>3</v>
      </c>
      <c r="E1814" s="347" t="s">
        <v>37</v>
      </c>
      <c r="F1814" s="307">
        <v>258239</v>
      </c>
      <c r="G1814" s="307">
        <v>6127</v>
      </c>
    </row>
    <row r="1815" spans="2:7">
      <c r="B1815" s="347">
        <v>201203</v>
      </c>
      <c r="C1815" s="347">
        <v>2012</v>
      </c>
      <c r="D1815" s="317">
        <v>3</v>
      </c>
      <c r="E1815" s="347" t="s">
        <v>104</v>
      </c>
      <c r="F1815" s="307">
        <v>677675</v>
      </c>
      <c r="G1815" s="307">
        <v>5631</v>
      </c>
    </row>
    <row r="1816" spans="2:7">
      <c r="B1816" s="347">
        <v>201203</v>
      </c>
      <c r="C1816" s="347">
        <v>2012</v>
      </c>
      <c r="D1816" s="317">
        <v>3</v>
      </c>
      <c r="E1816" s="347" t="s">
        <v>118</v>
      </c>
      <c r="F1816" s="307">
        <v>2971</v>
      </c>
      <c r="G1816" s="307">
        <v>135</v>
      </c>
    </row>
    <row r="1817" spans="2:7">
      <c r="B1817" s="347">
        <v>201203</v>
      </c>
      <c r="C1817" s="347">
        <v>2012</v>
      </c>
      <c r="D1817" s="317">
        <v>3</v>
      </c>
      <c r="E1817" s="347" t="s">
        <v>103</v>
      </c>
      <c r="F1817" s="307">
        <v>1297538</v>
      </c>
      <c r="G1817" s="307">
        <v>10525</v>
      </c>
    </row>
    <row r="1818" spans="2:7">
      <c r="B1818" s="347">
        <v>201203</v>
      </c>
      <c r="C1818" s="347">
        <v>2012</v>
      </c>
      <c r="D1818" s="317">
        <v>3</v>
      </c>
      <c r="E1818" s="347" t="s">
        <v>41</v>
      </c>
      <c r="F1818" s="307">
        <v>0</v>
      </c>
      <c r="G1818" s="307">
        <v>120</v>
      </c>
    </row>
    <row r="1819" spans="2:7">
      <c r="B1819" s="347">
        <v>201203</v>
      </c>
      <c r="C1819" s="347">
        <v>2012</v>
      </c>
      <c r="D1819" s="317">
        <v>3</v>
      </c>
      <c r="E1819" s="347" t="s">
        <v>95</v>
      </c>
      <c r="F1819" s="307">
        <v>4458</v>
      </c>
      <c r="G1819" s="307">
        <v>504</v>
      </c>
    </row>
    <row r="1820" spans="2:7">
      <c r="B1820" s="347">
        <v>201203</v>
      </c>
      <c r="C1820" s="347">
        <v>2012</v>
      </c>
      <c r="D1820" s="317">
        <v>3</v>
      </c>
      <c r="E1820" s="347" t="s">
        <v>96</v>
      </c>
      <c r="F1820" s="307">
        <v>67785</v>
      </c>
      <c r="G1820" s="307">
        <v>2887</v>
      </c>
    </row>
    <row r="1821" spans="2:7">
      <c r="B1821" s="347">
        <v>201203</v>
      </c>
      <c r="C1821" s="347">
        <v>2012</v>
      </c>
      <c r="D1821" s="317">
        <v>3</v>
      </c>
      <c r="E1821" s="347" t="s">
        <v>97</v>
      </c>
      <c r="F1821" s="307">
        <v>56181</v>
      </c>
      <c r="G1821" s="307">
        <v>2142</v>
      </c>
    </row>
    <row r="1822" spans="2:7">
      <c r="B1822" s="347">
        <v>201203</v>
      </c>
      <c r="C1822" s="347">
        <v>2012</v>
      </c>
      <c r="D1822" s="317">
        <v>3</v>
      </c>
      <c r="E1822" s="347" t="s">
        <v>98</v>
      </c>
      <c r="F1822" s="307">
        <v>104058</v>
      </c>
      <c r="G1822" s="307">
        <v>2981</v>
      </c>
    </row>
    <row r="1823" spans="2:7">
      <c r="B1823" s="347">
        <v>201203</v>
      </c>
      <c r="C1823" s="347">
        <v>2012</v>
      </c>
      <c r="D1823" s="317">
        <v>3</v>
      </c>
      <c r="E1823" s="347" t="s">
        <v>121</v>
      </c>
      <c r="F1823" s="307">
        <v>273259</v>
      </c>
      <c r="G1823" s="307">
        <v>8949</v>
      </c>
    </row>
    <row r="1824" spans="2:7">
      <c r="B1824" s="347">
        <v>201203</v>
      </c>
      <c r="C1824" s="347">
        <v>2012</v>
      </c>
      <c r="D1824" s="317">
        <v>3</v>
      </c>
      <c r="E1824" s="347" t="s">
        <v>43</v>
      </c>
      <c r="F1824" s="307">
        <v>652</v>
      </c>
      <c r="G1824" s="307">
        <v>90</v>
      </c>
    </row>
    <row r="1825" spans="2:7">
      <c r="B1825" s="347">
        <v>201203</v>
      </c>
      <c r="C1825" s="347">
        <v>2012</v>
      </c>
      <c r="D1825" s="317">
        <v>3</v>
      </c>
      <c r="E1825" s="347" t="s">
        <v>252</v>
      </c>
      <c r="F1825" s="307">
        <v>196617</v>
      </c>
      <c r="G1825" s="307">
        <v>3222</v>
      </c>
    </row>
    <row r="1826" spans="2:7">
      <c r="B1826" s="347">
        <v>201203</v>
      </c>
      <c r="C1826" s="347">
        <v>2012</v>
      </c>
      <c r="D1826" s="317">
        <v>3</v>
      </c>
      <c r="E1826" s="347" t="s">
        <v>45</v>
      </c>
      <c r="F1826" s="307">
        <v>315951</v>
      </c>
      <c r="G1826" s="307">
        <v>3125</v>
      </c>
    </row>
    <row r="1827" spans="2:7">
      <c r="B1827" s="347">
        <v>201203</v>
      </c>
      <c r="C1827" s="347">
        <v>2012</v>
      </c>
      <c r="D1827" s="317">
        <v>3</v>
      </c>
      <c r="E1827" s="347" t="s">
        <v>46</v>
      </c>
      <c r="F1827" s="307">
        <v>2715</v>
      </c>
      <c r="G1827" s="307">
        <v>332</v>
      </c>
    </row>
    <row r="1828" spans="2:7">
      <c r="B1828" s="347">
        <v>201203</v>
      </c>
      <c r="C1828" s="347">
        <v>2012</v>
      </c>
      <c r="D1828" s="317">
        <v>3</v>
      </c>
      <c r="E1828" s="347" t="s">
        <v>47</v>
      </c>
      <c r="F1828" s="307">
        <v>0</v>
      </c>
      <c r="G1828" s="307">
        <v>495</v>
      </c>
    </row>
    <row r="1829" spans="2:7">
      <c r="B1829" s="347">
        <v>201203</v>
      </c>
      <c r="C1829" s="347">
        <v>2012</v>
      </c>
      <c r="D1829" s="317">
        <v>3</v>
      </c>
      <c r="E1829" s="347" t="s">
        <v>212</v>
      </c>
      <c r="F1829" s="307">
        <v>630771</v>
      </c>
      <c r="G1829" s="307">
        <v>6654</v>
      </c>
    </row>
    <row r="1830" spans="2:7">
      <c r="B1830" s="347">
        <v>201203</v>
      </c>
      <c r="C1830" s="347">
        <v>2012</v>
      </c>
      <c r="D1830" s="317">
        <v>3</v>
      </c>
      <c r="E1830" s="347" t="s">
        <v>49</v>
      </c>
      <c r="F1830" s="307">
        <v>10329</v>
      </c>
      <c r="G1830" s="307">
        <v>784</v>
      </c>
    </row>
    <row r="1831" spans="2:7">
      <c r="B1831" s="347">
        <v>201203</v>
      </c>
      <c r="C1831" s="347">
        <v>2012</v>
      </c>
      <c r="D1831" s="317">
        <v>3</v>
      </c>
      <c r="E1831" s="347" t="s">
        <v>50</v>
      </c>
      <c r="F1831" s="307">
        <v>40819</v>
      </c>
      <c r="G1831" s="307">
        <v>518</v>
      </c>
    </row>
    <row r="1832" spans="2:7">
      <c r="B1832" s="347">
        <v>201203</v>
      </c>
      <c r="C1832" s="347">
        <v>2012</v>
      </c>
      <c r="D1832" s="317">
        <v>3</v>
      </c>
      <c r="E1832" s="347" t="s">
        <v>51</v>
      </c>
      <c r="F1832" s="307">
        <v>407579</v>
      </c>
      <c r="G1832" s="307">
        <v>3843</v>
      </c>
    </row>
    <row r="1833" spans="2:7">
      <c r="B1833" s="347">
        <v>201203</v>
      </c>
      <c r="C1833" s="347">
        <v>2012</v>
      </c>
      <c r="D1833" s="317">
        <v>3</v>
      </c>
      <c r="E1833" s="347" t="s">
        <v>53</v>
      </c>
      <c r="F1833" s="307">
        <v>735</v>
      </c>
      <c r="G1833" s="307">
        <v>94</v>
      </c>
    </row>
    <row r="1834" spans="2:7">
      <c r="B1834" s="347">
        <v>201203</v>
      </c>
      <c r="C1834" s="347">
        <v>2012</v>
      </c>
      <c r="D1834" s="317">
        <v>3</v>
      </c>
      <c r="E1834" s="347" t="s">
        <v>54</v>
      </c>
      <c r="F1834" s="307">
        <v>67777</v>
      </c>
      <c r="G1834" s="307">
        <v>1109</v>
      </c>
    </row>
    <row r="1835" spans="2:7">
      <c r="B1835" s="347">
        <v>201203</v>
      </c>
      <c r="C1835" s="347">
        <v>2012</v>
      </c>
      <c r="D1835" s="317">
        <v>3</v>
      </c>
      <c r="E1835" s="347" t="s">
        <v>55</v>
      </c>
      <c r="F1835" s="307">
        <v>0</v>
      </c>
      <c r="G1835" s="307">
        <v>37</v>
      </c>
    </row>
    <row r="1836" spans="2:7">
      <c r="B1836" s="347">
        <v>201203</v>
      </c>
      <c r="C1836" s="347">
        <v>2012</v>
      </c>
      <c r="D1836" s="317">
        <v>3</v>
      </c>
      <c r="E1836" s="347" t="s">
        <v>56</v>
      </c>
      <c r="F1836" s="307">
        <v>30426</v>
      </c>
      <c r="G1836" s="307">
        <v>266</v>
      </c>
    </row>
    <row r="1837" spans="2:7">
      <c r="B1837" s="347">
        <v>201203</v>
      </c>
      <c r="C1837" s="347">
        <v>2012</v>
      </c>
      <c r="D1837" s="317">
        <v>3</v>
      </c>
      <c r="E1837" s="347" t="s">
        <v>57</v>
      </c>
      <c r="F1837" s="307">
        <v>0</v>
      </c>
      <c r="G1837" s="307">
        <v>141</v>
      </c>
    </row>
    <row r="1838" spans="2:7">
      <c r="B1838" s="347">
        <v>201203</v>
      </c>
      <c r="C1838" s="347">
        <v>2012</v>
      </c>
      <c r="D1838" s="317">
        <v>3</v>
      </c>
      <c r="E1838" s="347" t="s">
        <v>58</v>
      </c>
      <c r="F1838" s="307">
        <v>40201</v>
      </c>
      <c r="G1838" s="307">
        <v>292</v>
      </c>
    </row>
    <row r="1839" spans="2:7">
      <c r="B1839" s="347">
        <v>201203</v>
      </c>
      <c r="C1839" s="347">
        <v>2012</v>
      </c>
      <c r="D1839" s="317">
        <v>3</v>
      </c>
      <c r="E1839" s="347" t="s">
        <v>59</v>
      </c>
      <c r="F1839" s="307">
        <v>4861</v>
      </c>
      <c r="G1839" s="307">
        <v>247</v>
      </c>
    </row>
    <row r="1840" spans="2:7">
      <c r="B1840" s="347">
        <v>201203</v>
      </c>
      <c r="C1840" s="347">
        <v>2012</v>
      </c>
      <c r="D1840" s="317">
        <v>3</v>
      </c>
      <c r="E1840" s="347" t="s">
        <v>60</v>
      </c>
      <c r="F1840" s="307">
        <v>14864</v>
      </c>
      <c r="G1840" s="307">
        <v>483</v>
      </c>
    </row>
    <row r="1841" spans="2:7">
      <c r="B1841" s="347">
        <v>201203</v>
      </c>
      <c r="C1841" s="347">
        <v>2012</v>
      </c>
      <c r="D1841" s="317">
        <v>3</v>
      </c>
      <c r="E1841" s="347" t="s">
        <v>248</v>
      </c>
      <c r="F1841" s="307">
        <v>252671</v>
      </c>
      <c r="G1841" s="307">
        <v>4593</v>
      </c>
    </row>
    <row r="1842" spans="2:7">
      <c r="B1842" s="347">
        <v>201203</v>
      </c>
      <c r="C1842" s="347">
        <v>2012</v>
      </c>
      <c r="D1842" s="317">
        <v>3</v>
      </c>
      <c r="E1842" s="347" t="s">
        <v>119</v>
      </c>
      <c r="F1842" s="307">
        <v>699817</v>
      </c>
      <c r="G1842" s="307">
        <v>8743</v>
      </c>
    </row>
    <row r="1843" spans="2:7">
      <c r="B1843" s="347">
        <v>201203</v>
      </c>
      <c r="C1843" s="347">
        <v>2012</v>
      </c>
      <c r="D1843" s="317">
        <v>3</v>
      </c>
      <c r="E1843" s="347" t="s">
        <v>63</v>
      </c>
      <c r="F1843" s="307">
        <v>46060</v>
      </c>
      <c r="G1843" s="307">
        <v>921</v>
      </c>
    </row>
    <row r="1844" spans="2:7">
      <c r="B1844" s="347">
        <v>201203</v>
      </c>
      <c r="C1844" s="347">
        <v>2012</v>
      </c>
      <c r="D1844" s="317">
        <v>3</v>
      </c>
      <c r="E1844" s="347" t="s">
        <v>120</v>
      </c>
      <c r="F1844" s="307">
        <v>507265</v>
      </c>
      <c r="G1844" s="307">
        <v>5798</v>
      </c>
    </row>
    <row r="1845" spans="2:7">
      <c r="B1845" s="347">
        <v>201203</v>
      </c>
      <c r="C1845" s="347">
        <v>2012</v>
      </c>
      <c r="D1845" s="317">
        <v>3</v>
      </c>
      <c r="E1845" s="347" t="s">
        <v>65</v>
      </c>
      <c r="F1845" s="307">
        <v>1157</v>
      </c>
      <c r="G1845" s="307">
        <v>162</v>
      </c>
    </row>
    <row r="1846" spans="2:7">
      <c r="B1846" s="347">
        <v>201203</v>
      </c>
      <c r="C1846" s="347">
        <v>2012</v>
      </c>
      <c r="D1846" s="317">
        <v>3</v>
      </c>
      <c r="E1846" s="347" t="s">
        <v>67</v>
      </c>
      <c r="F1846" s="307">
        <v>17513</v>
      </c>
      <c r="G1846" s="307">
        <v>1086</v>
      </c>
    </row>
    <row r="1847" spans="2:7">
      <c r="B1847" s="347">
        <v>201203</v>
      </c>
      <c r="C1847" s="347">
        <v>2012</v>
      </c>
      <c r="D1847" s="317">
        <v>3</v>
      </c>
      <c r="E1847" s="347" t="s">
        <v>68</v>
      </c>
      <c r="F1847" s="307">
        <v>44585</v>
      </c>
      <c r="G1847" s="307">
        <v>1217</v>
      </c>
    </row>
    <row r="1848" spans="2:7">
      <c r="B1848" s="347">
        <v>201203</v>
      </c>
      <c r="C1848" s="347">
        <v>2012</v>
      </c>
      <c r="D1848" s="317">
        <v>3</v>
      </c>
      <c r="E1848" s="347" t="s">
        <v>69</v>
      </c>
      <c r="F1848" s="307">
        <v>2210</v>
      </c>
      <c r="G1848" s="307">
        <v>150</v>
      </c>
    </row>
    <row r="1849" spans="2:7">
      <c r="B1849" s="347">
        <v>201203</v>
      </c>
      <c r="C1849" s="347">
        <v>2012</v>
      </c>
      <c r="D1849" s="317">
        <v>3</v>
      </c>
      <c r="E1849" s="347" t="s">
        <v>70</v>
      </c>
      <c r="F1849" s="307">
        <v>5499</v>
      </c>
      <c r="G1849" s="307">
        <v>614</v>
      </c>
    </row>
    <row r="1850" spans="2:7">
      <c r="B1850" s="347">
        <v>201203</v>
      </c>
      <c r="C1850" s="347">
        <v>2012</v>
      </c>
      <c r="D1850" s="317">
        <v>3</v>
      </c>
      <c r="E1850" s="347" t="s">
        <v>71</v>
      </c>
      <c r="F1850" s="307">
        <v>1709</v>
      </c>
      <c r="G1850" s="307">
        <v>126</v>
      </c>
    </row>
    <row r="1851" spans="2:7">
      <c r="B1851" s="347">
        <v>201203</v>
      </c>
      <c r="C1851" s="347">
        <v>2012</v>
      </c>
      <c r="D1851" s="317">
        <v>3</v>
      </c>
      <c r="E1851" s="347" t="s">
        <v>72</v>
      </c>
      <c r="F1851" s="307">
        <v>10580</v>
      </c>
      <c r="G1851" s="307">
        <v>1015</v>
      </c>
    </row>
    <row r="1852" spans="2:7">
      <c r="B1852" s="347">
        <v>201203</v>
      </c>
      <c r="C1852" s="347">
        <v>2012</v>
      </c>
      <c r="D1852" s="317">
        <v>3</v>
      </c>
      <c r="E1852" s="347" t="s">
        <v>73</v>
      </c>
      <c r="F1852" s="307">
        <v>1660</v>
      </c>
      <c r="G1852" s="307">
        <v>375</v>
      </c>
    </row>
    <row r="1853" spans="2:7">
      <c r="B1853" s="347">
        <v>201203</v>
      </c>
      <c r="C1853" s="347">
        <v>2012</v>
      </c>
      <c r="D1853" s="317">
        <v>3</v>
      </c>
      <c r="E1853" s="347" t="s">
        <v>74</v>
      </c>
      <c r="F1853" s="307">
        <v>189279</v>
      </c>
      <c r="G1853" s="307">
        <v>2443</v>
      </c>
    </row>
    <row r="1854" spans="2:7">
      <c r="B1854" s="347">
        <v>201203</v>
      </c>
      <c r="C1854" s="347">
        <v>2012</v>
      </c>
      <c r="D1854" s="317">
        <v>3</v>
      </c>
      <c r="E1854" s="347" t="s">
        <v>75</v>
      </c>
      <c r="F1854" s="307">
        <v>335</v>
      </c>
      <c r="G1854" s="307">
        <v>134</v>
      </c>
    </row>
    <row r="1855" spans="2:7">
      <c r="B1855" s="347">
        <v>201203</v>
      </c>
      <c r="C1855" s="347">
        <v>2012</v>
      </c>
      <c r="D1855" s="317">
        <v>3</v>
      </c>
      <c r="E1855" s="347" t="s">
        <v>249</v>
      </c>
      <c r="F1855" s="307">
        <v>351037</v>
      </c>
      <c r="G1855" s="307">
        <v>3077</v>
      </c>
    </row>
    <row r="1856" spans="2:7">
      <c r="B1856" s="347">
        <v>201203</v>
      </c>
      <c r="C1856" s="347">
        <v>2012</v>
      </c>
      <c r="D1856" s="317">
        <v>3</v>
      </c>
      <c r="E1856" s="347" t="s">
        <v>77</v>
      </c>
      <c r="F1856" s="307">
        <v>0</v>
      </c>
      <c r="G1856" s="307">
        <v>43</v>
      </c>
    </row>
    <row r="1857" spans="2:7">
      <c r="B1857" s="347">
        <v>201203</v>
      </c>
      <c r="C1857" s="347">
        <v>2012</v>
      </c>
      <c r="D1857" s="317">
        <v>3</v>
      </c>
      <c r="E1857" s="347" t="s">
        <v>34</v>
      </c>
      <c r="F1857" s="307">
        <v>1363359</v>
      </c>
      <c r="G1857" s="307">
        <v>12424</v>
      </c>
    </row>
    <row r="1858" spans="2:7">
      <c r="B1858" s="347">
        <v>201203</v>
      </c>
      <c r="C1858" s="347">
        <v>2012</v>
      </c>
      <c r="D1858" s="317">
        <v>3</v>
      </c>
      <c r="E1858" s="347" t="s">
        <v>79</v>
      </c>
      <c r="F1858" s="307">
        <v>1195</v>
      </c>
      <c r="G1858" s="307">
        <v>88</v>
      </c>
    </row>
    <row r="1859" spans="2:7">
      <c r="B1859" s="347">
        <v>201203</v>
      </c>
      <c r="C1859" s="347">
        <v>2012</v>
      </c>
      <c r="D1859" s="317">
        <v>3</v>
      </c>
      <c r="E1859" s="347" t="s">
        <v>80</v>
      </c>
      <c r="F1859" s="307">
        <v>284755</v>
      </c>
      <c r="G1859" s="307">
        <v>3288</v>
      </c>
    </row>
    <row r="1860" spans="2:7">
      <c r="B1860" s="347">
        <v>201203</v>
      </c>
      <c r="C1860" s="347">
        <v>2012</v>
      </c>
      <c r="D1860" s="317">
        <v>3</v>
      </c>
      <c r="E1860" s="347" t="s">
        <v>81</v>
      </c>
      <c r="F1860" s="307">
        <v>9888</v>
      </c>
      <c r="G1860" s="307">
        <v>297</v>
      </c>
    </row>
    <row r="1861" spans="2:7">
      <c r="B1861" s="347">
        <v>201203</v>
      </c>
      <c r="C1861" s="347">
        <v>2012</v>
      </c>
      <c r="D1861" s="317">
        <v>3</v>
      </c>
      <c r="E1861" s="347" t="s">
        <v>82</v>
      </c>
      <c r="F1861" s="307">
        <v>28232</v>
      </c>
      <c r="G1861" s="307">
        <v>1538</v>
      </c>
    </row>
    <row r="1862" spans="2:7">
      <c r="B1862" s="347">
        <v>201203</v>
      </c>
      <c r="C1862" s="347">
        <v>2012</v>
      </c>
      <c r="D1862" s="317">
        <v>3</v>
      </c>
      <c r="E1862" s="347" t="s">
        <v>250</v>
      </c>
      <c r="F1862" s="307">
        <v>2</v>
      </c>
      <c r="G1862" s="307">
        <v>112</v>
      </c>
    </row>
    <row r="1863" spans="2:7">
      <c r="B1863" s="347">
        <v>201203</v>
      </c>
      <c r="C1863" s="347">
        <v>2012</v>
      </c>
      <c r="D1863" s="317">
        <v>3</v>
      </c>
      <c r="E1863" s="347" t="s">
        <v>84</v>
      </c>
      <c r="F1863" s="307">
        <v>4750</v>
      </c>
      <c r="G1863" s="307">
        <v>286</v>
      </c>
    </row>
    <row r="1864" spans="2:7">
      <c r="B1864" s="347">
        <v>201203</v>
      </c>
      <c r="C1864" s="347">
        <v>2012</v>
      </c>
      <c r="D1864" s="317">
        <v>3</v>
      </c>
      <c r="E1864" s="347" t="s">
        <v>86</v>
      </c>
      <c r="F1864" s="307">
        <v>57405</v>
      </c>
      <c r="G1864" s="307">
        <v>516</v>
      </c>
    </row>
    <row r="1865" spans="2:7">
      <c r="B1865" s="347">
        <v>201203</v>
      </c>
      <c r="C1865" s="347">
        <v>2012</v>
      </c>
      <c r="D1865" s="317">
        <v>3</v>
      </c>
      <c r="E1865" s="347" t="s">
        <v>87</v>
      </c>
      <c r="F1865" s="307">
        <v>26281</v>
      </c>
      <c r="G1865" s="307">
        <v>1191</v>
      </c>
    </row>
    <row r="1866" spans="2:7">
      <c r="B1866" s="347">
        <v>201203</v>
      </c>
      <c r="C1866" s="347">
        <v>2012</v>
      </c>
      <c r="D1866" s="317">
        <v>3</v>
      </c>
      <c r="E1866" s="347" t="s">
        <v>88</v>
      </c>
      <c r="F1866" s="307">
        <v>22</v>
      </c>
      <c r="G1866" s="307">
        <v>18</v>
      </c>
    </row>
    <row r="1867" spans="2:7">
      <c r="B1867" s="347">
        <v>201203</v>
      </c>
      <c r="C1867" s="347">
        <v>2012</v>
      </c>
      <c r="D1867" s="317">
        <v>3</v>
      </c>
      <c r="E1867" s="347" t="s">
        <v>89</v>
      </c>
      <c r="F1867" s="307">
        <v>127825</v>
      </c>
      <c r="G1867" s="307">
        <v>3082</v>
      </c>
    </row>
    <row r="1868" spans="2:7">
      <c r="B1868" s="347">
        <v>201203</v>
      </c>
      <c r="C1868" s="347">
        <v>2012</v>
      </c>
      <c r="D1868" s="317">
        <v>3</v>
      </c>
      <c r="E1868" s="347" t="s">
        <v>90</v>
      </c>
      <c r="F1868" s="307">
        <v>10141</v>
      </c>
      <c r="G1868" s="307">
        <v>789</v>
      </c>
    </row>
    <row r="1869" spans="2:7">
      <c r="B1869" s="347">
        <v>201203</v>
      </c>
      <c r="C1869" s="347">
        <v>2012</v>
      </c>
      <c r="D1869" s="317">
        <v>3</v>
      </c>
      <c r="E1869" s="347" t="s">
        <v>91</v>
      </c>
      <c r="F1869" s="307">
        <v>11606</v>
      </c>
      <c r="G1869" s="307">
        <v>799</v>
      </c>
    </row>
    <row r="1870" spans="2:7">
      <c r="B1870" s="347">
        <v>201203</v>
      </c>
      <c r="C1870" s="347">
        <v>2012</v>
      </c>
      <c r="D1870" s="317">
        <v>3</v>
      </c>
      <c r="E1870" s="347" t="s">
        <v>92</v>
      </c>
      <c r="F1870" s="307">
        <v>0</v>
      </c>
      <c r="G1870" s="307">
        <v>258</v>
      </c>
    </row>
    <row r="1871" spans="2:7">
      <c r="B1871" s="347">
        <v>201203</v>
      </c>
      <c r="C1871" s="347">
        <v>2012</v>
      </c>
      <c r="D1871" s="317">
        <v>3</v>
      </c>
      <c r="E1871" s="347" t="s">
        <v>93</v>
      </c>
      <c r="F1871" s="307">
        <v>720</v>
      </c>
      <c r="G1871" s="307">
        <v>86</v>
      </c>
    </row>
    <row r="1872" spans="2:7">
      <c r="B1872" s="347">
        <v>201203</v>
      </c>
      <c r="C1872" s="347">
        <v>2012</v>
      </c>
      <c r="D1872" s="317">
        <v>3</v>
      </c>
      <c r="E1872" s="347" t="s">
        <v>94</v>
      </c>
      <c r="F1872" s="307">
        <v>2186</v>
      </c>
      <c r="G1872" s="307">
        <v>236</v>
      </c>
    </row>
    <row r="1873" spans="2:7">
      <c r="B1873" s="347">
        <v>201202</v>
      </c>
      <c r="C1873" s="347">
        <v>2012</v>
      </c>
      <c r="D1873" s="317">
        <v>2</v>
      </c>
      <c r="E1873" s="347" t="s">
        <v>251</v>
      </c>
      <c r="F1873" s="307">
        <v>2154581</v>
      </c>
      <c r="G1873" s="307">
        <v>16297</v>
      </c>
    </row>
    <row r="1874" spans="2:7">
      <c r="B1874" s="347">
        <v>201202</v>
      </c>
      <c r="C1874" s="347">
        <v>2012</v>
      </c>
      <c r="D1874" s="317">
        <v>2</v>
      </c>
      <c r="E1874" s="347" t="s">
        <v>117</v>
      </c>
      <c r="F1874" s="307">
        <v>4798541</v>
      </c>
      <c r="G1874" s="307">
        <v>36866</v>
      </c>
    </row>
    <row r="1875" spans="2:7">
      <c r="B1875" s="347">
        <v>201202</v>
      </c>
      <c r="C1875" s="347">
        <v>2012</v>
      </c>
      <c r="D1875" s="317">
        <v>2</v>
      </c>
      <c r="E1875" s="347" t="s">
        <v>37</v>
      </c>
      <c r="F1875" s="307">
        <v>231587</v>
      </c>
      <c r="G1875" s="307">
        <v>5697</v>
      </c>
    </row>
    <row r="1876" spans="2:7">
      <c r="B1876" s="347">
        <v>201202</v>
      </c>
      <c r="C1876" s="347">
        <v>2012</v>
      </c>
      <c r="D1876" s="317">
        <v>2</v>
      </c>
      <c r="E1876" s="347" t="s">
        <v>104</v>
      </c>
      <c r="F1876" s="307">
        <v>581601</v>
      </c>
      <c r="G1876" s="307">
        <v>4973</v>
      </c>
    </row>
    <row r="1877" spans="2:7">
      <c r="B1877" s="347">
        <v>201202</v>
      </c>
      <c r="C1877" s="347">
        <v>2012</v>
      </c>
      <c r="D1877" s="317">
        <v>2</v>
      </c>
      <c r="E1877" s="347" t="s">
        <v>118</v>
      </c>
      <c r="F1877" s="307">
        <v>2134</v>
      </c>
      <c r="G1877" s="307">
        <v>124</v>
      </c>
    </row>
    <row r="1878" spans="2:7">
      <c r="B1878" s="347">
        <v>201202</v>
      </c>
      <c r="C1878" s="347">
        <v>2012</v>
      </c>
      <c r="D1878" s="317">
        <v>2</v>
      </c>
      <c r="E1878" s="347" t="s">
        <v>103</v>
      </c>
      <c r="F1878" s="307">
        <v>1103751</v>
      </c>
      <c r="G1878" s="307">
        <v>9257</v>
      </c>
    </row>
    <row r="1879" spans="2:7">
      <c r="B1879" s="347">
        <v>201202</v>
      </c>
      <c r="C1879" s="347">
        <v>2012</v>
      </c>
      <c r="D1879" s="317">
        <v>2</v>
      </c>
      <c r="E1879" s="347" t="s">
        <v>41</v>
      </c>
      <c r="F1879" s="307">
        <v>0</v>
      </c>
      <c r="G1879" s="307">
        <v>100</v>
      </c>
    </row>
    <row r="1880" spans="2:7">
      <c r="B1880" s="347">
        <v>201202</v>
      </c>
      <c r="C1880" s="347">
        <v>2012</v>
      </c>
      <c r="D1880" s="317">
        <v>2</v>
      </c>
      <c r="E1880" s="347" t="s">
        <v>95</v>
      </c>
      <c r="F1880" s="307">
        <v>3333</v>
      </c>
      <c r="G1880" s="307">
        <v>404</v>
      </c>
    </row>
    <row r="1881" spans="2:7">
      <c r="B1881" s="347">
        <v>201202</v>
      </c>
      <c r="C1881" s="347">
        <v>2012</v>
      </c>
      <c r="D1881" s="317">
        <v>2</v>
      </c>
      <c r="E1881" s="347" t="s">
        <v>96</v>
      </c>
      <c r="F1881" s="307">
        <v>53361</v>
      </c>
      <c r="G1881" s="307">
        <v>2564</v>
      </c>
    </row>
    <row r="1882" spans="2:7">
      <c r="B1882" s="347">
        <v>201202</v>
      </c>
      <c r="C1882" s="347">
        <v>2012</v>
      </c>
      <c r="D1882" s="317">
        <v>2</v>
      </c>
      <c r="E1882" s="347" t="s">
        <v>97</v>
      </c>
      <c r="F1882" s="307">
        <v>50752</v>
      </c>
      <c r="G1882" s="307">
        <v>1926</v>
      </c>
    </row>
    <row r="1883" spans="2:7">
      <c r="B1883" s="347">
        <v>201202</v>
      </c>
      <c r="C1883" s="347">
        <v>2012</v>
      </c>
      <c r="D1883" s="317">
        <v>2</v>
      </c>
      <c r="E1883" s="347" t="s">
        <v>98</v>
      </c>
      <c r="F1883" s="307">
        <v>77128</v>
      </c>
      <c r="G1883" s="307">
        <v>2513</v>
      </c>
    </row>
    <row r="1884" spans="2:7">
      <c r="B1884" s="347">
        <v>201202</v>
      </c>
      <c r="C1884" s="347">
        <v>2012</v>
      </c>
      <c r="D1884" s="317">
        <v>2</v>
      </c>
      <c r="E1884" s="347" t="s">
        <v>121</v>
      </c>
      <c r="F1884" s="307">
        <v>240491</v>
      </c>
      <c r="G1884" s="307">
        <v>8261</v>
      </c>
    </row>
    <row r="1885" spans="2:7">
      <c r="B1885" s="347">
        <v>201202</v>
      </c>
      <c r="C1885" s="347">
        <v>2012</v>
      </c>
      <c r="D1885" s="317">
        <v>2</v>
      </c>
      <c r="E1885" s="347" t="s">
        <v>43</v>
      </c>
      <c r="F1885" s="307">
        <v>483</v>
      </c>
      <c r="G1885" s="307">
        <v>63</v>
      </c>
    </row>
    <row r="1886" spans="2:7">
      <c r="B1886" s="347">
        <v>201202</v>
      </c>
      <c r="C1886" s="347">
        <v>2012</v>
      </c>
      <c r="D1886" s="317">
        <v>2</v>
      </c>
      <c r="E1886" s="347" t="s">
        <v>252</v>
      </c>
      <c r="F1886" s="307">
        <v>170392</v>
      </c>
      <c r="G1886" s="307">
        <v>2840</v>
      </c>
    </row>
    <row r="1887" spans="2:7">
      <c r="B1887" s="347">
        <v>201202</v>
      </c>
      <c r="C1887" s="347">
        <v>2012</v>
      </c>
      <c r="D1887" s="317">
        <v>2</v>
      </c>
      <c r="E1887" s="347" t="s">
        <v>45</v>
      </c>
      <c r="F1887" s="307">
        <v>279550</v>
      </c>
      <c r="G1887" s="307">
        <v>2793</v>
      </c>
    </row>
    <row r="1888" spans="2:7">
      <c r="B1888" s="347">
        <v>201202</v>
      </c>
      <c r="C1888" s="347">
        <v>2012</v>
      </c>
      <c r="D1888" s="317">
        <v>2</v>
      </c>
      <c r="E1888" s="347" t="s">
        <v>46</v>
      </c>
      <c r="F1888" s="307">
        <v>2396</v>
      </c>
      <c r="G1888" s="307">
        <v>272</v>
      </c>
    </row>
    <row r="1889" spans="2:7">
      <c r="B1889" s="347">
        <v>201202</v>
      </c>
      <c r="C1889" s="347">
        <v>2012</v>
      </c>
      <c r="D1889" s="317">
        <v>2</v>
      </c>
      <c r="E1889" s="347" t="s">
        <v>47</v>
      </c>
      <c r="F1889" s="307">
        <v>0</v>
      </c>
      <c r="G1889" s="307">
        <v>432</v>
      </c>
    </row>
    <row r="1890" spans="2:7">
      <c r="B1890" s="347">
        <v>201202</v>
      </c>
      <c r="C1890" s="347">
        <v>2012</v>
      </c>
      <c r="D1890" s="317">
        <v>2</v>
      </c>
      <c r="E1890" s="347" t="s">
        <v>212</v>
      </c>
      <c r="F1890" s="307">
        <v>531155</v>
      </c>
      <c r="G1890" s="307">
        <v>5766</v>
      </c>
    </row>
    <row r="1891" spans="2:7">
      <c r="B1891" s="347">
        <v>201202</v>
      </c>
      <c r="C1891" s="347">
        <v>2012</v>
      </c>
      <c r="D1891" s="317">
        <v>2</v>
      </c>
      <c r="E1891" s="347" t="s">
        <v>49</v>
      </c>
      <c r="F1891" s="307">
        <v>6854</v>
      </c>
      <c r="G1891" s="307">
        <v>640</v>
      </c>
    </row>
    <row r="1892" spans="2:7">
      <c r="B1892" s="347">
        <v>201202</v>
      </c>
      <c r="C1892" s="347">
        <v>2012</v>
      </c>
      <c r="D1892" s="317">
        <v>2</v>
      </c>
      <c r="E1892" s="347" t="s">
        <v>50</v>
      </c>
      <c r="F1892" s="307">
        <v>30642</v>
      </c>
      <c r="G1892" s="307">
        <v>428</v>
      </c>
    </row>
    <row r="1893" spans="2:7">
      <c r="B1893" s="347">
        <v>201202</v>
      </c>
      <c r="C1893" s="347">
        <v>2012</v>
      </c>
      <c r="D1893" s="317">
        <v>2</v>
      </c>
      <c r="E1893" s="347" t="s">
        <v>51</v>
      </c>
      <c r="F1893" s="307">
        <v>357949</v>
      </c>
      <c r="G1893" s="307">
        <v>3392</v>
      </c>
    </row>
    <row r="1894" spans="2:7">
      <c r="B1894" s="347">
        <v>201202</v>
      </c>
      <c r="C1894" s="347">
        <v>2012</v>
      </c>
      <c r="D1894" s="317">
        <v>2</v>
      </c>
      <c r="E1894" s="347" t="s">
        <v>53</v>
      </c>
      <c r="F1894" s="307">
        <v>613</v>
      </c>
      <c r="G1894" s="307">
        <v>83</v>
      </c>
    </row>
    <row r="1895" spans="2:7">
      <c r="B1895" s="347">
        <v>201202</v>
      </c>
      <c r="C1895" s="347">
        <v>2012</v>
      </c>
      <c r="D1895" s="317">
        <v>2</v>
      </c>
      <c r="E1895" s="347" t="s">
        <v>54</v>
      </c>
      <c r="F1895" s="307">
        <v>50842</v>
      </c>
      <c r="G1895" s="307">
        <v>930</v>
      </c>
    </row>
    <row r="1896" spans="2:7">
      <c r="B1896" s="347">
        <v>201202</v>
      </c>
      <c r="C1896" s="347">
        <v>2012</v>
      </c>
      <c r="D1896" s="317">
        <v>2</v>
      </c>
      <c r="E1896" s="347" t="s">
        <v>55</v>
      </c>
      <c r="F1896" s="307">
        <v>0</v>
      </c>
      <c r="G1896" s="307">
        <v>10</v>
      </c>
    </row>
    <row r="1897" spans="2:7">
      <c r="B1897" s="347">
        <v>201202</v>
      </c>
      <c r="C1897" s="347">
        <v>2012</v>
      </c>
      <c r="D1897" s="317">
        <v>2</v>
      </c>
      <c r="E1897" s="347" t="s">
        <v>56</v>
      </c>
      <c r="F1897" s="307">
        <v>28318</v>
      </c>
      <c r="G1897" s="307">
        <v>252</v>
      </c>
    </row>
    <row r="1898" spans="2:7">
      <c r="B1898" s="347">
        <v>201202</v>
      </c>
      <c r="C1898" s="347">
        <v>2012</v>
      </c>
      <c r="D1898" s="317">
        <v>2</v>
      </c>
      <c r="E1898" s="347" t="s">
        <v>57</v>
      </c>
      <c r="F1898" s="307">
        <v>0</v>
      </c>
      <c r="G1898" s="307">
        <v>179</v>
      </c>
    </row>
    <row r="1899" spans="2:7">
      <c r="B1899" s="347">
        <v>201202</v>
      </c>
      <c r="C1899" s="347">
        <v>2012</v>
      </c>
      <c r="D1899" s="317">
        <v>2</v>
      </c>
      <c r="E1899" s="347" t="s">
        <v>58</v>
      </c>
      <c r="F1899" s="307">
        <v>34738</v>
      </c>
      <c r="G1899" s="307">
        <v>228</v>
      </c>
    </row>
    <row r="1900" spans="2:7">
      <c r="B1900" s="347">
        <v>201202</v>
      </c>
      <c r="C1900" s="347">
        <v>2012</v>
      </c>
      <c r="D1900" s="317">
        <v>2</v>
      </c>
      <c r="E1900" s="347" t="s">
        <v>59</v>
      </c>
      <c r="F1900" s="307">
        <v>4491</v>
      </c>
      <c r="G1900" s="307">
        <v>227</v>
      </c>
    </row>
    <row r="1901" spans="2:7">
      <c r="B1901" s="347">
        <v>201202</v>
      </c>
      <c r="C1901" s="347">
        <v>2012</v>
      </c>
      <c r="D1901" s="317">
        <v>2</v>
      </c>
      <c r="E1901" s="347" t="s">
        <v>60</v>
      </c>
      <c r="F1901" s="307">
        <v>13117</v>
      </c>
      <c r="G1901" s="307">
        <v>426</v>
      </c>
    </row>
    <row r="1902" spans="2:7">
      <c r="B1902" s="347">
        <v>201202</v>
      </c>
      <c r="C1902" s="347">
        <v>2012</v>
      </c>
      <c r="D1902" s="317">
        <v>2</v>
      </c>
      <c r="E1902" s="347" t="s">
        <v>248</v>
      </c>
      <c r="F1902" s="307">
        <v>208451</v>
      </c>
      <c r="G1902" s="307">
        <v>4078</v>
      </c>
    </row>
    <row r="1903" spans="2:7">
      <c r="B1903" s="347">
        <v>201202</v>
      </c>
      <c r="C1903" s="347">
        <v>2012</v>
      </c>
      <c r="D1903" s="317">
        <v>2</v>
      </c>
      <c r="E1903" s="347" t="s">
        <v>119</v>
      </c>
      <c r="F1903" s="307">
        <v>611627</v>
      </c>
      <c r="G1903" s="307">
        <v>7838</v>
      </c>
    </row>
    <row r="1904" spans="2:7">
      <c r="B1904" s="347">
        <v>201202</v>
      </c>
      <c r="C1904" s="347">
        <v>2012</v>
      </c>
      <c r="D1904" s="317">
        <v>2</v>
      </c>
      <c r="E1904" s="347" t="s">
        <v>63</v>
      </c>
      <c r="F1904" s="307">
        <v>35840</v>
      </c>
      <c r="G1904" s="307">
        <v>794</v>
      </c>
    </row>
    <row r="1905" spans="2:7">
      <c r="B1905" s="347">
        <v>201202</v>
      </c>
      <c r="C1905" s="347">
        <v>2012</v>
      </c>
      <c r="D1905" s="317">
        <v>2</v>
      </c>
      <c r="E1905" s="347" t="s">
        <v>120</v>
      </c>
      <c r="F1905" s="307">
        <v>428264</v>
      </c>
      <c r="G1905" s="307">
        <v>5153</v>
      </c>
    </row>
    <row r="1906" spans="2:7">
      <c r="B1906" s="347">
        <v>201202</v>
      </c>
      <c r="C1906" s="347">
        <v>2012</v>
      </c>
      <c r="D1906" s="317">
        <v>2</v>
      </c>
      <c r="E1906" s="347" t="s">
        <v>65</v>
      </c>
      <c r="F1906" s="307">
        <v>1054</v>
      </c>
      <c r="G1906" s="307">
        <v>104</v>
      </c>
    </row>
    <row r="1907" spans="2:7">
      <c r="B1907" s="347">
        <v>201202</v>
      </c>
      <c r="C1907" s="347">
        <v>2012</v>
      </c>
      <c r="D1907" s="317">
        <v>2</v>
      </c>
      <c r="E1907" s="347" t="s">
        <v>67</v>
      </c>
      <c r="F1907" s="307">
        <v>14667</v>
      </c>
      <c r="G1907" s="307">
        <v>885</v>
      </c>
    </row>
    <row r="1908" spans="2:7">
      <c r="B1908" s="347">
        <v>201202</v>
      </c>
      <c r="C1908" s="347">
        <v>2012</v>
      </c>
      <c r="D1908" s="317">
        <v>2</v>
      </c>
      <c r="E1908" s="347" t="s">
        <v>68</v>
      </c>
      <c r="F1908" s="307">
        <v>39006</v>
      </c>
      <c r="G1908" s="307">
        <v>1087</v>
      </c>
    </row>
    <row r="1909" spans="2:7">
      <c r="B1909" s="347">
        <v>201202</v>
      </c>
      <c r="C1909" s="347">
        <v>2012</v>
      </c>
      <c r="D1909" s="317">
        <v>2</v>
      </c>
      <c r="E1909" s="347" t="s">
        <v>69</v>
      </c>
      <c r="F1909" s="307">
        <v>1511</v>
      </c>
      <c r="G1909" s="307">
        <v>122</v>
      </c>
    </row>
    <row r="1910" spans="2:7">
      <c r="B1910" s="347">
        <v>201202</v>
      </c>
      <c r="C1910" s="347">
        <v>2012</v>
      </c>
      <c r="D1910" s="317">
        <v>2</v>
      </c>
      <c r="E1910" s="347" t="s">
        <v>70</v>
      </c>
      <c r="F1910" s="307">
        <v>3479</v>
      </c>
      <c r="G1910" s="307">
        <v>344</v>
      </c>
    </row>
    <row r="1911" spans="2:7">
      <c r="B1911" s="347">
        <v>201202</v>
      </c>
      <c r="C1911" s="347">
        <v>2012</v>
      </c>
      <c r="D1911" s="317">
        <v>2</v>
      </c>
      <c r="E1911" s="347" t="s">
        <v>71</v>
      </c>
      <c r="F1911" s="307">
        <v>1138</v>
      </c>
      <c r="G1911" s="307">
        <v>110</v>
      </c>
    </row>
    <row r="1912" spans="2:7">
      <c r="B1912" s="347">
        <v>201202</v>
      </c>
      <c r="C1912" s="347">
        <v>2012</v>
      </c>
      <c r="D1912" s="317">
        <v>2</v>
      </c>
      <c r="E1912" s="347" t="s">
        <v>72</v>
      </c>
      <c r="F1912" s="307">
        <v>9479</v>
      </c>
      <c r="G1912" s="307">
        <v>902</v>
      </c>
    </row>
    <row r="1913" spans="2:7">
      <c r="B1913" s="347">
        <v>201202</v>
      </c>
      <c r="C1913" s="347">
        <v>2012</v>
      </c>
      <c r="D1913" s="317">
        <v>2</v>
      </c>
      <c r="E1913" s="347" t="s">
        <v>73</v>
      </c>
      <c r="F1913" s="307">
        <v>1083</v>
      </c>
      <c r="G1913" s="307">
        <v>255</v>
      </c>
    </row>
    <row r="1914" spans="2:7">
      <c r="B1914" s="347">
        <v>201202</v>
      </c>
      <c r="C1914" s="347">
        <v>2012</v>
      </c>
      <c r="D1914" s="317">
        <v>2</v>
      </c>
      <c r="E1914" s="347" t="s">
        <v>74</v>
      </c>
      <c r="F1914" s="307">
        <v>145974</v>
      </c>
      <c r="G1914" s="307">
        <v>1996</v>
      </c>
    </row>
    <row r="1915" spans="2:7">
      <c r="B1915" s="347">
        <v>201202</v>
      </c>
      <c r="C1915" s="347">
        <v>2012</v>
      </c>
      <c r="D1915" s="317">
        <v>2</v>
      </c>
      <c r="E1915" s="347" t="s">
        <v>75</v>
      </c>
      <c r="F1915" s="307">
        <v>198</v>
      </c>
      <c r="G1915" s="307">
        <v>87</v>
      </c>
    </row>
    <row r="1916" spans="2:7">
      <c r="B1916" s="347">
        <v>201202</v>
      </c>
      <c r="C1916" s="347">
        <v>2012</v>
      </c>
      <c r="D1916" s="317">
        <v>2</v>
      </c>
      <c r="E1916" s="347" t="s">
        <v>249</v>
      </c>
      <c r="F1916" s="307">
        <v>309141</v>
      </c>
      <c r="G1916" s="307">
        <v>2715</v>
      </c>
    </row>
    <row r="1917" spans="2:7">
      <c r="B1917" s="347">
        <v>201202</v>
      </c>
      <c r="C1917" s="347">
        <v>2012</v>
      </c>
      <c r="D1917" s="317">
        <v>2</v>
      </c>
      <c r="E1917" s="347" t="s">
        <v>77</v>
      </c>
      <c r="F1917" s="307">
        <v>0</v>
      </c>
      <c r="G1917" s="307">
        <v>43</v>
      </c>
    </row>
    <row r="1918" spans="2:7">
      <c r="B1918" s="347">
        <v>201202</v>
      </c>
      <c r="C1918" s="347">
        <v>2012</v>
      </c>
      <c r="D1918" s="317">
        <v>2</v>
      </c>
      <c r="E1918" s="347" t="s">
        <v>34</v>
      </c>
      <c r="F1918" s="307">
        <v>1173517</v>
      </c>
      <c r="G1918" s="307">
        <v>11035</v>
      </c>
    </row>
    <row r="1919" spans="2:7">
      <c r="B1919" s="347">
        <v>201202</v>
      </c>
      <c r="C1919" s="347">
        <v>2012</v>
      </c>
      <c r="D1919" s="317">
        <v>2</v>
      </c>
      <c r="E1919" s="347" t="s">
        <v>79</v>
      </c>
      <c r="F1919" s="307">
        <v>1206</v>
      </c>
      <c r="G1919" s="307">
        <v>87</v>
      </c>
    </row>
    <row r="1920" spans="2:7">
      <c r="B1920" s="347">
        <v>201202</v>
      </c>
      <c r="C1920" s="347">
        <v>2012</v>
      </c>
      <c r="D1920" s="317">
        <v>2</v>
      </c>
      <c r="E1920" s="347" t="s">
        <v>80</v>
      </c>
      <c r="F1920" s="307">
        <v>238398</v>
      </c>
      <c r="G1920" s="307">
        <v>2965</v>
      </c>
    </row>
    <row r="1921" spans="2:7">
      <c r="B1921" s="347">
        <v>201202</v>
      </c>
      <c r="C1921" s="347">
        <v>2012</v>
      </c>
      <c r="D1921" s="317">
        <v>2</v>
      </c>
      <c r="E1921" s="347" t="s">
        <v>81</v>
      </c>
      <c r="F1921" s="307">
        <v>7244</v>
      </c>
      <c r="G1921" s="307">
        <v>239</v>
      </c>
    </row>
    <row r="1922" spans="2:7">
      <c r="B1922" s="347">
        <v>201202</v>
      </c>
      <c r="C1922" s="347">
        <v>2012</v>
      </c>
      <c r="D1922" s="317">
        <v>2</v>
      </c>
      <c r="E1922" s="347" t="s">
        <v>82</v>
      </c>
      <c r="F1922" s="307">
        <v>25161</v>
      </c>
      <c r="G1922" s="307">
        <v>1384</v>
      </c>
    </row>
    <row r="1923" spans="2:7">
      <c r="B1923" s="347">
        <v>201202</v>
      </c>
      <c r="C1923" s="347">
        <v>2012</v>
      </c>
      <c r="D1923" s="317">
        <v>2</v>
      </c>
      <c r="E1923" s="347" t="s">
        <v>250</v>
      </c>
      <c r="F1923" s="307">
        <v>28</v>
      </c>
      <c r="G1923" s="307">
        <v>94</v>
      </c>
    </row>
    <row r="1924" spans="2:7">
      <c r="B1924" s="347">
        <v>201202</v>
      </c>
      <c r="C1924" s="347">
        <v>2012</v>
      </c>
      <c r="D1924" s="317">
        <v>2</v>
      </c>
      <c r="E1924" s="347" t="s">
        <v>84</v>
      </c>
      <c r="F1924" s="307">
        <v>3194</v>
      </c>
      <c r="G1924" s="307">
        <v>200</v>
      </c>
    </row>
    <row r="1925" spans="2:7">
      <c r="B1925" s="347">
        <v>201202</v>
      </c>
      <c r="C1925" s="347">
        <v>2012</v>
      </c>
      <c r="D1925" s="317">
        <v>2</v>
      </c>
      <c r="E1925" s="347" t="s">
        <v>86</v>
      </c>
      <c r="F1925" s="307">
        <v>42316</v>
      </c>
      <c r="G1925" s="307">
        <v>401</v>
      </c>
    </row>
    <row r="1926" spans="2:7">
      <c r="B1926" s="347">
        <v>201202</v>
      </c>
      <c r="C1926" s="347">
        <v>2012</v>
      </c>
      <c r="D1926" s="317">
        <v>2</v>
      </c>
      <c r="E1926" s="347" t="s">
        <v>87</v>
      </c>
      <c r="F1926" s="307">
        <v>22840</v>
      </c>
      <c r="G1926" s="307">
        <v>1039</v>
      </c>
    </row>
    <row r="1927" spans="2:7">
      <c r="B1927" s="347">
        <v>201202</v>
      </c>
      <c r="C1927" s="347">
        <v>2012</v>
      </c>
      <c r="D1927" s="317">
        <v>2</v>
      </c>
      <c r="E1927" s="347" t="s">
        <v>88</v>
      </c>
      <c r="F1927" s="307">
        <v>28</v>
      </c>
      <c r="G1927" s="307">
        <v>22</v>
      </c>
    </row>
    <row r="1928" spans="2:7">
      <c r="B1928" s="347">
        <v>201202</v>
      </c>
      <c r="C1928" s="347">
        <v>2012</v>
      </c>
      <c r="D1928" s="317">
        <v>2</v>
      </c>
      <c r="E1928" s="347" t="s">
        <v>89</v>
      </c>
      <c r="F1928" s="307">
        <v>108730</v>
      </c>
      <c r="G1928" s="307">
        <v>2794</v>
      </c>
    </row>
    <row r="1929" spans="2:7">
      <c r="B1929" s="347">
        <v>201202</v>
      </c>
      <c r="C1929" s="347">
        <v>2012</v>
      </c>
      <c r="D1929" s="317">
        <v>2</v>
      </c>
      <c r="E1929" s="347" t="s">
        <v>90</v>
      </c>
      <c r="F1929" s="307">
        <v>8935</v>
      </c>
      <c r="G1929" s="307">
        <v>713</v>
      </c>
    </row>
    <row r="1930" spans="2:7">
      <c r="B1930" s="347">
        <v>201202</v>
      </c>
      <c r="C1930" s="347">
        <v>2012</v>
      </c>
      <c r="D1930" s="317">
        <v>2</v>
      </c>
      <c r="E1930" s="347" t="s">
        <v>91</v>
      </c>
      <c r="F1930" s="307">
        <v>10904</v>
      </c>
      <c r="G1930" s="307">
        <v>749</v>
      </c>
    </row>
    <row r="1931" spans="2:7">
      <c r="B1931" s="347">
        <v>201202</v>
      </c>
      <c r="C1931" s="347">
        <v>2012</v>
      </c>
      <c r="D1931" s="317">
        <v>2</v>
      </c>
      <c r="E1931" s="347" t="s">
        <v>93</v>
      </c>
      <c r="F1931" s="307">
        <v>571</v>
      </c>
      <c r="G1931" s="307">
        <v>72</v>
      </c>
    </row>
    <row r="1932" spans="2:7">
      <c r="B1932" s="347">
        <v>201202</v>
      </c>
      <c r="C1932" s="347">
        <v>2012</v>
      </c>
      <c r="D1932" s="317">
        <v>2</v>
      </c>
      <c r="E1932" s="347" t="s">
        <v>94</v>
      </c>
      <c r="F1932" s="307">
        <v>1895</v>
      </c>
      <c r="G1932" s="307">
        <v>201</v>
      </c>
    </row>
    <row r="1933" spans="2:7">
      <c r="B1933" s="347">
        <v>201201</v>
      </c>
      <c r="C1933" s="347">
        <v>2012</v>
      </c>
      <c r="D1933" s="317">
        <v>1</v>
      </c>
      <c r="E1933" s="347" t="s">
        <v>251</v>
      </c>
      <c r="F1933" s="307">
        <v>2113310</v>
      </c>
      <c r="G1933" s="307">
        <v>16871</v>
      </c>
    </row>
    <row r="1934" spans="2:7">
      <c r="B1934" s="347">
        <v>201201</v>
      </c>
      <c r="C1934" s="347">
        <v>2012</v>
      </c>
      <c r="D1934" s="317">
        <v>1</v>
      </c>
      <c r="E1934" s="347" t="s">
        <v>117</v>
      </c>
      <c r="F1934" s="307">
        <v>5169144</v>
      </c>
      <c r="G1934" s="307">
        <v>39135</v>
      </c>
    </row>
    <row r="1935" spans="2:7">
      <c r="B1935" s="347">
        <v>201201</v>
      </c>
      <c r="C1935" s="347">
        <v>2012</v>
      </c>
      <c r="D1935" s="317">
        <v>1</v>
      </c>
      <c r="E1935" s="347" t="s">
        <v>37</v>
      </c>
      <c r="F1935" s="307">
        <v>218928</v>
      </c>
      <c r="G1935" s="307">
        <v>5605</v>
      </c>
    </row>
    <row r="1936" spans="2:7">
      <c r="B1936" s="347">
        <v>201201</v>
      </c>
      <c r="C1936" s="347">
        <v>2012</v>
      </c>
      <c r="D1936" s="317">
        <v>1</v>
      </c>
      <c r="E1936" s="347" t="s">
        <v>104</v>
      </c>
      <c r="F1936" s="307">
        <v>584446</v>
      </c>
      <c r="G1936" s="307">
        <v>5154</v>
      </c>
    </row>
    <row r="1937" spans="2:7">
      <c r="B1937" s="347">
        <v>201201</v>
      </c>
      <c r="C1937" s="347">
        <v>2012</v>
      </c>
      <c r="D1937" s="317">
        <v>1</v>
      </c>
      <c r="E1937" s="347" t="s">
        <v>118</v>
      </c>
      <c r="F1937" s="307">
        <v>1980</v>
      </c>
      <c r="G1937" s="307">
        <v>119</v>
      </c>
    </row>
    <row r="1938" spans="2:7">
      <c r="B1938" s="347">
        <v>201201</v>
      </c>
      <c r="C1938" s="347">
        <v>2012</v>
      </c>
      <c r="D1938" s="317">
        <v>1</v>
      </c>
      <c r="E1938" s="347" t="s">
        <v>103</v>
      </c>
      <c r="F1938" s="307">
        <v>1070766</v>
      </c>
      <c r="G1938" s="307">
        <v>9779</v>
      </c>
    </row>
    <row r="1939" spans="2:7">
      <c r="B1939" s="347">
        <v>201201</v>
      </c>
      <c r="C1939" s="347">
        <v>2012</v>
      </c>
      <c r="D1939" s="317">
        <v>1</v>
      </c>
      <c r="E1939" s="347" t="s">
        <v>41</v>
      </c>
      <c r="F1939" s="307">
        <v>0</v>
      </c>
      <c r="G1939" s="307">
        <v>89</v>
      </c>
    </row>
    <row r="1940" spans="2:7">
      <c r="B1940" s="347">
        <v>201201</v>
      </c>
      <c r="C1940" s="347">
        <v>2012</v>
      </c>
      <c r="D1940" s="317">
        <v>1</v>
      </c>
      <c r="E1940" s="347" t="s">
        <v>95</v>
      </c>
      <c r="F1940" s="307">
        <v>3420</v>
      </c>
      <c r="G1940" s="307">
        <v>468</v>
      </c>
    </row>
    <row r="1941" spans="2:7">
      <c r="B1941" s="347">
        <v>201201</v>
      </c>
      <c r="C1941" s="347">
        <v>2012</v>
      </c>
      <c r="D1941" s="317">
        <v>1</v>
      </c>
      <c r="E1941" s="347" t="s">
        <v>96</v>
      </c>
      <c r="F1941" s="307">
        <v>53250</v>
      </c>
      <c r="G1941" s="307">
        <v>2722</v>
      </c>
    </row>
    <row r="1942" spans="2:7">
      <c r="B1942" s="347">
        <v>201201</v>
      </c>
      <c r="C1942" s="347">
        <v>2012</v>
      </c>
      <c r="D1942" s="317">
        <v>1</v>
      </c>
      <c r="E1942" s="347" t="s">
        <v>97</v>
      </c>
      <c r="F1942" s="307">
        <v>46264</v>
      </c>
      <c r="G1942" s="307">
        <v>1975</v>
      </c>
    </row>
    <row r="1943" spans="2:7">
      <c r="B1943" s="347">
        <v>201201</v>
      </c>
      <c r="C1943" s="347">
        <v>2012</v>
      </c>
      <c r="D1943" s="317">
        <v>1</v>
      </c>
      <c r="E1943" s="347" t="s">
        <v>98</v>
      </c>
      <c r="F1943" s="307">
        <v>77833</v>
      </c>
      <c r="G1943" s="307">
        <v>2677</v>
      </c>
    </row>
    <row r="1944" spans="2:7">
      <c r="B1944" s="347">
        <v>201201</v>
      </c>
      <c r="C1944" s="347">
        <v>2012</v>
      </c>
      <c r="D1944" s="317">
        <v>1</v>
      </c>
      <c r="E1944" s="347" t="s">
        <v>121</v>
      </c>
      <c r="F1944" s="307">
        <v>225851</v>
      </c>
      <c r="G1944" s="307">
        <v>8041</v>
      </c>
    </row>
    <row r="1945" spans="2:7">
      <c r="B1945" s="347">
        <v>201201</v>
      </c>
      <c r="C1945" s="347">
        <v>2012</v>
      </c>
      <c r="D1945" s="317">
        <v>1</v>
      </c>
      <c r="E1945" s="347" t="s">
        <v>43</v>
      </c>
      <c r="F1945" s="307">
        <v>562</v>
      </c>
      <c r="G1945" s="307">
        <v>92</v>
      </c>
    </row>
    <row r="1946" spans="2:7">
      <c r="B1946" s="347">
        <v>201201</v>
      </c>
      <c r="C1946" s="347">
        <v>2012</v>
      </c>
      <c r="D1946" s="317">
        <v>1</v>
      </c>
      <c r="E1946" s="347" t="s">
        <v>252</v>
      </c>
      <c r="F1946" s="307">
        <v>149470</v>
      </c>
      <c r="G1946" s="307">
        <v>2780</v>
      </c>
    </row>
    <row r="1947" spans="2:7">
      <c r="B1947" s="347">
        <v>201201</v>
      </c>
      <c r="C1947" s="347">
        <v>2012</v>
      </c>
      <c r="D1947" s="317">
        <v>1</v>
      </c>
      <c r="E1947" s="347" t="s">
        <v>45</v>
      </c>
      <c r="F1947" s="307">
        <v>255019</v>
      </c>
      <c r="G1947" s="307">
        <v>2985</v>
      </c>
    </row>
    <row r="1948" spans="2:7">
      <c r="B1948" s="347">
        <v>201201</v>
      </c>
      <c r="C1948" s="347">
        <v>2012</v>
      </c>
      <c r="D1948" s="317">
        <v>1</v>
      </c>
      <c r="E1948" s="347" t="s">
        <v>46</v>
      </c>
      <c r="F1948" s="307">
        <v>2345</v>
      </c>
      <c r="G1948" s="307">
        <v>298</v>
      </c>
    </row>
    <row r="1949" spans="2:7">
      <c r="B1949" s="347">
        <v>201201</v>
      </c>
      <c r="C1949" s="347">
        <v>2012</v>
      </c>
      <c r="D1949" s="317">
        <v>1</v>
      </c>
      <c r="E1949" s="347" t="s">
        <v>47</v>
      </c>
      <c r="F1949" s="307">
        <v>0</v>
      </c>
      <c r="G1949" s="307">
        <v>398</v>
      </c>
    </row>
    <row r="1950" spans="2:7">
      <c r="B1950" s="347">
        <v>201201</v>
      </c>
      <c r="C1950" s="347">
        <v>2012</v>
      </c>
      <c r="D1950" s="317">
        <v>1</v>
      </c>
      <c r="E1950" s="347" t="s">
        <v>212</v>
      </c>
      <c r="F1950" s="307">
        <v>501328</v>
      </c>
      <c r="G1950" s="307">
        <v>5663</v>
      </c>
    </row>
    <row r="1951" spans="2:7">
      <c r="B1951" s="347">
        <v>201201</v>
      </c>
      <c r="C1951" s="347">
        <v>2012</v>
      </c>
      <c r="D1951" s="317">
        <v>1</v>
      </c>
      <c r="E1951" s="347" t="s">
        <v>49</v>
      </c>
      <c r="F1951" s="307">
        <v>5769</v>
      </c>
      <c r="G1951" s="307">
        <v>626</v>
      </c>
    </row>
    <row r="1952" spans="2:7">
      <c r="B1952" s="347">
        <v>201201</v>
      </c>
      <c r="C1952" s="347">
        <v>2012</v>
      </c>
      <c r="D1952" s="317">
        <v>1</v>
      </c>
      <c r="E1952" s="347" t="s">
        <v>50</v>
      </c>
      <c r="F1952" s="307">
        <v>16539</v>
      </c>
      <c r="G1952" s="307">
        <v>343</v>
      </c>
    </row>
    <row r="1953" spans="2:7">
      <c r="B1953" s="347">
        <v>201201</v>
      </c>
      <c r="C1953" s="347">
        <v>2012</v>
      </c>
      <c r="D1953" s="317">
        <v>1</v>
      </c>
      <c r="E1953" s="347" t="s">
        <v>51</v>
      </c>
      <c r="F1953" s="307">
        <v>318238</v>
      </c>
      <c r="G1953" s="307">
        <v>3401</v>
      </c>
    </row>
    <row r="1954" spans="2:7">
      <c r="B1954" s="347">
        <v>201201</v>
      </c>
      <c r="C1954" s="347">
        <v>2012</v>
      </c>
      <c r="D1954" s="317">
        <v>1</v>
      </c>
      <c r="E1954" s="347" t="s">
        <v>52</v>
      </c>
      <c r="F1954" s="307">
        <v>0</v>
      </c>
      <c r="G1954" s="307">
        <v>4</v>
      </c>
    </row>
    <row r="1955" spans="2:7">
      <c r="B1955" s="347">
        <v>201201</v>
      </c>
      <c r="C1955" s="347">
        <v>2012</v>
      </c>
      <c r="D1955" s="317">
        <v>1</v>
      </c>
      <c r="E1955" s="347" t="s">
        <v>53</v>
      </c>
      <c r="F1955" s="307">
        <v>549</v>
      </c>
      <c r="G1955" s="307">
        <v>80</v>
      </c>
    </row>
    <row r="1956" spans="2:7">
      <c r="B1956" s="347">
        <v>201201</v>
      </c>
      <c r="C1956" s="347">
        <v>2012</v>
      </c>
      <c r="D1956" s="317">
        <v>1</v>
      </c>
      <c r="E1956" s="347" t="s">
        <v>54</v>
      </c>
      <c r="F1956" s="307">
        <v>39287</v>
      </c>
      <c r="G1956" s="307">
        <v>891</v>
      </c>
    </row>
    <row r="1957" spans="2:7">
      <c r="B1957" s="347">
        <v>201201</v>
      </c>
      <c r="C1957" s="347">
        <v>2012</v>
      </c>
      <c r="D1957" s="317">
        <v>1</v>
      </c>
      <c r="E1957" s="347" t="s">
        <v>55</v>
      </c>
      <c r="F1957" s="307">
        <v>0</v>
      </c>
      <c r="G1957" s="307">
        <v>40</v>
      </c>
    </row>
    <row r="1958" spans="2:7">
      <c r="B1958" s="347">
        <v>201201</v>
      </c>
      <c r="C1958" s="347">
        <v>2012</v>
      </c>
      <c r="D1958" s="317">
        <v>1</v>
      </c>
      <c r="E1958" s="347" t="s">
        <v>56</v>
      </c>
      <c r="F1958" s="307">
        <v>24855</v>
      </c>
      <c r="G1958" s="307">
        <v>269</v>
      </c>
    </row>
    <row r="1959" spans="2:7">
      <c r="B1959" s="347">
        <v>201201</v>
      </c>
      <c r="C1959" s="347">
        <v>2012</v>
      </c>
      <c r="D1959" s="317">
        <v>1</v>
      </c>
      <c r="E1959" s="347" t="s">
        <v>57</v>
      </c>
      <c r="F1959" s="307">
        <v>0</v>
      </c>
      <c r="G1959" s="307">
        <v>146</v>
      </c>
    </row>
    <row r="1960" spans="2:7">
      <c r="B1960" s="347">
        <v>201201</v>
      </c>
      <c r="C1960" s="347">
        <v>2012</v>
      </c>
      <c r="D1960" s="317">
        <v>1</v>
      </c>
      <c r="E1960" s="347" t="s">
        <v>58</v>
      </c>
      <c r="F1960" s="307">
        <v>38580</v>
      </c>
      <c r="G1960" s="307">
        <v>278</v>
      </c>
    </row>
    <row r="1961" spans="2:7">
      <c r="B1961" s="347">
        <v>201201</v>
      </c>
      <c r="C1961" s="347">
        <v>2012</v>
      </c>
      <c r="D1961" s="317">
        <v>1</v>
      </c>
      <c r="E1961" s="347" t="s">
        <v>59</v>
      </c>
      <c r="F1961" s="307">
        <v>4148</v>
      </c>
      <c r="G1961" s="307">
        <v>234</v>
      </c>
    </row>
    <row r="1962" spans="2:7">
      <c r="B1962" s="347">
        <v>201201</v>
      </c>
      <c r="C1962" s="347">
        <v>2012</v>
      </c>
      <c r="D1962" s="317">
        <v>1</v>
      </c>
      <c r="E1962" s="347" t="s">
        <v>60</v>
      </c>
      <c r="F1962" s="307">
        <v>12654</v>
      </c>
      <c r="G1962" s="307">
        <v>433</v>
      </c>
    </row>
    <row r="1963" spans="2:7">
      <c r="B1963" s="347">
        <v>201201</v>
      </c>
      <c r="C1963" s="347">
        <v>2012</v>
      </c>
      <c r="D1963" s="317">
        <v>1</v>
      </c>
      <c r="E1963" s="347" t="s">
        <v>248</v>
      </c>
      <c r="F1963" s="307">
        <v>179786</v>
      </c>
      <c r="G1963" s="307">
        <v>3915</v>
      </c>
    </row>
    <row r="1964" spans="2:7">
      <c r="B1964" s="347">
        <v>201201</v>
      </c>
      <c r="C1964" s="347">
        <v>2012</v>
      </c>
      <c r="D1964" s="317">
        <v>1</v>
      </c>
      <c r="E1964" s="347" t="s">
        <v>119</v>
      </c>
      <c r="F1964" s="307">
        <v>557395</v>
      </c>
      <c r="G1964" s="307">
        <v>7554</v>
      </c>
    </row>
    <row r="1965" spans="2:7">
      <c r="B1965" s="347">
        <v>201201</v>
      </c>
      <c r="C1965" s="347">
        <v>2012</v>
      </c>
      <c r="D1965" s="317">
        <v>1</v>
      </c>
      <c r="E1965" s="347" t="s">
        <v>63</v>
      </c>
      <c r="F1965" s="307">
        <v>34315</v>
      </c>
      <c r="G1965" s="307">
        <v>843</v>
      </c>
    </row>
    <row r="1966" spans="2:7">
      <c r="B1966" s="347">
        <v>201201</v>
      </c>
      <c r="C1966" s="347">
        <v>2012</v>
      </c>
      <c r="D1966" s="317">
        <v>1</v>
      </c>
      <c r="E1966" s="347" t="s">
        <v>120</v>
      </c>
      <c r="F1966" s="307">
        <v>416254</v>
      </c>
      <c r="G1966" s="307">
        <v>5161</v>
      </c>
    </row>
    <row r="1967" spans="2:7">
      <c r="B1967" s="347">
        <v>201201</v>
      </c>
      <c r="C1967" s="347">
        <v>2012</v>
      </c>
      <c r="D1967" s="317">
        <v>1</v>
      </c>
      <c r="E1967" s="347" t="s">
        <v>65</v>
      </c>
      <c r="F1967" s="307">
        <v>970</v>
      </c>
      <c r="G1967" s="307">
        <v>108</v>
      </c>
    </row>
    <row r="1968" spans="2:7">
      <c r="B1968" s="347">
        <v>201201</v>
      </c>
      <c r="C1968" s="347">
        <v>2012</v>
      </c>
      <c r="D1968" s="317">
        <v>1</v>
      </c>
      <c r="E1968" s="347" t="s">
        <v>67</v>
      </c>
      <c r="F1968" s="307">
        <v>15075</v>
      </c>
      <c r="G1968" s="307">
        <v>884</v>
      </c>
    </row>
    <row r="1969" spans="2:7">
      <c r="B1969" s="347">
        <v>201201</v>
      </c>
      <c r="C1969" s="347">
        <v>2012</v>
      </c>
      <c r="D1969" s="317">
        <v>1</v>
      </c>
      <c r="E1969" s="347" t="s">
        <v>68</v>
      </c>
      <c r="F1969" s="307">
        <v>35640</v>
      </c>
      <c r="G1969" s="307">
        <v>1087</v>
      </c>
    </row>
    <row r="1970" spans="2:7">
      <c r="B1970" s="347">
        <v>201201</v>
      </c>
      <c r="C1970" s="347">
        <v>2012</v>
      </c>
      <c r="D1970" s="317">
        <v>1</v>
      </c>
      <c r="E1970" s="347" t="s">
        <v>69</v>
      </c>
      <c r="F1970" s="307">
        <v>1588</v>
      </c>
      <c r="G1970" s="307">
        <v>142</v>
      </c>
    </row>
    <row r="1971" spans="2:7">
      <c r="B1971" s="347">
        <v>201201</v>
      </c>
      <c r="C1971" s="347">
        <v>2012</v>
      </c>
      <c r="D1971" s="317">
        <v>1</v>
      </c>
      <c r="E1971" s="347" t="s">
        <v>70</v>
      </c>
      <c r="F1971" s="307">
        <v>2773</v>
      </c>
      <c r="G1971" s="307">
        <v>336</v>
      </c>
    </row>
    <row r="1972" spans="2:7">
      <c r="B1972" s="347">
        <v>201201</v>
      </c>
      <c r="C1972" s="347">
        <v>2012</v>
      </c>
      <c r="D1972" s="317">
        <v>1</v>
      </c>
      <c r="E1972" s="347" t="s">
        <v>71</v>
      </c>
      <c r="F1972" s="307">
        <v>590</v>
      </c>
      <c r="G1972" s="307">
        <v>88</v>
      </c>
    </row>
    <row r="1973" spans="2:7">
      <c r="B1973" s="347">
        <v>201201</v>
      </c>
      <c r="C1973" s="347">
        <v>2012</v>
      </c>
      <c r="D1973" s="317">
        <v>1</v>
      </c>
      <c r="E1973" s="347" t="s">
        <v>72</v>
      </c>
      <c r="F1973" s="307">
        <v>8238</v>
      </c>
      <c r="G1973" s="307">
        <v>894</v>
      </c>
    </row>
    <row r="1974" spans="2:7">
      <c r="B1974" s="347">
        <v>201201</v>
      </c>
      <c r="C1974" s="347">
        <v>2012</v>
      </c>
      <c r="D1974" s="317">
        <v>1</v>
      </c>
      <c r="E1974" s="347" t="s">
        <v>73</v>
      </c>
      <c r="F1974" s="307">
        <v>984</v>
      </c>
      <c r="G1974" s="307">
        <v>246</v>
      </c>
    </row>
    <row r="1975" spans="2:7">
      <c r="B1975" s="347">
        <v>201201</v>
      </c>
      <c r="C1975" s="347">
        <v>2012</v>
      </c>
      <c r="D1975" s="317">
        <v>1</v>
      </c>
      <c r="E1975" s="347" t="s">
        <v>74</v>
      </c>
      <c r="F1975" s="307">
        <v>122475</v>
      </c>
      <c r="G1975" s="307">
        <v>1875</v>
      </c>
    </row>
    <row r="1976" spans="2:7">
      <c r="B1976" s="347">
        <v>201201</v>
      </c>
      <c r="C1976" s="347">
        <v>2012</v>
      </c>
      <c r="D1976" s="317">
        <v>1</v>
      </c>
      <c r="E1976" s="347" t="s">
        <v>75</v>
      </c>
      <c r="F1976" s="307">
        <v>177</v>
      </c>
      <c r="G1976" s="307">
        <v>102</v>
      </c>
    </row>
    <row r="1977" spans="2:7">
      <c r="B1977" s="347">
        <v>201201</v>
      </c>
      <c r="C1977" s="347">
        <v>2012</v>
      </c>
      <c r="D1977" s="317">
        <v>1</v>
      </c>
      <c r="E1977" s="347" t="s">
        <v>249</v>
      </c>
      <c r="F1977" s="307">
        <v>295209</v>
      </c>
      <c r="G1977" s="307">
        <v>2821</v>
      </c>
    </row>
    <row r="1978" spans="2:7">
      <c r="B1978" s="347">
        <v>201201</v>
      </c>
      <c r="C1978" s="347">
        <v>2012</v>
      </c>
      <c r="D1978" s="317">
        <v>1</v>
      </c>
      <c r="E1978" s="347" t="s">
        <v>77</v>
      </c>
      <c r="F1978" s="307">
        <v>0</v>
      </c>
      <c r="G1978" s="307">
        <v>46</v>
      </c>
    </row>
    <row r="1979" spans="2:7">
      <c r="B1979" s="347">
        <v>201201</v>
      </c>
      <c r="C1979" s="347">
        <v>2012</v>
      </c>
      <c r="D1979" s="317">
        <v>1</v>
      </c>
      <c r="E1979" s="347" t="s">
        <v>34</v>
      </c>
      <c r="F1979" s="307">
        <v>1126564</v>
      </c>
      <c r="G1979" s="307">
        <v>11046</v>
      </c>
    </row>
    <row r="1980" spans="2:7">
      <c r="B1980" s="347">
        <v>201201</v>
      </c>
      <c r="C1980" s="347">
        <v>2012</v>
      </c>
      <c r="D1980" s="317">
        <v>1</v>
      </c>
      <c r="E1980" s="347" t="s">
        <v>79</v>
      </c>
      <c r="F1980" s="307">
        <v>1087</v>
      </c>
      <c r="G1980" s="307">
        <v>72</v>
      </c>
    </row>
    <row r="1981" spans="2:7">
      <c r="B1981" s="347">
        <v>201201</v>
      </c>
      <c r="C1981" s="347">
        <v>2012</v>
      </c>
      <c r="D1981" s="317">
        <v>1</v>
      </c>
      <c r="E1981" s="347" t="s">
        <v>80</v>
      </c>
      <c r="F1981" s="307">
        <v>226124</v>
      </c>
      <c r="G1981" s="307">
        <v>2893</v>
      </c>
    </row>
    <row r="1982" spans="2:7">
      <c r="B1982" s="347">
        <v>201201</v>
      </c>
      <c r="C1982" s="347">
        <v>2012</v>
      </c>
      <c r="D1982" s="317">
        <v>1</v>
      </c>
      <c r="E1982" s="347" t="s">
        <v>81</v>
      </c>
      <c r="F1982" s="307">
        <v>6567</v>
      </c>
      <c r="G1982" s="307">
        <v>225</v>
      </c>
    </row>
    <row r="1983" spans="2:7">
      <c r="B1983" s="347">
        <v>201201</v>
      </c>
      <c r="C1983" s="347">
        <v>2012</v>
      </c>
      <c r="D1983" s="317">
        <v>1</v>
      </c>
      <c r="E1983" s="347" t="s">
        <v>82</v>
      </c>
      <c r="F1983" s="307">
        <v>24411</v>
      </c>
      <c r="G1983" s="307">
        <v>1388</v>
      </c>
    </row>
    <row r="1984" spans="2:7">
      <c r="B1984" s="347">
        <v>201201</v>
      </c>
      <c r="C1984" s="347">
        <v>2012</v>
      </c>
      <c r="D1984" s="317">
        <v>1</v>
      </c>
      <c r="E1984" s="347" t="s">
        <v>250</v>
      </c>
      <c r="F1984" s="307">
        <v>2</v>
      </c>
      <c r="G1984" s="307">
        <v>107</v>
      </c>
    </row>
    <row r="1985" spans="2:7">
      <c r="B1985" s="347">
        <v>201201</v>
      </c>
      <c r="C1985" s="347">
        <v>2012</v>
      </c>
      <c r="D1985" s="317">
        <v>1</v>
      </c>
      <c r="E1985" s="347" t="s">
        <v>84</v>
      </c>
      <c r="F1985" s="307">
        <v>2208</v>
      </c>
      <c r="G1985" s="307">
        <v>162</v>
      </c>
    </row>
    <row r="1986" spans="2:7">
      <c r="B1986" s="347">
        <v>201201</v>
      </c>
      <c r="C1986" s="347">
        <v>2012</v>
      </c>
      <c r="D1986" s="317">
        <v>1</v>
      </c>
      <c r="E1986" s="347" t="s">
        <v>86</v>
      </c>
      <c r="F1986" s="307">
        <v>40785</v>
      </c>
      <c r="G1986" s="307">
        <v>407</v>
      </c>
    </row>
    <row r="1987" spans="2:7">
      <c r="B1987" s="347">
        <v>201201</v>
      </c>
      <c r="C1987" s="347">
        <v>2012</v>
      </c>
      <c r="D1987" s="317">
        <v>1</v>
      </c>
      <c r="E1987" s="347" t="s">
        <v>87</v>
      </c>
      <c r="F1987" s="307">
        <v>22250</v>
      </c>
      <c r="G1987" s="307">
        <v>1071</v>
      </c>
    </row>
    <row r="1988" spans="2:7">
      <c r="B1988" s="347">
        <v>201201</v>
      </c>
      <c r="C1988" s="347">
        <v>2012</v>
      </c>
      <c r="D1988" s="317">
        <v>1</v>
      </c>
      <c r="E1988" s="347" t="s">
        <v>88</v>
      </c>
      <c r="F1988" s="307">
        <v>37</v>
      </c>
      <c r="G1988" s="307">
        <v>43</v>
      </c>
    </row>
    <row r="1989" spans="2:7">
      <c r="B1989" s="347">
        <v>201201</v>
      </c>
      <c r="C1989" s="347">
        <v>2012</v>
      </c>
      <c r="D1989" s="317">
        <v>1</v>
      </c>
      <c r="E1989" s="347" t="s">
        <v>89</v>
      </c>
      <c r="F1989" s="307">
        <v>98545</v>
      </c>
      <c r="G1989" s="307">
        <v>2771</v>
      </c>
    </row>
    <row r="1990" spans="2:7">
      <c r="B1990" s="347">
        <v>201201</v>
      </c>
      <c r="C1990" s="347">
        <v>2012</v>
      </c>
      <c r="D1990" s="317">
        <v>1</v>
      </c>
      <c r="E1990" s="347" t="s">
        <v>90</v>
      </c>
      <c r="F1990" s="307">
        <v>8323</v>
      </c>
      <c r="G1990" s="307">
        <v>727</v>
      </c>
    </row>
    <row r="1991" spans="2:7">
      <c r="B1991" s="347">
        <v>201201</v>
      </c>
      <c r="C1991" s="347">
        <v>2012</v>
      </c>
      <c r="D1991" s="317">
        <v>1</v>
      </c>
      <c r="E1991" s="347" t="s">
        <v>91</v>
      </c>
      <c r="F1991" s="307">
        <v>8731</v>
      </c>
      <c r="G1991" s="307">
        <v>695</v>
      </c>
    </row>
    <row r="1992" spans="2:7">
      <c r="B1992" s="347">
        <v>201201</v>
      </c>
      <c r="C1992" s="347">
        <v>2012</v>
      </c>
      <c r="D1992" s="317">
        <v>1</v>
      </c>
      <c r="E1992" s="347" t="s">
        <v>93</v>
      </c>
      <c r="F1992" s="307">
        <v>631</v>
      </c>
      <c r="G1992" s="307">
        <v>90</v>
      </c>
    </row>
    <row r="1993" spans="2:7">
      <c r="B1993" s="347">
        <v>201201</v>
      </c>
      <c r="C1993" s="347">
        <v>2012</v>
      </c>
      <c r="D1993" s="317">
        <v>1</v>
      </c>
      <c r="E1993" s="347" t="s">
        <v>94</v>
      </c>
      <c r="F1993" s="307">
        <v>1663</v>
      </c>
      <c r="G1993" s="307">
        <v>218</v>
      </c>
    </row>
    <row r="1994" spans="2:7">
      <c r="B1994" s="347">
        <v>201207</v>
      </c>
      <c r="C1994" s="347">
        <f t="shared" ref="C1994:C2057" si="1">LEFT(B1994,4)*1</f>
        <v>2012</v>
      </c>
      <c r="D1994" s="248">
        <v>7</v>
      </c>
      <c r="E1994" s="347" t="s">
        <v>121</v>
      </c>
      <c r="F1994" s="347">
        <v>311128</v>
      </c>
      <c r="G1994" s="347">
        <v>8687</v>
      </c>
    </row>
    <row r="1995" spans="2:7">
      <c r="B1995" s="347">
        <v>201207</v>
      </c>
      <c r="C1995" s="347">
        <f t="shared" si="1"/>
        <v>2012</v>
      </c>
      <c r="D1995" s="248">
        <v>7</v>
      </c>
      <c r="E1995" s="347" t="s">
        <v>212</v>
      </c>
      <c r="F1995" s="347">
        <v>976505</v>
      </c>
      <c r="G1995" s="347">
        <v>8161</v>
      </c>
    </row>
    <row r="1996" spans="2:7">
      <c r="B1996" s="347">
        <v>201207</v>
      </c>
      <c r="C1996" s="347">
        <f t="shared" si="1"/>
        <v>2012</v>
      </c>
      <c r="D1996" s="248">
        <v>7</v>
      </c>
      <c r="E1996" s="347" t="s">
        <v>119</v>
      </c>
      <c r="F1996" s="347">
        <v>957897</v>
      </c>
      <c r="G1996" s="347">
        <v>9791</v>
      </c>
    </row>
    <row r="1997" spans="2:7">
      <c r="B1997" s="347">
        <v>201207</v>
      </c>
      <c r="C1997" s="347">
        <f t="shared" si="1"/>
        <v>2012</v>
      </c>
      <c r="D1997" s="248">
        <v>7</v>
      </c>
      <c r="E1997" s="347" t="s">
        <v>120</v>
      </c>
      <c r="F1997" s="347">
        <v>789397</v>
      </c>
      <c r="G1997" s="347">
        <v>7051</v>
      </c>
    </row>
    <row r="1998" spans="2:7">
      <c r="B1998" s="347">
        <v>201207</v>
      </c>
      <c r="C1998" s="347">
        <f t="shared" si="1"/>
        <v>2012</v>
      </c>
      <c r="D1998" s="248">
        <v>7</v>
      </c>
      <c r="E1998" s="347" t="s">
        <v>102</v>
      </c>
      <c r="F1998" s="347">
        <v>3630860</v>
      </c>
      <c r="G1998" s="347">
        <v>23896</v>
      </c>
    </row>
    <row r="1999" spans="2:7">
      <c r="B1999" s="347">
        <v>201207</v>
      </c>
      <c r="C1999" s="347">
        <f t="shared" si="1"/>
        <v>2012</v>
      </c>
      <c r="D1999" s="248">
        <v>7</v>
      </c>
      <c r="E1999" s="347" t="s">
        <v>117</v>
      </c>
      <c r="F1999" s="347">
        <v>6569652</v>
      </c>
      <c r="G1999" s="347">
        <v>41125</v>
      </c>
    </row>
    <row r="2000" spans="2:7">
      <c r="B2000" s="347">
        <v>201207</v>
      </c>
      <c r="C2000" s="347">
        <f t="shared" si="1"/>
        <v>2012</v>
      </c>
      <c r="D2000" s="248">
        <v>7</v>
      </c>
      <c r="E2000" s="347" t="s">
        <v>104</v>
      </c>
      <c r="F2000" s="347">
        <v>1015109</v>
      </c>
      <c r="G2000" s="347">
        <v>7128</v>
      </c>
    </row>
    <row r="2001" spans="2:7">
      <c r="B2001" s="347">
        <v>201207</v>
      </c>
      <c r="C2001" s="347">
        <f t="shared" si="1"/>
        <v>2012</v>
      </c>
      <c r="D2001" s="248">
        <v>7</v>
      </c>
      <c r="E2001" s="347" t="s">
        <v>34</v>
      </c>
      <c r="F2001" s="347">
        <v>2173644</v>
      </c>
      <c r="G2001" s="347">
        <v>15810</v>
      </c>
    </row>
    <row r="2002" spans="2:7">
      <c r="B2002" s="347">
        <v>201207</v>
      </c>
      <c r="C2002" s="347">
        <f t="shared" si="1"/>
        <v>2012</v>
      </c>
      <c r="D2002" s="248">
        <v>7</v>
      </c>
      <c r="E2002" s="347" t="s">
        <v>118</v>
      </c>
      <c r="F2002" s="347">
        <v>173959</v>
      </c>
      <c r="G2002" s="347">
        <v>3701</v>
      </c>
    </row>
    <row r="2003" spans="2:7">
      <c r="B2003" s="347">
        <v>201207</v>
      </c>
      <c r="C2003" s="347">
        <f t="shared" si="1"/>
        <v>2012</v>
      </c>
      <c r="D2003" s="248">
        <v>7</v>
      </c>
      <c r="E2003" s="347" t="s">
        <v>103</v>
      </c>
      <c r="F2003" s="347">
        <v>1780665</v>
      </c>
      <c r="G2003" s="347">
        <v>12496</v>
      </c>
    </row>
    <row r="2004" spans="2:7">
      <c r="B2004" s="347">
        <v>201208</v>
      </c>
      <c r="C2004" s="347">
        <f t="shared" si="1"/>
        <v>2012</v>
      </c>
      <c r="D2004" s="248">
        <v>8</v>
      </c>
      <c r="E2004" s="347" t="s">
        <v>121</v>
      </c>
      <c r="F2004" s="347">
        <v>298845</v>
      </c>
      <c r="G2004" s="347">
        <v>8901</v>
      </c>
    </row>
    <row r="2005" spans="2:7">
      <c r="B2005" s="347">
        <v>201208</v>
      </c>
      <c r="C2005" s="347">
        <f t="shared" si="1"/>
        <v>2012</v>
      </c>
      <c r="D2005" s="248">
        <v>8</v>
      </c>
      <c r="E2005" s="347" t="s">
        <v>212</v>
      </c>
      <c r="F2005" s="347">
        <v>1029512</v>
      </c>
      <c r="G2005" s="347">
        <v>8376</v>
      </c>
    </row>
    <row r="2006" spans="2:7">
      <c r="B2006" s="347">
        <v>201208</v>
      </c>
      <c r="C2006" s="347">
        <f t="shared" si="1"/>
        <v>2012</v>
      </c>
      <c r="D2006" s="248">
        <v>8</v>
      </c>
      <c r="E2006" s="347" t="s">
        <v>119</v>
      </c>
      <c r="F2006" s="347">
        <v>936710</v>
      </c>
      <c r="G2006" s="347">
        <v>9600</v>
      </c>
    </row>
    <row r="2007" spans="2:7">
      <c r="B2007" s="347">
        <v>201208</v>
      </c>
      <c r="C2007" s="347">
        <f t="shared" si="1"/>
        <v>2012</v>
      </c>
      <c r="D2007" s="248">
        <v>8</v>
      </c>
      <c r="E2007" s="347" t="s">
        <v>120</v>
      </c>
      <c r="F2007" s="347">
        <v>703465</v>
      </c>
      <c r="G2007" s="347">
        <v>6702</v>
      </c>
    </row>
    <row r="2008" spans="2:7">
      <c r="B2008" s="347">
        <v>201208</v>
      </c>
      <c r="C2008" s="347">
        <f t="shared" si="1"/>
        <v>2012</v>
      </c>
      <c r="D2008" s="248">
        <v>8</v>
      </c>
      <c r="E2008" s="347" t="s">
        <v>102</v>
      </c>
      <c r="F2008" s="347">
        <v>3836901</v>
      </c>
      <c r="G2008" s="347">
        <v>24627</v>
      </c>
    </row>
    <row r="2009" spans="2:7">
      <c r="B2009" s="347">
        <v>201208</v>
      </c>
      <c r="C2009" s="347">
        <f t="shared" si="1"/>
        <v>2012</v>
      </c>
      <c r="D2009" s="248">
        <v>8</v>
      </c>
      <c r="E2009" s="347" t="s">
        <v>117</v>
      </c>
      <c r="F2009" s="347">
        <v>6459119</v>
      </c>
      <c r="G2009" s="347">
        <v>41044</v>
      </c>
    </row>
    <row r="2010" spans="2:7">
      <c r="B2010" s="347">
        <v>201208</v>
      </c>
      <c r="C2010" s="347">
        <f t="shared" si="1"/>
        <v>2012</v>
      </c>
      <c r="D2010" s="248">
        <v>8</v>
      </c>
      <c r="E2010" s="347" t="s">
        <v>104</v>
      </c>
      <c r="F2010" s="347">
        <v>1042545</v>
      </c>
      <c r="G2010" s="347">
        <v>7106</v>
      </c>
    </row>
    <row r="2011" spans="2:7">
      <c r="B2011" s="347">
        <v>201208</v>
      </c>
      <c r="C2011" s="347">
        <f t="shared" si="1"/>
        <v>2012</v>
      </c>
      <c r="D2011" s="248">
        <v>8</v>
      </c>
      <c r="E2011" s="347" t="s">
        <v>34</v>
      </c>
      <c r="F2011" s="347">
        <v>2205349</v>
      </c>
      <c r="G2011" s="347">
        <v>15733</v>
      </c>
    </row>
    <row r="2012" spans="2:7">
      <c r="B2012" s="347">
        <v>201208</v>
      </c>
      <c r="C2012" s="347">
        <f t="shared" si="1"/>
        <v>2012</v>
      </c>
      <c r="D2012" s="248">
        <v>8</v>
      </c>
      <c r="E2012" s="347" t="s">
        <v>118</v>
      </c>
      <c r="F2012" s="347">
        <v>175841</v>
      </c>
      <c r="G2012" s="347">
        <v>3727</v>
      </c>
    </row>
    <row r="2013" spans="2:7">
      <c r="B2013" s="347">
        <v>201208</v>
      </c>
      <c r="C2013" s="347">
        <f t="shared" si="1"/>
        <v>2012</v>
      </c>
      <c r="D2013" s="248">
        <v>8</v>
      </c>
      <c r="E2013" s="347" t="s">
        <v>103</v>
      </c>
      <c r="F2013" s="347">
        <v>1879923</v>
      </c>
      <c r="G2013" s="347">
        <v>12891</v>
      </c>
    </row>
    <row r="2014" spans="2:7">
      <c r="B2014" s="347">
        <v>201209</v>
      </c>
      <c r="C2014" s="347">
        <f t="shared" si="1"/>
        <v>2012</v>
      </c>
      <c r="D2014" s="248">
        <v>9</v>
      </c>
      <c r="E2014" s="347" t="s">
        <v>121</v>
      </c>
      <c r="F2014" s="347">
        <v>300589</v>
      </c>
      <c r="G2014" s="347">
        <v>8484</v>
      </c>
    </row>
    <row r="2015" spans="2:7">
      <c r="B2015" s="347">
        <v>201209</v>
      </c>
      <c r="C2015" s="347">
        <f t="shared" si="1"/>
        <v>2012</v>
      </c>
      <c r="D2015" s="248">
        <v>9</v>
      </c>
      <c r="E2015" s="347" t="s">
        <v>212</v>
      </c>
      <c r="F2015" s="347">
        <v>946288</v>
      </c>
      <c r="G2015" s="347">
        <v>7916</v>
      </c>
    </row>
    <row r="2016" spans="2:7">
      <c r="B2016" s="347">
        <v>201209</v>
      </c>
      <c r="C2016" s="347">
        <f t="shared" si="1"/>
        <v>2012</v>
      </c>
      <c r="D2016" s="248">
        <v>9</v>
      </c>
      <c r="E2016" s="347" t="s">
        <v>119</v>
      </c>
      <c r="F2016" s="347">
        <v>880245</v>
      </c>
      <c r="G2016" s="347">
        <v>9393</v>
      </c>
    </row>
    <row r="2017" spans="2:7">
      <c r="B2017" s="347">
        <v>201209</v>
      </c>
      <c r="C2017" s="347">
        <f t="shared" si="1"/>
        <v>2012</v>
      </c>
      <c r="D2017" s="248">
        <v>9</v>
      </c>
      <c r="E2017" s="347" t="s">
        <v>120</v>
      </c>
      <c r="F2017" s="347">
        <v>735978</v>
      </c>
      <c r="G2017" s="347">
        <v>6682</v>
      </c>
    </row>
    <row r="2018" spans="2:7">
      <c r="B2018" s="347">
        <v>201209</v>
      </c>
      <c r="C2018" s="347">
        <f t="shared" si="1"/>
        <v>2012</v>
      </c>
      <c r="D2018" s="248">
        <v>9</v>
      </c>
      <c r="E2018" s="347" t="s">
        <v>102</v>
      </c>
      <c r="F2018" s="347">
        <v>3444367</v>
      </c>
      <c r="G2018" s="347">
        <v>22869</v>
      </c>
    </row>
    <row r="2019" spans="2:7">
      <c r="B2019" s="347">
        <v>201209</v>
      </c>
      <c r="C2019" s="347">
        <f t="shared" si="1"/>
        <v>2012</v>
      </c>
      <c r="D2019" s="248">
        <v>9</v>
      </c>
      <c r="E2019" s="347" t="s">
        <v>117</v>
      </c>
      <c r="F2019" s="347">
        <v>6345968</v>
      </c>
      <c r="G2019" s="347">
        <v>39624</v>
      </c>
    </row>
    <row r="2020" spans="2:7">
      <c r="B2020" s="347">
        <v>201209</v>
      </c>
      <c r="C2020" s="347">
        <f t="shared" si="1"/>
        <v>2012</v>
      </c>
      <c r="D2020" s="248">
        <v>9</v>
      </c>
      <c r="E2020" s="347" t="s">
        <v>104</v>
      </c>
      <c r="F2020" s="347">
        <v>940570</v>
      </c>
      <c r="G2020" s="347">
        <v>6712</v>
      </c>
    </row>
    <row r="2021" spans="2:7">
      <c r="B2021" s="347">
        <v>201209</v>
      </c>
      <c r="C2021" s="347">
        <f t="shared" si="1"/>
        <v>2012</v>
      </c>
      <c r="D2021" s="248">
        <v>9</v>
      </c>
      <c r="E2021" s="347" t="s">
        <v>34</v>
      </c>
      <c r="F2021" s="347">
        <v>2082837</v>
      </c>
      <c r="G2021" s="347">
        <v>15259</v>
      </c>
    </row>
    <row r="2022" spans="2:7">
      <c r="B2022" s="347">
        <v>201209</v>
      </c>
      <c r="C2022" s="347">
        <f t="shared" si="1"/>
        <v>2012</v>
      </c>
      <c r="D2022" s="248">
        <v>9</v>
      </c>
      <c r="E2022" s="347" t="s">
        <v>118</v>
      </c>
      <c r="F2022" s="347">
        <v>167991</v>
      </c>
      <c r="G2022" s="347">
        <v>3485</v>
      </c>
    </row>
    <row r="2023" spans="2:7">
      <c r="B2023" s="347">
        <v>201209</v>
      </c>
      <c r="C2023" s="347">
        <f t="shared" si="1"/>
        <v>2012</v>
      </c>
      <c r="D2023" s="248">
        <v>9</v>
      </c>
      <c r="E2023" s="347" t="s">
        <v>103</v>
      </c>
      <c r="F2023" s="347">
        <v>1637598</v>
      </c>
      <c r="G2023" s="347">
        <v>11785</v>
      </c>
    </row>
    <row r="2024" spans="2:7">
      <c r="B2024" s="347">
        <v>201210</v>
      </c>
      <c r="C2024" s="347">
        <f t="shared" si="1"/>
        <v>2012</v>
      </c>
      <c r="D2024" s="248">
        <v>10</v>
      </c>
      <c r="E2024" s="347" t="s">
        <v>121</v>
      </c>
      <c r="F2024" s="347">
        <v>313890</v>
      </c>
      <c r="G2024" s="347">
        <v>8882</v>
      </c>
    </row>
    <row r="2025" spans="2:7">
      <c r="B2025" s="347">
        <v>201210</v>
      </c>
      <c r="C2025" s="347">
        <f t="shared" si="1"/>
        <v>2012</v>
      </c>
      <c r="D2025" s="248">
        <v>10</v>
      </c>
      <c r="E2025" s="347" t="s">
        <v>212</v>
      </c>
      <c r="F2025" s="347">
        <v>795675</v>
      </c>
      <c r="G2025" s="347">
        <v>7444</v>
      </c>
    </row>
    <row r="2026" spans="2:7">
      <c r="B2026" s="347">
        <v>201210</v>
      </c>
      <c r="C2026" s="347">
        <f t="shared" si="1"/>
        <v>2012</v>
      </c>
      <c r="D2026" s="248">
        <v>10</v>
      </c>
      <c r="E2026" s="347" t="s">
        <v>119</v>
      </c>
      <c r="F2026" s="347">
        <v>844090</v>
      </c>
      <c r="G2026" s="347">
        <v>9329</v>
      </c>
    </row>
    <row r="2027" spans="2:7">
      <c r="B2027" s="347">
        <v>201210</v>
      </c>
      <c r="C2027" s="347">
        <f t="shared" si="1"/>
        <v>2012</v>
      </c>
      <c r="D2027" s="248">
        <v>10</v>
      </c>
      <c r="E2027" s="347" t="s">
        <v>120</v>
      </c>
      <c r="F2027" s="347">
        <v>694303</v>
      </c>
      <c r="G2027" s="347">
        <v>6640</v>
      </c>
    </row>
    <row r="2028" spans="2:7">
      <c r="B2028" s="347">
        <v>201210</v>
      </c>
      <c r="C2028" s="347">
        <f t="shared" si="1"/>
        <v>2012</v>
      </c>
      <c r="D2028" s="248">
        <v>10</v>
      </c>
      <c r="E2028" s="347" t="s">
        <v>102</v>
      </c>
      <c r="F2028" s="347">
        <v>2984093</v>
      </c>
      <c r="G2028" s="347">
        <v>21080</v>
      </c>
    </row>
    <row r="2029" spans="2:7">
      <c r="B2029" s="347">
        <v>201210</v>
      </c>
      <c r="C2029" s="347">
        <f t="shared" si="1"/>
        <v>2012</v>
      </c>
      <c r="D2029" s="248">
        <v>10</v>
      </c>
      <c r="E2029" s="347" t="s">
        <v>117</v>
      </c>
      <c r="F2029" s="347">
        <v>6011784</v>
      </c>
      <c r="G2029" s="347">
        <v>39639</v>
      </c>
    </row>
    <row r="2030" spans="2:7">
      <c r="B2030" s="347">
        <v>201210</v>
      </c>
      <c r="C2030" s="347">
        <f t="shared" si="1"/>
        <v>2012</v>
      </c>
      <c r="D2030" s="248">
        <v>10</v>
      </c>
      <c r="E2030" s="347" t="s">
        <v>104</v>
      </c>
      <c r="F2030" s="347">
        <v>861569</v>
      </c>
      <c r="G2030" s="347">
        <v>6367</v>
      </c>
    </row>
    <row r="2031" spans="2:7">
      <c r="B2031" s="347">
        <v>201210</v>
      </c>
      <c r="C2031" s="347">
        <f t="shared" si="1"/>
        <v>2012</v>
      </c>
      <c r="D2031" s="248">
        <v>10</v>
      </c>
      <c r="E2031" s="347" t="s">
        <v>34</v>
      </c>
      <c r="F2031" s="347">
        <v>1756058</v>
      </c>
      <c r="G2031" s="347">
        <v>14305</v>
      </c>
    </row>
    <row r="2032" spans="2:7">
      <c r="B2032" s="347">
        <v>201210</v>
      </c>
      <c r="C2032" s="347">
        <f t="shared" si="1"/>
        <v>2012</v>
      </c>
      <c r="D2032" s="248">
        <v>10</v>
      </c>
      <c r="E2032" s="347" t="s">
        <v>118</v>
      </c>
      <c r="F2032" s="347">
        <v>145596</v>
      </c>
      <c r="G2032" s="347">
        <v>3317</v>
      </c>
    </row>
    <row r="2033" spans="2:7">
      <c r="B2033" s="347">
        <v>201210</v>
      </c>
      <c r="C2033" s="347">
        <f t="shared" si="1"/>
        <v>2012</v>
      </c>
      <c r="D2033" s="248">
        <v>10</v>
      </c>
      <c r="E2033" s="347" t="s">
        <v>103</v>
      </c>
      <c r="F2033" s="347">
        <v>1588259</v>
      </c>
      <c r="G2033" s="347">
        <v>11727</v>
      </c>
    </row>
    <row r="2034" spans="2:7">
      <c r="B2034" s="347">
        <v>201211</v>
      </c>
      <c r="C2034" s="347">
        <f t="shared" si="1"/>
        <v>2012</v>
      </c>
      <c r="D2034" s="248">
        <v>11</v>
      </c>
      <c r="E2034" s="347" t="s">
        <v>121</v>
      </c>
      <c r="F2034" s="347">
        <v>269170</v>
      </c>
      <c r="G2034" s="347">
        <v>7619</v>
      </c>
    </row>
    <row r="2035" spans="2:7">
      <c r="B2035" s="347">
        <v>201211</v>
      </c>
      <c r="C2035" s="347">
        <f t="shared" si="1"/>
        <v>2012</v>
      </c>
      <c r="D2035" s="248">
        <v>11</v>
      </c>
      <c r="E2035" s="347" t="s">
        <v>212</v>
      </c>
      <c r="F2035" s="347">
        <v>568442</v>
      </c>
      <c r="G2035" s="347">
        <v>6034</v>
      </c>
    </row>
    <row r="2036" spans="2:7">
      <c r="B2036" s="347">
        <v>201211</v>
      </c>
      <c r="C2036" s="347">
        <f t="shared" si="1"/>
        <v>2012</v>
      </c>
      <c r="D2036" s="248">
        <v>11</v>
      </c>
      <c r="E2036" s="347" t="s">
        <v>119</v>
      </c>
      <c r="F2036" s="347">
        <v>631090</v>
      </c>
      <c r="G2036" s="347">
        <v>7331</v>
      </c>
    </row>
    <row r="2037" spans="2:7">
      <c r="B2037" s="347">
        <v>201211</v>
      </c>
      <c r="C2037" s="347">
        <f t="shared" si="1"/>
        <v>2012</v>
      </c>
      <c r="D2037" s="248">
        <v>11</v>
      </c>
      <c r="E2037" s="347" t="s">
        <v>120</v>
      </c>
      <c r="F2037" s="347">
        <v>497441</v>
      </c>
      <c r="G2037" s="347">
        <v>5409</v>
      </c>
    </row>
    <row r="2038" spans="2:7">
      <c r="B2038" s="347">
        <v>201211</v>
      </c>
      <c r="C2038" s="347">
        <f t="shared" si="1"/>
        <v>2012</v>
      </c>
      <c r="D2038" s="248">
        <v>11</v>
      </c>
      <c r="E2038" s="347" t="s">
        <v>102</v>
      </c>
      <c r="F2038" s="347">
        <v>2225419</v>
      </c>
      <c r="G2038" s="347">
        <v>15943</v>
      </c>
    </row>
    <row r="2039" spans="2:7">
      <c r="B2039" s="347">
        <v>201211</v>
      </c>
      <c r="C2039" s="347">
        <f t="shared" si="1"/>
        <v>2012</v>
      </c>
      <c r="D2039" s="248">
        <v>11</v>
      </c>
      <c r="E2039" s="347" t="s">
        <v>117</v>
      </c>
      <c r="F2039" s="347">
        <v>5381067</v>
      </c>
      <c r="G2039" s="347">
        <v>37310</v>
      </c>
    </row>
    <row r="2040" spans="2:7">
      <c r="B2040" s="347">
        <v>201211</v>
      </c>
      <c r="C2040" s="347">
        <f t="shared" si="1"/>
        <v>2012</v>
      </c>
      <c r="D2040" s="248">
        <v>11</v>
      </c>
      <c r="E2040" s="347" t="s">
        <v>104</v>
      </c>
      <c r="F2040" s="347">
        <v>617050</v>
      </c>
      <c r="G2040" s="347">
        <v>4764</v>
      </c>
    </row>
    <row r="2041" spans="2:7">
      <c r="B2041" s="347">
        <v>201211</v>
      </c>
      <c r="C2041" s="347">
        <f t="shared" si="1"/>
        <v>2012</v>
      </c>
      <c r="D2041" s="248">
        <v>11</v>
      </c>
      <c r="E2041" s="347" t="s">
        <v>34</v>
      </c>
      <c r="F2041" s="347">
        <v>1293324</v>
      </c>
      <c r="G2041" s="347">
        <v>11402</v>
      </c>
    </row>
    <row r="2042" spans="2:7">
      <c r="B2042" s="347">
        <v>201211</v>
      </c>
      <c r="C2042" s="347">
        <f t="shared" si="1"/>
        <v>2012</v>
      </c>
      <c r="D2042" s="248">
        <v>11</v>
      </c>
      <c r="E2042" s="347" t="s">
        <v>118</v>
      </c>
      <c r="F2042" s="347">
        <v>129028</v>
      </c>
      <c r="G2042" s="347">
        <v>2920</v>
      </c>
    </row>
    <row r="2043" spans="2:7">
      <c r="B2043" s="347">
        <v>201211</v>
      </c>
      <c r="C2043" s="347">
        <f t="shared" si="1"/>
        <v>2012</v>
      </c>
      <c r="D2043" s="248">
        <v>11</v>
      </c>
      <c r="E2043" s="347" t="s">
        <v>103</v>
      </c>
      <c r="F2043" s="347">
        <v>1192927</v>
      </c>
      <c r="G2043" s="347">
        <v>9223</v>
      </c>
    </row>
    <row r="2044" spans="2:7">
      <c r="B2044" s="347">
        <v>201212</v>
      </c>
      <c r="C2044" s="347">
        <f t="shared" si="1"/>
        <v>2012</v>
      </c>
      <c r="D2044" s="248">
        <v>12</v>
      </c>
      <c r="E2044" s="347" t="s">
        <v>121</v>
      </c>
      <c r="F2044" s="347">
        <v>239390</v>
      </c>
      <c r="G2044" s="347">
        <v>6867</v>
      </c>
    </row>
    <row r="2045" spans="2:7">
      <c r="B2045" s="347">
        <v>201212</v>
      </c>
      <c r="C2045" s="347">
        <f t="shared" si="1"/>
        <v>2012</v>
      </c>
      <c r="D2045" s="248">
        <v>12</v>
      </c>
      <c r="E2045" s="347" t="s">
        <v>212</v>
      </c>
      <c r="F2045" s="347">
        <v>531963</v>
      </c>
      <c r="G2045" s="347">
        <v>5492</v>
      </c>
    </row>
    <row r="2046" spans="2:7">
      <c r="B2046" s="347">
        <v>201212</v>
      </c>
      <c r="C2046" s="347">
        <f t="shared" si="1"/>
        <v>2012</v>
      </c>
      <c r="D2046" s="248">
        <v>12</v>
      </c>
      <c r="E2046" s="347" t="s">
        <v>119</v>
      </c>
      <c r="F2046" s="347">
        <v>580797</v>
      </c>
      <c r="G2046" s="347">
        <v>6641</v>
      </c>
    </row>
    <row r="2047" spans="2:7">
      <c r="B2047" s="347">
        <v>201212</v>
      </c>
      <c r="C2047" s="347">
        <f t="shared" si="1"/>
        <v>2012</v>
      </c>
      <c r="D2047" s="248">
        <v>12</v>
      </c>
      <c r="E2047" s="347" t="s">
        <v>120</v>
      </c>
      <c r="F2047" s="347">
        <v>438430</v>
      </c>
      <c r="G2047" s="347">
        <v>4936</v>
      </c>
    </row>
    <row r="2048" spans="2:7">
      <c r="B2048" s="347">
        <v>201212</v>
      </c>
      <c r="C2048" s="347">
        <f t="shared" si="1"/>
        <v>2012</v>
      </c>
      <c r="D2048" s="248">
        <v>12</v>
      </c>
      <c r="E2048" s="347" t="s">
        <v>102</v>
      </c>
      <c r="F2048" s="347">
        <v>2282391</v>
      </c>
      <c r="G2048" s="347">
        <v>16650</v>
      </c>
    </row>
    <row r="2049" spans="2:7">
      <c r="B2049" s="347">
        <v>201212</v>
      </c>
      <c r="C2049" s="347">
        <f t="shared" si="1"/>
        <v>2012</v>
      </c>
      <c r="D2049" s="248">
        <v>12</v>
      </c>
      <c r="E2049" s="347" t="s">
        <v>117</v>
      </c>
      <c r="F2049" s="347">
        <v>5625332</v>
      </c>
      <c r="G2049" s="347">
        <v>37454</v>
      </c>
    </row>
    <row r="2050" spans="2:7">
      <c r="B2050" s="347">
        <v>201212</v>
      </c>
      <c r="C2050" s="347">
        <f t="shared" si="1"/>
        <v>2012</v>
      </c>
      <c r="D2050" s="248">
        <v>12</v>
      </c>
      <c r="E2050" s="347" t="s">
        <v>104</v>
      </c>
      <c r="F2050" s="347">
        <v>639286</v>
      </c>
      <c r="G2050" s="347">
        <v>4969</v>
      </c>
    </row>
    <row r="2051" spans="2:7">
      <c r="B2051" s="347">
        <v>201212</v>
      </c>
      <c r="C2051" s="347">
        <f t="shared" si="1"/>
        <v>2012</v>
      </c>
      <c r="D2051" s="248">
        <v>12</v>
      </c>
      <c r="E2051" s="347" t="s">
        <v>34</v>
      </c>
      <c r="F2051" s="347">
        <v>1261182</v>
      </c>
      <c r="G2051" s="347">
        <v>10646</v>
      </c>
    </row>
    <row r="2052" spans="2:7">
      <c r="B2052" s="347">
        <v>201212</v>
      </c>
      <c r="C2052" s="347">
        <f t="shared" si="1"/>
        <v>2012</v>
      </c>
      <c r="D2052" s="248">
        <v>12</v>
      </c>
      <c r="E2052" s="347" t="s">
        <v>118</v>
      </c>
      <c r="F2052" s="347">
        <v>112104</v>
      </c>
      <c r="G2052" s="347">
        <v>2594</v>
      </c>
    </row>
    <row r="2053" spans="2:7">
      <c r="B2053" s="347">
        <v>201212</v>
      </c>
      <c r="C2053" s="347">
        <f t="shared" si="1"/>
        <v>2012</v>
      </c>
      <c r="D2053" s="248">
        <v>12</v>
      </c>
      <c r="E2053" s="347" t="s">
        <v>103</v>
      </c>
      <c r="F2053" s="347">
        <v>1223915</v>
      </c>
      <c r="G2053" s="347">
        <v>9321</v>
      </c>
    </row>
    <row r="2054" spans="2:7">
      <c r="B2054" s="347">
        <v>201301</v>
      </c>
      <c r="C2054" s="347">
        <f t="shared" si="1"/>
        <v>2013</v>
      </c>
      <c r="D2054" s="248">
        <v>1</v>
      </c>
      <c r="E2054" s="347" t="s">
        <v>121</v>
      </c>
      <c r="F2054" s="347">
        <v>225146</v>
      </c>
      <c r="G2054" s="347">
        <v>7103</v>
      </c>
    </row>
    <row r="2055" spans="2:7">
      <c r="B2055" s="347">
        <v>201301</v>
      </c>
      <c r="C2055" s="347">
        <f t="shared" si="1"/>
        <v>2013</v>
      </c>
      <c r="D2055" s="248">
        <v>1</v>
      </c>
      <c r="E2055" s="347" t="s">
        <v>212</v>
      </c>
      <c r="F2055" s="347">
        <v>495880</v>
      </c>
      <c r="G2055" s="347">
        <v>5355</v>
      </c>
    </row>
    <row r="2056" spans="2:7">
      <c r="B2056" s="347">
        <v>201301</v>
      </c>
      <c r="C2056" s="347">
        <f t="shared" si="1"/>
        <v>2013</v>
      </c>
      <c r="D2056" s="248">
        <v>1</v>
      </c>
      <c r="E2056" s="347" t="s">
        <v>119</v>
      </c>
      <c r="F2056" s="347">
        <v>525223</v>
      </c>
      <c r="G2056" s="347">
        <v>6657</v>
      </c>
    </row>
    <row r="2057" spans="2:7">
      <c r="B2057" s="347">
        <v>201301</v>
      </c>
      <c r="C2057" s="347">
        <f t="shared" si="1"/>
        <v>2013</v>
      </c>
      <c r="D2057" s="248">
        <v>1</v>
      </c>
      <c r="E2057" s="347" t="s">
        <v>120</v>
      </c>
      <c r="F2057" s="347">
        <v>411466</v>
      </c>
      <c r="G2057" s="347">
        <v>4866</v>
      </c>
    </row>
    <row r="2058" spans="2:7">
      <c r="B2058" s="347">
        <v>201301</v>
      </c>
      <c r="C2058" s="347">
        <f t="shared" ref="C2058:C2093" si="2">LEFT(B2058,4)*1</f>
        <v>2013</v>
      </c>
      <c r="D2058" s="248">
        <v>1</v>
      </c>
      <c r="E2058" s="347" t="s">
        <v>102</v>
      </c>
      <c r="F2058" s="347">
        <v>2095499</v>
      </c>
      <c r="G2058" s="347">
        <v>16042</v>
      </c>
    </row>
    <row r="2059" spans="2:7">
      <c r="B2059" s="347">
        <v>201301</v>
      </c>
      <c r="C2059" s="347">
        <f t="shared" si="2"/>
        <v>2013</v>
      </c>
      <c r="D2059" s="248">
        <v>1</v>
      </c>
      <c r="E2059" s="347" t="s">
        <v>117</v>
      </c>
      <c r="F2059" s="347">
        <v>5184958</v>
      </c>
      <c r="G2059" s="347">
        <v>36877</v>
      </c>
    </row>
    <row r="2060" spans="2:7">
      <c r="B2060" s="347">
        <v>201301</v>
      </c>
      <c r="C2060" s="347">
        <f t="shared" si="2"/>
        <v>2013</v>
      </c>
      <c r="D2060" s="248">
        <v>1</v>
      </c>
      <c r="E2060" s="347" t="s">
        <v>104</v>
      </c>
      <c r="F2060" s="347">
        <v>572970</v>
      </c>
      <c r="G2060" s="347">
        <v>4712</v>
      </c>
    </row>
    <row r="2061" spans="2:7">
      <c r="B2061" s="347">
        <v>201301</v>
      </c>
      <c r="C2061" s="347">
        <f t="shared" si="2"/>
        <v>2013</v>
      </c>
      <c r="D2061" s="248">
        <v>1</v>
      </c>
      <c r="E2061" s="347" t="s">
        <v>34</v>
      </c>
      <c r="F2061" s="347">
        <v>1162551</v>
      </c>
      <c r="G2061" s="347">
        <v>10612</v>
      </c>
    </row>
    <row r="2062" spans="2:7">
      <c r="B2062" s="347">
        <v>201301</v>
      </c>
      <c r="C2062" s="347">
        <f t="shared" si="2"/>
        <v>2013</v>
      </c>
      <c r="D2062" s="248">
        <v>1</v>
      </c>
      <c r="E2062" s="347" t="s">
        <v>118</v>
      </c>
      <c r="F2062" s="347">
        <v>88195</v>
      </c>
      <c r="G2062" s="347">
        <v>2513</v>
      </c>
    </row>
    <row r="2063" spans="2:7">
      <c r="B2063" s="347">
        <v>201301</v>
      </c>
      <c r="C2063" s="347">
        <f t="shared" si="2"/>
        <v>2013</v>
      </c>
      <c r="D2063" s="248">
        <v>1</v>
      </c>
      <c r="E2063" s="347" t="s">
        <v>103</v>
      </c>
      <c r="F2063" s="347">
        <v>1081673</v>
      </c>
      <c r="G2063" s="347">
        <v>9663</v>
      </c>
    </row>
    <row r="2064" spans="2:7">
      <c r="B2064" s="347">
        <v>201302</v>
      </c>
      <c r="C2064" s="347">
        <f t="shared" si="2"/>
        <v>2013</v>
      </c>
      <c r="D2064" s="248">
        <v>2</v>
      </c>
      <c r="E2064" s="347" t="s">
        <v>121</v>
      </c>
      <c r="F2064" s="347">
        <v>236502</v>
      </c>
      <c r="G2064" s="347">
        <v>7225</v>
      </c>
    </row>
    <row r="2065" spans="2:7">
      <c r="B2065" s="347">
        <v>201302</v>
      </c>
      <c r="C2065" s="347">
        <f t="shared" si="2"/>
        <v>2013</v>
      </c>
      <c r="D2065" s="248">
        <v>2</v>
      </c>
      <c r="E2065" s="347" t="s">
        <v>212</v>
      </c>
      <c r="F2065" s="347">
        <v>533854</v>
      </c>
      <c r="G2065" s="347">
        <v>5347</v>
      </c>
    </row>
    <row r="2066" spans="2:7">
      <c r="B2066" s="347">
        <v>201302</v>
      </c>
      <c r="C2066" s="347">
        <f t="shared" si="2"/>
        <v>2013</v>
      </c>
      <c r="D2066" s="248">
        <v>2</v>
      </c>
      <c r="E2066" s="347" t="s">
        <v>119</v>
      </c>
      <c r="F2066" s="347">
        <v>564117</v>
      </c>
      <c r="G2066" s="347">
        <v>6694</v>
      </c>
    </row>
    <row r="2067" spans="2:7">
      <c r="B2067" s="347">
        <v>201302</v>
      </c>
      <c r="C2067" s="347">
        <f t="shared" si="2"/>
        <v>2013</v>
      </c>
      <c r="D2067" s="248">
        <v>2</v>
      </c>
      <c r="E2067" s="347" t="s">
        <v>120</v>
      </c>
      <c r="F2067" s="347">
        <v>423500</v>
      </c>
      <c r="G2067" s="347">
        <v>4750</v>
      </c>
    </row>
    <row r="2068" spans="2:7">
      <c r="B2068" s="347">
        <v>201302</v>
      </c>
      <c r="C2068" s="347">
        <f t="shared" si="2"/>
        <v>2013</v>
      </c>
      <c r="D2068" s="248">
        <v>2</v>
      </c>
      <c r="E2068" s="347" t="s">
        <v>102</v>
      </c>
      <c r="F2068" s="347">
        <v>2139108</v>
      </c>
      <c r="G2068" s="347">
        <v>15289</v>
      </c>
    </row>
    <row r="2069" spans="2:7">
      <c r="B2069" s="347">
        <v>201302</v>
      </c>
      <c r="C2069" s="347">
        <f t="shared" si="2"/>
        <v>2013</v>
      </c>
      <c r="D2069" s="248">
        <v>2</v>
      </c>
      <c r="E2069" s="347" t="s">
        <v>117</v>
      </c>
      <c r="F2069" s="347">
        <v>4848324</v>
      </c>
      <c r="G2069" s="347">
        <v>35280</v>
      </c>
    </row>
    <row r="2070" spans="2:7">
      <c r="B2070" s="347">
        <v>201302</v>
      </c>
      <c r="C2070" s="347">
        <f t="shared" si="2"/>
        <v>2013</v>
      </c>
      <c r="D2070" s="248">
        <v>2</v>
      </c>
      <c r="E2070" s="347" t="s">
        <v>104</v>
      </c>
      <c r="F2070" s="347">
        <v>578411</v>
      </c>
      <c r="G2070" s="347">
        <v>4440</v>
      </c>
    </row>
    <row r="2071" spans="2:7">
      <c r="B2071" s="347">
        <v>201302</v>
      </c>
      <c r="C2071" s="347">
        <f t="shared" si="2"/>
        <v>2013</v>
      </c>
      <c r="D2071" s="248">
        <v>2</v>
      </c>
      <c r="E2071" s="347" t="s">
        <v>34</v>
      </c>
      <c r="F2071" s="347">
        <v>1190595</v>
      </c>
      <c r="G2071" s="347">
        <v>10439</v>
      </c>
    </row>
    <row r="2072" spans="2:7">
      <c r="B2072" s="347">
        <v>201302</v>
      </c>
      <c r="C2072" s="347">
        <f t="shared" si="2"/>
        <v>2013</v>
      </c>
      <c r="D2072" s="248">
        <v>2</v>
      </c>
      <c r="E2072" s="347" t="s">
        <v>118</v>
      </c>
      <c r="F2072" s="347">
        <v>100707</v>
      </c>
      <c r="G2072" s="347">
        <v>2520</v>
      </c>
    </row>
    <row r="2073" spans="2:7">
      <c r="B2073" s="347">
        <v>201302</v>
      </c>
      <c r="C2073" s="347">
        <f t="shared" si="2"/>
        <v>2013</v>
      </c>
      <c r="D2073" s="248">
        <v>2</v>
      </c>
      <c r="E2073" s="347" t="s">
        <v>103</v>
      </c>
      <c r="F2073" s="347">
        <v>1102622</v>
      </c>
      <c r="G2073" s="347">
        <v>8729</v>
      </c>
    </row>
    <row r="2074" spans="2:7">
      <c r="B2074" s="347">
        <v>201303</v>
      </c>
      <c r="C2074" s="347">
        <f t="shared" si="2"/>
        <v>2013</v>
      </c>
      <c r="D2074" s="248">
        <v>3</v>
      </c>
      <c r="E2074" s="347" t="s">
        <v>121</v>
      </c>
      <c r="F2074" s="347">
        <v>263131</v>
      </c>
      <c r="G2074" s="347">
        <v>7684</v>
      </c>
    </row>
    <row r="2075" spans="2:7">
      <c r="B2075" s="347">
        <v>201303</v>
      </c>
      <c r="C2075" s="347">
        <f t="shared" si="2"/>
        <v>2013</v>
      </c>
      <c r="D2075" s="248">
        <v>3</v>
      </c>
      <c r="E2075" s="347" t="s">
        <v>212</v>
      </c>
      <c r="F2075" s="347">
        <v>625741</v>
      </c>
      <c r="G2075" s="347">
        <v>6084</v>
      </c>
    </row>
    <row r="2076" spans="2:7">
      <c r="B2076" s="347">
        <v>201303</v>
      </c>
      <c r="C2076" s="347">
        <f t="shared" si="2"/>
        <v>2013</v>
      </c>
      <c r="D2076" s="248">
        <v>3</v>
      </c>
      <c r="E2076" s="347" t="s">
        <v>119</v>
      </c>
      <c r="F2076" s="347">
        <v>699612</v>
      </c>
      <c r="G2076" s="347">
        <v>7781</v>
      </c>
    </row>
    <row r="2077" spans="2:7">
      <c r="B2077" s="347">
        <v>201303</v>
      </c>
      <c r="C2077" s="347">
        <f t="shared" si="2"/>
        <v>2013</v>
      </c>
      <c r="D2077" s="248">
        <v>3</v>
      </c>
      <c r="E2077" s="347" t="s">
        <v>120</v>
      </c>
      <c r="F2077" s="347">
        <v>510009</v>
      </c>
      <c r="G2077" s="347">
        <v>5517</v>
      </c>
    </row>
    <row r="2078" spans="2:7">
      <c r="B2078" s="347">
        <v>201303</v>
      </c>
      <c r="C2078" s="347">
        <f t="shared" si="2"/>
        <v>2013</v>
      </c>
      <c r="D2078" s="248">
        <v>3</v>
      </c>
      <c r="E2078" s="347" t="s">
        <v>102</v>
      </c>
      <c r="F2078" s="347">
        <v>2575684</v>
      </c>
      <c r="G2078" s="347">
        <v>17902</v>
      </c>
    </row>
    <row r="2079" spans="2:7">
      <c r="B2079" s="347">
        <v>201303</v>
      </c>
      <c r="C2079" s="347">
        <f t="shared" si="2"/>
        <v>2013</v>
      </c>
      <c r="D2079" s="248">
        <v>3</v>
      </c>
      <c r="E2079" s="347" t="s">
        <v>117</v>
      </c>
      <c r="F2079" s="347">
        <v>5920967</v>
      </c>
      <c r="G2079" s="347">
        <v>39413</v>
      </c>
    </row>
    <row r="2080" spans="2:7">
      <c r="B2080" s="347">
        <v>201303</v>
      </c>
      <c r="C2080" s="347">
        <f t="shared" si="2"/>
        <v>2013</v>
      </c>
      <c r="D2080" s="248">
        <v>3</v>
      </c>
      <c r="E2080" s="347" t="s">
        <v>104</v>
      </c>
      <c r="F2080" s="347">
        <v>715038</v>
      </c>
      <c r="G2080" s="347">
        <v>5385</v>
      </c>
    </row>
    <row r="2081" spans="2:7">
      <c r="B2081" s="347">
        <v>201303</v>
      </c>
      <c r="C2081" s="347">
        <f t="shared" si="2"/>
        <v>2013</v>
      </c>
      <c r="D2081" s="248">
        <v>3</v>
      </c>
      <c r="E2081" s="347" t="s">
        <v>34</v>
      </c>
      <c r="F2081" s="347">
        <v>1447178</v>
      </c>
      <c r="G2081" s="347">
        <v>11906</v>
      </c>
    </row>
    <row r="2082" spans="2:7">
      <c r="B2082" s="347">
        <v>201303</v>
      </c>
      <c r="C2082" s="347">
        <f t="shared" si="2"/>
        <v>2013</v>
      </c>
      <c r="D2082" s="248">
        <v>3</v>
      </c>
      <c r="E2082" s="347" t="s">
        <v>118</v>
      </c>
      <c r="F2082" s="347">
        <v>124515</v>
      </c>
      <c r="G2082" s="347">
        <v>2848</v>
      </c>
    </row>
    <row r="2083" spans="2:7">
      <c r="B2083" s="347">
        <v>201303</v>
      </c>
      <c r="C2083" s="347">
        <f t="shared" si="2"/>
        <v>2013</v>
      </c>
      <c r="D2083" s="248">
        <v>3</v>
      </c>
      <c r="E2083" s="347" t="s">
        <v>103</v>
      </c>
      <c r="F2083" s="347">
        <v>1346899</v>
      </c>
      <c r="G2083" s="347">
        <v>10387</v>
      </c>
    </row>
    <row r="2084" spans="2:7">
      <c r="B2084" s="347">
        <v>201304</v>
      </c>
      <c r="C2084" s="347">
        <f t="shared" si="2"/>
        <v>2013</v>
      </c>
      <c r="D2084" s="248">
        <v>4</v>
      </c>
      <c r="E2084" s="347" t="s">
        <v>121</v>
      </c>
      <c r="F2084" s="347">
        <v>280057</v>
      </c>
      <c r="G2084" s="347">
        <v>8268</v>
      </c>
    </row>
    <row r="2085" spans="2:7">
      <c r="B2085" s="347">
        <v>201304</v>
      </c>
      <c r="C2085" s="347">
        <f t="shared" si="2"/>
        <v>2013</v>
      </c>
      <c r="D2085" s="248">
        <v>4</v>
      </c>
      <c r="E2085" s="347" t="s">
        <v>212</v>
      </c>
      <c r="F2085" s="347">
        <v>649940</v>
      </c>
      <c r="G2085" s="347">
        <v>6391</v>
      </c>
    </row>
    <row r="2086" spans="2:7">
      <c r="B2086" s="347">
        <v>201304</v>
      </c>
      <c r="C2086" s="347">
        <f t="shared" si="2"/>
        <v>2013</v>
      </c>
      <c r="D2086" s="248">
        <v>4</v>
      </c>
      <c r="E2086" s="347" t="s">
        <v>119</v>
      </c>
      <c r="F2086" s="347">
        <v>801663</v>
      </c>
      <c r="G2086" s="347">
        <v>9082</v>
      </c>
    </row>
    <row r="2087" spans="2:7">
      <c r="B2087" s="347">
        <v>201304</v>
      </c>
      <c r="C2087" s="347">
        <f t="shared" si="2"/>
        <v>2013</v>
      </c>
      <c r="D2087" s="248">
        <v>4</v>
      </c>
      <c r="E2087" s="347" t="s">
        <v>120</v>
      </c>
      <c r="F2087" s="347">
        <v>549376</v>
      </c>
      <c r="G2087" s="347">
        <v>5878</v>
      </c>
    </row>
    <row r="2088" spans="2:7">
      <c r="B2088" s="347">
        <v>201304</v>
      </c>
      <c r="C2088" s="347">
        <f t="shared" si="2"/>
        <v>2013</v>
      </c>
      <c r="D2088" s="248">
        <v>4</v>
      </c>
      <c r="E2088" s="347" t="s">
        <v>102</v>
      </c>
      <c r="F2088" s="347">
        <v>2734727</v>
      </c>
      <c r="G2088" s="347">
        <v>19822</v>
      </c>
    </row>
    <row r="2089" spans="2:7">
      <c r="B2089" s="347">
        <v>201304</v>
      </c>
      <c r="C2089" s="347">
        <f t="shared" si="2"/>
        <v>2013</v>
      </c>
      <c r="D2089" s="248">
        <v>4</v>
      </c>
      <c r="E2089" s="347" t="s">
        <v>117</v>
      </c>
      <c r="F2089" s="347">
        <v>5806842</v>
      </c>
      <c r="G2089" s="347">
        <v>38685</v>
      </c>
    </row>
    <row r="2090" spans="2:7">
      <c r="B2090" s="347">
        <v>201304</v>
      </c>
      <c r="C2090" s="347">
        <f t="shared" si="2"/>
        <v>2013</v>
      </c>
      <c r="D2090" s="248">
        <v>4</v>
      </c>
      <c r="E2090" s="347" t="s">
        <v>104</v>
      </c>
      <c r="F2090" s="347">
        <v>803549</v>
      </c>
      <c r="G2090" s="347">
        <v>6069</v>
      </c>
    </row>
    <row r="2091" spans="2:7">
      <c r="B2091" s="347">
        <v>201304</v>
      </c>
      <c r="C2091" s="347">
        <f t="shared" si="2"/>
        <v>2013</v>
      </c>
      <c r="D2091" s="248">
        <v>4</v>
      </c>
      <c r="E2091" s="347" t="s">
        <v>34</v>
      </c>
      <c r="F2091" s="347">
        <v>1522692</v>
      </c>
      <c r="G2091" s="347">
        <v>12950</v>
      </c>
    </row>
    <row r="2092" spans="2:7">
      <c r="B2092" s="347">
        <v>201304</v>
      </c>
      <c r="C2092" s="347">
        <f t="shared" si="2"/>
        <v>2013</v>
      </c>
      <c r="D2092" s="248">
        <v>4</v>
      </c>
      <c r="E2092" s="347" t="s">
        <v>118</v>
      </c>
      <c r="F2092" s="347">
        <v>136592</v>
      </c>
      <c r="G2092" s="347">
        <v>3007</v>
      </c>
    </row>
    <row r="2093" spans="2:7">
      <c r="B2093" s="347">
        <v>201304</v>
      </c>
      <c r="C2093" s="347">
        <f t="shared" si="2"/>
        <v>2013</v>
      </c>
      <c r="D2093" s="248">
        <v>4</v>
      </c>
      <c r="E2093" s="347" t="s">
        <v>103</v>
      </c>
      <c r="F2093" s="347">
        <v>1559261</v>
      </c>
      <c r="G2093" s="347">
        <v>11556</v>
      </c>
    </row>
  </sheetData>
  <pageMargins left="0.75" right="0.75" top="1" bottom="1" header="0.5" footer="0.5"/>
  <pageSetup paperSize="9" scale="83" orientation="landscape" r:id="rId1"/>
  <headerFooter alignWithMargins="0">
    <oddFooter>&amp;L&amp;F \ &amp;A&amp;R&amp;T  &amp;D</oddFooter>
  </headerFooter>
</worksheet>
</file>

<file path=xl/worksheets/sheet9.xml><?xml version="1.0" encoding="utf-8"?>
<worksheet xmlns="http://schemas.openxmlformats.org/spreadsheetml/2006/main" xmlns:r="http://schemas.openxmlformats.org/officeDocument/2006/relationships">
  <sheetPr>
    <pageSetUpPr fitToPage="1"/>
  </sheetPr>
  <dimension ref="B2:W82"/>
  <sheetViews>
    <sheetView showGridLines="0" zoomScale="70" zoomScaleNormal="70" workbookViewId="0">
      <selection activeCell="N1" sqref="N1:N1048576"/>
    </sheetView>
  </sheetViews>
  <sheetFormatPr defaultRowHeight="12.75"/>
  <cols>
    <col min="1" max="1" width="3.140625" style="347" customWidth="1"/>
    <col min="2" max="2" width="15.7109375" style="347" customWidth="1"/>
    <col min="3" max="14" width="10.7109375" style="347" customWidth="1"/>
    <col min="15" max="18" width="10.28515625" style="347" bestFit="1" customWidth="1"/>
    <col min="19" max="20" width="9.28515625" style="347" bestFit="1" customWidth="1"/>
    <col min="21" max="16384" width="9.140625" style="347"/>
  </cols>
  <sheetData>
    <row r="2" spans="2:23">
      <c r="B2" s="268" t="s">
        <v>134</v>
      </c>
      <c r="C2" s="269"/>
      <c r="D2" s="270" t="str">
        <f>Info!$D$10</f>
        <v>Duncan Kernohan</v>
      </c>
      <c r="E2" s="269"/>
      <c r="F2" s="269"/>
      <c r="G2" s="269"/>
      <c r="H2" s="269"/>
      <c r="I2" s="269"/>
      <c r="J2" s="269"/>
      <c r="K2" s="269"/>
      <c r="L2" s="269"/>
      <c r="M2" s="269"/>
      <c r="N2" s="269"/>
      <c r="O2" s="269"/>
      <c r="P2" s="269"/>
      <c r="Q2" s="269"/>
      <c r="R2" s="269"/>
      <c r="S2" s="269"/>
      <c r="T2" s="269"/>
      <c r="U2" s="269"/>
      <c r="V2" s="269"/>
      <c r="W2" s="269"/>
    </row>
    <row r="3" spans="2:23">
      <c r="B3" s="271" t="s">
        <v>137</v>
      </c>
      <c r="C3" s="272"/>
      <c r="D3" s="273" t="str">
        <f>Info!$D$11 &amp; " - " &amp; Info!$D$12</f>
        <v>Airport Opex Benchmarking 2013 - duncan.kernohan@caa.co.uk</v>
      </c>
      <c r="E3" s="272"/>
      <c r="F3" s="272"/>
      <c r="G3" s="272"/>
      <c r="H3" s="272"/>
      <c r="I3" s="272"/>
      <c r="J3" s="272"/>
      <c r="K3" s="272"/>
      <c r="L3" s="272"/>
      <c r="M3" s="272"/>
      <c r="N3" s="272"/>
      <c r="O3" s="272"/>
      <c r="P3" s="272"/>
      <c r="Q3" s="272"/>
      <c r="R3" s="272"/>
      <c r="S3" s="272"/>
      <c r="T3" s="272"/>
      <c r="U3" s="272"/>
      <c r="V3" s="272"/>
      <c r="W3" s="272"/>
    </row>
    <row r="4" spans="2:23">
      <c r="B4" s="271" t="s">
        <v>130</v>
      </c>
      <c r="C4" s="272"/>
      <c r="D4" s="274">
        <f>Info!$D$16</f>
        <v>2.8</v>
      </c>
      <c r="E4" s="272"/>
      <c r="F4" s="272"/>
      <c r="G4" s="272"/>
      <c r="H4" s="272"/>
      <c r="I4" s="272"/>
      <c r="J4" s="272"/>
      <c r="K4" s="272"/>
      <c r="L4" s="272"/>
      <c r="M4" s="272"/>
      <c r="N4" s="272"/>
      <c r="O4" s="272"/>
      <c r="P4" s="272"/>
      <c r="Q4" s="272"/>
      <c r="R4" s="272"/>
      <c r="S4" s="272"/>
      <c r="T4" s="272"/>
      <c r="U4" s="272"/>
      <c r="V4" s="272"/>
      <c r="W4" s="272"/>
    </row>
    <row r="5" spans="2:23">
      <c r="B5" s="275" t="s">
        <v>138</v>
      </c>
      <c r="C5" s="276"/>
      <c r="D5" s="277" t="str">
        <f ca="1">IF(CELL("filename",C1)="","",MID(CELL("filename",A1),FIND("]",CELL("filename",A1))+1,99))</f>
        <v>Passengers</v>
      </c>
      <c r="E5" s="276"/>
      <c r="F5" s="276"/>
      <c r="G5" s="276"/>
      <c r="H5" s="276"/>
      <c r="I5" s="276"/>
      <c r="J5" s="276"/>
      <c r="K5" s="276"/>
      <c r="L5" s="276"/>
      <c r="M5" s="276"/>
      <c r="N5" s="276"/>
      <c r="O5" s="276"/>
      <c r="P5" s="276"/>
      <c r="Q5" s="276"/>
      <c r="R5" s="276"/>
      <c r="S5" s="276"/>
      <c r="T5" s="276"/>
      <c r="U5" s="276"/>
      <c r="V5" s="276"/>
      <c r="W5" s="276"/>
    </row>
    <row r="8" spans="2:23">
      <c r="B8" s="278" t="s">
        <v>146</v>
      </c>
      <c r="C8" s="279"/>
      <c r="D8" s="279"/>
      <c r="E8" s="279"/>
      <c r="F8" s="279"/>
      <c r="G8" s="279"/>
      <c r="H8" s="279"/>
      <c r="I8" s="279"/>
      <c r="J8" s="279"/>
      <c r="K8" s="279"/>
      <c r="L8" s="279"/>
      <c r="M8" s="279"/>
      <c r="N8" s="279"/>
      <c r="O8" s="279"/>
      <c r="P8" s="279"/>
      <c r="Q8" s="279"/>
      <c r="R8" s="279"/>
      <c r="S8" s="279"/>
      <c r="T8" s="279"/>
      <c r="U8" s="279"/>
      <c r="V8" s="279"/>
      <c r="W8" s="279"/>
    </row>
    <row r="9" spans="2:23" s="371" customFormat="1">
      <c r="B9" s="70"/>
      <c r="C9" s="138"/>
      <c r="D9" s="138"/>
      <c r="E9" s="138"/>
      <c r="F9" s="138"/>
      <c r="G9" s="138"/>
      <c r="H9" s="138"/>
      <c r="I9" s="138"/>
      <c r="J9" s="138"/>
      <c r="K9" s="138"/>
      <c r="L9" s="138"/>
      <c r="M9" s="138"/>
      <c r="N9" s="138"/>
      <c r="O9" s="138"/>
      <c r="P9" s="138"/>
      <c r="Q9" s="138"/>
      <c r="R9" s="138"/>
      <c r="S9" s="138"/>
      <c r="T9" s="138"/>
      <c r="U9" s="138"/>
      <c r="V9" s="138"/>
      <c r="W9" s="138"/>
    </row>
    <row r="10" spans="2:23" s="371" customFormat="1">
      <c r="B10" s="65" t="s">
        <v>143</v>
      </c>
      <c r="C10" s="137" t="s">
        <v>145</v>
      </c>
      <c r="D10" s="137" t="s">
        <v>147</v>
      </c>
      <c r="E10" s="138"/>
      <c r="F10" s="138"/>
      <c r="G10" s="138"/>
      <c r="H10" s="138"/>
      <c r="I10" s="138"/>
      <c r="J10" s="138"/>
      <c r="K10" s="138"/>
      <c r="L10" s="138"/>
      <c r="M10" s="138"/>
      <c r="N10" s="138"/>
      <c r="O10" s="138"/>
      <c r="P10" s="138"/>
      <c r="Q10" s="138"/>
      <c r="R10" s="138"/>
      <c r="S10" s="138"/>
      <c r="T10" s="138"/>
      <c r="U10" s="138"/>
      <c r="V10" s="138"/>
      <c r="W10" s="138"/>
    </row>
    <row r="12" spans="2:23">
      <c r="B12" s="290" t="s">
        <v>142</v>
      </c>
      <c r="C12" s="290">
        <v>2000</v>
      </c>
      <c r="D12" s="290">
        <v>2001</v>
      </c>
      <c r="E12" s="290">
        <v>2002</v>
      </c>
      <c r="F12" s="290">
        <v>2003</v>
      </c>
      <c r="G12" s="290">
        <v>2004</v>
      </c>
      <c r="H12" s="290">
        <v>2005</v>
      </c>
      <c r="I12" s="290">
        <v>2006</v>
      </c>
      <c r="J12" s="290">
        <v>2007</v>
      </c>
      <c r="K12" s="290">
        <v>2008</v>
      </c>
      <c r="L12" s="290">
        <v>2009</v>
      </c>
      <c r="M12" s="290">
        <v>2010</v>
      </c>
      <c r="N12" s="290"/>
    </row>
    <row r="13" spans="2:23">
      <c r="B13" s="347" t="s">
        <v>35</v>
      </c>
      <c r="C13" s="372">
        <v>31947524</v>
      </c>
      <c r="D13" s="372">
        <v>31096563</v>
      </c>
      <c r="E13" s="372">
        <v>29517894</v>
      </c>
      <c r="F13" s="372">
        <v>29893286</v>
      </c>
      <c r="G13" s="372">
        <v>31391546</v>
      </c>
      <c r="H13" s="372">
        <v>32693005</v>
      </c>
      <c r="I13" s="372">
        <v>34080345</v>
      </c>
      <c r="J13" s="372">
        <v>35165404</v>
      </c>
      <c r="K13" s="372">
        <v>34162014</v>
      </c>
      <c r="L13" s="372">
        <v>32360773</v>
      </c>
      <c r="M13" s="372">
        <v>31342263</v>
      </c>
      <c r="N13" s="289"/>
    </row>
    <row r="14" spans="2:23">
      <c r="B14" s="347" t="s">
        <v>36</v>
      </c>
      <c r="C14" s="372">
        <v>64277045</v>
      </c>
      <c r="D14" s="372">
        <v>60453330</v>
      </c>
      <c r="E14" s="372">
        <v>63035489</v>
      </c>
      <c r="F14" s="372">
        <v>63208042</v>
      </c>
      <c r="G14" s="372">
        <v>67109174</v>
      </c>
      <c r="H14" s="372">
        <v>67683317</v>
      </c>
      <c r="I14" s="372">
        <v>67339227</v>
      </c>
      <c r="J14" s="372">
        <v>67852387</v>
      </c>
      <c r="K14" s="372">
        <v>66906954</v>
      </c>
      <c r="L14" s="372">
        <v>65906641</v>
      </c>
      <c r="M14" s="372">
        <v>65745250</v>
      </c>
      <c r="N14" s="289"/>
    </row>
    <row r="15" spans="2:23">
      <c r="B15" s="347" t="s">
        <v>37</v>
      </c>
      <c r="C15" s="372">
        <v>1580510</v>
      </c>
      <c r="D15" s="372">
        <v>1618833</v>
      </c>
      <c r="E15" s="372">
        <v>1602335</v>
      </c>
      <c r="F15" s="372">
        <v>1470576</v>
      </c>
      <c r="G15" s="372">
        <v>1674807</v>
      </c>
      <c r="H15" s="372">
        <v>1996397</v>
      </c>
      <c r="I15" s="372">
        <v>2358159</v>
      </c>
      <c r="J15" s="372">
        <v>2912123</v>
      </c>
      <c r="K15" s="372">
        <v>3260225</v>
      </c>
      <c r="L15" s="372">
        <v>2796890</v>
      </c>
      <c r="M15" s="372">
        <v>2780582</v>
      </c>
      <c r="N15" s="289"/>
    </row>
    <row r="16" spans="2:23">
      <c r="B16" s="347" t="s">
        <v>38</v>
      </c>
      <c r="C16" s="372">
        <v>6164028</v>
      </c>
      <c r="D16" s="372">
        <v>6540019</v>
      </c>
      <c r="E16" s="372">
        <v>6474224</v>
      </c>
      <c r="F16" s="372">
        <v>6785670</v>
      </c>
      <c r="G16" s="372">
        <v>7520467</v>
      </c>
      <c r="H16" s="372">
        <v>9134748</v>
      </c>
      <c r="I16" s="372">
        <v>9414829</v>
      </c>
      <c r="J16" s="372">
        <v>9919361</v>
      </c>
      <c r="K16" s="372">
        <v>10173902</v>
      </c>
      <c r="L16" s="372">
        <v>9115327</v>
      </c>
      <c r="M16" s="372">
        <v>8733837</v>
      </c>
      <c r="N16" s="289"/>
    </row>
    <row r="17" spans="2:14">
      <c r="B17" s="347" t="s">
        <v>39</v>
      </c>
      <c r="C17" s="372">
        <v>3231</v>
      </c>
      <c r="D17" s="372">
        <v>4366</v>
      </c>
      <c r="E17" s="372">
        <v>4959</v>
      </c>
      <c r="F17" s="372">
        <v>2702</v>
      </c>
      <c r="G17" s="372">
        <v>3224</v>
      </c>
      <c r="H17" s="372">
        <v>5133</v>
      </c>
      <c r="I17" s="372">
        <v>30222</v>
      </c>
      <c r="J17" s="372">
        <v>49311</v>
      </c>
      <c r="K17" s="372">
        <v>44075</v>
      </c>
      <c r="L17" s="372">
        <v>3948</v>
      </c>
      <c r="M17" s="372">
        <v>3583</v>
      </c>
      <c r="N17" s="289"/>
    </row>
    <row r="18" spans="2:14">
      <c r="B18" s="347" t="s">
        <v>40</v>
      </c>
      <c r="C18" s="372">
        <v>11858288</v>
      </c>
      <c r="D18" s="372">
        <v>13653739</v>
      </c>
      <c r="E18" s="372">
        <v>16048700</v>
      </c>
      <c r="F18" s="372">
        <v>18716265</v>
      </c>
      <c r="G18" s="372">
        <v>20907023</v>
      </c>
      <c r="H18" s="372">
        <v>21991733</v>
      </c>
      <c r="I18" s="372">
        <v>23680352</v>
      </c>
      <c r="J18" s="372">
        <v>23759250</v>
      </c>
      <c r="K18" s="372">
        <v>22340375</v>
      </c>
      <c r="L18" s="372">
        <v>19949689</v>
      </c>
      <c r="M18" s="372">
        <v>18561598</v>
      </c>
      <c r="N18" s="289"/>
    </row>
    <row r="19" spans="2:14">
      <c r="B19" s="347" t="s">
        <v>41</v>
      </c>
      <c r="C19" s="372">
        <v>6452</v>
      </c>
      <c r="D19" s="372">
        <v>5050</v>
      </c>
      <c r="E19" s="372"/>
      <c r="F19" s="372"/>
      <c r="G19" s="372"/>
      <c r="H19" s="372"/>
      <c r="I19" s="372"/>
      <c r="J19" s="372"/>
      <c r="K19" s="372"/>
      <c r="L19" s="372"/>
      <c r="M19" s="372"/>
      <c r="N19" s="289"/>
    </row>
    <row r="20" spans="2:14">
      <c r="B20" s="347" t="s">
        <v>42</v>
      </c>
      <c r="C20" s="372">
        <v>2454117</v>
      </c>
      <c r="D20" s="372">
        <v>2525029</v>
      </c>
      <c r="E20" s="372">
        <v>2549333</v>
      </c>
      <c r="F20" s="372">
        <v>2507878</v>
      </c>
      <c r="G20" s="372">
        <v>2633808</v>
      </c>
      <c r="H20" s="372">
        <v>2851784</v>
      </c>
      <c r="I20" s="372">
        <v>3162624</v>
      </c>
      <c r="J20" s="372">
        <v>3411140</v>
      </c>
      <c r="K20" s="372">
        <v>3290236</v>
      </c>
      <c r="L20" s="372">
        <v>2983793</v>
      </c>
      <c r="M20" s="372">
        <v>2763491</v>
      </c>
      <c r="N20" s="289"/>
    </row>
    <row r="21" spans="2:14">
      <c r="B21" s="347" t="s">
        <v>43</v>
      </c>
      <c r="C21" s="372">
        <v>7591</v>
      </c>
      <c r="D21" s="372">
        <v>8509</v>
      </c>
      <c r="E21" s="372">
        <v>8285</v>
      </c>
      <c r="F21" s="372">
        <v>8318</v>
      </c>
      <c r="G21" s="372">
        <v>8781</v>
      </c>
      <c r="H21" s="372">
        <v>9454</v>
      </c>
      <c r="I21" s="372">
        <v>9808</v>
      </c>
      <c r="J21" s="372">
        <v>10415</v>
      </c>
      <c r="K21" s="372">
        <v>10705</v>
      </c>
      <c r="L21" s="372">
        <v>10182</v>
      </c>
      <c r="M21" s="372">
        <v>10192</v>
      </c>
      <c r="N21" s="289"/>
    </row>
    <row r="22" spans="2:14">
      <c r="B22" s="347" t="s">
        <v>44</v>
      </c>
      <c r="C22" s="372">
        <v>1288164</v>
      </c>
      <c r="D22" s="372">
        <v>1191973</v>
      </c>
      <c r="E22" s="372">
        <v>1889692</v>
      </c>
      <c r="F22" s="372">
        <v>1974036</v>
      </c>
      <c r="G22" s="372">
        <v>2090923</v>
      </c>
      <c r="H22" s="372">
        <v>2236977</v>
      </c>
      <c r="I22" s="372">
        <v>2105597</v>
      </c>
      <c r="J22" s="372">
        <v>2186867</v>
      </c>
      <c r="K22" s="372">
        <v>2570741</v>
      </c>
      <c r="L22" s="372">
        <v>2621733</v>
      </c>
      <c r="M22" s="372">
        <v>2740305</v>
      </c>
      <c r="N22" s="289"/>
    </row>
    <row r="23" spans="2:14">
      <c r="B23" s="347" t="s">
        <v>45</v>
      </c>
      <c r="C23" s="372">
        <v>3127337</v>
      </c>
      <c r="D23" s="372">
        <v>3602702</v>
      </c>
      <c r="E23" s="372">
        <v>3551103</v>
      </c>
      <c r="F23" s="372">
        <v>3954432</v>
      </c>
      <c r="G23" s="372">
        <v>4402500</v>
      </c>
      <c r="H23" s="372">
        <v>4819512</v>
      </c>
      <c r="I23" s="372">
        <v>5015264</v>
      </c>
      <c r="J23" s="372">
        <v>5236055</v>
      </c>
      <c r="K23" s="372">
        <v>5222839</v>
      </c>
      <c r="L23" s="372">
        <v>4536498</v>
      </c>
      <c r="M23" s="372">
        <v>4010972</v>
      </c>
      <c r="N23" s="289"/>
    </row>
    <row r="24" spans="2:14">
      <c r="B24" s="347" t="s">
        <v>46</v>
      </c>
      <c r="C24" s="372">
        <v>33556</v>
      </c>
      <c r="D24" s="372">
        <v>34152</v>
      </c>
      <c r="E24" s="372">
        <v>31534</v>
      </c>
      <c r="F24" s="372">
        <v>31914</v>
      </c>
      <c r="G24" s="372">
        <v>29711</v>
      </c>
      <c r="H24" s="372">
        <v>31247</v>
      </c>
      <c r="I24" s="372">
        <v>33433</v>
      </c>
      <c r="J24" s="372">
        <v>34992</v>
      </c>
      <c r="K24" s="372">
        <v>33595</v>
      </c>
      <c r="L24" s="372">
        <v>32692</v>
      </c>
      <c r="M24" s="372">
        <v>30023</v>
      </c>
      <c r="N24" s="289"/>
    </row>
    <row r="25" spans="2:14">
      <c r="B25" s="347" t="s">
        <v>47</v>
      </c>
      <c r="C25" s="372">
        <v>2311</v>
      </c>
      <c r="D25" s="372">
        <v>3611</v>
      </c>
      <c r="E25" s="372">
        <v>1144</v>
      </c>
      <c r="F25" s="372">
        <v>683</v>
      </c>
      <c r="G25" s="372">
        <v>718</v>
      </c>
      <c r="H25" s="372">
        <v>676</v>
      </c>
      <c r="I25" s="372">
        <v>220</v>
      </c>
      <c r="J25" s="372"/>
      <c r="K25" s="372"/>
      <c r="L25" s="372"/>
      <c r="M25" s="372"/>
      <c r="N25" s="289"/>
    </row>
    <row r="26" spans="2:14">
      <c r="B26" s="347" t="s">
        <v>48</v>
      </c>
      <c r="C26" s="372">
        <v>7492221</v>
      </c>
      <c r="D26" s="372">
        <v>7712141</v>
      </c>
      <c r="E26" s="372">
        <v>7911368</v>
      </c>
      <c r="F26" s="372">
        <v>8923902</v>
      </c>
      <c r="G26" s="372">
        <v>8796712</v>
      </c>
      <c r="H26" s="372">
        <v>9311403</v>
      </c>
      <c r="I26" s="372">
        <v>9056004</v>
      </c>
      <c r="J26" s="372">
        <v>9134055</v>
      </c>
      <c r="K26" s="372">
        <v>9576700</v>
      </c>
      <c r="L26" s="372">
        <v>9093201</v>
      </c>
      <c r="M26" s="372">
        <v>8563505</v>
      </c>
      <c r="N26" s="289"/>
    </row>
    <row r="27" spans="2:14">
      <c r="B27" s="347" t="s">
        <v>49</v>
      </c>
      <c r="C27" s="372">
        <v>107311</v>
      </c>
      <c r="D27" s="372">
        <v>80501</v>
      </c>
      <c r="E27" s="372">
        <v>70385</v>
      </c>
      <c r="F27" s="372">
        <v>186604</v>
      </c>
      <c r="G27" s="372">
        <v>266179</v>
      </c>
      <c r="H27" s="372">
        <v>376808</v>
      </c>
      <c r="I27" s="372">
        <v>552641</v>
      </c>
      <c r="J27" s="372">
        <v>557636</v>
      </c>
      <c r="K27" s="372">
        <v>439199</v>
      </c>
      <c r="L27" s="372">
        <v>276860</v>
      </c>
      <c r="M27" s="372">
        <v>235340</v>
      </c>
      <c r="N27" s="289"/>
    </row>
    <row r="28" spans="2:14">
      <c r="B28" s="347" t="s">
        <v>50</v>
      </c>
      <c r="C28" s="372">
        <v>270927</v>
      </c>
      <c r="D28" s="372">
        <v>264653</v>
      </c>
      <c r="E28" s="372">
        <v>391938</v>
      </c>
      <c r="F28" s="372">
        <v>461737</v>
      </c>
      <c r="G28" s="372">
        <v>493234</v>
      </c>
      <c r="H28" s="372">
        <v>829108</v>
      </c>
      <c r="I28" s="372">
        <v>960773</v>
      </c>
      <c r="J28" s="372">
        <v>1083379</v>
      </c>
      <c r="K28" s="372">
        <v>1078941</v>
      </c>
      <c r="L28" s="372">
        <v>868445</v>
      </c>
      <c r="M28" s="372">
        <v>749790</v>
      </c>
      <c r="N28" s="289"/>
    </row>
    <row r="29" spans="2:14">
      <c r="B29" s="347" t="s">
        <v>51</v>
      </c>
      <c r="C29" s="372">
        <v>2124413</v>
      </c>
      <c r="D29" s="372">
        <v>2673229</v>
      </c>
      <c r="E29" s="372">
        <v>3415353</v>
      </c>
      <c r="F29" s="372">
        <v>3886740</v>
      </c>
      <c r="G29" s="372">
        <v>4603106</v>
      </c>
      <c r="H29" s="372">
        <v>5199220</v>
      </c>
      <c r="I29" s="372">
        <v>5710222</v>
      </c>
      <c r="J29" s="372">
        <v>5883856</v>
      </c>
      <c r="K29" s="372">
        <v>6228656</v>
      </c>
      <c r="L29" s="372">
        <v>5615200</v>
      </c>
      <c r="M29" s="372">
        <v>5723182</v>
      </c>
      <c r="N29" s="289"/>
    </row>
    <row r="30" spans="2:14">
      <c r="B30" s="347" t="s">
        <v>52</v>
      </c>
      <c r="C30" s="372">
        <v>19773</v>
      </c>
      <c r="D30" s="372">
        <v>18206</v>
      </c>
      <c r="E30" s="372">
        <v>1206</v>
      </c>
      <c r="F30" s="372">
        <v>2485</v>
      </c>
      <c r="G30" s="372">
        <v>3087</v>
      </c>
      <c r="H30" s="372">
        <v>2087</v>
      </c>
      <c r="I30" s="372">
        <v>1391</v>
      </c>
      <c r="J30" s="372">
        <v>2151</v>
      </c>
      <c r="K30" s="372">
        <v>1854</v>
      </c>
      <c r="L30" s="372">
        <v>1307</v>
      </c>
      <c r="M30" s="372">
        <v>916</v>
      </c>
      <c r="N30" s="289"/>
    </row>
    <row r="31" spans="2:14">
      <c r="B31" s="347" t="s">
        <v>53</v>
      </c>
      <c r="C31" s="372">
        <v>7556</v>
      </c>
      <c r="D31" s="372">
        <v>8037</v>
      </c>
      <c r="E31" s="372">
        <v>8193</v>
      </c>
      <c r="F31" s="372">
        <v>8268</v>
      </c>
      <c r="G31" s="372">
        <v>8398</v>
      </c>
      <c r="H31" s="372">
        <v>8781</v>
      </c>
      <c r="I31" s="372">
        <v>8928</v>
      </c>
      <c r="J31" s="372">
        <v>8901</v>
      </c>
      <c r="K31" s="372">
        <v>9090</v>
      </c>
      <c r="L31" s="372">
        <v>9389</v>
      </c>
      <c r="M31" s="372">
        <v>8682</v>
      </c>
      <c r="N31" s="289"/>
    </row>
    <row r="32" spans="2:14">
      <c r="B32" s="347" t="s">
        <v>54</v>
      </c>
      <c r="C32" s="372">
        <v>1497529</v>
      </c>
      <c r="D32" s="372">
        <v>1524332</v>
      </c>
      <c r="E32" s="372">
        <v>1416016</v>
      </c>
      <c r="F32" s="372">
        <v>1899971</v>
      </c>
      <c r="G32" s="372">
        <v>1873335</v>
      </c>
      <c r="H32" s="372">
        <v>1764753</v>
      </c>
      <c r="I32" s="372">
        <v>1993097</v>
      </c>
      <c r="J32" s="372">
        <v>2093507</v>
      </c>
      <c r="K32" s="372">
        <v>1978719</v>
      </c>
      <c r="L32" s="372">
        <v>1624730</v>
      </c>
      <c r="M32" s="372">
        <v>1397864</v>
      </c>
      <c r="N32" s="289"/>
    </row>
    <row r="33" spans="2:14">
      <c r="B33" s="347" t="s">
        <v>55</v>
      </c>
      <c r="C33" s="372">
        <v>452</v>
      </c>
      <c r="D33" s="372">
        <v>75</v>
      </c>
      <c r="E33" s="372">
        <v>62</v>
      </c>
      <c r="F33" s="372">
        <v>175</v>
      </c>
      <c r="G33" s="372">
        <v>0</v>
      </c>
      <c r="H33" s="372"/>
      <c r="I33" s="372"/>
      <c r="J33" s="372"/>
      <c r="K33" s="372"/>
      <c r="L33" s="372"/>
      <c r="M33" s="372"/>
      <c r="N33" s="289"/>
    </row>
    <row r="34" spans="2:14">
      <c r="B34" s="347" t="s">
        <v>56</v>
      </c>
      <c r="C34" s="372">
        <v>162704</v>
      </c>
      <c r="D34" s="372">
        <v>187519</v>
      </c>
      <c r="E34" s="372">
        <v>199146</v>
      </c>
      <c r="F34" s="372">
        <v>205505</v>
      </c>
      <c r="G34" s="372">
        <v>234487</v>
      </c>
      <c r="H34" s="372">
        <v>199357</v>
      </c>
      <c r="I34" s="372">
        <v>341531</v>
      </c>
      <c r="J34" s="372">
        <v>427586</v>
      </c>
      <c r="K34" s="372">
        <v>438996</v>
      </c>
      <c r="L34" s="372">
        <v>345857</v>
      </c>
      <c r="M34" s="372">
        <v>338505</v>
      </c>
      <c r="N34" s="289"/>
    </row>
    <row r="35" spans="2:14">
      <c r="B35" s="347" t="s">
        <v>57</v>
      </c>
      <c r="C35" s="372">
        <v>2129</v>
      </c>
      <c r="D35" s="372">
        <v>1485</v>
      </c>
      <c r="E35" s="372">
        <v>3941</v>
      </c>
      <c r="F35" s="372">
        <v>2429</v>
      </c>
      <c r="G35" s="372">
        <v>461166</v>
      </c>
      <c r="H35" s="372">
        <v>718363</v>
      </c>
      <c r="I35" s="372">
        <v>609859</v>
      </c>
      <c r="J35" s="372">
        <v>598916</v>
      </c>
      <c r="K35" s="372">
        <v>331022</v>
      </c>
      <c r="L35" s="372">
        <v>167</v>
      </c>
      <c r="M35" s="372"/>
      <c r="N35" s="289"/>
    </row>
    <row r="36" spans="2:14">
      <c r="B36" s="347" t="s">
        <v>58</v>
      </c>
      <c r="C36" s="372"/>
      <c r="D36" s="372"/>
      <c r="E36" s="372"/>
      <c r="F36" s="372"/>
      <c r="G36" s="372"/>
      <c r="H36" s="372">
        <v>600651</v>
      </c>
      <c r="I36" s="372">
        <v>947150</v>
      </c>
      <c r="J36" s="372">
        <v>1074373</v>
      </c>
      <c r="K36" s="372">
        <v>967801</v>
      </c>
      <c r="L36" s="372">
        <v>834636</v>
      </c>
      <c r="M36" s="372">
        <v>875605</v>
      </c>
      <c r="N36" s="289"/>
    </row>
    <row r="37" spans="2:14">
      <c r="B37" s="347" t="s">
        <v>59</v>
      </c>
      <c r="C37" s="372">
        <v>49192</v>
      </c>
      <c r="D37" s="372">
        <v>49165</v>
      </c>
      <c r="E37" s="372">
        <v>45323</v>
      </c>
      <c r="F37" s="372">
        <v>51734</v>
      </c>
      <c r="G37" s="372">
        <v>50845</v>
      </c>
      <c r="H37" s="372">
        <v>48624</v>
      </c>
      <c r="I37" s="372">
        <v>51496</v>
      </c>
      <c r="J37" s="372">
        <v>65419</v>
      </c>
      <c r="K37" s="372">
        <v>60929</v>
      </c>
      <c r="L37" s="372">
        <v>72466</v>
      </c>
      <c r="M37" s="372">
        <v>70360</v>
      </c>
      <c r="N37" s="289"/>
    </row>
    <row r="38" spans="2:14">
      <c r="B38" s="347" t="s">
        <v>60</v>
      </c>
      <c r="C38" s="372">
        <v>739831</v>
      </c>
      <c r="D38" s="372">
        <v>730402</v>
      </c>
      <c r="E38" s="372">
        <v>669068</v>
      </c>
      <c r="F38" s="372">
        <v>700487</v>
      </c>
      <c r="G38" s="372">
        <v>794874</v>
      </c>
      <c r="H38" s="372">
        <v>901917</v>
      </c>
      <c r="I38" s="372">
        <v>911925</v>
      </c>
      <c r="J38" s="372">
        <v>734849</v>
      </c>
      <c r="K38" s="372">
        <v>646741</v>
      </c>
      <c r="L38" s="372">
        <v>288296</v>
      </c>
      <c r="M38" s="372">
        <v>224673</v>
      </c>
      <c r="N38" s="289"/>
    </row>
    <row r="39" spans="2:14">
      <c r="B39" s="347" t="s">
        <v>61</v>
      </c>
      <c r="C39" s="372">
        <v>2226844</v>
      </c>
      <c r="D39" s="372">
        <v>2379573</v>
      </c>
      <c r="E39" s="372">
        <v>3232834</v>
      </c>
      <c r="F39" s="372">
        <v>4253684</v>
      </c>
      <c r="G39" s="372">
        <v>4375365</v>
      </c>
      <c r="H39" s="372">
        <v>4181900</v>
      </c>
      <c r="I39" s="372">
        <v>4720819</v>
      </c>
      <c r="J39" s="372">
        <v>5406504</v>
      </c>
      <c r="K39" s="372">
        <v>5616278</v>
      </c>
      <c r="L39" s="372">
        <v>4652691</v>
      </c>
      <c r="M39" s="372">
        <v>4110529</v>
      </c>
      <c r="N39" s="289"/>
    </row>
    <row r="40" spans="2:14">
      <c r="B40" s="347" t="s">
        <v>62</v>
      </c>
      <c r="C40" s="372">
        <v>5493509</v>
      </c>
      <c r="D40" s="372">
        <v>6038341</v>
      </c>
      <c r="E40" s="372">
        <v>6911152</v>
      </c>
      <c r="F40" s="372">
        <v>7476357</v>
      </c>
      <c r="G40" s="372">
        <v>7992453</v>
      </c>
      <c r="H40" s="372">
        <v>8448604</v>
      </c>
      <c r="I40" s="372">
        <v>8606651</v>
      </c>
      <c r="J40" s="372">
        <v>9037200</v>
      </c>
      <c r="K40" s="372">
        <v>8992178</v>
      </c>
      <c r="L40" s="372">
        <v>9043452</v>
      </c>
      <c r="M40" s="372">
        <v>8594449</v>
      </c>
      <c r="N40" s="289"/>
    </row>
    <row r="41" spans="2:14">
      <c r="B41" s="347" t="s">
        <v>63</v>
      </c>
      <c r="C41" s="372">
        <v>317043</v>
      </c>
      <c r="D41" s="372">
        <v>332715</v>
      </c>
      <c r="E41" s="372">
        <v>336458</v>
      </c>
      <c r="F41" s="372">
        <v>378010</v>
      </c>
      <c r="G41" s="372">
        <v>614030</v>
      </c>
      <c r="H41" s="372">
        <v>841683</v>
      </c>
      <c r="I41" s="372">
        <v>970614</v>
      </c>
      <c r="J41" s="372">
        <v>1012493</v>
      </c>
      <c r="K41" s="372">
        <v>951265</v>
      </c>
      <c r="L41" s="372">
        <v>789733</v>
      </c>
      <c r="M41" s="372">
        <v>736680</v>
      </c>
      <c r="N41" s="289"/>
    </row>
    <row r="42" spans="2:14">
      <c r="B42" s="347" t="s">
        <v>64</v>
      </c>
      <c r="C42" s="372">
        <v>6919989</v>
      </c>
      <c r="D42" s="372">
        <v>7242696</v>
      </c>
      <c r="E42" s="372">
        <v>7768573</v>
      </c>
      <c r="F42" s="372">
        <v>8115322</v>
      </c>
      <c r="G42" s="372">
        <v>8557047</v>
      </c>
      <c r="H42" s="372">
        <v>8775355</v>
      </c>
      <c r="I42" s="372">
        <v>8820462</v>
      </c>
      <c r="J42" s="372">
        <v>8726013</v>
      </c>
      <c r="K42" s="372">
        <v>8135260</v>
      </c>
      <c r="L42" s="372">
        <v>7213397</v>
      </c>
      <c r="M42" s="372">
        <v>6521765</v>
      </c>
      <c r="N42" s="289"/>
    </row>
    <row r="43" spans="2:14">
      <c r="B43" s="347" t="s">
        <v>65</v>
      </c>
      <c r="C43" s="372"/>
      <c r="D43" s="372">
        <v>64</v>
      </c>
      <c r="E43" s="372">
        <v>195</v>
      </c>
      <c r="F43" s="372"/>
      <c r="G43" s="372"/>
      <c r="H43" s="372"/>
      <c r="I43" s="372">
        <v>166</v>
      </c>
      <c r="J43" s="372">
        <v>5324</v>
      </c>
      <c r="K43" s="372">
        <v>19830</v>
      </c>
      <c r="L43" s="372">
        <v>20220</v>
      </c>
      <c r="M43" s="372">
        <v>16238</v>
      </c>
      <c r="N43" s="289"/>
    </row>
    <row r="44" spans="2:14">
      <c r="B44" s="347" t="s">
        <v>66</v>
      </c>
      <c r="C44" s="372">
        <v>2490</v>
      </c>
      <c r="D44" s="372">
        <v>2751</v>
      </c>
      <c r="E44" s="372">
        <v>1906</v>
      </c>
      <c r="F44" s="372">
        <v>8855</v>
      </c>
      <c r="G44" s="372">
        <v>28736</v>
      </c>
      <c r="H44" s="372">
        <v>28623</v>
      </c>
      <c r="I44" s="372">
        <v>0</v>
      </c>
      <c r="J44" s="372"/>
      <c r="K44" s="372"/>
      <c r="L44" s="372"/>
      <c r="M44" s="372"/>
      <c r="N44" s="289"/>
    </row>
    <row r="45" spans="2:14">
      <c r="B45" s="347" t="s">
        <v>67</v>
      </c>
      <c r="C45" s="372">
        <v>443465</v>
      </c>
      <c r="D45" s="372">
        <v>435264</v>
      </c>
      <c r="E45" s="372">
        <v>490239</v>
      </c>
      <c r="F45" s="372">
        <v>517171</v>
      </c>
      <c r="G45" s="372">
        <v>531089</v>
      </c>
      <c r="H45" s="372">
        <v>459204</v>
      </c>
      <c r="I45" s="372">
        <v>515889</v>
      </c>
      <c r="J45" s="372">
        <v>465872</v>
      </c>
      <c r="K45" s="372">
        <v>424402</v>
      </c>
      <c r="L45" s="372">
        <v>335149</v>
      </c>
      <c r="M45" s="372">
        <v>282583</v>
      </c>
      <c r="N45" s="289"/>
    </row>
    <row r="46" spans="2:14">
      <c r="B46" s="347" t="s">
        <v>68</v>
      </c>
      <c r="C46" s="372">
        <v>336701</v>
      </c>
      <c r="D46" s="372">
        <v>342790</v>
      </c>
      <c r="E46" s="372">
        <v>363415</v>
      </c>
      <c r="F46" s="372">
        <v>434644</v>
      </c>
      <c r="G46" s="372">
        <v>520319</v>
      </c>
      <c r="H46" s="372">
        <v>588773</v>
      </c>
      <c r="I46" s="372">
        <v>670894</v>
      </c>
      <c r="J46" s="372">
        <v>697480</v>
      </c>
      <c r="K46" s="372">
        <v>670752</v>
      </c>
      <c r="L46" s="372">
        <v>583374</v>
      </c>
      <c r="M46" s="372">
        <v>528447</v>
      </c>
      <c r="N46" s="289"/>
    </row>
    <row r="47" spans="2:14">
      <c r="B47" s="347" t="s">
        <v>69</v>
      </c>
      <c r="C47" s="372">
        <v>19731</v>
      </c>
      <c r="D47" s="372">
        <v>19545</v>
      </c>
      <c r="E47" s="372">
        <v>20669</v>
      </c>
      <c r="F47" s="372">
        <v>21422</v>
      </c>
      <c r="G47" s="372">
        <v>21303</v>
      </c>
      <c r="H47" s="372">
        <v>21652</v>
      </c>
      <c r="I47" s="372">
        <v>26218</v>
      </c>
      <c r="J47" s="372">
        <v>28406</v>
      </c>
      <c r="K47" s="372">
        <v>29136</v>
      </c>
      <c r="L47" s="372">
        <v>26285</v>
      </c>
      <c r="M47" s="372">
        <v>24946</v>
      </c>
      <c r="N47" s="289"/>
    </row>
    <row r="48" spans="2:14">
      <c r="B48" s="347" t="s">
        <v>70</v>
      </c>
      <c r="C48" s="372">
        <v>128269</v>
      </c>
      <c r="D48" s="372">
        <v>131949</v>
      </c>
      <c r="E48" s="372">
        <v>146363</v>
      </c>
      <c r="F48" s="372">
        <v>138466</v>
      </c>
      <c r="G48" s="372">
        <v>140628</v>
      </c>
      <c r="H48" s="372">
        <v>132282</v>
      </c>
      <c r="I48" s="372">
        <v>128093</v>
      </c>
      <c r="J48" s="372">
        <v>130778</v>
      </c>
      <c r="K48" s="372">
        <v>122863</v>
      </c>
      <c r="L48" s="372">
        <v>118695</v>
      </c>
      <c r="M48" s="372">
        <v>113365</v>
      </c>
      <c r="N48" s="289"/>
    </row>
    <row r="49" spans="2:14">
      <c r="B49" s="347" t="s">
        <v>71</v>
      </c>
      <c r="C49" s="372">
        <v>37078</v>
      </c>
      <c r="D49" s="372">
        <v>37138</v>
      </c>
      <c r="E49" s="372">
        <v>41983</v>
      </c>
      <c r="F49" s="372">
        <v>43612</v>
      </c>
      <c r="G49" s="372">
        <v>43162</v>
      </c>
      <c r="H49" s="372">
        <v>42311</v>
      </c>
      <c r="I49" s="372">
        <v>41906</v>
      </c>
      <c r="J49" s="372">
        <v>40730</v>
      </c>
      <c r="K49" s="372">
        <v>37009</v>
      </c>
      <c r="L49" s="372">
        <v>32043</v>
      </c>
      <c r="M49" s="372">
        <v>32113</v>
      </c>
      <c r="N49" s="289"/>
    </row>
    <row r="50" spans="2:14">
      <c r="B50" s="347" t="s">
        <v>72</v>
      </c>
      <c r="C50" s="372">
        <v>85216</v>
      </c>
      <c r="D50" s="372">
        <v>86795</v>
      </c>
      <c r="E50" s="372">
        <v>98314</v>
      </c>
      <c r="F50" s="372">
        <v>102716</v>
      </c>
      <c r="G50" s="372">
        <v>102023</v>
      </c>
      <c r="H50" s="372">
        <v>103740</v>
      </c>
      <c r="I50" s="372">
        <v>116837</v>
      </c>
      <c r="J50" s="372">
        <v>131903</v>
      </c>
      <c r="K50" s="372">
        <v>137616</v>
      </c>
      <c r="L50" s="372">
        <v>138383</v>
      </c>
      <c r="M50" s="372">
        <v>129022</v>
      </c>
      <c r="N50" s="289"/>
    </row>
    <row r="51" spans="2:14">
      <c r="B51" s="347" t="s">
        <v>73</v>
      </c>
      <c r="C51" s="372"/>
      <c r="D51" s="372"/>
      <c r="E51" s="372"/>
      <c r="F51" s="372">
        <v>24751</v>
      </c>
      <c r="G51" s="372">
        <v>25605</v>
      </c>
      <c r="H51" s="372">
        <v>23985</v>
      </c>
      <c r="I51" s="372">
        <v>23380</v>
      </c>
      <c r="J51" s="372">
        <v>28278</v>
      </c>
      <c r="K51" s="372">
        <v>26341</v>
      </c>
      <c r="L51" s="372">
        <v>34442</v>
      </c>
      <c r="M51" s="372">
        <v>29509</v>
      </c>
      <c r="N51" s="289"/>
    </row>
    <row r="52" spans="2:14">
      <c r="B52" s="347" t="s">
        <v>74</v>
      </c>
      <c r="C52" s="372">
        <v>1573056</v>
      </c>
      <c r="D52" s="372">
        <v>1523554</v>
      </c>
      <c r="E52" s="372">
        <v>1525858</v>
      </c>
      <c r="F52" s="372">
        <v>2015320</v>
      </c>
      <c r="G52" s="372">
        <v>2367717</v>
      </c>
      <c r="H52" s="372">
        <v>2608721</v>
      </c>
      <c r="I52" s="372">
        <v>2787217</v>
      </c>
      <c r="J52" s="372">
        <v>2859858</v>
      </c>
      <c r="K52" s="372">
        <v>2860447</v>
      </c>
      <c r="L52" s="372">
        <v>2552597</v>
      </c>
      <c r="M52" s="372">
        <v>2723833</v>
      </c>
      <c r="N52" s="289"/>
    </row>
    <row r="53" spans="2:14">
      <c r="B53" s="347" t="s">
        <v>75</v>
      </c>
      <c r="C53" s="372">
        <v>2480</v>
      </c>
      <c r="D53" s="372">
        <v>1971</v>
      </c>
      <c r="E53" s="372">
        <v>2068</v>
      </c>
      <c r="F53" s="372">
        <v>2065</v>
      </c>
      <c r="G53" s="372">
        <v>2342</v>
      </c>
      <c r="H53" s="372">
        <v>4039</v>
      </c>
      <c r="I53" s="372">
        <v>4438</v>
      </c>
      <c r="J53" s="372">
        <v>5059</v>
      </c>
      <c r="K53" s="372">
        <v>4854</v>
      </c>
      <c r="L53" s="372">
        <v>4709</v>
      </c>
      <c r="M53" s="372">
        <v>4609</v>
      </c>
      <c r="N53" s="289"/>
    </row>
    <row r="54" spans="2:14">
      <c r="B54" s="347" t="s">
        <v>76</v>
      </c>
      <c r="C54" s="372">
        <v>1978341</v>
      </c>
      <c r="D54" s="372">
        <v>2251064</v>
      </c>
      <c r="E54" s="372">
        <v>2835088</v>
      </c>
      <c r="F54" s="372">
        <v>3175343</v>
      </c>
      <c r="G54" s="372">
        <v>3351922</v>
      </c>
      <c r="H54" s="372">
        <v>4409018</v>
      </c>
      <c r="I54" s="372">
        <v>4962460</v>
      </c>
      <c r="J54" s="372">
        <v>5463234</v>
      </c>
      <c r="K54" s="372">
        <v>5329826</v>
      </c>
      <c r="L54" s="372">
        <v>4879468</v>
      </c>
      <c r="M54" s="372">
        <v>5007944</v>
      </c>
      <c r="N54" s="289"/>
    </row>
    <row r="55" spans="2:14">
      <c r="B55" s="347" t="s">
        <v>77</v>
      </c>
      <c r="C55" s="372">
        <v>1358</v>
      </c>
      <c r="D55" s="372">
        <v>65</v>
      </c>
      <c r="E55" s="372">
        <v>3088</v>
      </c>
      <c r="F55" s="372">
        <v>4498</v>
      </c>
      <c r="G55" s="372">
        <v>4018</v>
      </c>
      <c r="H55" s="372">
        <v>2817</v>
      </c>
      <c r="I55" s="372">
        <v>2754</v>
      </c>
      <c r="J55" s="372">
        <v>2696</v>
      </c>
      <c r="K55" s="372">
        <v>1673</v>
      </c>
      <c r="L55" s="372">
        <v>588</v>
      </c>
      <c r="M55" s="372">
        <v>485</v>
      </c>
      <c r="N55" s="289"/>
    </row>
    <row r="56" spans="2:14">
      <c r="B56" s="347" t="s">
        <v>78</v>
      </c>
      <c r="C56" s="372">
        <v>18349141</v>
      </c>
      <c r="D56" s="372">
        <v>19082472</v>
      </c>
      <c r="E56" s="372">
        <v>18617769</v>
      </c>
      <c r="F56" s="372">
        <v>19519895</v>
      </c>
      <c r="G56" s="372">
        <v>20969163</v>
      </c>
      <c r="H56" s="372">
        <v>22083008</v>
      </c>
      <c r="I56" s="372">
        <v>22123762</v>
      </c>
      <c r="J56" s="372">
        <v>21891723</v>
      </c>
      <c r="K56" s="372">
        <v>21062749</v>
      </c>
      <c r="L56" s="372">
        <v>18630394</v>
      </c>
      <c r="M56" s="372">
        <v>17662699</v>
      </c>
      <c r="N56" s="289"/>
    </row>
    <row r="57" spans="2:14">
      <c r="B57" s="347" t="s">
        <v>79</v>
      </c>
      <c r="C57" s="372">
        <v>6318</v>
      </c>
      <c r="D57" s="372">
        <v>5761</v>
      </c>
      <c r="E57" s="372">
        <v>52</v>
      </c>
      <c r="F57" s="372">
        <v>3256</v>
      </c>
      <c r="G57" s="372">
        <v>101328</v>
      </c>
      <c r="H57" s="372">
        <v>206875</v>
      </c>
      <c r="I57" s="372">
        <v>9845</v>
      </c>
      <c r="J57" s="372">
        <v>15556</v>
      </c>
      <c r="K57" s="372">
        <v>11625</v>
      </c>
      <c r="L57" s="372">
        <v>5335</v>
      </c>
      <c r="M57" s="372">
        <v>25692</v>
      </c>
      <c r="N57" s="289"/>
    </row>
    <row r="58" spans="2:14">
      <c r="B58" s="347" t="s">
        <v>80</v>
      </c>
      <c r="C58" s="372">
        <v>3144887</v>
      </c>
      <c r="D58" s="372">
        <v>3376358</v>
      </c>
      <c r="E58" s="372">
        <v>3387222</v>
      </c>
      <c r="F58" s="372">
        <v>3903340</v>
      </c>
      <c r="G58" s="372">
        <v>4707818</v>
      </c>
      <c r="H58" s="372">
        <v>5187182</v>
      </c>
      <c r="I58" s="372">
        <v>5407362</v>
      </c>
      <c r="J58" s="372">
        <v>5623607</v>
      </c>
      <c r="K58" s="372">
        <v>5016640</v>
      </c>
      <c r="L58" s="372">
        <v>4568619</v>
      </c>
      <c r="M58" s="372">
        <v>4345952</v>
      </c>
      <c r="N58" s="289"/>
    </row>
    <row r="59" spans="2:14">
      <c r="B59" s="347" t="s">
        <v>81</v>
      </c>
      <c r="C59" s="372"/>
      <c r="D59" s="372"/>
      <c r="E59" s="372"/>
      <c r="F59" s="372"/>
      <c r="G59" s="372">
        <v>252625</v>
      </c>
      <c r="H59" s="372">
        <v>336982</v>
      </c>
      <c r="I59" s="372">
        <v>343143</v>
      </c>
      <c r="J59" s="372">
        <v>352548</v>
      </c>
      <c r="K59" s="372">
        <v>430893</v>
      </c>
      <c r="L59" s="372">
        <v>347036</v>
      </c>
      <c r="M59" s="372">
        <v>285271</v>
      </c>
      <c r="N59" s="289"/>
    </row>
    <row r="60" spans="2:14">
      <c r="B60" s="347" t="s">
        <v>82</v>
      </c>
      <c r="C60" s="372">
        <v>364620</v>
      </c>
      <c r="D60" s="372">
        <v>389877</v>
      </c>
      <c r="E60" s="372">
        <v>423617</v>
      </c>
      <c r="F60" s="372">
        <v>447112</v>
      </c>
      <c r="G60" s="372">
        <v>443909</v>
      </c>
      <c r="H60" s="372">
        <v>545268</v>
      </c>
      <c r="I60" s="372">
        <v>745192</v>
      </c>
      <c r="J60" s="372">
        <v>699359</v>
      </c>
      <c r="K60" s="372">
        <v>582973</v>
      </c>
      <c r="L60" s="372">
        <v>429542</v>
      </c>
      <c r="M60" s="372">
        <v>425662</v>
      </c>
      <c r="N60" s="289"/>
    </row>
    <row r="61" spans="2:14">
      <c r="B61" s="347" t="s">
        <v>83</v>
      </c>
      <c r="C61" s="372"/>
      <c r="D61" s="372"/>
      <c r="E61" s="372"/>
      <c r="F61" s="372"/>
      <c r="G61" s="372"/>
      <c r="H61" s="372"/>
      <c r="I61" s="372"/>
      <c r="J61" s="372"/>
      <c r="K61" s="372"/>
      <c r="L61" s="372">
        <v>1297</v>
      </c>
      <c r="M61" s="372">
        <v>2186</v>
      </c>
      <c r="N61" s="289"/>
    </row>
    <row r="62" spans="2:14">
      <c r="B62" s="347" t="s">
        <v>84</v>
      </c>
      <c r="C62" s="372">
        <v>126409</v>
      </c>
      <c r="D62" s="372">
        <v>128044</v>
      </c>
      <c r="E62" s="372">
        <v>135891</v>
      </c>
      <c r="F62" s="372">
        <v>130643</v>
      </c>
      <c r="G62" s="372">
        <v>128544</v>
      </c>
      <c r="H62" s="372">
        <v>115363</v>
      </c>
      <c r="I62" s="372">
        <v>93958</v>
      </c>
      <c r="J62" s="372">
        <v>115998</v>
      </c>
      <c r="K62" s="372">
        <v>98360</v>
      </c>
      <c r="L62" s="372">
        <v>85911</v>
      </c>
      <c r="M62" s="372">
        <v>89469</v>
      </c>
      <c r="N62" s="289"/>
    </row>
    <row r="63" spans="2:14">
      <c r="B63" s="347" t="s">
        <v>85</v>
      </c>
      <c r="C63" s="372">
        <v>113167</v>
      </c>
      <c r="D63" s="372">
        <v>124562</v>
      </c>
      <c r="E63" s="372">
        <v>75707</v>
      </c>
      <c r="F63" s="372">
        <v>69928</v>
      </c>
      <c r="G63" s="372">
        <v>105968</v>
      </c>
      <c r="H63" s="372">
        <v>108898</v>
      </c>
      <c r="I63" s="372">
        <v>76568</v>
      </c>
      <c r="J63" s="372">
        <v>78156</v>
      </c>
      <c r="K63" s="372">
        <v>98918</v>
      </c>
      <c r="L63" s="372">
        <v>115254</v>
      </c>
      <c r="M63" s="372">
        <v>96498</v>
      </c>
      <c r="N63" s="289"/>
    </row>
    <row r="64" spans="2:14">
      <c r="B64" s="347" t="s">
        <v>86</v>
      </c>
      <c r="C64" s="372">
        <v>904837</v>
      </c>
      <c r="D64" s="372">
        <v>1231837</v>
      </c>
      <c r="E64" s="372">
        <v>1486384</v>
      </c>
      <c r="F64" s="372">
        <v>1854484</v>
      </c>
      <c r="G64" s="372">
        <v>2158967</v>
      </c>
      <c r="H64" s="372">
        <v>2404654</v>
      </c>
      <c r="I64" s="372">
        <v>2394928</v>
      </c>
      <c r="J64" s="372">
        <v>2420709</v>
      </c>
      <c r="K64" s="372">
        <v>2414019</v>
      </c>
      <c r="L64" s="372">
        <v>1817286</v>
      </c>
      <c r="M64" s="372">
        <v>1659946</v>
      </c>
      <c r="N64" s="289"/>
    </row>
    <row r="65" spans="2:14">
      <c r="B65" s="347" t="s">
        <v>87</v>
      </c>
      <c r="C65" s="372">
        <v>240361</v>
      </c>
      <c r="D65" s="372">
        <v>246636</v>
      </c>
      <c r="E65" s="372">
        <v>246713</v>
      </c>
      <c r="F65" s="372">
        <v>229558</v>
      </c>
      <c r="G65" s="372">
        <v>228943</v>
      </c>
      <c r="H65" s="372">
        <v>239249</v>
      </c>
      <c r="I65" s="372">
        <v>255147</v>
      </c>
      <c r="J65" s="372">
        <v>252894</v>
      </c>
      <c r="K65" s="372">
        <v>243041</v>
      </c>
      <c r="L65" s="372">
        <v>269754</v>
      </c>
      <c r="M65" s="372">
        <v>279442</v>
      </c>
      <c r="N65" s="289"/>
    </row>
    <row r="66" spans="2:14">
      <c r="B66" s="347" t="s">
        <v>88</v>
      </c>
      <c r="C66" s="372">
        <v>1379</v>
      </c>
      <c r="D66" s="372">
        <v>834</v>
      </c>
      <c r="E66" s="372">
        <v>451</v>
      </c>
      <c r="F66" s="372">
        <v>263</v>
      </c>
      <c r="G66" s="372">
        <v>4208</v>
      </c>
      <c r="H66" s="372">
        <v>6512</v>
      </c>
      <c r="I66" s="372">
        <v>4508</v>
      </c>
      <c r="J66" s="372">
        <v>8026</v>
      </c>
      <c r="K66" s="372">
        <v>5041</v>
      </c>
      <c r="L66" s="372">
        <v>1213</v>
      </c>
      <c r="M66" s="372">
        <v>866</v>
      </c>
      <c r="N66" s="289"/>
    </row>
    <row r="67" spans="2:14">
      <c r="B67" s="347" t="s">
        <v>89</v>
      </c>
      <c r="C67" s="372">
        <v>853916</v>
      </c>
      <c r="D67" s="372">
        <v>856558</v>
      </c>
      <c r="E67" s="372">
        <v>788316</v>
      </c>
      <c r="F67" s="372">
        <v>1217891</v>
      </c>
      <c r="G67" s="372">
        <v>1530736</v>
      </c>
      <c r="H67" s="372">
        <v>1835029</v>
      </c>
      <c r="I67" s="372">
        <v>1912702</v>
      </c>
      <c r="J67" s="372">
        <v>1965422</v>
      </c>
      <c r="K67" s="372">
        <v>1945767</v>
      </c>
      <c r="L67" s="372">
        <v>1789443</v>
      </c>
      <c r="M67" s="372">
        <v>1733553</v>
      </c>
      <c r="N67" s="289"/>
    </row>
    <row r="68" spans="2:14">
      <c r="B68" s="347" t="s">
        <v>90</v>
      </c>
      <c r="C68" s="372">
        <v>87589</v>
      </c>
      <c r="D68" s="372">
        <v>87643</v>
      </c>
      <c r="E68" s="372">
        <v>93492</v>
      </c>
      <c r="F68" s="372">
        <v>106233</v>
      </c>
      <c r="G68" s="372">
        <v>110831</v>
      </c>
      <c r="H68" s="372">
        <v>115387</v>
      </c>
      <c r="I68" s="372">
        <v>120288</v>
      </c>
      <c r="J68" s="372">
        <v>126203</v>
      </c>
      <c r="K68" s="372">
        <v>130888</v>
      </c>
      <c r="L68" s="372">
        <v>122475</v>
      </c>
      <c r="M68" s="372">
        <v>112226</v>
      </c>
      <c r="N68" s="289"/>
    </row>
    <row r="69" spans="2:14">
      <c r="B69" s="347" t="s">
        <v>91</v>
      </c>
      <c r="C69" s="372">
        <v>119066</v>
      </c>
      <c r="D69" s="372">
        <v>132782</v>
      </c>
      <c r="E69" s="372">
        <v>127405</v>
      </c>
      <c r="F69" s="372">
        <v>110482</v>
      </c>
      <c r="G69" s="372">
        <v>107848</v>
      </c>
      <c r="H69" s="372">
        <v>120937</v>
      </c>
      <c r="I69" s="372">
        <v>128233</v>
      </c>
      <c r="J69" s="372">
        <v>146960</v>
      </c>
      <c r="K69" s="372">
        <v>154011</v>
      </c>
      <c r="L69" s="372">
        <v>139146</v>
      </c>
      <c r="M69" s="372">
        <v>139171</v>
      </c>
      <c r="N69" s="289"/>
    </row>
    <row r="70" spans="2:14">
      <c r="B70" s="347" t="s">
        <v>92</v>
      </c>
      <c r="C70" s="372"/>
      <c r="D70" s="372"/>
      <c r="E70" s="372"/>
      <c r="F70" s="372"/>
      <c r="G70" s="372">
        <v>18037</v>
      </c>
      <c r="H70" s="372"/>
      <c r="I70" s="372"/>
      <c r="J70" s="372"/>
      <c r="K70" s="372"/>
      <c r="L70" s="372"/>
      <c r="M70" s="372"/>
      <c r="N70" s="289"/>
    </row>
    <row r="71" spans="2:14">
      <c r="B71" s="347" t="s">
        <v>93</v>
      </c>
      <c r="C71" s="372">
        <v>4829</v>
      </c>
      <c r="D71" s="372">
        <v>5289</v>
      </c>
      <c r="E71" s="372">
        <v>5295</v>
      </c>
      <c r="F71" s="372">
        <v>5293</v>
      </c>
      <c r="G71" s="372">
        <v>5610</v>
      </c>
      <c r="H71" s="372">
        <v>6749</v>
      </c>
      <c r="I71" s="372">
        <v>7016</v>
      </c>
      <c r="J71" s="372">
        <v>7807</v>
      </c>
      <c r="K71" s="372">
        <v>8419</v>
      </c>
      <c r="L71" s="372">
        <v>8202</v>
      </c>
      <c r="M71" s="372">
        <v>7859</v>
      </c>
      <c r="N71" s="289"/>
    </row>
    <row r="72" spans="2:14">
      <c r="B72" s="347" t="s">
        <v>94</v>
      </c>
      <c r="C72" s="372">
        <v>19191</v>
      </c>
      <c r="D72" s="372">
        <v>18114</v>
      </c>
      <c r="E72" s="372">
        <v>17840</v>
      </c>
      <c r="F72" s="372">
        <v>16812</v>
      </c>
      <c r="G72" s="372">
        <v>15552</v>
      </c>
      <c r="H72" s="372">
        <v>16256</v>
      </c>
      <c r="I72" s="372">
        <v>19538</v>
      </c>
      <c r="J72" s="372">
        <v>20784</v>
      </c>
      <c r="K72" s="372">
        <v>23430</v>
      </c>
      <c r="L72" s="372">
        <v>21460</v>
      </c>
      <c r="M72" s="372">
        <v>22299</v>
      </c>
      <c r="N72" s="289"/>
    </row>
    <row r="73" spans="2:14">
      <c r="B73" s="347" t="s">
        <v>95</v>
      </c>
      <c r="C73" s="372">
        <v>74446</v>
      </c>
      <c r="D73" s="372">
        <v>72111</v>
      </c>
      <c r="E73" s="372">
        <v>72855</v>
      </c>
      <c r="F73" s="372">
        <v>72075</v>
      </c>
      <c r="G73" s="372">
        <v>74292</v>
      </c>
      <c r="H73" s="372">
        <v>76192</v>
      </c>
      <c r="I73" s="372">
        <v>76806</v>
      </c>
      <c r="J73" s="372">
        <v>79087</v>
      </c>
      <c r="K73" s="372">
        <v>77104</v>
      </c>
      <c r="L73" s="372">
        <v>74835</v>
      </c>
      <c r="M73" s="372">
        <v>70012</v>
      </c>
      <c r="N73" s="289"/>
    </row>
    <row r="74" spans="2:14">
      <c r="B74" s="347" t="s">
        <v>96</v>
      </c>
      <c r="C74" s="372">
        <v>878836</v>
      </c>
      <c r="D74" s="372">
        <v>859188</v>
      </c>
      <c r="E74" s="372">
        <v>834740</v>
      </c>
      <c r="F74" s="372">
        <v>861274</v>
      </c>
      <c r="G74" s="372">
        <v>899945</v>
      </c>
      <c r="H74" s="372">
        <v>866831</v>
      </c>
      <c r="I74" s="372">
        <v>864764</v>
      </c>
      <c r="J74" s="372">
        <v>886751</v>
      </c>
      <c r="K74" s="372">
        <v>914742</v>
      </c>
      <c r="L74" s="372">
        <v>902040</v>
      </c>
      <c r="M74" s="372">
        <v>885945</v>
      </c>
      <c r="N74" s="289"/>
    </row>
    <row r="75" spans="2:14">
      <c r="B75" s="347" t="s">
        <v>97</v>
      </c>
      <c r="C75" s="372">
        <v>698258</v>
      </c>
      <c r="D75" s="372">
        <v>694691</v>
      </c>
      <c r="E75" s="372">
        <v>718509</v>
      </c>
      <c r="F75" s="372">
        <v>742754</v>
      </c>
      <c r="G75" s="372">
        <v>762216</v>
      </c>
      <c r="H75" s="372">
        <v>801283</v>
      </c>
      <c r="I75" s="372">
        <v>782882</v>
      </c>
      <c r="J75" s="372">
        <v>753359</v>
      </c>
      <c r="K75" s="372">
        <v>754387</v>
      </c>
      <c r="L75" s="372">
        <v>707506</v>
      </c>
      <c r="M75" s="372">
        <v>674483</v>
      </c>
      <c r="N75" s="289"/>
    </row>
    <row r="76" spans="2:14">
      <c r="B76" s="347" t="s">
        <v>98</v>
      </c>
      <c r="C76" s="372">
        <v>1620893</v>
      </c>
      <c r="D76" s="372">
        <v>1520816</v>
      </c>
      <c r="E76" s="372">
        <v>1455201</v>
      </c>
      <c r="F76" s="372">
        <v>1463989</v>
      </c>
      <c r="G76" s="372">
        <v>1481233</v>
      </c>
      <c r="H76" s="372">
        <v>1464031</v>
      </c>
      <c r="I76" s="372">
        <v>1479159</v>
      </c>
      <c r="J76" s="372">
        <v>1546019</v>
      </c>
      <c r="K76" s="372">
        <v>1591032</v>
      </c>
      <c r="L76" s="372">
        <v>1460972</v>
      </c>
      <c r="M76" s="372">
        <v>1428798</v>
      </c>
      <c r="N76" s="289"/>
    </row>
    <row r="77" spans="2:14">
      <c r="B77" s="347" t="s">
        <v>99</v>
      </c>
      <c r="C77" s="372">
        <v>77</v>
      </c>
      <c r="D77" s="372">
        <v>54</v>
      </c>
      <c r="E77" s="372">
        <v>0</v>
      </c>
      <c r="F77" s="372"/>
      <c r="G77" s="372">
        <v>0</v>
      </c>
      <c r="H77" s="372"/>
      <c r="I77" s="372">
        <v>0</v>
      </c>
      <c r="J77" s="372"/>
      <c r="K77" s="372"/>
      <c r="L77" s="372"/>
      <c r="M77" s="372"/>
      <c r="N77" s="289"/>
    </row>
    <row r="78" spans="2:14">
      <c r="B78" s="347" t="s">
        <v>100</v>
      </c>
      <c r="C78" s="372">
        <v>59977</v>
      </c>
      <c r="D78" s="372">
        <v>32956</v>
      </c>
      <c r="E78" s="372">
        <v>13104</v>
      </c>
      <c r="F78" s="372">
        <v>0</v>
      </c>
      <c r="G78" s="372"/>
      <c r="H78" s="372"/>
      <c r="I78" s="372"/>
      <c r="J78" s="372"/>
      <c r="K78" s="372"/>
      <c r="L78" s="372"/>
      <c r="M78" s="372"/>
      <c r="N78" s="289"/>
    </row>
    <row r="79" spans="2:14">
      <c r="B79" s="347" t="s">
        <v>101</v>
      </c>
      <c r="C79" s="372">
        <v>1429</v>
      </c>
      <c r="D79" s="372">
        <v>252</v>
      </c>
      <c r="E79" s="372"/>
      <c r="F79" s="372"/>
      <c r="G79" s="372"/>
      <c r="H79" s="372"/>
      <c r="I79" s="372"/>
      <c r="J79" s="372"/>
      <c r="K79" s="372"/>
      <c r="L79" s="372"/>
      <c r="M79" s="372"/>
      <c r="N79" s="289"/>
    </row>
    <row r="82" spans="2:23">
      <c r="B82" s="278" t="s">
        <v>122</v>
      </c>
      <c r="C82" s="279"/>
      <c r="D82" s="279"/>
      <c r="E82" s="279"/>
      <c r="F82" s="279"/>
      <c r="G82" s="279"/>
      <c r="H82" s="279"/>
      <c r="I82" s="279"/>
      <c r="J82" s="279"/>
      <c r="K82" s="279"/>
      <c r="L82" s="279"/>
      <c r="M82" s="279"/>
      <c r="N82" s="279"/>
      <c r="O82" s="279"/>
      <c r="P82" s="279"/>
      <c r="Q82" s="279"/>
      <c r="R82" s="279"/>
      <c r="S82" s="279"/>
      <c r="T82" s="279"/>
      <c r="U82" s="279"/>
      <c r="V82" s="279"/>
      <c r="W82" s="279"/>
    </row>
  </sheetData>
  <pageMargins left="0.75" right="0.75" top="1" bottom="1" header="0.5" footer="0.5"/>
  <pageSetup paperSize="9" scale="37" orientation="portrait" r:id="rId1"/>
  <headerFooter>
    <oddFooter>&amp;L&amp;F \ &amp;A&amp;R&amp;T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vt:i4>
      </vt:variant>
    </vt:vector>
  </HeadingPairs>
  <TitlesOfParts>
    <vt:vector size="44" baseType="lpstr">
      <vt:lpstr>Info</vt:lpstr>
      <vt:lpstr>Parameters</vt:lpstr>
      <vt:lpstr>Analysis&gt;&gt;</vt:lpstr>
      <vt:lpstr>Int Analysis</vt:lpstr>
      <vt:lpstr>UK Analysis</vt:lpstr>
      <vt:lpstr>Data&gt;&gt;</vt:lpstr>
      <vt:lpstr>Data Conversion</vt:lpstr>
      <vt:lpstr>Monthly Data</vt:lpstr>
      <vt:lpstr>Passengers</vt:lpstr>
      <vt:lpstr>Freight</vt:lpstr>
      <vt:lpstr>ATMs</vt:lpstr>
      <vt:lpstr>Aircraft Movements</vt:lpstr>
      <vt:lpstr>UK&gt;&gt;</vt:lpstr>
      <vt:lpstr>ABD</vt:lpstr>
      <vt:lpstr>BIR</vt:lpstr>
      <vt:lpstr>EDIN</vt:lpstr>
      <vt:lpstr>GAT</vt:lpstr>
      <vt:lpstr>GLAS</vt:lpstr>
      <vt:lpstr>HTROW</vt:lpstr>
      <vt:lpstr>LTN</vt:lpstr>
      <vt:lpstr>MAN</vt:lpstr>
      <vt:lpstr>STHAM</vt:lpstr>
      <vt:lpstr>STAN</vt:lpstr>
      <vt:lpstr>Non-UK&gt;&gt;</vt:lpstr>
      <vt:lpstr>Amsterdam</vt:lpstr>
      <vt:lpstr>Dublin</vt:lpstr>
      <vt:lpstr>Hong Kong</vt:lpstr>
      <vt:lpstr>Copenhagen</vt:lpstr>
      <vt:lpstr>Zurich</vt:lpstr>
      <vt:lpstr>Munich</vt:lpstr>
      <vt:lpstr>Economic Data&gt;&gt;</vt:lpstr>
      <vt:lpstr>RPI</vt:lpstr>
      <vt:lpstr>FX</vt:lpstr>
      <vt:lpstr>PPP</vt:lpstr>
      <vt:lpstr>GDP per cap</vt:lpstr>
      <vt:lpstr>GDP per emp</vt:lpstr>
      <vt:lpstr>Appendix&gt;&gt;</vt:lpstr>
      <vt:lpstr>Service Quality</vt:lpstr>
      <vt:lpstr>SDG</vt:lpstr>
      <vt:lpstr>__index_cell_dinfo</vt:lpstr>
      <vt:lpstr>FX!Print_Area</vt:lpstr>
      <vt:lpstr>Parameters!Print_Area</vt:lpstr>
      <vt:lpstr>Passengers!Print_Area</vt:lpstr>
      <vt:lpstr>RPI!Print_Area</vt:lpstr>
    </vt:vector>
  </TitlesOfParts>
  <Company>Civil Aviation Authority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judith.corbyn</dc:creator>
  <cp:lastModifiedBy>rod.gander</cp:lastModifiedBy>
  <cp:lastPrinted>2013-08-12T12:31:15Z</cp:lastPrinted>
  <dcterms:created xsi:type="dcterms:W3CDTF">2011-10-24T09:08:12Z</dcterms:created>
  <dcterms:modified xsi:type="dcterms:W3CDTF">2013-10-21T13:11:35Z</dcterms:modified>
</cp:coreProperties>
</file>